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5390" windowHeight="7455" tabRatio="879" firstSheet="5" activeTab="6"/>
  </bookViews>
  <sheets>
    <sheet name="Index" sheetId="69" r:id="rId1"/>
    <sheet name="Sources of Funding" sheetId="77" r:id="rId2"/>
    <sheet name="Dist Allocation and Sub Plan" sheetId="78" r:id="rId3"/>
    <sheet name="List of Key deliverables" sheetId="86" r:id="rId4"/>
    <sheet name="Summary Table" sheetId="80" r:id="rId5"/>
    <sheet name="Budget Summary I" sheetId="76" r:id="rId6"/>
    <sheet name="Budget Summary II" sheetId="1" r:id="rId7"/>
    <sheet name="NUHM Summary" sheetId="67" r:id="rId8"/>
    <sheet name="1.SD Facility Based Annex" sheetId="16" r:id="rId9"/>
    <sheet name="2.SD Community Based Annex" sheetId="2" r:id="rId10"/>
    <sheet name="3.Community Intervention Annexn" sheetId="81" r:id="rId11"/>
    <sheet name="3-A. CI Sub-Annex" sheetId="3" r:id="rId12"/>
    <sheet name="4.Untied grants Annex" sheetId="60" r:id="rId13"/>
    <sheet name="5.Infrastructure Annex" sheetId="4" r:id="rId14"/>
    <sheet name="6.Procurement Annex" sheetId="82" r:id="rId15"/>
    <sheet name="6-A. Proc. Sub-Annex" sheetId="15" r:id="rId16"/>
    <sheet name="7.Referral Transport Annex" sheetId="5" r:id="rId17"/>
    <sheet name="8.Human Resources (SD) Annex" sheetId="6" r:id="rId18"/>
    <sheet name="9.Training Annex" sheetId="83" r:id="rId19"/>
    <sheet name="9-A.Training Sub-Annex" sheetId="7" r:id="rId20"/>
    <sheet name="10.Review Research &amp; Surveillen" sheetId="8" r:id="rId21"/>
    <sheet name="11.IEC-BCC Annex" sheetId="85" r:id="rId22"/>
    <sheet name="11-A. IEC Sub-Annex" sheetId="12" r:id="rId23"/>
    <sheet name="12.Printing Annex" sheetId="84" r:id="rId24"/>
    <sheet name="12-A. Print Sub-Annex" sheetId="13" r:id="rId25"/>
    <sheet name="13.Quality Assurance Annex" sheetId="9" r:id="rId26"/>
    <sheet name="14.Drug warehouse &amp;Logistic Anx" sheetId="10" r:id="rId27"/>
    <sheet name="15.PPP Annex" sheetId="11" r:id="rId28"/>
    <sheet name="16.PM Annex" sheetId="47" r:id="rId29"/>
    <sheet name="16-A. PM sub Annex" sheetId="49" r:id="rId30"/>
    <sheet name="17.IT Initiatives_SD" sheetId="58" r:id="rId31"/>
    <sheet name="18.Innovation" sheetId="56" r:id="rId32"/>
    <sheet name="NUHM-Non Metro Abst" sheetId="65" r:id="rId33"/>
    <sheet name="NUHM Metro Abst" sheetId="66" r:id="rId34"/>
    <sheet name="Ab1. RMNCH+A" sheetId="38" r:id="rId35"/>
    <sheet name="Ab2. NIDDCP" sheetId="37" r:id="rId36"/>
    <sheet name="Ab3. ASHA" sheetId="27" r:id="rId37"/>
    <sheet name="Ab4. HMIS-MCTS" sheetId="61" r:id="rId38"/>
    <sheet name="Abs5. Blood services &amp; Disorder" sheetId="45" r:id="rId39"/>
    <sheet name="Abs6. CPHC" sheetId="54" r:id="rId40"/>
    <sheet name="Abs7. AYUSH" sheetId="35" r:id="rId41"/>
    <sheet name="Abs8. IDSP" sheetId="40" r:id="rId42"/>
    <sheet name="Abs9. NVBDCP" sheetId="30" r:id="rId43"/>
    <sheet name="Abs10. NLEP" sheetId="20" r:id="rId44"/>
    <sheet name="Abs11. NTEP" sheetId="41" r:id="rId45"/>
    <sheet name="Abs12. NVHCP" sheetId="68" r:id="rId46"/>
    <sheet name="Abs13. NRCP" sheetId="70" r:id="rId47"/>
    <sheet name="Abs14. PPCL" sheetId="75" r:id="rId48"/>
    <sheet name="Abs17. NPHCE" sheetId="42" r:id="rId49"/>
    <sheet name="Abs18. NTCP" sheetId="32" r:id="rId50"/>
    <sheet name="Abs19. NPCDCS" sheetId="24" r:id="rId51"/>
    <sheet name="Abs20. PMNDP" sheetId="53" r:id="rId52"/>
    <sheet name="Abs21. NPCCHH" sheetId="71" r:id="rId53"/>
    <sheet name="Abs22. NPPCD" sheetId="43" r:id="rId54"/>
    <sheet name="Abs23. NPPCF" sheetId="44" r:id="rId55"/>
    <sheet name="Abs24. NOHP" sheetId="33" r:id="rId56"/>
    <sheet name="Abs25. NPPC" sheetId="26" r:id="rId57"/>
    <sheet name="Abs26. Burns &amp; Injury" sheetId="34" r:id="rId58"/>
    <sheet name="Abs15. NPCB" sheetId="31" r:id="rId59"/>
    <sheet name="Abs16. NMHP" sheetId="23" r:id="rId60"/>
    <sheet name="Capex Expenditure" sheetId="72" r:id="rId61"/>
  </sheets>
  <externalReferences>
    <externalReference r:id="rId62"/>
  </externalReferences>
  <definedNames>
    <definedName name="_Fill" localSheetId="8" hidden="1">#REF!</definedName>
    <definedName name="_Fill" localSheetId="22" hidden="1">#REF!</definedName>
    <definedName name="_Fill" localSheetId="24" hidden="1">#REF!</definedName>
    <definedName name="_Fill" localSheetId="15" hidden="1">#REF!</definedName>
    <definedName name="_Fill" localSheetId="34" hidden="1">#REF!</definedName>
    <definedName name="_Fill" localSheetId="42" hidden="1">#REF!</definedName>
    <definedName name="_Fill" hidden="1">#REF!</definedName>
    <definedName name="_xlnm._FilterDatabase" localSheetId="8" hidden="1">'1.SD Facility Based Annex'!$A$6:$IQ$114</definedName>
    <definedName name="_xlnm._FilterDatabase" localSheetId="20" hidden="1">'10.Review Research &amp; Surveillen'!$A$6:$R$62</definedName>
    <definedName name="_xlnm._FilterDatabase" localSheetId="21" hidden="1">'11.IEC-BCC Annex'!$A$6:$BA$42</definedName>
    <definedName name="_xlnm._FilterDatabase" localSheetId="22" hidden="1">'11-A. IEC Sub-Annex'!$A$4:$BE$106</definedName>
    <definedName name="_xlnm._FilterDatabase" localSheetId="23" hidden="1">'12.Printing Annex'!$A$6:$BA$45</definedName>
    <definedName name="_xlnm._FilterDatabase" localSheetId="24" hidden="1">'12-A. Print Sub-Annex'!$A$4:$BD$109</definedName>
    <definedName name="_xlnm._FilterDatabase" localSheetId="25" hidden="1">'13.Quality Assurance Annex'!$A$6:$R$35</definedName>
    <definedName name="_xlnm._FilterDatabase" localSheetId="26" hidden="1">'14.Drug warehouse &amp;Logistic Anx'!$A$6:$R$32</definedName>
    <definedName name="_xlnm._FilterDatabase" localSheetId="27" hidden="1">'15.PPP Annex'!$A$6:$R$65</definedName>
    <definedName name="_xlnm._FilterDatabase" localSheetId="28" hidden="1">'16.PM Annex'!$A$6:$Q$142</definedName>
    <definedName name="_xlnm._FilterDatabase" localSheetId="29" hidden="1">'16-A. PM sub Annex'!$A$3:$G$177</definedName>
    <definedName name="_xlnm._FilterDatabase" localSheetId="30" hidden="1">'17.IT Initiatives_SD'!$A$6:$R$17</definedName>
    <definedName name="_xlnm._FilterDatabase" localSheetId="31" hidden="1">'18.Innovation'!$A$6:$R$31</definedName>
    <definedName name="_xlnm._FilterDatabase" localSheetId="9" hidden="1" xml:space="preserve">                                                                                                          '2.SD Community Based Annex'!$A$6:$R$65</definedName>
    <definedName name="_xlnm._FilterDatabase" localSheetId="10" hidden="1">'3.Community Intervention Annexn'!$7:$56</definedName>
    <definedName name="_xlnm._FilterDatabase" localSheetId="11" hidden="1" xml:space="preserve">                                                '3-A. CI Sub-Annex'!$A$4:$S$132</definedName>
    <definedName name="_xlnm._FilterDatabase" localSheetId="12" hidden="1">'4.Untied grants Annex'!$A$6:$R$15</definedName>
    <definedName name="_xlnm._FilterDatabase" localSheetId="13" hidden="1">'5.Infrastructure Annex'!$A$6:$R$98</definedName>
    <definedName name="_xlnm._FilterDatabase" localSheetId="14" hidden="1">'6.Procurement Annex'!$A$6:$BA$87</definedName>
    <definedName name="_xlnm._FilterDatabase" localSheetId="15" hidden="1">'6-A. Proc. Sub-Annex'!$A$4:$BC$280</definedName>
    <definedName name="_xlnm._FilterDatabase" localSheetId="16" hidden="1">'7.Referral Transport Annex'!$A$6:$S$29</definedName>
    <definedName name="_xlnm._FilterDatabase" localSheetId="17" hidden="1">'8.Human Resources (SD) Annex'!$A$6:$S$175</definedName>
    <definedName name="_xlnm._FilterDatabase" localSheetId="18" hidden="1">'9.Training Annex'!$A$6:$BA$64</definedName>
    <definedName name="_xlnm._FilterDatabase" localSheetId="19" hidden="1" xml:space="preserve">                                                                                                          '9-A.Training Sub-Annex'!$A$4:$BD$283</definedName>
    <definedName name="_xlnm._FilterDatabase" localSheetId="34" hidden="1">'Ab1. RMNCH+A'!$A$5:$M$481</definedName>
    <definedName name="_xlnm._FilterDatabase" localSheetId="35" hidden="1">'Ab2. NIDDCP'!$A$5:$M$20</definedName>
    <definedName name="_xlnm._FilterDatabase" localSheetId="36" hidden="1">'Ab3. ASHA'!$A$5:$M$107</definedName>
    <definedName name="_xlnm._FilterDatabase" localSheetId="37" hidden="1">'Ab4. HMIS-MCTS'!$A$5:$M$28</definedName>
    <definedName name="_xlnm._FilterDatabase" localSheetId="43" hidden="1">'Abs10. NLEP'!$A$5:$M$47</definedName>
    <definedName name="_xlnm._FilterDatabase" localSheetId="44" hidden="1">'Abs11. NTEP'!$A$5:$M$63</definedName>
    <definedName name="_xlnm._FilterDatabase" localSheetId="45" hidden="1">'Abs12. NVHCP'!$A$5:$M$44</definedName>
    <definedName name="_xlnm._FilterDatabase" localSheetId="46" hidden="1">'Abs13. NRCP'!$A$5:$M$16</definedName>
    <definedName name="_xlnm._FilterDatabase" localSheetId="47" hidden="1">'Abs14. PPCL'!$A$5:$M$17</definedName>
    <definedName name="_xlnm._FilterDatabase" localSheetId="58" hidden="1">'Abs15. NPCB'!$A$5:$M$43</definedName>
    <definedName name="_xlnm._FilterDatabase" localSheetId="59" hidden="1">'Abs16. NMHP'!$A$5:$M$33</definedName>
    <definedName name="_xlnm._FilterDatabase" localSheetId="48" hidden="1">'Abs17. NPHCE'!$A$5:$M$33</definedName>
    <definedName name="_xlnm._FilterDatabase" localSheetId="49" hidden="1">'Abs18. NTCP'!$A$5:$M$35</definedName>
    <definedName name="_xlnm._FilterDatabase" localSheetId="50" hidden="1">'Abs19. NPCDCS'!$A$5:$M$73</definedName>
    <definedName name="_xlnm._FilterDatabase" localSheetId="51" hidden="1">'Abs20. PMNDP'!$A$5:$M$23</definedName>
    <definedName name="_xlnm._FilterDatabase" localSheetId="52" hidden="1">'Abs21. NPCCHH'!$A$5:$M$21</definedName>
    <definedName name="_xlnm._FilterDatabase" localSheetId="53" hidden="1">'Abs22. NPPCD'!$A$5:$M$21</definedName>
    <definedName name="_xlnm._FilterDatabase" localSheetId="54" hidden="1">'Abs23. NPPCF'!$A$5:$M$22</definedName>
    <definedName name="_xlnm._FilterDatabase" localSheetId="55" hidden="1">'Abs24. NOHP'!$A$5:$M$14</definedName>
    <definedName name="_xlnm._FilterDatabase" localSheetId="56" hidden="1">'Abs25. NPPC'!$A$5:$M$23</definedName>
    <definedName name="_xlnm._FilterDatabase" localSheetId="57" hidden="1">'Abs26. Burns &amp; Injury'!$A$5:$M$10</definedName>
    <definedName name="_xlnm._FilterDatabase" localSheetId="38" hidden="1">'Abs5. Blood services &amp; Disorder'!$A$5:$M$32</definedName>
    <definedName name="_xlnm._FilterDatabase" localSheetId="39" hidden="1">'Abs6. CPHC'!$A$5:$R$36</definedName>
    <definedName name="_xlnm._FilterDatabase" localSheetId="40" hidden="1">'Abs7. AYUSH'!$A$5:$M$13</definedName>
    <definedName name="_xlnm._FilterDatabase" localSheetId="41" hidden="1">'Abs8. IDSP'!$A$5:$M$35</definedName>
    <definedName name="_xlnm._FilterDatabase" localSheetId="42" hidden="1">'Abs9. NVBDCP'!$A$5:$M$134</definedName>
    <definedName name="_xlnm._FilterDatabase" localSheetId="5" hidden="1">'Budget Summary I'!$A$5:$AN$52</definedName>
    <definedName name="_xlnm._FilterDatabase" localSheetId="6" hidden="1">'Budget Summary II'!$A$4:$M$59</definedName>
    <definedName name="_xlnm._FilterDatabase" localSheetId="60" hidden="1">'Capex Expenditure'!$A$4:$R$291</definedName>
    <definedName name="_xlnm._FilterDatabase" localSheetId="33" hidden="1">'NUHM Metro Abst'!$A$6:$Q$281</definedName>
    <definedName name="_xlnm._FilterDatabase" localSheetId="7" hidden="1">'NUHM Summary'!$A$6:$M$274</definedName>
    <definedName name="_xlnm._FilterDatabase" localSheetId="32" hidden="1">'NUHM-Non Metro Abst'!$A$6:$Q$274</definedName>
    <definedName name="_Key1" localSheetId="8" hidden="1">#REF!</definedName>
    <definedName name="_Key1" localSheetId="22" hidden="1">#REF!</definedName>
    <definedName name="_Key1" localSheetId="24" hidden="1">#REF!</definedName>
    <definedName name="_Key1" localSheetId="15" hidden="1">#REF!</definedName>
    <definedName name="_Key1" localSheetId="34" hidden="1">#REF!</definedName>
    <definedName name="_Key1" localSheetId="42" hidden="1">#REF!</definedName>
    <definedName name="_Key1" hidden="1">#REF!</definedName>
    <definedName name="_Sort" localSheetId="8" hidden="1">#REF!</definedName>
    <definedName name="_Sort" localSheetId="22" hidden="1">#REF!</definedName>
    <definedName name="_Sort" localSheetId="24" hidden="1">#REF!</definedName>
    <definedName name="_Sort" localSheetId="15" hidden="1">#REF!</definedName>
    <definedName name="_Sort" localSheetId="34" hidden="1">#REF!</definedName>
    <definedName name="_Sort" localSheetId="42" hidden="1">#REF!</definedName>
    <definedName name="_Sort" hidden="1">#REF!</definedName>
    <definedName name="_Toc22639849" localSheetId="0">Index!$G$31</definedName>
    <definedName name="_Toc22639861" localSheetId="0">Index!$G$24</definedName>
    <definedName name="_Toc22639862" localSheetId="0">Index!$G$25</definedName>
    <definedName name="A96\">'6-A. Proc. Sub-Annex'!$3:$4</definedName>
    <definedName name="data" localSheetId="8">#REF!</definedName>
    <definedName name="data" localSheetId="22">#REF!</definedName>
    <definedName name="data" localSheetId="24">#REF!</definedName>
    <definedName name="data" localSheetId="15">#REF!</definedName>
    <definedName name="data" localSheetId="34">#REF!</definedName>
    <definedName name="data" localSheetId="42">#REF!</definedName>
    <definedName name="data">#REF!</definedName>
    <definedName name="_xlnm.Database" localSheetId="8">#REF!</definedName>
    <definedName name="_xlnm.Database" localSheetId="22">#REF!</definedName>
    <definedName name="_xlnm.Database" localSheetId="24">#REF!</definedName>
    <definedName name="_xlnm.Database" localSheetId="15">#REF!</definedName>
    <definedName name="_xlnm.Database" localSheetId="34">#REF!</definedName>
    <definedName name="_xlnm.Database" localSheetId="42">#REF!</definedName>
    <definedName name="_xlnm.Database">#REF!</definedName>
    <definedName name="_xlnm.Print_Area" localSheetId="29">'16-A. PM sub Annex'!$A$1:$R$177</definedName>
    <definedName name="_xlnm.Print_Area" localSheetId="6">'Budget Summary II'!$A$1:$M$59</definedName>
    <definedName name="_xlnm.Print_Titles" localSheetId="8">'1.SD Facility Based Annex'!$5:$6</definedName>
    <definedName name="_xlnm.Print_Titles" localSheetId="20">'10.Review Research &amp; Surveillen'!$5:$6</definedName>
    <definedName name="_xlnm.Print_Titles" localSheetId="21">'11.IEC-BCC Annex'!$5:$6</definedName>
    <definedName name="_xlnm.Print_Titles" localSheetId="22">'11-A. IEC Sub-Annex'!$3:$4</definedName>
    <definedName name="_xlnm.Print_Titles" localSheetId="23">'12.Printing Annex'!$5:$6</definedName>
    <definedName name="_xlnm.Print_Titles" localSheetId="24">'12-A. Print Sub-Annex'!$3:$4</definedName>
    <definedName name="_xlnm.Print_Titles" localSheetId="25">'13.Quality Assurance Annex'!$5:$6</definedName>
    <definedName name="_xlnm.Print_Titles" localSheetId="26">'14.Drug warehouse &amp;Logistic Anx'!$5:$6</definedName>
    <definedName name="_xlnm.Print_Titles" localSheetId="27">'15.PPP Annex'!$5:$6</definedName>
    <definedName name="_xlnm.Print_Titles" localSheetId="28">'16.PM Annex'!$5:$6</definedName>
    <definedName name="_xlnm.Print_Titles" localSheetId="29">'16-A. PM sub Annex'!$3:$4</definedName>
    <definedName name="_xlnm.Print_Titles" localSheetId="30">'17.IT Initiatives_SD'!$5:$6</definedName>
    <definedName name="_xlnm.Print_Titles" localSheetId="31">'18.Innovation'!$5:$6</definedName>
    <definedName name="_xlnm.Print_Titles" localSheetId="9">'2.SD Community Based Annex'!$5:$6</definedName>
    <definedName name="_xlnm.Print_Titles" localSheetId="10">'3.Community Intervention Annexn'!$5:$6</definedName>
    <definedName name="_xlnm.Print_Titles" localSheetId="11">'3-A. CI Sub-Annex'!$3:$4</definedName>
    <definedName name="_xlnm.Print_Titles" localSheetId="12">'4.Untied grants Annex'!$5:$6</definedName>
    <definedName name="_xlnm.Print_Titles" localSheetId="13">'5.Infrastructure Annex'!$5:$6</definedName>
    <definedName name="_xlnm.Print_Titles" localSheetId="14">'6.Procurement Annex'!$5:$6</definedName>
    <definedName name="_xlnm.Print_Titles" localSheetId="15">'6-A. Proc. Sub-Annex'!$3:$4</definedName>
    <definedName name="_xlnm.Print_Titles" localSheetId="16">'7.Referral Transport Annex'!$5:$6</definedName>
    <definedName name="_xlnm.Print_Titles" localSheetId="17">'8.Human Resources (SD) Annex'!$5:$6</definedName>
    <definedName name="_xlnm.Print_Titles" localSheetId="18">'9.Training Annex'!$5:$6</definedName>
    <definedName name="_xlnm.Print_Titles" localSheetId="19">'9-A.Training Sub-Annex'!$3:$4</definedName>
    <definedName name="_xlnm.Print_Titles" localSheetId="34">'Ab1. RMNCH+A'!$4:$5</definedName>
    <definedName name="_xlnm.Print_Titles" localSheetId="45">'Abs12. NVHCP'!$4:$5</definedName>
    <definedName name="_xlnm.Print_Titles" localSheetId="32">'NUHM-Non Metro Abst'!$2:$6</definedName>
  </definedNames>
  <calcPr calcId="12451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53" i="6"/>
  <c r="K149"/>
  <c r="K137" s="1"/>
  <c r="K131"/>
  <c r="K108"/>
  <c r="K105"/>
  <c r="K99"/>
  <c r="K94"/>
  <c r="K87"/>
  <c r="K80"/>
  <c r="K67"/>
  <c r="K61"/>
  <c r="K60" s="1"/>
  <c r="K56"/>
  <c r="K53"/>
  <c r="K48"/>
  <c r="K45" s="1"/>
  <c r="K34"/>
  <c r="K27"/>
  <c r="K17"/>
  <c r="M58" i="7"/>
  <c r="L19" i="9" l="1"/>
  <c r="M53" i="7" l="1"/>
  <c r="M11"/>
  <c r="M58" i="15" l="1"/>
  <c r="L50" i="4"/>
  <c r="L49"/>
  <c r="M175" i="6" l="1"/>
  <c r="N10"/>
  <c r="P10" s="1"/>
  <c r="L60" i="4" l="1"/>
  <c r="L47"/>
  <c r="M19" i="7" l="1"/>
  <c r="L18" i="10" l="1"/>
  <c r="L15" i="60" l="1"/>
  <c r="I9" i="8" l="1"/>
  <c r="J52" i="7"/>
  <c r="J47"/>
  <c r="J27"/>
  <c r="I165" i="6"/>
  <c r="I164"/>
  <c r="H164"/>
  <c r="J148" i="15"/>
  <c r="J147"/>
  <c r="J8"/>
  <c r="M121" i="3"/>
  <c r="J8"/>
  <c r="I8"/>
  <c r="I36" i="2"/>
  <c r="H36"/>
  <c r="I65" i="16"/>
  <c r="H65"/>
  <c r="I64"/>
  <c r="H64"/>
  <c r="I63"/>
  <c r="H63"/>
  <c r="I61"/>
  <c r="H61"/>
  <c r="I11"/>
  <c r="H11"/>
  <c r="N73" i="49" l="1"/>
  <c r="P74"/>
  <c r="N23"/>
  <c r="M57" i="7"/>
  <c r="M10" i="3" l="1"/>
  <c r="M9"/>
  <c r="N69" i="49" l="1"/>
  <c r="L30" i="11" l="1"/>
  <c r="L29"/>
  <c r="L27"/>
  <c r="O278" i="15"/>
  <c r="J108" i="3" l="1"/>
  <c r="J107"/>
  <c r="P35" i="49" l="1"/>
  <c r="N22" i="10"/>
  <c r="N21"/>
  <c r="O185" i="15"/>
  <c r="N174" i="6" l="1"/>
  <c r="S50" i="12"/>
  <c r="AK3" i="16"/>
  <c r="L268" i="66"/>
  <c r="L269"/>
  <c r="L124"/>
  <c r="L125"/>
  <c r="L123"/>
  <c r="L75"/>
  <c r="L76"/>
  <c r="L74"/>
  <c r="D118" i="30"/>
  <c r="E118"/>
  <c r="F118"/>
  <c r="G118"/>
  <c r="H118"/>
  <c r="I118"/>
  <c r="J118"/>
  <c r="K118"/>
  <c r="L118"/>
  <c r="N118"/>
  <c r="P118"/>
  <c r="C118"/>
  <c r="B118"/>
  <c r="A118"/>
  <c r="U63" i="49"/>
  <c r="S63"/>
  <c r="R9" i="43"/>
  <c r="L43" i="80"/>
  <c r="K43"/>
  <c r="R20" i="43" l="1"/>
  <c r="R17"/>
  <c r="R14"/>
  <c r="R6"/>
  <c r="O20"/>
  <c r="R19" i="71"/>
  <c r="R17"/>
  <c r="R15"/>
  <c r="R13"/>
  <c r="R10"/>
  <c r="R8"/>
  <c r="R6"/>
  <c r="S46" i="12" l="1"/>
  <c r="H17" i="69"/>
  <c r="H11"/>
  <c r="H10"/>
  <c r="H9"/>
  <c r="H8"/>
  <c r="H7"/>
  <c r="H6"/>
  <c r="R35" i="2" l="1"/>
  <c r="B33" i="68"/>
  <c r="C33"/>
  <c r="D33"/>
  <c r="E33"/>
  <c r="F33"/>
  <c r="G33"/>
  <c r="H33"/>
  <c r="I33"/>
  <c r="J33"/>
  <c r="K33"/>
  <c r="L33"/>
  <c r="N33"/>
  <c r="P33"/>
  <c r="A33"/>
  <c r="D100" i="38"/>
  <c r="E100"/>
  <c r="F100"/>
  <c r="G100"/>
  <c r="H100"/>
  <c r="I100"/>
  <c r="J100"/>
  <c r="K100"/>
  <c r="L100"/>
  <c r="N100"/>
  <c r="P100"/>
  <c r="C100"/>
  <c r="B98"/>
  <c r="C98"/>
  <c r="D98"/>
  <c r="E98"/>
  <c r="F98"/>
  <c r="G98"/>
  <c r="H98"/>
  <c r="I98"/>
  <c r="J98"/>
  <c r="K98"/>
  <c r="L98"/>
  <c r="N98"/>
  <c r="P98"/>
  <c r="B99"/>
  <c r="C99"/>
  <c r="D99"/>
  <c r="E99"/>
  <c r="F99"/>
  <c r="G99"/>
  <c r="H99"/>
  <c r="I99"/>
  <c r="J99"/>
  <c r="K99"/>
  <c r="L99"/>
  <c r="N99"/>
  <c r="P99"/>
  <c r="B100"/>
  <c r="C97"/>
  <c r="D97"/>
  <c r="E97"/>
  <c r="F97"/>
  <c r="G97"/>
  <c r="H97"/>
  <c r="I97"/>
  <c r="J97"/>
  <c r="K97"/>
  <c r="L97"/>
  <c r="N97"/>
  <c r="P97"/>
  <c r="B97"/>
  <c r="B94"/>
  <c r="C94"/>
  <c r="D94"/>
  <c r="E94"/>
  <c r="F94"/>
  <c r="G94"/>
  <c r="H94"/>
  <c r="I94"/>
  <c r="J94"/>
  <c r="K94"/>
  <c r="L94"/>
  <c r="N94"/>
  <c r="P94"/>
  <c r="B95"/>
  <c r="C95"/>
  <c r="D95"/>
  <c r="E95"/>
  <c r="F95"/>
  <c r="G95"/>
  <c r="H95"/>
  <c r="I95"/>
  <c r="J95"/>
  <c r="K95"/>
  <c r="L95"/>
  <c r="N95"/>
  <c r="P95"/>
  <c r="G93"/>
  <c r="H93"/>
  <c r="I93"/>
  <c r="J93"/>
  <c r="K93"/>
  <c r="L93"/>
  <c r="N93"/>
  <c r="P93"/>
  <c r="C93"/>
  <c r="D93"/>
  <c r="E93"/>
  <c r="F93"/>
  <c r="B93"/>
  <c r="L271" i="66" l="1"/>
  <c r="L272"/>
  <c r="L274"/>
  <c r="L266"/>
  <c r="L267"/>
  <c r="L249"/>
  <c r="L251"/>
  <c r="L252"/>
  <c r="L253"/>
  <c r="L254"/>
  <c r="L246"/>
  <c r="L243"/>
  <c r="L244"/>
  <c r="L226"/>
  <c r="L228"/>
  <c r="L229"/>
  <c r="L234"/>
  <c r="L236"/>
  <c r="L237"/>
  <c r="L238"/>
  <c r="L240"/>
  <c r="L205"/>
  <c r="L206"/>
  <c r="L208"/>
  <c r="L209"/>
  <c r="L212"/>
  <c r="L213"/>
  <c r="L214"/>
  <c r="L215"/>
  <c r="L217"/>
  <c r="L218"/>
  <c r="L219"/>
  <c r="L220"/>
  <c r="L221"/>
  <c r="L127"/>
  <c r="L128"/>
  <c r="L129"/>
  <c r="L131"/>
  <c r="L132"/>
  <c r="L133"/>
  <c r="L135"/>
  <c r="L136"/>
  <c r="L137"/>
  <c r="L139"/>
  <c r="L140"/>
  <c r="L141"/>
  <c r="L143"/>
  <c r="L144"/>
  <c r="L145"/>
  <c r="L146"/>
  <c r="L147"/>
  <c r="L148"/>
  <c r="L149"/>
  <c r="L151"/>
  <c r="L153"/>
  <c r="L154"/>
  <c r="L155"/>
  <c r="L156"/>
  <c r="L157"/>
  <c r="L158"/>
  <c r="L159"/>
  <c r="L160"/>
  <c r="L161"/>
  <c r="L163"/>
  <c r="L164"/>
  <c r="L165"/>
  <c r="L167"/>
  <c r="L168"/>
  <c r="L169"/>
  <c r="L170"/>
  <c r="L172"/>
  <c r="L173"/>
  <c r="L176"/>
  <c r="L177"/>
  <c r="L179"/>
  <c r="L180"/>
  <c r="L181"/>
  <c r="L182"/>
  <c r="L183"/>
  <c r="L184"/>
  <c r="L185"/>
  <c r="L186"/>
  <c r="L187"/>
  <c r="L188"/>
  <c r="L189"/>
  <c r="L190"/>
  <c r="L191"/>
  <c r="L192"/>
  <c r="L193"/>
  <c r="L194"/>
  <c r="L197"/>
  <c r="L198"/>
  <c r="L200"/>
  <c r="L201"/>
  <c r="L119"/>
  <c r="L116"/>
  <c r="L117"/>
  <c r="L113"/>
  <c r="L114"/>
  <c r="L109"/>
  <c r="L110"/>
  <c r="L111"/>
  <c r="L104"/>
  <c r="L105"/>
  <c r="L106"/>
  <c r="L107"/>
  <c r="L93"/>
  <c r="L94"/>
  <c r="L95"/>
  <c r="L96"/>
  <c r="L97"/>
  <c r="L98"/>
  <c r="L99"/>
  <c r="L100"/>
  <c r="L101"/>
  <c r="L102"/>
  <c r="L89"/>
  <c r="L90"/>
  <c r="L85"/>
  <c r="L86"/>
  <c r="L87"/>
  <c r="L79"/>
  <c r="L80"/>
  <c r="L81"/>
  <c r="L82"/>
  <c r="L83"/>
  <c r="L72"/>
  <c r="L73"/>
  <c r="L66"/>
  <c r="L67"/>
  <c r="L68"/>
  <c r="L69"/>
  <c r="L61"/>
  <c r="L62"/>
  <c r="L63"/>
  <c r="L58"/>
  <c r="L59"/>
  <c r="L54"/>
  <c r="L55"/>
  <c r="L56"/>
  <c r="L46"/>
  <c r="L47"/>
  <c r="L48"/>
  <c r="L49"/>
  <c r="L50"/>
  <c r="L43"/>
  <c r="L44"/>
  <c r="L40"/>
  <c r="L41"/>
  <c r="L35"/>
  <c r="L36"/>
  <c r="L37"/>
  <c r="L34"/>
  <c r="L32"/>
  <c r="L31"/>
  <c r="L29"/>
  <c r="L11"/>
  <c r="L12"/>
  <c r="L13"/>
  <c r="L14"/>
  <c r="L15"/>
  <c r="L16"/>
  <c r="L17"/>
  <c r="L18"/>
  <c r="L19"/>
  <c r="L20"/>
  <c r="L21"/>
  <c r="L22"/>
  <c r="L23"/>
  <c r="L24"/>
  <c r="L25"/>
  <c r="L26"/>
  <c r="L27"/>
  <c r="L28"/>
  <c r="L10"/>
  <c r="R11" i="5"/>
  <c r="S199" i="15"/>
  <c r="S198"/>
  <c r="Q13" i="66"/>
  <c r="P13"/>
  <c r="Q13" i="65"/>
  <c r="P13"/>
  <c r="L269"/>
  <c r="L268"/>
  <c r="L222"/>
  <c r="L170"/>
  <c r="L169"/>
  <c r="L74"/>
  <c r="L75"/>
  <c r="L76"/>
  <c r="P11"/>
  <c r="Q11"/>
  <c r="H5" i="69"/>
  <c r="F42" i="81"/>
  <c r="G42"/>
  <c r="H42"/>
  <c r="I42"/>
  <c r="J42"/>
  <c r="F43"/>
  <c r="G43"/>
  <c r="H43"/>
  <c r="I43"/>
  <c r="J43"/>
  <c r="G41"/>
  <c r="H41"/>
  <c r="I41"/>
  <c r="J41"/>
  <c r="F41"/>
  <c r="S111" i="3" l="1"/>
  <c r="R111"/>
  <c r="S110"/>
  <c r="R110"/>
  <c r="G36" i="27"/>
  <c r="H36"/>
  <c r="I36"/>
  <c r="J36"/>
  <c r="K36"/>
  <c r="L36"/>
  <c r="N36"/>
  <c r="P36"/>
  <c r="F36"/>
  <c r="Q112" i="38"/>
  <c r="B6" i="69"/>
  <c r="B5"/>
  <c r="D23" l="1"/>
  <c r="D18"/>
  <c r="D16"/>
  <c r="D13"/>
  <c r="D9"/>
  <c r="D5"/>
  <c r="L50" i="68"/>
  <c r="L53" i="20"/>
  <c r="L140" i="30"/>
  <c r="L40" i="40"/>
  <c r="L274" i="65"/>
  <c r="L272"/>
  <c r="L271"/>
  <c r="L267"/>
  <c r="L266"/>
  <c r="L264"/>
  <c r="L263"/>
  <c r="L261"/>
  <c r="L260"/>
  <c r="L259"/>
  <c r="L254"/>
  <c r="L253"/>
  <c r="L252"/>
  <c r="L251"/>
  <c r="L249"/>
  <c r="L248"/>
  <c r="L247"/>
  <c r="L246"/>
  <c r="L244"/>
  <c r="L243"/>
  <c r="L242"/>
  <c r="L241"/>
  <c r="L240"/>
  <c r="L238"/>
  <c r="L237"/>
  <c r="L236"/>
  <c r="L234"/>
  <c r="L229"/>
  <c r="L228"/>
  <c r="L226"/>
  <c r="L221"/>
  <c r="L220"/>
  <c r="L219"/>
  <c r="L218"/>
  <c r="L217"/>
  <c r="L215"/>
  <c r="L214"/>
  <c r="L213"/>
  <c r="L212"/>
  <c r="L209"/>
  <c r="L208"/>
  <c r="L206"/>
  <c r="L205"/>
  <c r="L201"/>
  <c r="L200"/>
  <c r="L198"/>
  <c r="L197"/>
  <c r="L194"/>
  <c r="L193"/>
  <c r="L192"/>
  <c r="L191"/>
  <c r="L190"/>
  <c r="L189"/>
  <c r="L188"/>
  <c r="L187"/>
  <c r="L186"/>
  <c r="L185"/>
  <c r="L184"/>
  <c r="L183"/>
  <c r="L182"/>
  <c r="L181"/>
  <c r="L180"/>
  <c r="L179"/>
  <c r="L177"/>
  <c r="L176"/>
  <c r="L173"/>
  <c r="L172"/>
  <c r="L168"/>
  <c r="L167"/>
  <c r="L165"/>
  <c r="L164"/>
  <c r="L163"/>
  <c r="L161"/>
  <c r="L160"/>
  <c r="L159"/>
  <c r="L158"/>
  <c r="L157"/>
  <c r="L156"/>
  <c r="L155"/>
  <c r="L154"/>
  <c r="L153"/>
  <c r="L151"/>
  <c r="L149"/>
  <c r="L148"/>
  <c r="L147"/>
  <c r="L146"/>
  <c r="L145"/>
  <c r="L144"/>
  <c r="L143"/>
  <c r="L141"/>
  <c r="L140"/>
  <c r="L139"/>
  <c r="L137"/>
  <c r="L136"/>
  <c r="L135"/>
  <c r="L133"/>
  <c r="L132"/>
  <c r="L131"/>
  <c r="L129"/>
  <c r="L128"/>
  <c r="L127"/>
  <c r="L125"/>
  <c r="L124"/>
  <c r="L123"/>
  <c r="L119"/>
  <c r="L117"/>
  <c r="L116"/>
  <c r="L114"/>
  <c r="L113"/>
  <c r="L111"/>
  <c r="L110"/>
  <c r="L109"/>
  <c r="L107"/>
  <c r="L106"/>
  <c r="L105"/>
  <c r="L104"/>
  <c r="L102"/>
  <c r="L101"/>
  <c r="L100"/>
  <c r="L99"/>
  <c r="L98"/>
  <c r="L97"/>
  <c r="L96"/>
  <c r="L95"/>
  <c r="L94"/>
  <c r="L93"/>
  <c r="L90"/>
  <c r="L89"/>
  <c r="L87"/>
  <c r="L86"/>
  <c r="L85"/>
  <c r="L83"/>
  <c r="L82"/>
  <c r="L81"/>
  <c r="L80"/>
  <c r="L79"/>
  <c r="L73"/>
  <c r="L72"/>
  <c r="L69"/>
  <c r="L68"/>
  <c r="L67"/>
  <c r="L66"/>
  <c r="L63"/>
  <c r="L62"/>
  <c r="L61"/>
  <c r="L59"/>
  <c r="L58"/>
  <c r="L56"/>
  <c r="L55"/>
  <c r="L54"/>
  <c r="L50"/>
  <c r="L49"/>
  <c r="L48"/>
  <c r="L47"/>
  <c r="L46"/>
  <c r="L44"/>
  <c r="L43"/>
  <c r="L41"/>
  <c r="L40"/>
  <c r="L37"/>
  <c r="L36"/>
  <c r="L35"/>
  <c r="L34"/>
  <c r="L32"/>
  <c r="L31"/>
  <c r="L11"/>
  <c r="M38" i="40" s="1"/>
  <c r="L12" i="65"/>
  <c r="L13"/>
  <c r="M51" i="20" s="1"/>
  <c r="L14" i="65"/>
  <c r="M67" i="41" s="1"/>
  <c r="L15" i="65"/>
  <c r="L16"/>
  <c r="L17"/>
  <c r="M21" i="75" s="1"/>
  <c r="L18" i="65"/>
  <c r="L19"/>
  <c r="L20"/>
  <c r="L21"/>
  <c r="L22"/>
  <c r="L23"/>
  <c r="L24"/>
  <c r="L25"/>
  <c r="L26"/>
  <c r="N26" s="1"/>
  <c r="L27"/>
  <c r="N27" s="1"/>
  <c r="L28"/>
  <c r="L29"/>
  <c r="N29" s="1"/>
  <c r="N28"/>
  <c r="L10"/>
  <c r="N29" i="66"/>
  <c r="N28"/>
  <c r="N27"/>
  <c r="N26"/>
  <c r="Q17"/>
  <c r="P17"/>
  <c r="Q17" i="65"/>
  <c r="P17"/>
  <c r="F21" i="75"/>
  <c r="G21"/>
  <c r="H21"/>
  <c r="I21"/>
  <c r="J21"/>
  <c r="K21"/>
  <c r="L21"/>
  <c r="N21"/>
  <c r="P21"/>
  <c r="F23"/>
  <c r="G23"/>
  <c r="H23"/>
  <c r="I23"/>
  <c r="J23"/>
  <c r="K23"/>
  <c r="L23"/>
  <c r="M23"/>
  <c r="N23"/>
  <c r="P23"/>
  <c r="E21"/>
  <c r="C21"/>
  <c r="B21"/>
  <c r="E23"/>
  <c r="C23"/>
  <c r="B23"/>
  <c r="A23"/>
  <c r="A21"/>
  <c r="Q16" i="66"/>
  <c r="P16"/>
  <c r="Q16" i="65"/>
  <c r="P16"/>
  <c r="F20" i="70"/>
  <c r="G20"/>
  <c r="H20"/>
  <c r="I20"/>
  <c r="J20"/>
  <c r="K20"/>
  <c r="L20"/>
  <c r="M20"/>
  <c r="N20"/>
  <c r="P20"/>
  <c r="F22"/>
  <c r="G22"/>
  <c r="H22"/>
  <c r="I22"/>
  <c r="J22"/>
  <c r="K22"/>
  <c r="L22"/>
  <c r="M22"/>
  <c r="N22"/>
  <c r="P22"/>
  <c r="E20"/>
  <c r="C20"/>
  <c r="B20"/>
  <c r="E22"/>
  <c r="C22"/>
  <c r="B22"/>
  <c r="A22"/>
  <c r="A20"/>
  <c r="Q15" i="66"/>
  <c r="P15"/>
  <c r="Q15" i="65"/>
  <c r="P15"/>
  <c r="F48" i="68"/>
  <c r="G48"/>
  <c r="H48"/>
  <c r="I48"/>
  <c r="J48"/>
  <c r="K48"/>
  <c r="L48"/>
  <c r="M48"/>
  <c r="N48"/>
  <c r="P48"/>
  <c r="F50"/>
  <c r="G50"/>
  <c r="H50"/>
  <c r="I50"/>
  <c r="J50"/>
  <c r="K50"/>
  <c r="M50"/>
  <c r="N50"/>
  <c r="P50"/>
  <c r="E50"/>
  <c r="E48"/>
  <c r="C50"/>
  <c r="B50"/>
  <c r="C48"/>
  <c r="B48"/>
  <c r="A50"/>
  <c r="A48"/>
  <c r="Q18" i="66"/>
  <c r="Q18" i="65"/>
  <c r="Q14" i="66"/>
  <c r="P14"/>
  <c r="Q14" i="65"/>
  <c r="P14"/>
  <c r="F69" i="41"/>
  <c r="G69"/>
  <c r="H69"/>
  <c r="I69"/>
  <c r="J69"/>
  <c r="K69"/>
  <c r="L69"/>
  <c r="M69"/>
  <c r="N69"/>
  <c r="P69"/>
  <c r="F67"/>
  <c r="G67"/>
  <c r="H67"/>
  <c r="I67"/>
  <c r="J67"/>
  <c r="K67"/>
  <c r="L67"/>
  <c r="N67"/>
  <c r="P67"/>
  <c r="E67"/>
  <c r="E69"/>
  <c r="C69"/>
  <c r="B69"/>
  <c r="C67"/>
  <c r="B67"/>
  <c r="A69"/>
  <c r="A67"/>
  <c r="B51" i="20"/>
  <c r="A51"/>
  <c r="B53"/>
  <c r="A53"/>
  <c r="C53"/>
  <c r="C51"/>
  <c r="F51"/>
  <c r="G51"/>
  <c r="H51"/>
  <c r="I51"/>
  <c r="J51"/>
  <c r="K51"/>
  <c r="L51"/>
  <c r="N51"/>
  <c r="P51"/>
  <c r="F53"/>
  <c r="G53"/>
  <c r="H53"/>
  <c r="I53"/>
  <c r="J53"/>
  <c r="K53"/>
  <c r="M53"/>
  <c r="N53"/>
  <c r="P53"/>
  <c r="E53"/>
  <c r="E51"/>
  <c r="Q12" i="66"/>
  <c r="P12"/>
  <c r="Q12" i="65"/>
  <c r="P12"/>
  <c r="P140" i="30"/>
  <c r="N140"/>
  <c r="M140"/>
  <c r="K140"/>
  <c r="J140"/>
  <c r="I140"/>
  <c r="H140"/>
  <c r="G140"/>
  <c r="F140"/>
  <c r="E140"/>
  <c r="C140"/>
  <c r="A140"/>
  <c r="P138"/>
  <c r="N138"/>
  <c r="M138"/>
  <c r="L138"/>
  <c r="K138"/>
  <c r="J138"/>
  <c r="I138"/>
  <c r="H138"/>
  <c r="G138"/>
  <c r="F138"/>
  <c r="E138"/>
  <c r="C138"/>
  <c r="A138"/>
  <c r="Q11" i="66"/>
  <c r="P11"/>
  <c r="F40" i="40"/>
  <c r="G40"/>
  <c r="H40"/>
  <c r="I40"/>
  <c r="J40"/>
  <c r="K40"/>
  <c r="M40"/>
  <c r="N40"/>
  <c r="P40"/>
  <c r="E40"/>
  <c r="B40"/>
  <c r="C40"/>
  <c r="A40"/>
  <c r="B38"/>
  <c r="C38"/>
  <c r="E38"/>
  <c r="F38"/>
  <c r="G38"/>
  <c r="H38"/>
  <c r="I38"/>
  <c r="J38"/>
  <c r="K38"/>
  <c r="L38"/>
  <c r="N38"/>
  <c r="P38"/>
  <c r="A38"/>
  <c r="Q15" i="58"/>
  <c r="R15"/>
  <c r="Q13"/>
  <c r="R13"/>
  <c r="L142" i="47"/>
  <c r="N142" s="1"/>
  <c r="R46" i="11"/>
  <c r="Q46"/>
  <c r="R17"/>
  <c r="S108" i="13"/>
  <c r="R108"/>
  <c r="C21" i="26"/>
  <c r="D21"/>
  <c r="E21"/>
  <c r="F21"/>
  <c r="G21"/>
  <c r="H21"/>
  <c r="I21"/>
  <c r="J21"/>
  <c r="K21"/>
  <c r="L21"/>
  <c r="N21"/>
  <c r="P21"/>
  <c r="B21"/>
  <c r="A21"/>
  <c r="C20"/>
  <c r="A20"/>
  <c r="R20"/>
  <c r="S90" i="13"/>
  <c r="R90"/>
  <c r="A14" i="75"/>
  <c r="R13"/>
  <c r="D14"/>
  <c r="E14"/>
  <c r="F14"/>
  <c r="G14"/>
  <c r="H14"/>
  <c r="I14"/>
  <c r="J14"/>
  <c r="K14"/>
  <c r="L14"/>
  <c r="M14"/>
  <c r="N14"/>
  <c r="P14"/>
  <c r="C14"/>
  <c r="C13"/>
  <c r="A13"/>
  <c r="S88" i="13"/>
  <c r="R88"/>
  <c r="R27" i="40"/>
  <c r="C28"/>
  <c r="D28"/>
  <c r="E28"/>
  <c r="F28"/>
  <c r="G28"/>
  <c r="H28"/>
  <c r="I28"/>
  <c r="J28"/>
  <c r="K28"/>
  <c r="L28"/>
  <c r="N28"/>
  <c r="P28"/>
  <c r="B28"/>
  <c r="C27"/>
  <c r="A27"/>
  <c r="A28"/>
  <c r="Q28" i="8"/>
  <c r="R28"/>
  <c r="R27"/>
  <c r="Q27"/>
  <c r="R20"/>
  <c r="R19"/>
  <c r="R28" i="5"/>
  <c r="Q14" i="47"/>
  <c r="Q15"/>
  <c r="Q16"/>
  <c r="P15"/>
  <c r="P16"/>
  <c r="P14"/>
  <c r="G391" i="38"/>
  <c r="H391"/>
  <c r="I391"/>
  <c r="J391"/>
  <c r="K391"/>
  <c r="L391"/>
  <c r="N391"/>
  <c r="P391"/>
  <c r="G392"/>
  <c r="H392"/>
  <c r="I392"/>
  <c r="J392"/>
  <c r="K392"/>
  <c r="L392"/>
  <c r="N392"/>
  <c r="P392"/>
  <c r="G393"/>
  <c r="H393"/>
  <c r="I393"/>
  <c r="J393"/>
  <c r="K393"/>
  <c r="L393"/>
  <c r="N393"/>
  <c r="P393"/>
  <c r="F392"/>
  <c r="F393"/>
  <c r="F391"/>
  <c r="B391"/>
  <c r="C391"/>
  <c r="B392"/>
  <c r="C392"/>
  <c r="B393"/>
  <c r="C393"/>
  <c r="A392"/>
  <c r="A393"/>
  <c r="A391"/>
  <c r="C390"/>
  <c r="A390"/>
  <c r="R390"/>
  <c r="P291" i="72" l="1"/>
  <c r="O291"/>
  <c r="N291"/>
  <c r="M291"/>
  <c r="L291"/>
  <c r="K291"/>
  <c r="J291"/>
  <c r="I291"/>
  <c r="H291"/>
  <c r="G291"/>
  <c r="F291"/>
  <c r="E291"/>
  <c r="D291"/>
  <c r="C291"/>
  <c r="B291"/>
  <c r="A291"/>
  <c r="P290"/>
  <c r="O290"/>
  <c r="N290"/>
  <c r="L290"/>
  <c r="K290"/>
  <c r="J290"/>
  <c r="I290"/>
  <c r="H290"/>
  <c r="G290"/>
  <c r="F290"/>
  <c r="E290"/>
  <c r="D290"/>
  <c r="C290"/>
  <c r="B290"/>
  <c r="A290"/>
  <c r="P289"/>
  <c r="O289"/>
  <c r="N289"/>
  <c r="M289"/>
  <c r="L289"/>
  <c r="K289"/>
  <c r="J289"/>
  <c r="I289"/>
  <c r="H289"/>
  <c r="G289"/>
  <c r="F289"/>
  <c r="E289"/>
  <c r="D289"/>
  <c r="C289"/>
  <c r="B289"/>
  <c r="A289"/>
  <c r="P288"/>
  <c r="M288"/>
  <c r="H288"/>
  <c r="G288"/>
  <c r="F288"/>
  <c r="C288"/>
  <c r="B288"/>
  <c r="A288"/>
  <c r="P287"/>
  <c r="O287"/>
  <c r="N287"/>
  <c r="L287"/>
  <c r="K287"/>
  <c r="J287"/>
  <c r="I287"/>
  <c r="H287"/>
  <c r="G287"/>
  <c r="F287"/>
  <c r="E287"/>
  <c r="D287"/>
  <c r="C287"/>
  <c r="B287"/>
  <c r="A287"/>
  <c r="P286"/>
  <c r="H286"/>
  <c r="G286"/>
  <c r="F286"/>
  <c r="C286"/>
  <c r="B286"/>
  <c r="A286"/>
  <c r="P285"/>
  <c r="O285"/>
  <c r="N285"/>
  <c r="L285"/>
  <c r="K285"/>
  <c r="J285"/>
  <c r="I285"/>
  <c r="H285"/>
  <c r="G285"/>
  <c r="F285"/>
  <c r="E285"/>
  <c r="D285"/>
  <c r="C285"/>
  <c r="B285"/>
  <c r="A285"/>
  <c r="P284"/>
  <c r="O284"/>
  <c r="N284"/>
  <c r="L284"/>
  <c r="K284"/>
  <c r="J284"/>
  <c r="I284"/>
  <c r="H284"/>
  <c r="G284"/>
  <c r="F284"/>
  <c r="E284"/>
  <c r="D284"/>
  <c r="C284"/>
  <c r="B284"/>
  <c r="A284"/>
  <c r="P283"/>
  <c r="O283"/>
  <c r="N283"/>
  <c r="L283"/>
  <c r="K283"/>
  <c r="J283"/>
  <c r="I283"/>
  <c r="H283"/>
  <c r="G283"/>
  <c r="F283"/>
  <c r="E283"/>
  <c r="D283"/>
  <c r="C283"/>
  <c r="B283"/>
  <c r="A283"/>
  <c r="P282"/>
  <c r="O282"/>
  <c r="N282"/>
  <c r="M282"/>
  <c r="L282"/>
  <c r="K282"/>
  <c r="J282"/>
  <c r="I282"/>
  <c r="H282"/>
  <c r="G282"/>
  <c r="F282"/>
  <c r="E282"/>
  <c r="D282"/>
  <c r="C282"/>
  <c r="B282"/>
  <c r="A282"/>
  <c r="P281"/>
  <c r="H281"/>
  <c r="G281"/>
  <c r="F281"/>
  <c r="C281"/>
  <c r="B281"/>
  <c r="A281"/>
  <c r="P280"/>
  <c r="H280"/>
  <c r="G280"/>
  <c r="F280"/>
  <c r="C280"/>
  <c r="B280"/>
  <c r="A280"/>
  <c r="P279"/>
  <c r="O279"/>
  <c r="N279"/>
  <c r="L279"/>
  <c r="K279"/>
  <c r="J279"/>
  <c r="I279"/>
  <c r="H279"/>
  <c r="G279"/>
  <c r="F279"/>
  <c r="E279"/>
  <c r="D279"/>
  <c r="C279"/>
  <c r="B279"/>
  <c r="A279"/>
  <c r="P278"/>
  <c r="O278"/>
  <c r="N278"/>
  <c r="L278"/>
  <c r="K278"/>
  <c r="J278"/>
  <c r="I278"/>
  <c r="H278"/>
  <c r="G278"/>
  <c r="F278"/>
  <c r="E278"/>
  <c r="D278"/>
  <c r="C278"/>
  <c r="B278"/>
  <c r="A278"/>
  <c r="P277"/>
  <c r="H277"/>
  <c r="G277"/>
  <c r="F277"/>
  <c r="C277"/>
  <c r="B277"/>
  <c r="A277"/>
  <c r="P276"/>
  <c r="O276"/>
  <c r="N276"/>
  <c r="L276"/>
  <c r="K276"/>
  <c r="J276"/>
  <c r="I276"/>
  <c r="H276"/>
  <c r="G276"/>
  <c r="F276"/>
  <c r="E276"/>
  <c r="D276"/>
  <c r="C276"/>
  <c r="B276"/>
  <c r="A276"/>
  <c r="P275"/>
  <c r="O275"/>
  <c r="N275"/>
  <c r="L275"/>
  <c r="K275"/>
  <c r="J275"/>
  <c r="I275"/>
  <c r="H275"/>
  <c r="G275"/>
  <c r="F275"/>
  <c r="E275"/>
  <c r="D275"/>
  <c r="C275"/>
  <c r="B275"/>
  <c r="A275"/>
  <c r="P274"/>
  <c r="O274"/>
  <c r="N274"/>
  <c r="L274"/>
  <c r="K274"/>
  <c r="J274"/>
  <c r="I274"/>
  <c r="H274"/>
  <c r="G274"/>
  <c r="F274"/>
  <c r="E274"/>
  <c r="D274"/>
  <c r="C274"/>
  <c r="B274"/>
  <c r="A274"/>
  <c r="P273"/>
  <c r="H273"/>
  <c r="G273"/>
  <c r="F273"/>
  <c r="C273"/>
  <c r="B273"/>
  <c r="A273"/>
  <c r="P272"/>
  <c r="O272"/>
  <c r="N272"/>
  <c r="L272"/>
  <c r="K272"/>
  <c r="J272"/>
  <c r="I272"/>
  <c r="H272"/>
  <c r="G272"/>
  <c r="F272"/>
  <c r="E272"/>
  <c r="D272"/>
  <c r="C272"/>
  <c r="B272"/>
  <c r="A272"/>
  <c r="P271"/>
  <c r="O271"/>
  <c r="N271"/>
  <c r="L271"/>
  <c r="K271"/>
  <c r="J271"/>
  <c r="I271"/>
  <c r="H271"/>
  <c r="G271"/>
  <c r="F271"/>
  <c r="E271"/>
  <c r="D271"/>
  <c r="C271"/>
  <c r="B271"/>
  <c r="A271"/>
  <c r="P270"/>
  <c r="L270"/>
  <c r="K270"/>
  <c r="J270"/>
  <c r="I270"/>
  <c r="H270"/>
  <c r="G270"/>
  <c r="F270"/>
  <c r="E270"/>
  <c r="D270"/>
  <c r="C270"/>
  <c r="B270"/>
  <c r="A270"/>
  <c r="P269"/>
  <c r="O269"/>
  <c r="N269"/>
  <c r="L269"/>
  <c r="K269"/>
  <c r="J269"/>
  <c r="I269"/>
  <c r="H269"/>
  <c r="G269"/>
  <c r="F269"/>
  <c r="E269"/>
  <c r="D269"/>
  <c r="C269"/>
  <c r="B269"/>
  <c r="A269"/>
  <c r="P268"/>
  <c r="O268"/>
  <c r="N268"/>
  <c r="L268"/>
  <c r="K268"/>
  <c r="J268"/>
  <c r="I268"/>
  <c r="H268"/>
  <c r="G268"/>
  <c r="F268"/>
  <c r="E268"/>
  <c r="D268"/>
  <c r="C268"/>
  <c r="B268"/>
  <c r="A268"/>
  <c r="P267"/>
  <c r="O267"/>
  <c r="N267"/>
  <c r="L267"/>
  <c r="K267"/>
  <c r="J267"/>
  <c r="I267"/>
  <c r="H267"/>
  <c r="G267"/>
  <c r="F267"/>
  <c r="E267"/>
  <c r="D267"/>
  <c r="C267"/>
  <c r="B267"/>
  <c r="A267"/>
  <c r="P266"/>
  <c r="H266"/>
  <c r="G266"/>
  <c r="F266"/>
  <c r="C266"/>
  <c r="B266"/>
  <c r="A266"/>
  <c r="P265"/>
  <c r="H265"/>
  <c r="G265"/>
  <c r="F265"/>
  <c r="C265"/>
  <c r="B265"/>
  <c r="A265"/>
  <c r="P264"/>
  <c r="H264"/>
  <c r="G264"/>
  <c r="F264"/>
  <c r="C264"/>
  <c r="P263"/>
  <c r="P262" s="1"/>
  <c r="P261" s="1"/>
  <c r="P260" s="1"/>
  <c r="O263"/>
  <c r="N263"/>
  <c r="L263"/>
  <c r="K263"/>
  <c r="J263"/>
  <c r="I263"/>
  <c r="H263"/>
  <c r="G263"/>
  <c r="F263"/>
  <c r="F262" s="1"/>
  <c r="F261" s="1"/>
  <c r="F260" s="1"/>
  <c r="E263"/>
  <c r="D263"/>
  <c r="C263"/>
  <c r="B263"/>
  <c r="A263"/>
  <c r="H262"/>
  <c r="H261" s="1"/>
  <c r="H260" s="1"/>
  <c r="G262"/>
  <c r="G261" s="1"/>
  <c r="G260" s="1"/>
  <c r="C262"/>
  <c r="B262"/>
  <c r="A262"/>
  <c r="C261"/>
  <c r="B261"/>
  <c r="A261"/>
  <c r="C260"/>
  <c r="B260"/>
  <c r="A260"/>
  <c r="P259"/>
  <c r="O259"/>
  <c r="N259"/>
  <c r="M259"/>
  <c r="L259"/>
  <c r="J259"/>
  <c r="I259"/>
  <c r="H259"/>
  <c r="G259"/>
  <c r="F259"/>
  <c r="E259"/>
  <c r="D259"/>
  <c r="C259"/>
  <c r="B259"/>
  <c r="A259"/>
  <c r="P258"/>
  <c r="O258"/>
  <c r="L258"/>
  <c r="K258"/>
  <c r="J258"/>
  <c r="I258"/>
  <c r="H258"/>
  <c r="G258"/>
  <c r="F258"/>
  <c r="E258"/>
  <c r="D258"/>
  <c r="C258"/>
  <c r="B258"/>
  <c r="A258"/>
  <c r="O257"/>
  <c r="N257"/>
  <c r="L257"/>
  <c r="K257"/>
  <c r="J257"/>
  <c r="I257"/>
  <c r="H257"/>
  <c r="G257"/>
  <c r="F257"/>
  <c r="E257"/>
  <c r="D257"/>
  <c r="C257"/>
  <c r="B257"/>
  <c r="A257"/>
  <c r="P256"/>
  <c r="O256"/>
  <c r="N256"/>
  <c r="L256"/>
  <c r="K256"/>
  <c r="J256"/>
  <c r="I256"/>
  <c r="H256"/>
  <c r="H253" s="1"/>
  <c r="H252" s="1"/>
  <c r="G256"/>
  <c r="F256"/>
  <c r="E256"/>
  <c r="D256"/>
  <c r="C256"/>
  <c r="B256"/>
  <c r="A256"/>
  <c r="P255"/>
  <c r="O255"/>
  <c r="N255"/>
  <c r="L255"/>
  <c r="K255"/>
  <c r="J255"/>
  <c r="I255"/>
  <c r="H255"/>
  <c r="G255"/>
  <c r="G253" s="1"/>
  <c r="G252" s="1"/>
  <c r="F255"/>
  <c r="E255"/>
  <c r="D255"/>
  <c r="D253" s="1"/>
  <c r="C255"/>
  <c r="B255"/>
  <c r="A255"/>
  <c r="O254"/>
  <c r="N254"/>
  <c r="L254"/>
  <c r="K254"/>
  <c r="J254"/>
  <c r="J253" s="1"/>
  <c r="I254"/>
  <c r="H254"/>
  <c r="G254"/>
  <c r="F254"/>
  <c r="F253" s="1"/>
  <c r="E254"/>
  <c r="D254"/>
  <c r="C254"/>
  <c r="B254"/>
  <c r="A254"/>
  <c r="O253"/>
  <c r="C253"/>
  <c r="B253"/>
  <c r="A253"/>
  <c r="C252"/>
  <c r="B252"/>
  <c r="A252"/>
  <c r="P251"/>
  <c r="O251"/>
  <c r="N251"/>
  <c r="L251"/>
  <c r="K251"/>
  <c r="J251"/>
  <c r="I251"/>
  <c r="H251"/>
  <c r="H249" s="1"/>
  <c r="G251"/>
  <c r="F251"/>
  <c r="F249" s="1"/>
  <c r="E251"/>
  <c r="D251"/>
  <c r="C251"/>
  <c r="B251"/>
  <c r="A251"/>
  <c r="P250"/>
  <c r="P249" s="1"/>
  <c r="O250"/>
  <c r="N250"/>
  <c r="L250"/>
  <c r="K250"/>
  <c r="J250"/>
  <c r="I250"/>
  <c r="H250"/>
  <c r="G250"/>
  <c r="G249" s="1"/>
  <c r="F250"/>
  <c r="E250"/>
  <c r="D250"/>
  <c r="C250"/>
  <c r="B250"/>
  <c r="A250"/>
  <c r="C249"/>
  <c r="B249"/>
  <c r="A249"/>
  <c r="P248"/>
  <c r="O248"/>
  <c r="N248"/>
  <c r="L248"/>
  <c r="K248"/>
  <c r="J248"/>
  <c r="I248"/>
  <c r="H248"/>
  <c r="G248"/>
  <c r="F248"/>
  <c r="E248"/>
  <c r="D248"/>
  <c r="C248"/>
  <c r="B248"/>
  <c r="A248"/>
  <c r="P247"/>
  <c r="O247"/>
  <c r="N247"/>
  <c r="L247"/>
  <c r="K247"/>
  <c r="J247"/>
  <c r="I247"/>
  <c r="H247"/>
  <c r="G247"/>
  <c r="F247"/>
  <c r="E247"/>
  <c r="D247"/>
  <c r="C247"/>
  <c r="B247"/>
  <c r="A247"/>
  <c r="P246"/>
  <c r="O246"/>
  <c r="N246"/>
  <c r="L246"/>
  <c r="K246"/>
  <c r="J246"/>
  <c r="I246"/>
  <c r="H246"/>
  <c r="G246"/>
  <c r="F246"/>
  <c r="F245" s="1"/>
  <c r="E246"/>
  <c r="D246"/>
  <c r="C246"/>
  <c r="B246"/>
  <c r="A246"/>
  <c r="H245"/>
  <c r="C245"/>
  <c r="B245"/>
  <c r="A245"/>
  <c r="P244"/>
  <c r="O244"/>
  <c r="N244"/>
  <c r="M244"/>
  <c r="L244"/>
  <c r="J244"/>
  <c r="I244"/>
  <c r="H244"/>
  <c r="G244"/>
  <c r="F244"/>
  <c r="E244"/>
  <c r="D244"/>
  <c r="C244"/>
  <c r="B244"/>
  <c r="A244"/>
  <c r="P243"/>
  <c r="O243"/>
  <c r="N243"/>
  <c r="M243"/>
  <c r="L243"/>
  <c r="J243"/>
  <c r="I243"/>
  <c r="H243"/>
  <c r="G243"/>
  <c r="F243"/>
  <c r="E243"/>
  <c r="D243"/>
  <c r="C243"/>
  <c r="B243"/>
  <c r="A243"/>
  <c r="P242"/>
  <c r="O242"/>
  <c r="N242"/>
  <c r="M242"/>
  <c r="L242"/>
  <c r="J242"/>
  <c r="I242"/>
  <c r="H242"/>
  <c r="G242"/>
  <c r="F242"/>
  <c r="E242"/>
  <c r="D242"/>
  <c r="C242"/>
  <c r="B242"/>
  <c r="A242"/>
  <c r="P241"/>
  <c r="O241"/>
  <c r="N241"/>
  <c r="M241"/>
  <c r="L241"/>
  <c r="J241"/>
  <c r="I241"/>
  <c r="H241"/>
  <c r="G241"/>
  <c r="F241"/>
  <c r="E241"/>
  <c r="D241"/>
  <c r="C241"/>
  <c r="B241"/>
  <c r="A241"/>
  <c r="P240"/>
  <c r="O240"/>
  <c r="N240"/>
  <c r="M240"/>
  <c r="L240"/>
  <c r="J240"/>
  <c r="I240"/>
  <c r="H240"/>
  <c r="G240"/>
  <c r="F240"/>
  <c r="E240"/>
  <c r="D240"/>
  <c r="C240"/>
  <c r="B240"/>
  <c r="A240"/>
  <c r="C239"/>
  <c r="B239"/>
  <c r="A239"/>
  <c r="C238"/>
  <c r="B238"/>
  <c r="A238"/>
  <c r="C237"/>
  <c r="N236"/>
  <c r="L236"/>
  <c r="J236"/>
  <c r="I236"/>
  <c r="H236"/>
  <c r="G236"/>
  <c r="F236"/>
  <c r="E236"/>
  <c r="D236"/>
  <c r="C236"/>
  <c r="B236"/>
  <c r="A236"/>
  <c r="P235"/>
  <c r="O235"/>
  <c r="N235"/>
  <c r="L235"/>
  <c r="J235"/>
  <c r="I235"/>
  <c r="H235"/>
  <c r="G235"/>
  <c r="F235"/>
  <c r="E235"/>
  <c r="D235"/>
  <c r="C235"/>
  <c r="B235"/>
  <c r="A235"/>
  <c r="N234"/>
  <c r="L234"/>
  <c r="J234"/>
  <c r="I234"/>
  <c r="H234"/>
  <c r="G234"/>
  <c r="F234"/>
  <c r="E234"/>
  <c r="D234"/>
  <c r="C234"/>
  <c r="B234"/>
  <c r="A234"/>
  <c r="P233"/>
  <c r="O233"/>
  <c r="N233"/>
  <c r="L233"/>
  <c r="J233"/>
  <c r="I233"/>
  <c r="H233"/>
  <c r="G233"/>
  <c r="F233"/>
  <c r="E233"/>
  <c r="D233"/>
  <c r="C233"/>
  <c r="B233"/>
  <c r="A233"/>
  <c r="N232"/>
  <c r="L232"/>
  <c r="J232"/>
  <c r="I232"/>
  <c r="H232"/>
  <c r="G232"/>
  <c r="F232"/>
  <c r="E232"/>
  <c r="D232"/>
  <c r="C232"/>
  <c r="B232"/>
  <c r="A232"/>
  <c r="N231"/>
  <c r="L231"/>
  <c r="J231"/>
  <c r="I231"/>
  <c r="H231"/>
  <c r="G231"/>
  <c r="F231"/>
  <c r="E231"/>
  <c r="D231"/>
  <c r="C231"/>
  <c r="B231"/>
  <c r="A231"/>
  <c r="N230"/>
  <c r="L230"/>
  <c r="J230"/>
  <c r="I230"/>
  <c r="H230"/>
  <c r="G230"/>
  <c r="F230"/>
  <c r="E230"/>
  <c r="D230"/>
  <c r="C230"/>
  <c r="B230"/>
  <c r="A230"/>
  <c r="N229"/>
  <c r="L229"/>
  <c r="J229"/>
  <c r="I229"/>
  <c r="H229"/>
  <c r="G229"/>
  <c r="F229"/>
  <c r="E229"/>
  <c r="D229"/>
  <c r="C229"/>
  <c r="B229"/>
  <c r="A229"/>
  <c r="C228"/>
  <c r="B228"/>
  <c r="A228"/>
  <c r="N227"/>
  <c r="L227"/>
  <c r="J227"/>
  <c r="I227"/>
  <c r="H227"/>
  <c r="G227"/>
  <c r="F227"/>
  <c r="E227"/>
  <c r="D227"/>
  <c r="C227"/>
  <c r="B227"/>
  <c r="A227"/>
  <c r="C226"/>
  <c r="B226"/>
  <c r="A226"/>
  <c r="N225"/>
  <c r="L225"/>
  <c r="J225"/>
  <c r="I225"/>
  <c r="H225"/>
  <c r="H224" s="1"/>
  <c r="H223" s="1"/>
  <c r="G225"/>
  <c r="G224" s="1"/>
  <c r="G223" s="1"/>
  <c r="F225"/>
  <c r="F224" s="1"/>
  <c r="F223" s="1"/>
  <c r="E225"/>
  <c r="D225"/>
  <c r="C225"/>
  <c r="B225"/>
  <c r="A225"/>
  <c r="C224"/>
  <c r="B224"/>
  <c r="A224"/>
  <c r="C223"/>
  <c r="B223"/>
  <c r="A223"/>
  <c r="P222"/>
  <c r="O222"/>
  <c r="N222"/>
  <c r="L222"/>
  <c r="J222"/>
  <c r="I222"/>
  <c r="H222"/>
  <c r="G222"/>
  <c r="F222"/>
  <c r="E222"/>
  <c r="D222"/>
  <c r="C222"/>
  <c r="B222"/>
  <c r="A222"/>
  <c r="N221"/>
  <c r="L221"/>
  <c r="J221"/>
  <c r="I221"/>
  <c r="H221"/>
  <c r="G221"/>
  <c r="F221"/>
  <c r="E221"/>
  <c r="D221"/>
  <c r="C221"/>
  <c r="B221"/>
  <c r="A221"/>
  <c r="N220"/>
  <c r="L220"/>
  <c r="J220"/>
  <c r="I220"/>
  <c r="H220"/>
  <c r="G220"/>
  <c r="F220"/>
  <c r="E220"/>
  <c r="D220"/>
  <c r="C220"/>
  <c r="B220"/>
  <c r="A220"/>
  <c r="N219"/>
  <c r="L219"/>
  <c r="J219"/>
  <c r="I219"/>
  <c r="H219"/>
  <c r="G219"/>
  <c r="F219"/>
  <c r="E219"/>
  <c r="D219"/>
  <c r="C219"/>
  <c r="B219"/>
  <c r="A219"/>
  <c r="N218"/>
  <c r="L218"/>
  <c r="J218"/>
  <c r="I218"/>
  <c r="H218"/>
  <c r="G218"/>
  <c r="G217" s="1"/>
  <c r="F218"/>
  <c r="E218"/>
  <c r="D218"/>
  <c r="C218"/>
  <c r="B218"/>
  <c r="A218"/>
  <c r="H217"/>
  <c r="C217"/>
  <c r="B217"/>
  <c r="A217"/>
  <c r="P216"/>
  <c r="O216"/>
  <c r="N216"/>
  <c r="L216"/>
  <c r="J216"/>
  <c r="I216"/>
  <c r="H216"/>
  <c r="H215" s="1"/>
  <c r="H214" s="1"/>
  <c r="G216"/>
  <c r="G215" s="1"/>
  <c r="G214" s="1"/>
  <c r="F216"/>
  <c r="F215" s="1"/>
  <c r="F214" s="1"/>
  <c r="E216"/>
  <c r="D216"/>
  <c r="C216"/>
  <c r="B216"/>
  <c r="A216"/>
  <c r="P215"/>
  <c r="P214" s="1"/>
  <c r="C215"/>
  <c r="B215"/>
  <c r="A215"/>
  <c r="C214"/>
  <c r="B214"/>
  <c r="A214"/>
  <c r="N213"/>
  <c r="L213"/>
  <c r="J213"/>
  <c r="I213"/>
  <c r="H213"/>
  <c r="H212" s="1"/>
  <c r="G213"/>
  <c r="G212" s="1"/>
  <c r="F213"/>
  <c r="F212" s="1"/>
  <c r="E213"/>
  <c r="D213"/>
  <c r="C213"/>
  <c r="B213"/>
  <c r="A213"/>
  <c r="C212"/>
  <c r="B212"/>
  <c r="A212"/>
  <c r="P211"/>
  <c r="O211"/>
  <c r="N211"/>
  <c r="L211"/>
  <c r="J211"/>
  <c r="I211"/>
  <c r="H211"/>
  <c r="G211"/>
  <c r="F211"/>
  <c r="E211"/>
  <c r="D211"/>
  <c r="C211"/>
  <c r="B211"/>
  <c r="A211"/>
  <c r="P210"/>
  <c r="O210"/>
  <c r="N210"/>
  <c r="L210"/>
  <c r="J210"/>
  <c r="I210"/>
  <c r="H210"/>
  <c r="G210"/>
  <c r="F210"/>
  <c r="E210"/>
  <c r="D210"/>
  <c r="C210"/>
  <c r="B210"/>
  <c r="A210"/>
  <c r="P209"/>
  <c r="O209"/>
  <c r="N209"/>
  <c r="L209"/>
  <c r="J209"/>
  <c r="I209"/>
  <c r="H209"/>
  <c r="G209"/>
  <c r="F209"/>
  <c r="E209"/>
  <c r="D209"/>
  <c r="C209"/>
  <c r="B209"/>
  <c r="A209"/>
  <c r="P208"/>
  <c r="O208"/>
  <c r="N208"/>
  <c r="L208"/>
  <c r="J208"/>
  <c r="I208"/>
  <c r="H208"/>
  <c r="G208"/>
  <c r="G207" s="1"/>
  <c r="F208"/>
  <c r="E208"/>
  <c r="D208"/>
  <c r="C208"/>
  <c r="B208"/>
  <c r="A208"/>
  <c r="O207"/>
  <c r="N207"/>
  <c r="C207"/>
  <c r="B207"/>
  <c r="A207"/>
  <c r="P206"/>
  <c r="O206"/>
  <c r="N206"/>
  <c r="L206"/>
  <c r="J206"/>
  <c r="I206"/>
  <c r="H206"/>
  <c r="G206"/>
  <c r="F206"/>
  <c r="E206"/>
  <c r="D206"/>
  <c r="C206"/>
  <c r="B206"/>
  <c r="A206"/>
  <c r="P205"/>
  <c r="O205"/>
  <c r="N205"/>
  <c r="L205"/>
  <c r="J205"/>
  <c r="I205"/>
  <c r="H205"/>
  <c r="G205"/>
  <c r="F205"/>
  <c r="E205"/>
  <c r="D205"/>
  <c r="C205"/>
  <c r="B205"/>
  <c r="A205"/>
  <c r="N204"/>
  <c r="L204"/>
  <c r="J204"/>
  <c r="I204"/>
  <c r="H204"/>
  <c r="G204"/>
  <c r="F204"/>
  <c r="E204"/>
  <c r="D204"/>
  <c r="C204"/>
  <c r="B204"/>
  <c r="A204"/>
  <c r="N203"/>
  <c r="L203"/>
  <c r="J203"/>
  <c r="I203"/>
  <c r="H203"/>
  <c r="G203"/>
  <c r="F203"/>
  <c r="E203"/>
  <c r="D203"/>
  <c r="C203"/>
  <c r="B203"/>
  <c r="A203"/>
  <c r="N202"/>
  <c r="L202"/>
  <c r="J202"/>
  <c r="I202"/>
  <c r="H202"/>
  <c r="G202"/>
  <c r="F202"/>
  <c r="E202"/>
  <c r="D202"/>
  <c r="C202"/>
  <c r="B202"/>
  <c r="A202"/>
  <c r="N201"/>
  <c r="L201"/>
  <c r="J201"/>
  <c r="I201"/>
  <c r="H201"/>
  <c r="G201"/>
  <c r="F201"/>
  <c r="E201"/>
  <c r="D201"/>
  <c r="C201"/>
  <c r="B201"/>
  <c r="A201"/>
  <c r="N200"/>
  <c r="L200"/>
  <c r="J200"/>
  <c r="I200"/>
  <c r="H200"/>
  <c r="G200"/>
  <c r="F200"/>
  <c r="E200"/>
  <c r="D200"/>
  <c r="C200"/>
  <c r="B200"/>
  <c r="A200"/>
  <c r="N199"/>
  <c r="L199"/>
  <c r="J199"/>
  <c r="I199"/>
  <c r="H199"/>
  <c r="G199"/>
  <c r="F199"/>
  <c r="E199"/>
  <c r="D199"/>
  <c r="C199"/>
  <c r="B199"/>
  <c r="A199"/>
  <c r="N198"/>
  <c r="L198"/>
  <c r="J198"/>
  <c r="I198"/>
  <c r="H198"/>
  <c r="G198"/>
  <c r="F198"/>
  <c r="E198"/>
  <c r="D198"/>
  <c r="C198"/>
  <c r="B198"/>
  <c r="A198"/>
  <c r="N197"/>
  <c r="L197"/>
  <c r="J197"/>
  <c r="I197"/>
  <c r="H197"/>
  <c r="G197"/>
  <c r="F197"/>
  <c r="E197"/>
  <c r="D197"/>
  <c r="C197"/>
  <c r="B197"/>
  <c r="A197"/>
  <c r="N196"/>
  <c r="L196"/>
  <c r="J196"/>
  <c r="I196"/>
  <c r="H196"/>
  <c r="G196"/>
  <c r="F196"/>
  <c r="E196"/>
  <c r="D196"/>
  <c r="C196"/>
  <c r="B196"/>
  <c r="A196"/>
  <c r="N195"/>
  <c r="L195"/>
  <c r="J195"/>
  <c r="I195"/>
  <c r="H195"/>
  <c r="G195"/>
  <c r="F195"/>
  <c r="E195"/>
  <c r="D195"/>
  <c r="C195"/>
  <c r="B195"/>
  <c r="A195"/>
  <c r="N194"/>
  <c r="L194"/>
  <c r="J194"/>
  <c r="I194"/>
  <c r="H194"/>
  <c r="G194"/>
  <c r="F194"/>
  <c r="E194"/>
  <c r="D194"/>
  <c r="C194"/>
  <c r="B194"/>
  <c r="A194"/>
  <c r="P193"/>
  <c r="P192" s="1"/>
  <c r="O193"/>
  <c r="N193"/>
  <c r="L193"/>
  <c r="J193"/>
  <c r="I193"/>
  <c r="H193"/>
  <c r="H192" s="1"/>
  <c r="G193"/>
  <c r="G192" s="1"/>
  <c r="F193"/>
  <c r="F192" s="1"/>
  <c r="E193"/>
  <c r="D193"/>
  <c r="C193"/>
  <c r="B193"/>
  <c r="A193"/>
  <c r="O192"/>
  <c r="N192"/>
  <c r="C192"/>
  <c r="B192"/>
  <c r="A192"/>
  <c r="P191"/>
  <c r="O191"/>
  <c r="N191"/>
  <c r="L191"/>
  <c r="J191"/>
  <c r="I191"/>
  <c r="H191"/>
  <c r="G191"/>
  <c r="F191"/>
  <c r="E191"/>
  <c r="D191"/>
  <c r="C191"/>
  <c r="B191"/>
  <c r="A191"/>
  <c r="P190"/>
  <c r="O190"/>
  <c r="N190"/>
  <c r="L190"/>
  <c r="J190"/>
  <c r="I190"/>
  <c r="H190"/>
  <c r="G190"/>
  <c r="G189" s="1"/>
  <c r="F190"/>
  <c r="E190"/>
  <c r="D190"/>
  <c r="C190"/>
  <c r="B190"/>
  <c r="A190"/>
  <c r="O189"/>
  <c r="N189"/>
  <c r="C189"/>
  <c r="B189"/>
  <c r="A189"/>
  <c r="P188"/>
  <c r="O188"/>
  <c r="N188"/>
  <c r="L188"/>
  <c r="J188"/>
  <c r="I188"/>
  <c r="H188"/>
  <c r="G188"/>
  <c r="F188"/>
  <c r="E188"/>
  <c r="D188"/>
  <c r="C188"/>
  <c r="B188"/>
  <c r="A188"/>
  <c r="P187"/>
  <c r="O187"/>
  <c r="N187"/>
  <c r="L187"/>
  <c r="J187"/>
  <c r="I187"/>
  <c r="H187"/>
  <c r="G187"/>
  <c r="F187"/>
  <c r="E187"/>
  <c r="D187"/>
  <c r="C187"/>
  <c r="B187"/>
  <c r="A187"/>
  <c r="P186"/>
  <c r="O186"/>
  <c r="N186"/>
  <c r="L186"/>
  <c r="J186"/>
  <c r="I186"/>
  <c r="H186"/>
  <c r="G186"/>
  <c r="F186"/>
  <c r="E186"/>
  <c r="D186"/>
  <c r="C186"/>
  <c r="B186"/>
  <c r="A186"/>
  <c r="P185"/>
  <c r="O185"/>
  <c r="N185"/>
  <c r="L185"/>
  <c r="J185"/>
  <c r="I185"/>
  <c r="H185"/>
  <c r="G185"/>
  <c r="F185"/>
  <c r="E185"/>
  <c r="D185"/>
  <c r="C185"/>
  <c r="B185"/>
  <c r="A185"/>
  <c r="P184"/>
  <c r="O184"/>
  <c r="N184"/>
  <c r="L184"/>
  <c r="J184"/>
  <c r="I184"/>
  <c r="H184"/>
  <c r="H183" s="1"/>
  <c r="G184"/>
  <c r="F184"/>
  <c r="E184"/>
  <c r="D184"/>
  <c r="C184"/>
  <c r="B184"/>
  <c r="A184"/>
  <c r="O183"/>
  <c r="N183"/>
  <c r="C183"/>
  <c r="B183"/>
  <c r="A183"/>
  <c r="P182"/>
  <c r="O182"/>
  <c r="N182"/>
  <c r="L182"/>
  <c r="J182"/>
  <c r="I182"/>
  <c r="H182"/>
  <c r="G182"/>
  <c r="F182"/>
  <c r="E182"/>
  <c r="D182"/>
  <c r="C182"/>
  <c r="B182"/>
  <c r="A182"/>
  <c r="P181"/>
  <c r="O181"/>
  <c r="N181"/>
  <c r="L181"/>
  <c r="J181"/>
  <c r="I181"/>
  <c r="H181"/>
  <c r="G181"/>
  <c r="F181"/>
  <c r="E181"/>
  <c r="D181"/>
  <c r="C181"/>
  <c r="B181"/>
  <c r="A181"/>
  <c r="P180"/>
  <c r="O180"/>
  <c r="N180"/>
  <c r="L180"/>
  <c r="J180"/>
  <c r="I180"/>
  <c r="H180"/>
  <c r="G180"/>
  <c r="G179" s="1"/>
  <c r="F180"/>
  <c r="E180"/>
  <c r="D180"/>
  <c r="C180"/>
  <c r="B180"/>
  <c r="A180"/>
  <c r="O179"/>
  <c r="N179"/>
  <c r="C179"/>
  <c r="B179"/>
  <c r="A179"/>
  <c r="P178"/>
  <c r="O178"/>
  <c r="N178"/>
  <c r="L178"/>
  <c r="J178"/>
  <c r="I178"/>
  <c r="H178"/>
  <c r="G178"/>
  <c r="F178"/>
  <c r="E178"/>
  <c r="D178"/>
  <c r="C178"/>
  <c r="B178"/>
  <c r="A178"/>
  <c r="P177"/>
  <c r="O177"/>
  <c r="N177"/>
  <c r="L177"/>
  <c r="J177"/>
  <c r="I177"/>
  <c r="H177"/>
  <c r="G177"/>
  <c r="F177"/>
  <c r="E177"/>
  <c r="D177"/>
  <c r="C177"/>
  <c r="B177"/>
  <c r="A177"/>
  <c r="P176"/>
  <c r="O176"/>
  <c r="N176"/>
  <c r="L176"/>
  <c r="J176"/>
  <c r="I176"/>
  <c r="H176"/>
  <c r="G176"/>
  <c r="F176"/>
  <c r="E176"/>
  <c r="D176"/>
  <c r="C176"/>
  <c r="B176"/>
  <c r="A176"/>
  <c r="P175"/>
  <c r="O175"/>
  <c r="N175"/>
  <c r="L175"/>
  <c r="J175"/>
  <c r="I175"/>
  <c r="H175"/>
  <c r="G175"/>
  <c r="F175"/>
  <c r="E175"/>
  <c r="D175"/>
  <c r="C175"/>
  <c r="B175"/>
  <c r="A175"/>
  <c r="P174"/>
  <c r="P173" s="1"/>
  <c r="O174"/>
  <c r="N174"/>
  <c r="L174"/>
  <c r="J174"/>
  <c r="I174"/>
  <c r="H174"/>
  <c r="G174"/>
  <c r="F174"/>
  <c r="E174"/>
  <c r="D174"/>
  <c r="C174"/>
  <c r="B174"/>
  <c r="A174"/>
  <c r="O173"/>
  <c r="N173"/>
  <c r="C173"/>
  <c r="B173"/>
  <c r="A173"/>
  <c r="P172"/>
  <c r="P171" s="1"/>
  <c r="O172"/>
  <c r="N172"/>
  <c r="L172"/>
  <c r="J172"/>
  <c r="I172"/>
  <c r="H172"/>
  <c r="H171" s="1"/>
  <c r="G172"/>
  <c r="G171" s="1"/>
  <c r="F172"/>
  <c r="F171" s="1"/>
  <c r="E172"/>
  <c r="D172"/>
  <c r="C172"/>
  <c r="B172"/>
  <c r="A172"/>
  <c r="O171"/>
  <c r="N171"/>
  <c r="C171"/>
  <c r="B171"/>
  <c r="A171"/>
  <c r="P170"/>
  <c r="O170"/>
  <c r="N170"/>
  <c r="L170"/>
  <c r="J170"/>
  <c r="I170"/>
  <c r="H170"/>
  <c r="G170"/>
  <c r="F170"/>
  <c r="E170"/>
  <c r="D170"/>
  <c r="C170"/>
  <c r="B170"/>
  <c r="A170"/>
  <c r="P169"/>
  <c r="O169"/>
  <c r="N169"/>
  <c r="L169"/>
  <c r="J169"/>
  <c r="I169"/>
  <c r="H169"/>
  <c r="G169"/>
  <c r="F169"/>
  <c r="E169"/>
  <c r="D169"/>
  <c r="C169"/>
  <c r="B169"/>
  <c r="A169"/>
  <c r="P168"/>
  <c r="O168"/>
  <c r="N168"/>
  <c r="L168"/>
  <c r="J168"/>
  <c r="I168"/>
  <c r="H168"/>
  <c r="G168"/>
  <c r="F168"/>
  <c r="E168"/>
  <c r="D168"/>
  <c r="C168"/>
  <c r="B168"/>
  <c r="A168"/>
  <c r="P167"/>
  <c r="O167"/>
  <c r="N167"/>
  <c r="L167"/>
  <c r="J167"/>
  <c r="I167"/>
  <c r="H167"/>
  <c r="G167"/>
  <c r="F167"/>
  <c r="E167"/>
  <c r="D167"/>
  <c r="C167"/>
  <c r="B167"/>
  <c r="A167"/>
  <c r="P166"/>
  <c r="O166"/>
  <c r="N166"/>
  <c r="L166"/>
  <c r="J166"/>
  <c r="I166"/>
  <c r="H166"/>
  <c r="G166"/>
  <c r="F166"/>
  <c r="E166"/>
  <c r="D166"/>
  <c r="C166"/>
  <c r="B166"/>
  <c r="A166"/>
  <c r="O165"/>
  <c r="N165"/>
  <c r="C165"/>
  <c r="B165"/>
  <c r="A165"/>
  <c r="N164"/>
  <c r="L164"/>
  <c r="J164"/>
  <c r="I164"/>
  <c r="H164"/>
  <c r="H163" s="1"/>
  <c r="G164"/>
  <c r="G163" s="1"/>
  <c r="F164"/>
  <c r="E164"/>
  <c r="D164"/>
  <c r="C164"/>
  <c r="B164"/>
  <c r="A164"/>
  <c r="O163"/>
  <c r="N163"/>
  <c r="F163"/>
  <c r="C163"/>
  <c r="B163"/>
  <c r="A163"/>
  <c r="N162"/>
  <c r="L162"/>
  <c r="J162"/>
  <c r="I162"/>
  <c r="H162"/>
  <c r="H161" s="1"/>
  <c r="G162"/>
  <c r="G161" s="1"/>
  <c r="F162"/>
  <c r="F161" s="1"/>
  <c r="E162"/>
  <c r="D162"/>
  <c r="C162"/>
  <c r="B162"/>
  <c r="A162"/>
  <c r="O161"/>
  <c r="N161"/>
  <c r="C161"/>
  <c r="B161"/>
  <c r="A161"/>
  <c r="N160"/>
  <c r="L160"/>
  <c r="J160"/>
  <c r="I160"/>
  <c r="H160"/>
  <c r="H159" s="1"/>
  <c r="G160"/>
  <c r="G159" s="1"/>
  <c r="F160"/>
  <c r="F159" s="1"/>
  <c r="E160"/>
  <c r="D160"/>
  <c r="C160"/>
  <c r="B160"/>
  <c r="A160"/>
  <c r="O159"/>
  <c r="N159"/>
  <c r="C159"/>
  <c r="B159"/>
  <c r="A159"/>
  <c r="N158"/>
  <c r="L158"/>
  <c r="J158"/>
  <c r="I158"/>
  <c r="H158"/>
  <c r="G158"/>
  <c r="F158"/>
  <c r="E158"/>
  <c r="D158"/>
  <c r="C158"/>
  <c r="B158"/>
  <c r="A158"/>
  <c r="N157"/>
  <c r="L157"/>
  <c r="J157"/>
  <c r="I157"/>
  <c r="H157"/>
  <c r="G157"/>
  <c r="G156" s="1"/>
  <c r="F157"/>
  <c r="E157"/>
  <c r="D157"/>
  <c r="C157"/>
  <c r="B157"/>
  <c r="A157"/>
  <c r="O156"/>
  <c r="N156"/>
  <c r="C156"/>
  <c r="B156"/>
  <c r="A156"/>
  <c r="P155"/>
  <c r="O155"/>
  <c r="N155"/>
  <c r="L155"/>
  <c r="J155"/>
  <c r="I155"/>
  <c r="H155"/>
  <c r="G155"/>
  <c r="F155"/>
  <c r="E155"/>
  <c r="D155"/>
  <c r="C155"/>
  <c r="B155"/>
  <c r="A155"/>
  <c r="P154"/>
  <c r="O154"/>
  <c r="N154"/>
  <c r="L154"/>
  <c r="J154"/>
  <c r="I154"/>
  <c r="H154"/>
  <c r="G154"/>
  <c r="F154"/>
  <c r="E154"/>
  <c r="D154"/>
  <c r="C154"/>
  <c r="B154"/>
  <c r="A154"/>
  <c r="O153"/>
  <c r="N153"/>
  <c r="C153"/>
  <c r="B153"/>
  <c r="A153"/>
  <c r="N152"/>
  <c r="L152"/>
  <c r="J152"/>
  <c r="I152"/>
  <c r="H152"/>
  <c r="G152"/>
  <c r="F152"/>
  <c r="E152"/>
  <c r="D152"/>
  <c r="C152"/>
  <c r="B152"/>
  <c r="A152"/>
  <c r="O151"/>
  <c r="N151"/>
  <c r="L151"/>
  <c r="J151"/>
  <c r="I151"/>
  <c r="H151"/>
  <c r="G151"/>
  <c r="F151"/>
  <c r="E151"/>
  <c r="D151"/>
  <c r="C151"/>
  <c r="B151"/>
  <c r="A151"/>
  <c r="O150"/>
  <c r="N150"/>
  <c r="C150"/>
  <c r="B150"/>
  <c r="A150"/>
  <c r="P149"/>
  <c r="O149"/>
  <c r="N149"/>
  <c r="L149"/>
  <c r="J149"/>
  <c r="I149"/>
  <c r="H149"/>
  <c r="G149"/>
  <c r="F149"/>
  <c r="E149"/>
  <c r="D149"/>
  <c r="C149"/>
  <c r="B149"/>
  <c r="A149"/>
  <c r="P148"/>
  <c r="P147" s="1"/>
  <c r="O148"/>
  <c r="N148"/>
  <c r="L148"/>
  <c r="J148"/>
  <c r="I148"/>
  <c r="H148"/>
  <c r="G148"/>
  <c r="F148"/>
  <c r="F147" s="1"/>
  <c r="E148"/>
  <c r="D148"/>
  <c r="C148"/>
  <c r="B148"/>
  <c r="A148"/>
  <c r="O147"/>
  <c r="N147"/>
  <c r="C147"/>
  <c r="B147"/>
  <c r="A147"/>
  <c r="P146"/>
  <c r="O146"/>
  <c r="N146"/>
  <c r="L146"/>
  <c r="J146"/>
  <c r="I146"/>
  <c r="H146"/>
  <c r="G146"/>
  <c r="F146"/>
  <c r="E146"/>
  <c r="D146"/>
  <c r="C146"/>
  <c r="B146"/>
  <c r="A146"/>
  <c r="P145"/>
  <c r="O145"/>
  <c r="N145"/>
  <c r="L145"/>
  <c r="J145"/>
  <c r="I145"/>
  <c r="H145"/>
  <c r="H144" s="1"/>
  <c r="G145"/>
  <c r="F145"/>
  <c r="E145"/>
  <c r="D145"/>
  <c r="C145"/>
  <c r="B145"/>
  <c r="A145"/>
  <c r="O144"/>
  <c r="N144"/>
  <c r="C144"/>
  <c r="B144"/>
  <c r="A144"/>
  <c r="P143"/>
  <c r="O143"/>
  <c r="N143"/>
  <c r="L143"/>
  <c r="J143"/>
  <c r="I143"/>
  <c r="H143"/>
  <c r="G143"/>
  <c r="F143"/>
  <c r="E143"/>
  <c r="D143"/>
  <c r="C143"/>
  <c r="B143"/>
  <c r="A143"/>
  <c r="N142"/>
  <c r="L142"/>
  <c r="J142"/>
  <c r="I142"/>
  <c r="H142"/>
  <c r="G142"/>
  <c r="G141" s="1"/>
  <c r="F142"/>
  <c r="E142"/>
  <c r="D142"/>
  <c r="C142"/>
  <c r="B142"/>
  <c r="A142"/>
  <c r="O141"/>
  <c r="N141"/>
  <c r="F141"/>
  <c r="C141"/>
  <c r="B141"/>
  <c r="A141"/>
  <c r="P140"/>
  <c r="O140"/>
  <c r="N140"/>
  <c r="L140"/>
  <c r="J140"/>
  <c r="I140"/>
  <c r="H140"/>
  <c r="G140"/>
  <c r="F140"/>
  <c r="E140"/>
  <c r="D140"/>
  <c r="C140"/>
  <c r="B140"/>
  <c r="A140"/>
  <c r="P139"/>
  <c r="O139"/>
  <c r="N139"/>
  <c r="L139"/>
  <c r="J139"/>
  <c r="I139"/>
  <c r="H139"/>
  <c r="G139"/>
  <c r="F139"/>
  <c r="E139"/>
  <c r="D139"/>
  <c r="C139"/>
  <c r="B139"/>
  <c r="A139"/>
  <c r="O138"/>
  <c r="N138"/>
  <c r="C138"/>
  <c r="B138"/>
  <c r="A138"/>
  <c r="P137"/>
  <c r="O137"/>
  <c r="N137"/>
  <c r="L137"/>
  <c r="J137"/>
  <c r="I137"/>
  <c r="H137"/>
  <c r="G137"/>
  <c r="F137"/>
  <c r="E137"/>
  <c r="D137"/>
  <c r="C137"/>
  <c r="B137"/>
  <c r="A137"/>
  <c r="P136"/>
  <c r="P135" s="1"/>
  <c r="O136"/>
  <c r="N136"/>
  <c r="L136"/>
  <c r="J136"/>
  <c r="I136"/>
  <c r="H136"/>
  <c r="G136"/>
  <c r="F136"/>
  <c r="E136"/>
  <c r="D136"/>
  <c r="C136"/>
  <c r="B136"/>
  <c r="A136"/>
  <c r="O135"/>
  <c r="N135"/>
  <c r="C135"/>
  <c r="B135"/>
  <c r="A135"/>
  <c r="P134"/>
  <c r="O134"/>
  <c r="N134"/>
  <c r="L134"/>
  <c r="J134"/>
  <c r="I134"/>
  <c r="H134"/>
  <c r="G134"/>
  <c r="F134"/>
  <c r="E134"/>
  <c r="D134"/>
  <c r="C134"/>
  <c r="B134"/>
  <c r="A134"/>
  <c r="P133"/>
  <c r="O133"/>
  <c r="N133"/>
  <c r="L133"/>
  <c r="J133"/>
  <c r="I133"/>
  <c r="H133"/>
  <c r="G133"/>
  <c r="F133"/>
  <c r="E133"/>
  <c r="D133"/>
  <c r="C133"/>
  <c r="B133"/>
  <c r="A133"/>
  <c r="N132"/>
  <c r="L132"/>
  <c r="J132"/>
  <c r="I132"/>
  <c r="H132"/>
  <c r="G132"/>
  <c r="F132"/>
  <c r="E132"/>
  <c r="D132"/>
  <c r="C132"/>
  <c r="B132"/>
  <c r="A132"/>
  <c r="P131"/>
  <c r="O131"/>
  <c r="N131"/>
  <c r="L131"/>
  <c r="J131"/>
  <c r="I131"/>
  <c r="H131"/>
  <c r="G131"/>
  <c r="F131"/>
  <c r="E131"/>
  <c r="D131"/>
  <c r="C131"/>
  <c r="B131"/>
  <c r="A131"/>
  <c r="P130"/>
  <c r="O130"/>
  <c r="N130"/>
  <c r="L130"/>
  <c r="J130"/>
  <c r="I130"/>
  <c r="H130"/>
  <c r="G130"/>
  <c r="F130"/>
  <c r="E130"/>
  <c r="D130"/>
  <c r="C130"/>
  <c r="B130"/>
  <c r="A130"/>
  <c r="O129"/>
  <c r="N129"/>
  <c r="C129"/>
  <c r="B129"/>
  <c r="A129"/>
  <c r="P128"/>
  <c r="O128"/>
  <c r="N128"/>
  <c r="L128"/>
  <c r="J128"/>
  <c r="I128"/>
  <c r="H128"/>
  <c r="G128"/>
  <c r="F128"/>
  <c r="E128"/>
  <c r="D128"/>
  <c r="C128"/>
  <c r="B128"/>
  <c r="A128"/>
  <c r="P127"/>
  <c r="O127"/>
  <c r="N127"/>
  <c r="L127"/>
  <c r="J127"/>
  <c r="I127"/>
  <c r="H127"/>
  <c r="H126" s="1"/>
  <c r="G127"/>
  <c r="F127"/>
  <c r="E127"/>
  <c r="D127"/>
  <c r="C127"/>
  <c r="B127"/>
  <c r="A127"/>
  <c r="P126"/>
  <c r="O126"/>
  <c r="N126"/>
  <c r="C126"/>
  <c r="B126"/>
  <c r="A126"/>
  <c r="N125"/>
  <c r="L125"/>
  <c r="J125"/>
  <c r="I125"/>
  <c r="H125"/>
  <c r="G125"/>
  <c r="F125"/>
  <c r="E125"/>
  <c r="D125"/>
  <c r="C125"/>
  <c r="B125"/>
  <c r="A125"/>
  <c r="N124"/>
  <c r="L124"/>
  <c r="J124"/>
  <c r="I124"/>
  <c r="H124"/>
  <c r="G124"/>
  <c r="F124"/>
  <c r="E124"/>
  <c r="D124"/>
  <c r="C124"/>
  <c r="B124"/>
  <c r="A124"/>
  <c r="N123"/>
  <c r="L123"/>
  <c r="J123"/>
  <c r="I123"/>
  <c r="H123"/>
  <c r="G123"/>
  <c r="F123"/>
  <c r="E123"/>
  <c r="D123"/>
  <c r="C123"/>
  <c r="B123"/>
  <c r="A123"/>
  <c r="O122"/>
  <c r="N122"/>
  <c r="F122"/>
  <c r="C122"/>
  <c r="B122"/>
  <c r="A122"/>
  <c r="N121"/>
  <c r="L121"/>
  <c r="J121"/>
  <c r="I121"/>
  <c r="H121"/>
  <c r="G121"/>
  <c r="F121"/>
  <c r="E121"/>
  <c r="D121"/>
  <c r="C121"/>
  <c r="B121"/>
  <c r="A121"/>
  <c r="N120"/>
  <c r="L120"/>
  <c r="J120"/>
  <c r="I120"/>
  <c r="H120"/>
  <c r="H119" s="1"/>
  <c r="G120"/>
  <c r="G119" s="1"/>
  <c r="F120"/>
  <c r="E120"/>
  <c r="D120"/>
  <c r="C120"/>
  <c r="B120"/>
  <c r="A120"/>
  <c r="O119"/>
  <c r="N119"/>
  <c r="F119"/>
  <c r="C119"/>
  <c r="B119"/>
  <c r="A119"/>
  <c r="N118"/>
  <c r="L118"/>
  <c r="J118"/>
  <c r="I118"/>
  <c r="H118"/>
  <c r="G118"/>
  <c r="F118"/>
  <c r="E118"/>
  <c r="D118"/>
  <c r="C118"/>
  <c r="B118"/>
  <c r="A118"/>
  <c r="N117"/>
  <c r="L117"/>
  <c r="J117"/>
  <c r="I117"/>
  <c r="H117"/>
  <c r="G117"/>
  <c r="F117"/>
  <c r="E117"/>
  <c r="D117"/>
  <c r="C117"/>
  <c r="B117"/>
  <c r="A117"/>
  <c r="N116"/>
  <c r="L116"/>
  <c r="J116"/>
  <c r="I116"/>
  <c r="H116"/>
  <c r="G116"/>
  <c r="F116"/>
  <c r="E116"/>
  <c r="D116"/>
  <c r="C116"/>
  <c r="B116"/>
  <c r="A116"/>
  <c r="N115"/>
  <c r="L115"/>
  <c r="J115"/>
  <c r="I115"/>
  <c r="H115"/>
  <c r="G115"/>
  <c r="F115"/>
  <c r="E115"/>
  <c r="D115"/>
  <c r="C115"/>
  <c r="B115"/>
  <c r="A115"/>
  <c r="N114"/>
  <c r="L114"/>
  <c r="J114"/>
  <c r="I114"/>
  <c r="H114"/>
  <c r="G114"/>
  <c r="F114"/>
  <c r="E114"/>
  <c r="D114"/>
  <c r="C114"/>
  <c r="B114"/>
  <c r="A114"/>
  <c r="N113"/>
  <c r="L113"/>
  <c r="J113"/>
  <c r="I113"/>
  <c r="H113"/>
  <c r="H112" s="1"/>
  <c r="G113"/>
  <c r="F113"/>
  <c r="F112" s="1"/>
  <c r="E113"/>
  <c r="D113"/>
  <c r="C113"/>
  <c r="B113"/>
  <c r="A113"/>
  <c r="O112"/>
  <c r="N112"/>
  <c r="C112"/>
  <c r="B112"/>
  <c r="A112"/>
  <c r="N111"/>
  <c r="L111"/>
  <c r="J111"/>
  <c r="I111"/>
  <c r="H111"/>
  <c r="G111"/>
  <c r="F111"/>
  <c r="E111"/>
  <c r="D111"/>
  <c r="C111"/>
  <c r="B111"/>
  <c r="A111"/>
  <c r="N110"/>
  <c r="L110"/>
  <c r="J110"/>
  <c r="I110"/>
  <c r="H110"/>
  <c r="H109" s="1"/>
  <c r="G110"/>
  <c r="F110"/>
  <c r="F109" s="1"/>
  <c r="E110"/>
  <c r="D110"/>
  <c r="C110"/>
  <c r="B110"/>
  <c r="A110"/>
  <c r="O109"/>
  <c r="N109"/>
  <c r="C109"/>
  <c r="B109"/>
  <c r="A109"/>
  <c r="N108"/>
  <c r="L108"/>
  <c r="J108"/>
  <c r="I108"/>
  <c r="H108"/>
  <c r="G108"/>
  <c r="F108"/>
  <c r="E108"/>
  <c r="D108"/>
  <c r="C108"/>
  <c r="B108"/>
  <c r="A108"/>
  <c r="N107"/>
  <c r="L107"/>
  <c r="J107"/>
  <c r="I107"/>
  <c r="H107"/>
  <c r="G107"/>
  <c r="F107"/>
  <c r="E107"/>
  <c r="D107"/>
  <c r="C107"/>
  <c r="B107"/>
  <c r="A107"/>
  <c r="N106"/>
  <c r="L106"/>
  <c r="J106"/>
  <c r="I106"/>
  <c r="H106"/>
  <c r="G106"/>
  <c r="F106"/>
  <c r="E106"/>
  <c r="D106"/>
  <c r="C106"/>
  <c r="B106"/>
  <c r="A106"/>
  <c r="N105"/>
  <c r="L105"/>
  <c r="J105"/>
  <c r="I105"/>
  <c r="H105"/>
  <c r="H104" s="1"/>
  <c r="G105"/>
  <c r="F105"/>
  <c r="E105"/>
  <c r="D105"/>
  <c r="C105"/>
  <c r="B105"/>
  <c r="A105"/>
  <c r="O104"/>
  <c r="N104"/>
  <c r="C104"/>
  <c r="B104"/>
  <c r="A104"/>
  <c r="P103"/>
  <c r="M103"/>
  <c r="H103"/>
  <c r="G103"/>
  <c r="F103"/>
  <c r="C103"/>
  <c r="B103"/>
  <c r="A103"/>
  <c r="P102"/>
  <c r="O102"/>
  <c r="N102"/>
  <c r="L102"/>
  <c r="J102"/>
  <c r="I102"/>
  <c r="H102"/>
  <c r="G102"/>
  <c r="F102"/>
  <c r="E102"/>
  <c r="D102"/>
  <c r="C102"/>
  <c r="B102"/>
  <c r="A102"/>
  <c r="P101"/>
  <c r="O101"/>
  <c r="N101"/>
  <c r="L101"/>
  <c r="J101"/>
  <c r="I101"/>
  <c r="H101"/>
  <c r="G101"/>
  <c r="F101"/>
  <c r="E101"/>
  <c r="D101"/>
  <c r="C101"/>
  <c r="B101"/>
  <c r="A101"/>
  <c r="P100"/>
  <c r="O100"/>
  <c r="N100"/>
  <c r="L100"/>
  <c r="J100"/>
  <c r="I100"/>
  <c r="H100"/>
  <c r="G100"/>
  <c r="F100"/>
  <c r="E100"/>
  <c r="D100"/>
  <c r="C100"/>
  <c r="B100"/>
  <c r="A100"/>
  <c r="P99"/>
  <c r="O99"/>
  <c r="N99"/>
  <c r="L99"/>
  <c r="J99"/>
  <c r="I99"/>
  <c r="H99"/>
  <c r="G99"/>
  <c r="F99"/>
  <c r="E99"/>
  <c r="D99"/>
  <c r="C99"/>
  <c r="B99"/>
  <c r="A99"/>
  <c r="N98"/>
  <c r="L98"/>
  <c r="J98"/>
  <c r="I98"/>
  <c r="H98"/>
  <c r="G98"/>
  <c r="F98"/>
  <c r="E98"/>
  <c r="D98"/>
  <c r="C98"/>
  <c r="B98"/>
  <c r="A98"/>
  <c r="O97"/>
  <c r="N97"/>
  <c r="L97"/>
  <c r="J97"/>
  <c r="I97"/>
  <c r="H97"/>
  <c r="G97"/>
  <c r="F97"/>
  <c r="E97"/>
  <c r="D97"/>
  <c r="C97"/>
  <c r="B97"/>
  <c r="A97"/>
  <c r="N96"/>
  <c r="L96"/>
  <c r="J96"/>
  <c r="I96"/>
  <c r="H96"/>
  <c r="G96"/>
  <c r="F96"/>
  <c r="E96"/>
  <c r="D96"/>
  <c r="C96"/>
  <c r="B96"/>
  <c r="A96"/>
  <c r="N95"/>
  <c r="L95"/>
  <c r="J95"/>
  <c r="I95"/>
  <c r="H95"/>
  <c r="G95"/>
  <c r="F95"/>
  <c r="E95"/>
  <c r="D95"/>
  <c r="C95"/>
  <c r="B95"/>
  <c r="A95"/>
  <c r="P94"/>
  <c r="O94"/>
  <c r="N94"/>
  <c r="L94"/>
  <c r="J94"/>
  <c r="I94"/>
  <c r="H94"/>
  <c r="G94"/>
  <c r="F94"/>
  <c r="E94"/>
  <c r="D94"/>
  <c r="C94"/>
  <c r="B94"/>
  <c r="A94"/>
  <c r="N93"/>
  <c r="L93"/>
  <c r="J93"/>
  <c r="I93"/>
  <c r="H93"/>
  <c r="G93"/>
  <c r="F93"/>
  <c r="E93"/>
  <c r="D93"/>
  <c r="C93"/>
  <c r="B93"/>
  <c r="A93"/>
  <c r="P92"/>
  <c r="O92"/>
  <c r="N92"/>
  <c r="L92"/>
  <c r="J92"/>
  <c r="I92"/>
  <c r="H92"/>
  <c r="G92"/>
  <c r="F92"/>
  <c r="E92"/>
  <c r="D92"/>
  <c r="C92"/>
  <c r="B92"/>
  <c r="A92"/>
  <c r="P91"/>
  <c r="O91"/>
  <c r="N91"/>
  <c r="L91"/>
  <c r="J91"/>
  <c r="I91"/>
  <c r="H91"/>
  <c r="G91"/>
  <c r="F91"/>
  <c r="E91"/>
  <c r="D91"/>
  <c r="C91"/>
  <c r="B91"/>
  <c r="A91"/>
  <c r="P90"/>
  <c r="O90"/>
  <c r="N90"/>
  <c r="L90"/>
  <c r="J90"/>
  <c r="I90"/>
  <c r="H90"/>
  <c r="G90"/>
  <c r="F90"/>
  <c r="E90"/>
  <c r="D90"/>
  <c r="C90"/>
  <c r="B90"/>
  <c r="A90"/>
  <c r="P89"/>
  <c r="O89"/>
  <c r="N89"/>
  <c r="L89"/>
  <c r="J89"/>
  <c r="I89"/>
  <c r="H89"/>
  <c r="G89"/>
  <c r="F89"/>
  <c r="E89"/>
  <c r="D89"/>
  <c r="C89"/>
  <c r="B89"/>
  <c r="A89"/>
  <c r="P88"/>
  <c r="O88"/>
  <c r="N88"/>
  <c r="L88"/>
  <c r="J88"/>
  <c r="I88"/>
  <c r="H88"/>
  <c r="G88"/>
  <c r="F88"/>
  <c r="E88"/>
  <c r="D88"/>
  <c r="C88"/>
  <c r="B88"/>
  <c r="A88"/>
  <c r="P87"/>
  <c r="O87"/>
  <c r="N87"/>
  <c r="L87"/>
  <c r="J87"/>
  <c r="I87"/>
  <c r="H87"/>
  <c r="G87"/>
  <c r="F87"/>
  <c r="E87"/>
  <c r="D87"/>
  <c r="C87"/>
  <c r="B87"/>
  <c r="A87"/>
  <c r="C86"/>
  <c r="B86"/>
  <c r="A86"/>
  <c r="P85"/>
  <c r="O85"/>
  <c r="N85"/>
  <c r="L85"/>
  <c r="J85"/>
  <c r="I85"/>
  <c r="H85"/>
  <c r="G85"/>
  <c r="F85"/>
  <c r="E85"/>
  <c r="D85"/>
  <c r="C85"/>
  <c r="B85"/>
  <c r="A85"/>
  <c r="P84"/>
  <c r="O84"/>
  <c r="N84"/>
  <c r="L84"/>
  <c r="J84"/>
  <c r="I84"/>
  <c r="H84"/>
  <c r="G84"/>
  <c r="F84"/>
  <c r="E84"/>
  <c r="D84"/>
  <c r="C84"/>
  <c r="B84"/>
  <c r="A84"/>
  <c r="P83"/>
  <c r="O83"/>
  <c r="N83"/>
  <c r="L83"/>
  <c r="J83"/>
  <c r="I83"/>
  <c r="H83"/>
  <c r="G83"/>
  <c r="F83"/>
  <c r="E83"/>
  <c r="D83"/>
  <c r="C83"/>
  <c r="B83"/>
  <c r="A83"/>
  <c r="N82"/>
  <c r="L82"/>
  <c r="J82"/>
  <c r="I82"/>
  <c r="H82"/>
  <c r="G82"/>
  <c r="F82"/>
  <c r="E82"/>
  <c r="D82"/>
  <c r="C82"/>
  <c r="B82"/>
  <c r="A82"/>
  <c r="N81"/>
  <c r="L81"/>
  <c r="J81"/>
  <c r="I81"/>
  <c r="H81"/>
  <c r="G81"/>
  <c r="F81"/>
  <c r="E81"/>
  <c r="D81"/>
  <c r="C81"/>
  <c r="B81"/>
  <c r="A81"/>
  <c r="P80"/>
  <c r="O80"/>
  <c r="N80"/>
  <c r="L80"/>
  <c r="J80"/>
  <c r="I80"/>
  <c r="H80"/>
  <c r="G80"/>
  <c r="F80"/>
  <c r="E80"/>
  <c r="D80"/>
  <c r="C80"/>
  <c r="B80"/>
  <c r="A80"/>
  <c r="P79"/>
  <c r="O79"/>
  <c r="N79"/>
  <c r="L79"/>
  <c r="J79"/>
  <c r="I79"/>
  <c r="H79"/>
  <c r="G79"/>
  <c r="F79"/>
  <c r="E79"/>
  <c r="D79"/>
  <c r="C79"/>
  <c r="B79"/>
  <c r="A79"/>
  <c r="P78"/>
  <c r="O78"/>
  <c r="N78"/>
  <c r="L78"/>
  <c r="J78"/>
  <c r="I78"/>
  <c r="H78"/>
  <c r="G78"/>
  <c r="F78"/>
  <c r="E78"/>
  <c r="D78"/>
  <c r="C78"/>
  <c r="B78"/>
  <c r="A78"/>
  <c r="P77"/>
  <c r="O77"/>
  <c r="N77"/>
  <c r="L77"/>
  <c r="J77"/>
  <c r="I77"/>
  <c r="H77"/>
  <c r="G77"/>
  <c r="F77"/>
  <c r="E77"/>
  <c r="D77"/>
  <c r="C77"/>
  <c r="B77"/>
  <c r="A77"/>
  <c r="P76"/>
  <c r="O76"/>
  <c r="N76"/>
  <c r="L76"/>
  <c r="J76"/>
  <c r="I76"/>
  <c r="H76"/>
  <c r="G76"/>
  <c r="F76"/>
  <c r="E76"/>
  <c r="D76"/>
  <c r="C76"/>
  <c r="B76"/>
  <c r="A76"/>
  <c r="C75"/>
  <c r="B75"/>
  <c r="A75"/>
  <c r="P74"/>
  <c r="O74"/>
  <c r="N74"/>
  <c r="L74"/>
  <c r="J74"/>
  <c r="I74"/>
  <c r="H74"/>
  <c r="G74"/>
  <c r="F74"/>
  <c r="E74"/>
  <c r="D74"/>
  <c r="C74"/>
  <c r="B74"/>
  <c r="A74"/>
  <c r="P73"/>
  <c r="O73"/>
  <c r="N73"/>
  <c r="L73"/>
  <c r="J73"/>
  <c r="I73"/>
  <c r="H73"/>
  <c r="G73"/>
  <c r="F73"/>
  <c r="E73"/>
  <c r="D73"/>
  <c r="C73"/>
  <c r="B73"/>
  <c r="A73"/>
  <c r="P72"/>
  <c r="O72"/>
  <c r="N72"/>
  <c r="L72"/>
  <c r="J72"/>
  <c r="I72"/>
  <c r="H72"/>
  <c r="G72"/>
  <c r="F72"/>
  <c r="E72"/>
  <c r="D72"/>
  <c r="C72"/>
  <c r="B72"/>
  <c r="A72"/>
  <c r="P71"/>
  <c r="O71"/>
  <c r="N71"/>
  <c r="L71"/>
  <c r="J71"/>
  <c r="I71"/>
  <c r="H71"/>
  <c r="G71"/>
  <c r="F71"/>
  <c r="E71"/>
  <c r="D71"/>
  <c r="C71"/>
  <c r="B71"/>
  <c r="A71"/>
  <c r="N70"/>
  <c r="L70"/>
  <c r="J70"/>
  <c r="I70"/>
  <c r="H70"/>
  <c r="G70"/>
  <c r="F70"/>
  <c r="E70"/>
  <c r="D70"/>
  <c r="C70"/>
  <c r="B70"/>
  <c r="A70"/>
  <c r="N69"/>
  <c r="L69"/>
  <c r="J69"/>
  <c r="I69"/>
  <c r="H69"/>
  <c r="G69"/>
  <c r="F69"/>
  <c r="E69"/>
  <c r="D69"/>
  <c r="C69"/>
  <c r="B69"/>
  <c r="A69"/>
  <c r="N68"/>
  <c r="L68"/>
  <c r="J68"/>
  <c r="I68"/>
  <c r="H68"/>
  <c r="G68"/>
  <c r="F68"/>
  <c r="E68"/>
  <c r="D68"/>
  <c r="C68"/>
  <c r="B68"/>
  <c r="A68"/>
  <c r="N67"/>
  <c r="L67"/>
  <c r="J67"/>
  <c r="I67"/>
  <c r="H67"/>
  <c r="G67"/>
  <c r="F67"/>
  <c r="E67"/>
  <c r="D67"/>
  <c r="C67"/>
  <c r="B67"/>
  <c r="A67"/>
  <c r="N66"/>
  <c r="L66"/>
  <c r="J66"/>
  <c r="I66"/>
  <c r="H66"/>
  <c r="G66"/>
  <c r="F66"/>
  <c r="E66"/>
  <c r="D66"/>
  <c r="C66"/>
  <c r="B66"/>
  <c r="A66"/>
  <c r="P65"/>
  <c r="O65"/>
  <c r="N65"/>
  <c r="L65"/>
  <c r="J65"/>
  <c r="I65"/>
  <c r="H65"/>
  <c r="G65"/>
  <c r="F65"/>
  <c r="E65"/>
  <c r="D65"/>
  <c r="C65"/>
  <c r="B65"/>
  <c r="A65"/>
  <c r="P64"/>
  <c r="O64"/>
  <c r="N64"/>
  <c r="L64"/>
  <c r="J64"/>
  <c r="I64"/>
  <c r="H64"/>
  <c r="G64"/>
  <c r="F64"/>
  <c r="E64"/>
  <c r="D64"/>
  <c r="C64"/>
  <c r="B64"/>
  <c r="A64"/>
  <c r="P63"/>
  <c r="O63"/>
  <c r="N63"/>
  <c r="L63"/>
  <c r="J63"/>
  <c r="I63"/>
  <c r="H63"/>
  <c r="G63"/>
  <c r="F63"/>
  <c r="E63"/>
  <c r="D63"/>
  <c r="C63"/>
  <c r="B63"/>
  <c r="A63"/>
  <c r="P62"/>
  <c r="O62"/>
  <c r="N62"/>
  <c r="L62"/>
  <c r="J62"/>
  <c r="I62"/>
  <c r="H62"/>
  <c r="G62"/>
  <c r="F62"/>
  <c r="E62"/>
  <c r="D62"/>
  <c r="C62"/>
  <c r="B62"/>
  <c r="A62"/>
  <c r="P61"/>
  <c r="O61"/>
  <c r="N61"/>
  <c r="L61"/>
  <c r="J61"/>
  <c r="I61"/>
  <c r="H61"/>
  <c r="G61"/>
  <c r="F61"/>
  <c r="E61"/>
  <c r="D61"/>
  <c r="C61"/>
  <c r="B61"/>
  <c r="A61"/>
  <c r="C60"/>
  <c r="B60"/>
  <c r="A60"/>
  <c r="C59"/>
  <c r="B59"/>
  <c r="A59"/>
  <c r="P58"/>
  <c r="O58"/>
  <c r="N58"/>
  <c r="L58"/>
  <c r="J58"/>
  <c r="I58"/>
  <c r="H58"/>
  <c r="G58"/>
  <c r="F58"/>
  <c r="E58"/>
  <c r="D58"/>
  <c r="C58"/>
  <c r="B58"/>
  <c r="A58"/>
  <c r="P57"/>
  <c r="O57"/>
  <c r="N57"/>
  <c r="L57"/>
  <c r="J57"/>
  <c r="I57"/>
  <c r="H57"/>
  <c r="G57"/>
  <c r="F57"/>
  <c r="E57"/>
  <c r="D57"/>
  <c r="C57"/>
  <c r="B57"/>
  <c r="A57"/>
  <c r="P56"/>
  <c r="O56"/>
  <c r="N56"/>
  <c r="L56"/>
  <c r="J56"/>
  <c r="I56"/>
  <c r="H56"/>
  <c r="G56"/>
  <c r="F56"/>
  <c r="E56"/>
  <c r="D56"/>
  <c r="C56"/>
  <c r="B56"/>
  <c r="A56"/>
  <c r="P55"/>
  <c r="O55"/>
  <c r="N55"/>
  <c r="L55"/>
  <c r="J55"/>
  <c r="I55"/>
  <c r="H55"/>
  <c r="G55"/>
  <c r="F55"/>
  <c r="E55"/>
  <c r="D55"/>
  <c r="C55"/>
  <c r="B55"/>
  <c r="A55"/>
  <c r="P54"/>
  <c r="O54"/>
  <c r="N54"/>
  <c r="L54"/>
  <c r="J54"/>
  <c r="I54"/>
  <c r="H54"/>
  <c r="G54"/>
  <c r="F54"/>
  <c r="E54"/>
  <c r="D54"/>
  <c r="C54"/>
  <c r="B54"/>
  <c r="A54"/>
  <c r="P53"/>
  <c r="O53"/>
  <c r="N53"/>
  <c r="L53"/>
  <c r="J53"/>
  <c r="I53"/>
  <c r="H53"/>
  <c r="G53"/>
  <c r="F53"/>
  <c r="E53"/>
  <c r="D53"/>
  <c r="C53"/>
  <c r="B53"/>
  <c r="A53"/>
  <c r="P52"/>
  <c r="O52"/>
  <c r="N52"/>
  <c r="L52"/>
  <c r="J52"/>
  <c r="I52"/>
  <c r="H52"/>
  <c r="G52"/>
  <c r="F52"/>
  <c r="E52"/>
  <c r="D52"/>
  <c r="C52"/>
  <c r="B52"/>
  <c r="A52"/>
  <c r="P51"/>
  <c r="O51"/>
  <c r="N51"/>
  <c r="L51"/>
  <c r="J51"/>
  <c r="I51"/>
  <c r="H51"/>
  <c r="G51"/>
  <c r="F51"/>
  <c r="E51"/>
  <c r="D51"/>
  <c r="C51"/>
  <c r="B51"/>
  <c r="A51"/>
  <c r="O50"/>
  <c r="N50"/>
  <c r="L50"/>
  <c r="K50"/>
  <c r="J50"/>
  <c r="I50"/>
  <c r="C50"/>
  <c r="B50"/>
  <c r="A50"/>
  <c r="P49"/>
  <c r="O49"/>
  <c r="N49"/>
  <c r="L49"/>
  <c r="J49"/>
  <c r="I49"/>
  <c r="H49"/>
  <c r="G49"/>
  <c r="F49"/>
  <c r="E49"/>
  <c r="D49"/>
  <c r="C49"/>
  <c r="B49"/>
  <c r="A49"/>
  <c r="P48"/>
  <c r="O48"/>
  <c r="N48"/>
  <c r="L48"/>
  <c r="J48"/>
  <c r="I48"/>
  <c r="H48"/>
  <c r="G48"/>
  <c r="F48"/>
  <c r="E48"/>
  <c r="D48"/>
  <c r="C48"/>
  <c r="B48"/>
  <c r="A48"/>
  <c r="N47"/>
  <c r="L47"/>
  <c r="J47"/>
  <c r="I47"/>
  <c r="H47"/>
  <c r="G47"/>
  <c r="F47"/>
  <c r="E47"/>
  <c r="D47"/>
  <c r="C47"/>
  <c r="B47"/>
  <c r="A47"/>
  <c r="N46"/>
  <c r="L46"/>
  <c r="J46"/>
  <c r="I46"/>
  <c r="H46"/>
  <c r="G46"/>
  <c r="F46"/>
  <c r="E46"/>
  <c r="D46"/>
  <c r="C46"/>
  <c r="B46"/>
  <c r="A46"/>
  <c r="P45"/>
  <c r="O45"/>
  <c r="N45"/>
  <c r="L45"/>
  <c r="J45"/>
  <c r="I45"/>
  <c r="H45"/>
  <c r="G45"/>
  <c r="F45"/>
  <c r="E45"/>
  <c r="D45"/>
  <c r="C45"/>
  <c r="B45"/>
  <c r="A45"/>
  <c r="P44"/>
  <c r="O44"/>
  <c r="N44"/>
  <c r="L44"/>
  <c r="J44"/>
  <c r="I44"/>
  <c r="H44"/>
  <c r="G44"/>
  <c r="F44"/>
  <c r="E44"/>
  <c r="D44"/>
  <c r="C44"/>
  <c r="B44"/>
  <c r="A44"/>
  <c r="P43"/>
  <c r="O43"/>
  <c r="N43"/>
  <c r="L43"/>
  <c r="J43"/>
  <c r="I43"/>
  <c r="H43"/>
  <c r="G43"/>
  <c r="F43"/>
  <c r="E43"/>
  <c r="D43"/>
  <c r="C43"/>
  <c r="B43"/>
  <c r="A43"/>
  <c r="P42"/>
  <c r="O42"/>
  <c r="N42"/>
  <c r="L42"/>
  <c r="J42"/>
  <c r="I42"/>
  <c r="H42"/>
  <c r="G42"/>
  <c r="F42"/>
  <c r="E42"/>
  <c r="D42"/>
  <c r="C42"/>
  <c r="B42"/>
  <c r="A42"/>
  <c r="P41"/>
  <c r="O41"/>
  <c r="N41"/>
  <c r="L41"/>
  <c r="J41"/>
  <c r="I41"/>
  <c r="H41"/>
  <c r="G41"/>
  <c r="F41"/>
  <c r="E41"/>
  <c r="D41"/>
  <c r="C41"/>
  <c r="B41"/>
  <c r="A41"/>
  <c r="O40"/>
  <c r="N40"/>
  <c r="L40"/>
  <c r="K40"/>
  <c r="J40"/>
  <c r="I40"/>
  <c r="F40"/>
  <c r="C40"/>
  <c r="B40"/>
  <c r="A40"/>
  <c r="P39"/>
  <c r="O39"/>
  <c r="N39"/>
  <c r="L39"/>
  <c r="J39"/>
  <c r="I39"/>
  <c r="H39"/>
  <c r="G39"/>
  <c r="F39"/>
  <c r="E39"/>
  <c r="D39"/>
  <c r="C39"/>
  <c r="B39"/>
  <c r="A39"/>
  <c r="O38"/>
  <c r="N38"/>
  <c r="L38"/>
  <c r="J38"/>
  <c r="I38"/>
  <c r="H38"/>
  <c r="G38"/>
  <c r="F38"/>
  <c r="E38"/>
  <c r="D38"/>
  <c r="C38"/>
  <c r="B38"/>
  <c r="A38"/>
  <c r="N37"/>
  <c r="L37"/>
  <c r="J37"/>
  <c r="I37"/>
  <c r="H37"/>
  <c r="G37"/>
  <c r="F37"/>
  <c r="E37"/>
  <c r="D37"/>
  <c r="C37"/>
  <c r="B37"/>
  <c r="A37"/>
  <c r="P36"/>
  <c r="O36"/>
  <c r="N36"/>
  <c r="L36"/>
  <c r="J36"/>
  <c r="I36"/>
  <c r="H36"/>
  <c r="G36"/>
  <c r="F36"/>
  <c r="E36"/>
  <c r="D36"/>
  <c r="C36"/>
  <c r="B36"/>
  <c r="A36"/>
  <c r="P35"/>
  <c r="O35"/>
  <c r="N35"/>
  <c r="L35"/>
  <c r="J35"/>
  <c r="I35"/>
  <c r="H35"/>
  <c r="G35"/>
  <c r="F35"/>
  <c r="E35"/>
  <c r="D35"/>
  <c r="C35"/>
  <c r="B35"/>
  <c r="A35"/>
  <c r="P34"/>
  <c r="O34"/>
  <c r="N34"/>
  <c r="L34"/>
  <c r="J34"/>
  <c r="I34"/>
  <c r="H34"/>
  <c r="G34"/>
  <c r="F34"/>
  <c r="E34"/>
  <c r="D34"/>
  <c r="C34"/>
  <c r="B34"/>
  <c r="A34"/>
  <c r="P33"/>
  <c r="O33"/>
  <c r="N33"/>
  <c r="L33"/>
  <c r="J33"/>
  <c r="I33"/>
  <c r="H33"/>
  <c r="G33"/>
  <c r="F33"/>
  <c r="E33"/>
  <c r="D33"/>
  <c r="C33"/>
  <c r="B33"/>
  <c r="A33"/>
  <c r="P32"/>
  <c r="O32"/>
  <c r="N32"/>
  <c r="L32"/>
  <c r="J32"/>
  <c r="I32"/>
  <c r="H32"/>
  <c r="G32"/>
  <c r="F32"/>
  <c r="E32"/>
  <c r="D32"/>
  <c r="C32"/>
  <c r="B32"/>
  <c r="A32"/>
  <c r="P31"/>
  <c r="O31"/>
  <c r="N31"/>
  <c r="L31"/>
  <c r="J31"/>
  <c r="I31"/>
  <c r="H31"/>
  <c r="G31"/>
  <c r="F31"/>
  <c r="E31"/>
  <c r="D31"/>
  <c r="C31"/>
  <c r="B31"/>
  <c r="A31"/>
  <c r="P30"/>
  <c r="O30"/>
  <c r="N30"/>
  <c r="L30"/>
  <c r="J30"/>
  <c r="I30"/>
  <c r="H30"/>
  <c r="G30"/>
  <c r="F30"/>
  <c r="E30"/>
  <c r="D30"/>
  <c r="C30"/>
  <c r="B30"/>
  <c r="A30"/>
  <c r="N29"/>
  <c r="L29"/>
  <c r="J29"/>
  <c r="I29"/>
  <c r="H29"/>
  <c r="G29"/>
  <c r="F29"/>
  <c r="E29"/>
  <c r="D29"/>
  <c r="C29"/>
  <c r="B29"/>
  <c r="A29"/>
  <c r="P28"/>
  <c r="O28"/>
  <c r="N28"/>
  <c r="L28"/>
  <c r="J28"/>
  <c r="I28"/>
  <c r="H28"/>
  <c r="G28"/>
  <c r="F28"/>
  <c r="E28"/>
  <c r="D28"/>
  <c r="C28"/>
  <c r="B28"/>
  <c r="A28"/>
  <c r="P27"/>
  <c r="O27"/>
  <c r="N27"/>
  <c r="L27"/>
  <c r="J27"/>
  <c r="I27"/>
  <c r="H27"/>
  <c r="G27"/>
  <c r="F27"/>
  <c r="E27"/>
  <c r="E26" s="1"/>
  <c r="D27"/>
  <c r="C27"/>
  <c r="B27"/>
  <c r="A27"/>
  <c r="O26"/>
  <c r="N26"/>
  <c r="L26"/>
  <c r="K26"/>
  <c r="J26"/>
  <c r="I26"/>
  <c r="C26"/>
  <c r="B26"/>
  <c r="A26"/>
  <c r="P25"/>
  <c r="O25"/>
  <c r="N25"/>
  <c r="L25"/>
  <c r="J25"/>
  <c r="I25"/>
  <c r="H25"/>
  <c r="G25"/>
  <c r="F25"/>
  <c r="E25"/>
  <c r="D25"/>
  <c r="C25"/>
  <c r="B25"/>
  <c r="A25"/>
  <c r="P24"/>
  <c r="O24"/>
  <c r="N24"/>
  <c r="L24"/>
  <c r="J24"/>
  <c r="I24"/>
  <c r="H24"/>
  <c r="G24"/>
  <c r="F24"/>
  <c r="E24"/>
  <c r="D24"/>
  <c r="C24"/>
  <c r="B24"/>
  <c r="A24"/>
  <c r="P23"/>
  <c r="O23"/>
  <c r="N23"/>
  <c r="L23"/>
  <c r="J23"/>
  <c r="I23"/>
  <c r="H23"/>
  <c r="G23"/>
  <c r="F23"/>
  <c r="E23"/>
  <c r="D23"/>
  <c r="C23"/>
  <c r="B23"/>
  <c r="A23"/>
  <c r="P22"/>
  <c r="O22"/>
  <c r="N22"/>
  <c r="L22"/>
  <c r="J22"/>
  <c r="I22"/>
  <c r="H22"/>
  <c r="G22"/>
  <c r="F22"/>
  <c r="E22"/>
  <c r="D22"/>
  <c r="C22"/>
  <c r="B22"/>
  <c r="A22"/>
  <c r="P21"/>
  <c r="O21"/>
  <c r="N21"/>
  <c r="L21"/>
  <c r="J21"/>
  <c r="I21"/>
  <c r="H21"/>
  <c r="G21"/>
  <c r="F21"/>
  <c r="E21"/>
  <c r="D21"/>
  <c r="C21"/>
  <c r="B21"/>
  <c r="A21"/>
  <c r="P20"/>
  <c r="O20"/>
  <c r="N20"/>
  <c r="L20"/>
  <c r="J20"/>
  <c r="I20"/>
  <c r="H20"/>
  <c r="G20"/>
  <c r="F20"/>
  <c r="E20"/>
  <c r="D20"/>
  <c r="C20"/>
  <c r="B20"/>
  <c r="A20"/>
  <c r="P19"/>
  <c r="O19"/>
  <c r="N19"/>
  <c r="L19"/>
  <c r="J19"/>
  <c r="I19"/>
  <c r="H19"/>
  <c r="G19"/>
  <c r="F19"/>
  <c r="E19"/>
  <c r="D19"/>
  <c r="C19"/>
  <c r="B19"/>
  <c r="A19"/>
  <c r="P18"/>
  <c r="O18"/>
  <c r="N18"/>
  <c r="L18"/>
  <c r="J18"/>
  <c r="I18"/>
  <c r="H18"/>
  <c r="G18"/>
  <c r="F18"/>
  <c r="E18"/>
  <c r="D18"/>
  <c r="C18"/>
  <c r="B18"/>
  <c r="A18"/>
  <c r="P17"/>
  <c r="O17"/>
  <c r="N17"/>
  <c r="L17"/>
  <c r="J17"/>
  <c r="I17"/>
  <c r="H17"/>
  <c r="G17"/>
  <c r="F17"/>
  <c r="E17"/>
  <c r="D17"/>
  <c r="C17"/>
  <c r="B17"/>
  <c r="A17"/>
  <c r="P16"/>
  <c r="O16"/>
  <c r="N16"/>
  <c r="L16"/>
  <c r="J16"/>
  <c r="I16"/>
  <c r="H16"/>
  <c r="G16"/>
  <c r="F16"/>
  <c r="F15" s="1"/>
  <c r="E16"/>
  <c r="D16"/>
  <c r="C16"/>
  <c r="B16"/>
  <c r="A16"/>
  <c r="C15"/>
  <c r="B15"/>
  <c r="A15"/>
  <c r="C14"/>
  <c r="B14"/>
  <c r="A14"/>
  <c r="C13"/>
  <c r="B13"/>
  <c r="A13"/>
  <c r="C12"/>
  <c r="B12"/>
  <c r="A12"/>
  <c r="P11"/>
  <c r="P10" s="1"/>
  <c r="O11"/>
  <c r="N11"/>
  <c r="L11"/>
  <c r="J11"/>
  <c r="I11"/>
  <c r="H11"/>
  <c r="H10" s="1"/>
  <c r="G11"/>
  <c r="G10" s="1"/>
  <c r="F11"/>
  <c r="F10" s="1"/>
  <c r="E11"/>
  <c r="D11"/>
  <c r="C11"/>
  <c r="B11"/>
  <c r="A11"/>
  <c r="C10"/>
  <c r="B10"/>
  <c r="A10"/>
  <c r="P9"/>
  <c r="P8" s="1"/>
  <c r="O9"/>
  <c r="N9"/>
  <c r="L9"/>
  <c r="J9"/>
  <c r="I9"/>
  <c r="H9"/>
  <c r="H8" s="1"/>
  <c r="H7" s="1"/>
  <c r="H6" s="1"/>
  <c r="G9"/>
  <c r="G8" s="1"/>
  <c r="G7" s="1"/>
  <c r="G6" s="1"/>
  <c r="F9"/>
  <c r="F8" s="1"/>
  <c r="E9"/>
  <c r="D9"/>
  <c r="C9"/>
  <c r="B9"/>
  <c r="A9"/>
  <c r="C8"/>
  <c r="B8"/>
  <c r="A8"/>
  <c r="C7"/>
  <c r="B7"/>
  <c r="A7"/>
  <c r="C6"/>
  <c r="B6"/>
  <c r="A6"/>
  <c r="C2"/>
  <c r="A2"/>
  <c r="P33" i="23"/>
  <c r="N33"/>
  <c r="L33"/>
  <c r="K33"/>
  <c r="J33"/>
  <c r="I33"/>
  <c r="H33"/>
  <c r="G33"/>
  <c r="F33"/>
  <c r="E33"/>
  <c r="D33"/>
  <c r="C33"/>
  <c r="B33"/>
  <c r="A33"/>
  <c r="P32"/>
  <c r="N32"/>
  <c r="L32"/>
  <c r="K32"/>
  <c r="J32"/>
  <c r="I32"/>
  <c r="H32"/>
  <c r="G32"/>
  <c r="F32"/>
  <c r="E32"/>
  <c r="D32"/>
  <c r="C32"/>
  <c r="B32"/>
  <c r="A32"/>
  <c r="P31"/>
  <c r="N31"/>
  <c r="L31"/>
  <c r="K31"/>
  <c r="J31"/>
  <c r="I31"/>
  <c r="H31"/>
  <c r="G31"/>
  <c r="F31"/>
  <c r="E31"/>
  <c r="D31"/>
  <c r="C31"/>
  <c r="B31"/>
  <c r="A31"/>
  <c r="P30"/>
  <c r="N30"/>
  <c r="L30"/>
  <c r="K30"/>
  <c r="J30"/>
  <c r="I30"/>
  <c r="H30"/>
  <c r="G30"/>
  <c r="F30"/>
  <c r="E30"/>
  <c r="D30"/>
  <c r="C30"/>
  <c r="B30"/>
  <c r="A30"/>
  <c r="R29"/>
  <c r="C29"/>
  <c r="A29"/>
  <c r="P28"/>
  <c r="N28"/>
  <c r="L28"/>
  <c r="K28"/>
  <c r="J28"/>
  <c r="I28"/>
  <c r="H28"/>
  <c r="G28"/>
  <c r="F28"/>
  <c r="E28"/>
  <c r="D28"/>
  <c r="C28"/>
  <c r="A28"/>
  <c r="R27"/>
  <c r="C27"/>
  <c r="A27"/>
  <c r="P26"/>
  <c r="N26"/>
  <c r="L26"/>
  <c r="K26"/>
  <c r="J26"/>
  <c r="I26"/>
  <c r="H26"/>
  <c r="G26"/>
  <c r="F26"/>
  <c r="E26"/>
  <c r="D26"/>
  <c r="C26"/>
  <c r="B26"/>
  <c r="A26"/>
  <c r="R25"/>
  <c r="C25"/>
  <c r="A25"/>
  <c r="P24"/>
  <c r="N24"/>
  <c r="L24"/>
  <c r="K24"/>
  <c r="J24"/>
  <c r="I24"/>
  <c r="H24"/>
  <c r="G24"/>
  <c r="F24"/>
  <c r="E24"/>
  <c r="D24"/>
  <c r="C24"/>
  <c r="P23"/>
  <c r="N23"/>
  <c r="L23"/>
  <c r="K23"/>
  <c r="J23"/>
  <c r="I23"/>
  <c r="H23"/>
  <c r="G23"/>
  <c r="F23"/>
  <c r="E23"/>
  <c r="D23"/>
  <c r="C23"/>
  <c r="B23"/>
  <c r="P22"/>
  <c r="N22"/>
  <c r="L22"/>
  <c r="K22"/>
  <c r="J22"/>
  <c r="I22"/>
  <c r="H22"/>
  <c r="G22"/>
  <c r="F22"/>
  <c r="E22"/>
  <c r="D22"/>
  <c r="C22"/>
  <c r="B22"/>
  <c r="A22"/>
  <c r="R21"/>
  <c r="C21"/>
  <c r="A21"/>
  <c r="P20"/>
  <c r="N20"/>
  <c r="L20"/>
  <c r="K20"/>
  <c r="J20"/>
  <c r="I20"/>
  <c r="H20"/>
  <c r="G20"/>
  <c r="F20"/>
  <c r="E20"/>
  <c r="D20"/>
  <c r="C20"/>
  <c r="P19"/>
  <c r="N19"/>
  <c r="L19"/>
  <c r="K19"/>
  <c r="J19"/>
  <c r="I19"/>
  <c r="H19"/>
  <c r="G19"/>
  <c r="F19"/>
  <c r="E19"/>
  <c r="D19"/>
  <c r="C19"/>
  <c r="B19"/>
  <c r="A19"/>
  <c r="R18"/>
  <c r="C18"/>
  <c r="A18"/>
  <c r="P17"/>
  <c r="N17"/>
  <c r="M17"/>
  <c r="L17"/>
  <c r="K17"/>
  <c r="J17"/>
  <c r="I17"/>
  <c r="H17"/>
  <c r="G17"/>
  <c r="F17"/>
  <c r="E17"/>
  <c r="D17"/>
  <c r="C17"/>
  <c r="B17"/>
  <c r="A17"/>
  <c r="R16"/>
  <c r="C16"/>
  <c r="A16"/>
  <c r="P15"/>
  <c r="N15"/>
  <c r="L15"/>
  <c r="K15"/>
  <c r="J15"/>
  <c r="I15"/>
  <c r="H15"/>
  <c r="G15"/>
  <c r="F15"/>
  <c r="E15"/>
  <c r="D15"/>
  <c r="C15"/>
  <c r="A15"/>
  <c r="P14"/>
  <c r="N14"/>
  <c r="L14"/>
  <c r="K14"/>
  <c r="J14"/>
  <c r="I14"/>
  <c r="H14"/>
  <c r="G14"/>
  <c r="F14"/>
  <c r="E14"/>
  <c r="D14"/>
  <c r="C14"/>
  <c r="P13"/>
  <c r="N13"/>
  <c r="L13"/>
  <c r="K13"/>
  <c r="J13"/>
  <c r="I13"/>
  <c r="H13"/>
  <c r="G13"/>
  <c r="F13"/>
  <c r="E13"/>
  <c r="D13"/>
  <c r="C13"/>
  <c r="B13"/>
  <c r="A13"/>
  <c r="R12"/>
  <c r="C12"/>
  <c r="A12"/>
  <c r="P11"/>
  <c r="N11"/>
  <c r="L11"/>
  <c r="K11"/>
  <c r="J11"/>
  <c r="I11"/>
  <c r="H11"/>
  <c r="G11"/>
  <c r="F11"/>
  <c r="E11"/>
  <c r="D11"/>
  <c r="C11"/>
  <c r="B11"/>
  <c r="A11"/>
  <c r="R10"/>
  <c r="C10"/>
  <c r="A10"/>
  <c r="P9"/>
  <c r="N9"/>
  <c r="L9"/>
  <c r="K9"/>
  <c r="J9"/>
  <c r="I9"/>
  <c r="H9"/>
  <c r="G9"/>
  <c r="F9"/>
  <c r="E9"/>
  <c r="D9"/>
  <c r="C9"/>
  <c r="B9"/>
  <c r="A9"/>
  <c r="R8"/>
  <c r="C8"/>
  <c r="A8"/>
  <c r="P7"/>
  <c r="N7"/>
  <c r="L7"/>
  <c r="K7"/>
  <c r="J7"/>
  <c r="I7"/>
  <c r="H7"/>
  <c r="G7"/>
  <c r="F7"/>
  <c r="E7"/>
  <c r="D7"/>
  <c r="C7"/>
  <c r="B7"/>
  <c r="A7"/>
  <c r="R6"/>
  <c r="C6"/>
  <c r="A6"/>
  <c r="C3"/>
  <c r="C2"/>
  <c r="A2"/>
  <c r="P43" i="31"/>
  <c r="N43"/>
  <c r="L43"/>
  <c r="K43"/>
  <c r="J43"/>
  <c r="I43"/>
  <c r="H43"/>
  <c r="G43"/>
  <c r="F43"/>
  <c r="E43"/>
  <c r="D43"/>
  <c r="C43"/>
  <c r="B43"/>
  <c r="A43"/>
  <c r="R42"/>
  <c r="C42"/>
  <c r="A42"/>
  <c r="P41"/>
  <c r="N41"/>
  <c r="L41"/>
  <c r="K41"/>
  <c r="J41"/>
  <c r="I41"/>
  <c r="H41"/>
  <c r="G41"/>
  <c r="F41"/>
  <c r="E41"/>
  <c r="D41"/>
  <c r="C41"/>
  <c r="B41"/>
  <c r="A41"/>
  <c r="R40"/>
  <c r="C40"/>
  <c r="B40"/>
  <c r="A40"/>
  <c r="P39"/>
  <c r="N39"/>
  <c r="L39"/>
  <c r="K39"/>
  <c r="J39"/>
  <c r="I39"/>
  <c r="H39"/>
  <c r="G39"/>
  <c r="F39"/>
  <c r="E39"/>
  <c r="D39"/>
  <c r="C39"/>
  <c r="A39"/>
  <c r="P38"/>
  <c r="N38"/>
  <c r="L38"/>
  <c r="K38"/>
  <c r="J38"/>
  <c r="I38"/>
  <c r="H38"/>
  <c r="G38"/>
  <c r="F38"/>
  <c r="E38"/>
  <c r="D38"/>
  <c r="C38"/>
  <c r="A38"/>
  <c r="P37"/>
  <c r="N37"/>
  <c r="L37"/>
  <c r="K37"/>
  <c r="J37"/>
  <c r="I37"/>
  <c r="H37"/>
  <c r="G37"/>
  <c r="F37"/>
  <c r="E37"/>
  <c r="D37"/>
  <c r="C37"/>
  <c r="A37"/>
  <c r="P36"/>
  <c r="N36"/>
  <c r="L36"/>
  <c r="K36"/>
  <c r="J36"/>
  <c r="I36"/>
  <c r="H36"/>
  <c r="G36"/>
  <c r="F36"/>
  <c r="E36"/>
  <c r="D36"/>
  <c r="C36"/>
  <c r="A36"/>
  <c r="P35"/>
  <c r="N35"/>
  <c r="L35"/>
  <c r="K35"/>
  <c r="J35"/>
  <c r="I35"/>
  <c r="H35"/>
  <c r="G35"/>
  <c r="F35"/>
  <c r="E35"/>
  <c r="D35"/>
  <c r="C35"/>
  <c r="A35"/>
  <c r="P34"/>
  <c r="N34"/>
  <c r="L34"/>
  <c r="K34"/>
  <c r="J34"/>
  <c r="I34"/>
  <c r="H34"/>
  <c r="G34"/>
  <c r="F34"/>
  <c r="E34"/>
  <c r="D34"/>
  <c r="C34"/>
  <c r="A34"/>
  <c r="P33"/>
  <c r="N33"/>
  <c r="L33"/>
  <c r="K33"/>
  <c r="J33"/>
  <c r="I33"/>
  <c r="H33"/>
  <c r="G33"/>
  <c r="F33"/>
  <c r="E33"/>
  <c r="D33"/>
  <c r="C33"/>
  <c r="B33"/>
  <c r="A33"/>
  <c r="R32"/>
  <c r="C32"/>
  <c r="A32"/>
  <c r="P31"/>
  <c r="N31"/>
  <c r="L31"/>
  <c r="K31"/>
  <c r="J31"/>
  <c r="I31"/>
  <c r="H31"/>
  <c r="G31"/>
  <c r="F31"/>
  <c r="E31"/>
  <c r="D31"/>
  <c r="C31"/>
  <c r="B31"/>
  <c r="A31"/>
  <c r="R30"/>
  <c r="C30"/>
  <c r="A30"/>
  <c r="P29"/>
  <c r="N29"/>
  <c r="L29"/>
  <c r="K29"/>
  <c r="J29"/>
  <c r="I29"/>
  <c r="H29"/>
  <c r="G29"/>
  <c r="F29"/>
  <c r="E29"/>
  <c r="D29"/>
  <c r="C29"/>
  <c r="P28"/>
  <c r="N28"/>
  <c r="L28"/>
  <c r="K28"/>
  <c r="J28"/>
  <c r="I28"/>
  <c r="H28"/>
  <c r="G28"/>
  <c r="F28"/>
  <c r="E28"/>
  <c r="D28"/>
  <c r="C28"/>
  <c r="B28"/>
  <c r="A28"/>
  <c r="R27"/>
  <c r="C27"/>
  <c r="A27"/>
  <c r="P26"/>
  <c r="N26"/>
  <c r="L26"/>
  <c r="K26"/>
  <c r="J26"/>
  <c r="I26"/>
  <c r="H26"/>
  <c r="G26"/>
  <c r="F26"/>
  <c r="E26"/>
  <c r="D26"/>
  <c r="C26"/>
  <c r="B26"/>
  <c r="A26"/>
  <c r="R25"/>
  <c r="C25"/>
  <c r="B25"/>
  <c r="A25"/>
  <c r="P24"/>
  <c r="N24"/>
  <c r="L24"/>
  <c r="K24"/>
  <c r="J24"/>
  <c r="I24"/>
  <c r="H24"/>
  <c r="G24"/>
  <c r="F24"/>
  <c r="E24"/>
  <c r="D24"/>
  <c r="C24"/>
  <c r="P23"/>
  <c r="N23"/>
  <c r="L23"/>
  <c r="K23"/>
  <c r="J23"/>
  <c r="I23"/>
  <c r="H23"/>
  <c r="G23"/>
  <c r="F23"/>
  <c r="E23"/>
  <c r="D23"/>
  <c r="C23"/>
  <c r="B23"/>
  <c r="A23"/>
  <c r="R22"/>
  <c r="C22"/>
  <c r="A22"/>
  <c r="P21"/>
  <c r="N21"/>
  <c r="L21"/>
  <c r="K21"/>
  <c r="J21"/>
  <c r="I21"/>
  <c r="H21"/>
  <c r="G21"/>
  <c r="F21"/>
  <c r="E21"/>
  <c r="D21"/>
  <c r="C21"/>
  <c r="P20"/>
  <c r="N20"/>
  <c r="L20"/>
  <c r="K20"/>
  <c r="J20"/>
  <c r="I20"/>
  <c r="H20"/>
  <c r="G20"/>
  <c r="F20"/>
  <c r="E20"/>
  <c r="D20"/>
  <c r="C20"/>
  <c r="B20"/>
  <c r="A20"/>
  <c r="P19"/>
  <c r="N19"/>
  <c r="L19"/>
  <c r="K19"/>
  <c r="J19"/>
  <c r="I19"/>
  <c r="H19"/>
  <c r="G19"/>
  <c r="F19"/>
  <c r="E19"/>
  <c r="D19"/>
  <c r="C19"/>
  <c r="B19"/>
  <c r="A19"/>
  <c r="P18"/>
  <c r="N18"/>
  <c r="L18"/>
  <c r="K18"/>
  <c r="J18"/>
  <c r="I18"/>
  <c r="H18"/>
  <c r="G18"/>
  <c r="F18"/>
  <c r="E18"/>
  <c r="D18"/>
  <c r="C18"/>
  <c r="B18"/>
  <c r="P17"/>
  <c r="N17"/>
  <c r="L17"/>
  <c r="K17"/>
  <c r="J17"/>
  <c r="I17"/>
  <c r="H17"/>
  <c r="G17"/>
  <c r="F17"/>
  <c r="E17"/>
  <c r="D17"/>
  <c r="C17"/>
  <c r="B17"/>
  <c r="P16"/>
  <c r="N16"/>
  <c r="L16"/>
  <c r="K16"/>
  <c r="J16"/>
  <c r="I16"/>
  <c r="H16"/>
  <c r="G16"/>
  <c r="F16"/>
  <c r="E16"/>
  <c r="D16"/>
  <c r="C16"/>
  <c r="B16"/>
  <c r="P15"/>
  <c r="N15"/>
  <c r="L15"/>
  <c r="K15"/>
  <c r="J15"/>
  <c r="I15"/>
  <c r="H15"/>
  <c r="G15"/>
  <c r="F15"/>
  <c r="E15"/>
  <c r="D15"/>
  <c r="C15"/>
  <c r="B15"/>
  <c r="P14"/>
  <c r="N14"/>
  <c r="L14"/>
  <c r="K14"/>
  <c r="J14"/>
  <c r="I14"/>
  <c r="H14"/>
  <c r="G14"/>
  <c r="F14"/>
  <c r="E14"/>
  <c r="D14"/>
  <c r="C14"/>
  <c r="B14"/>
  <c r="A14"/>
  <c r="R13"/>
  <c r="C13"/>
  <c r="A13"/>
  <c r="P12"/>
  <c r="N12"/>
  <c r="L12"/>
  <c r="K12"/>
  <c r="J12"/>
  <c r="I12"/>
  <c r="H12"/>
  <c r="G12"/>
  <c r="F12"/>
  <c r="E12"/>
  <c r="D12"/>
  <c r="C12"/>
  <c r="B12"/>
  <c r="A12"/>
  <c r="R11"/>
  <c r="C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F2" s="1"/>
  <c r="C6"/>
  <c r="A6"/>
  <c r="C3"/>
  <c r="C2"/>
  <c r="A2"/>
  <c r="P17" i="75"/>
  <c r="N17"/>
  <c r="L17"/>
  <c r="K17"/>
  <c r="J17"/>
  <c r="I17"/>
  <c r="H17"/>
  <c r="G17"/>
  <c r="F17"/>
  <c r="E17"/>
  <c r="D17"/>
  <c r="C17"/>
  <c r="A17"/>
  <c r="P16"/>
  <c r="N16"/>
  <c r="L16"/>
  <c r="K16"/>
  <c r="J16"/>
  <c r="I16"/>
  <c r="H16"/>
  <c r="G16"/>
  <c r="F16"/>
  <c r="E16"/>
  <c r="D16"/>
  <c r="C16"/>
  <c r="A16"/>
  <c r="R15"/>
  <c r="C15"/>
  <c r="A15"/>
  <c r="P12"/>
  <c r="N12"/>
  <c r="L12"/>
  <c r="K12"/>
  <c r="J12"/>
  <c r="I12"/>
  <c r="H12"/>
  <c r="G12"/>
  <c r="F12"/>
  <c r="E12"/>
  <c r="D12"/>
  <c r="C12"/>
  <c r="A12"/>
  <c r="R11"/>
  <c r="C11"/>
  <c r="A11"/>
  <c r="P10"/>
  <c r="N10"/>
  <c r="L10"/>
  <c r="K10"/>
  <c r="J10"/>
  <c r="I10"/>
  <c r="H10"/>
  <c r="G10"/>
  <c r="F10"/>
  <c r="E10"/>
  <c r="D10"/>
  <c r="C10"/>
  <c r="A10"/>
  <c r="R9"/>
  <c r="C9"/>
  <c r="A9"/>
  <c r="P8"/>
  <c r="N8"/>
  <c r="L8"/>
  <c r="K8"/>
  <c r="J8"/>
  <c r="I8"/>
  <c r="H8"/>
  <c r="G8"/>
  <c r="F8"/>
  <c r="E8"/>
  <c r="D8"/>
  <c r="C8"/>
  <c r="P7"/>
  <c r="N7"/>
  <c r="L7"/>
  <c r="K7"/>
  <c r="J7"/>
  <c r="I7"/>
  <c r="H7"/>
  <c r="G7"/>
  <c r="F7"/>
  <c r="E7"/>
  <c r="D7"/>
  <c r="C7"/>
  <c r="A7"/>
  <c r="R6"/>
  <c r="C6"/>
  <c r="A6"/>
  <c r="C3"/>
  <c r="F2"/>
  <c r="C2"/>
  <c r="A2"/>
  <c r="P16" i="70"/>
  <c r="N16"/>
  <c r="L16"/>
  <c r="K16"/>
  <c r="J16"/>
  <c r="I16"/>
  <c r="H16"/>
  <c r="G16"/>
  <c r="F16"/>
  <c r="E16"/>
  <c r="D16"/>
  <c r="C16"/>
  <c r="A16"/>
  <c r="R15"/>
  <c r="C15"/>
  <c r="A15"/>
  <c r="P14"/>
  <c r="N14"/>
  <c r="L14"/>
  <c r="K14"/>
  <c r="J14"/>
  <c r="I14"/>
  <c r="H14"/>
  <c r="G14"/>
  <c r="F14"/>
  <c r="E14"/>
  <c r="D14"/>
  <c r="C14"/>
  <c r="A14"/>
  <c r="R13"/>
  <c r="C13"/>
  <c r="A13"/>
  <c r="P12"/>
  <c r="N12"/>
  <c r="L12"/>
  <c r="K12"/>
  <c r="J12"/>
  <c r="I12"/>
  <c r="H12"/>
  <c r="G12"/>
  <c r="F12"/>
  <c r="E12"/>
  <c r="D12"/>
  <c r="C12"/>
  <c r="A12"/>
  <c r="R11"/>
  <c r="C11"/>
  <c r="A11"/>
  <c r="P10"/>
  <c r="N10"/>
  <c r="L10"/>
  <c r="K10"/>
  <c r="J10"/>
  <c r="I10"/>
  <c r="H10"/>
  <c r="G10"/>
  <c r="F10"/>
  <c r="E10"/>
  <c r="D10"/>
  <c r="C10"/>
  <c r="A10"/>
  <c r="R9"/>
  <c r="C9"/>
  <c r="A9"/>
  <c r="P8"/>
  <c r="N8"/>
  <c r="L8"/>
  <c r="K8"/>
  <c r="J8"/>
  <c r="I8"/>
  <c r="H8"/>
  <c r="G8"/>
  <c r="F8"/>
  <c r="E8"/>
  <c r="D8"/>
  <c r="C8"/>
  <c r="B8"/>
  <c r="A8"/>
  <c r="P7"/>
  <c r="N7"/>
  <c r="L7"/>
  <c r="K7"/>
  <c r="J7"/>
  <c r="I7"/>
  <c r="H7"/>
  <c r="G7"/>
  <c r="F7"/>
  <c r="E7"/>
  <c r="D7"/>
  <c r="C7"/>
  <c r="B7"/>
  <c r="A7"/>
  <c r="R6"/>
  <c r="C6"/>
  <c r="A6"/>
  <c r="C3"/>
  <c r="F2"/>
  <c r="C2"/>
  <c r="A2"/>
  <c r="P44" i="68"/>
  <c r="N44"/>
  <c r="L44"/>
  <c r="K44"/>
  <c r="J44"/>
  <c r="I44"/>
  <c r="H44"/>
  <c r="G44"/>
  <c r="F44"/>
  <c r="E44"/>
  <c r="D44"/>
  <c r="C44"/>
  <c r="B44"/>
  <c r="A44"/>
  <c r="P43"/>
  <c r="N43"/>
  <c r="L43"/>
  <c r="K43"/>
  <c r="J43"/>
  <c r="I43"/>
  <c r="H43"/>
  <c r="G43"/>
  <c r="F43"/>
  <c r="E43"/>
  <c r="D43"/>
  <c r="C43"/>
  <c r="B43"/>
  <c r="A43"/>
  <c r="P42"/>
  <c r="N42"/>
  <c r="L42"/>
  <c r="K42"/>
  <c r="J42"/>
  <c r="I42"/>
  <c r="H42"/>
  <c r="G42"/>
  <c r="F42"/>
  <c r="E42"/>
  <c r="D42"/>
  <c r="C42"/>
  <c r="B42"/>
  <c r="A42"/>
  <c r="P41"/>
  <c r="N41"/>
  <c r="L41"/>
  <c r="K41"/>
  <c r="J41"/>
  <c r="I41"/>
  <c r="H41"/>
  <c r="G41"/>
  <c r="F41"/>
  <c r="E41"/>
  <c r="D41"/>
  <c r="C41"/>
  <c r="B41"/>
  <c r="A41"/>
  <c r="R40"/>
  <c r="C40"/>
  <c r="A40"/>
  <c r="P39"/>
  <c r="N39"/>
  <c r="L39"/>
  <c r="K39"/>
  <c r="J39"/>
  <c r="I39"/>
  <c r="H39"/>
  <c r="G39"/>
  <c r="F39"/>
  <c r="E39"/>
  <c r="D39"/>
  <c r="C39"/>
  <c r="B39"/>
  <c r="A39"/>
  <c r="R38"/>
  <c r="C38"/>
  <c r="A38"/>
  <c r="P37"/>
  <c r="N37"/>
  <c r="L37"/>
  <c r="K37"/>
  <c r="J37"/>
  <c r="I37"/>
  <c r="H37"/>
  <c r="G37"/>
  <c r="F37"/>
  <c r="E37"/>
  <c r="D37"/>
  <c r="C37"/>
  <c r="A37"/>
  <c r="R36"/>
  <c r="C36"/>
  <c r="A36"/>
  <c r="P35"/>
  <c r="N35"/>
  <c r="L35"/>
  <c r="K35"/>
  <c r="J35"/>
  <c r="I35"/>
  <c r="H35"/>
  <c r="G35"/>
  <c r="F35"/>
  <c r="E35"/>
  <c r="D35"/>
  <c r="C35"/>
  <c r="B35"/>
  <c r="A35"/>
  <c r="R34"/>
  <c r="C34"/>
  <c r="A34"/>
  <c r="R32"/>
  <c r="C32"/>
  <c r="A32"/>
  <c r="P31"/>
  <c r="N31"/>
  <c r="L31"/>
  <c r="K31"/>
  <c r="J31"/>
  <c r="I31"/>
  <c r="H31"/>
  <c r="G31"/>
  <c r="F31"/>
  <c r="E31"/>
  <c r="D31"/>
  <c r="C31"/>
  <c r="B31"/>
  <c r="P30"/>
  <c r="N30"/>
  <c r="L30"/>
  <c r="K30"/>
  <c r="J30"/>
  <c r="I30"/>
  <c r="H30"/>
  <c r="G30"/>
  <c r="F30"/>
  <c r="E30"/>
  <c r="D30"/>
  <c r="C30"/>
  <c r="B30"/>
  <c r="P29"/>
  <c r="N29"/>
  <c r="L29"/>
  <c r="K29"/>
  <c r="J29"/>
  <c r="I29"/>
  <c r="H29"/>
  <c r="G29"/>
  <c r="F29"/>
  <c r="E29"/>
  <c r="D29"/>
  <c r="C29"/>
  <c r="P28"/>
  <c r="N28"/>
  <c r="L28"/>
  <c r="K28"/>
  <c r="J28"/>
  <c r="I28"/>
  <c r="H28"/>
  <c r="G28"/>
  <c r="F28"/>
  <c r="E28"/>
  <c r="D28"/>
  <c r="C28"/>
  <c r="P27"/>
  <c r="N27"/>
  <c r="L27"/>
  <c r="K27"/>
  <c r="J27"/>
  <c r="I27"/>
  <c r="H27"/>
  <c r="G27"/>
  <c r="F27"/>
  <c r="E27"/>
  <c r="D27"/>
  <c r="C27"/>
  <c r="P26"/>
  <c r="N26"/>
  <c r="L26"/>
  <c r="K26"/>
  <c r="J26"/>
  <c r="I26"/>
  <c r="H26"/>
  <c r="G26"/>
  <c r="F26"/>
  <c r="E26"/>
  <c r="D26"/>
  <c r="C26"/>
  <c r="P25"/>
  <c r="N25"/>
  <c r="L25"/>
  <c r="K25"/>
  <c r="J25"/>
  <c r="I25"/>
  <c r="H25"/>
  <c r="G25"/>
  <c r="F25"/>
  <c r="E25"/>
  <c r="D25"/>
  <c r="C25"/>
  <c r="A25"/>
  <c r="R24"/>
  <c r="C24"/>
  <c r="A24"/>
  <c r="P23"/>
  <c r="N23"/>
  <c r="L23"/>
  <c r="K23"/>
  <c r="J23"/>
  <c r="I23"/>
  <c r="H23"/>
  <c r="G23"/>
  <c r="F23"/>
  <c r="E23"/>
  <c r="D23"/>
  <c r="C23"/>
  <c r="B23"/>
  <c r="A23"/>
  <c r="R22"/>
  <c r="C22"/>
  <c r="A22"/>
  <c r="P21"/>
  <c r="N21"/>
  <c r="L21"/>
  <c r="K21"/>
  <c r="J21"/>
  <c r="I21"/>
  <c r="H21"/>
  <c r="G21"/>
  <c r="F21"/>
  <c r="E21"/>
  <c r="D21"/>
  <c r="C21"/>
  <c r="B21"/>
  <c r="P20"/>
  <c r="N20"/>
  <c r="L20"/>
  <c r="K20"/>
  <c r="J20"/>
  <c r="I20"/>
  <c r="H20"/>
  <c r="G20"/>
  <c r="F20"/>
  <c r="E20"/>
  <c r="D20"/>
  <c r="C20"/>
  <c r="B20"/>
  <c r="P19"/>
  <c r="N19"/>
  <c r="L19"/>
  <c r="K19"/>
  <c r="J19"/>
  <c r="I19"/>
  <c r="H19"/>
  <c r="G19"/>
  <c r="F19"/>
  <c r="E19"/>
  <c r="D19"/>
  <c r="C19"/>
  <c r="B19"/>
  <c r="P18"/>
  <c r="N18"/>
  <c r="L18"/>
  <c r="K18"/>
  <c r="J18"/>
  <c r="I18"/>
  <c r="H18"/>
  <c r="G18"/>
  <c r="F18"/>
  <c r="E18"/>
  <c r="D18"/>
  <c r="C18"/>
  <c r="B18"/>
  <c r="A18"/>
  <c r="R17"/>
  <c r="C17"/>
  <c r="A17"/>
  <c r="P16"/>
  <c r="N16"/>
  <c r="L16"/>
  <c r="K16"/>
  <c r="J16"/>
  <c r="I16"/>
  <c r="H16"/>
  <c r="G16"/>
  <c r="F16"/>
  <c r="E16"/>
  <c r="D16"/>
  <c r="C16"/>
  <c r="P15"/>
  <c r="N15"/>
  <c r="L15"/>
  <c r="K15"/>
  <c r="J15"/>
  <c r="I15"/>
  <c r="H15"/>
  <c r="G15"/>
  <c r="F15"/>
  <c r="E15"/>
  <c r="D15"/>
  <c r="C15"/>
  <c r="A15"/>
  <c r="R14"/>
  <c r="C14"/>
  <c r="A14"/>
  <c r="P13"/>
  <c r="N13"/>
  <c r="L13"/>
  <c r="K13"/>
  <c r="J13"/>
  <c r="I13"/>
  <c r="H13"/>
  <c r="G13"/>
  <c r="F13"/>
  <c r="E13"/>
  <c r="D13"/>
  <c r="C13"/>
  <c r="B13"/>
  <c r="A13"/>
  <c r="R12"/>
  <c r="C12"/>
  <c r="A12"/>
  <c r="P11"/>
  <c r="N11"/>
  <c r="L11"/>
  <c r="K11"/>
  <c r="J11"/>
  <c r="I11"/>
  <c r="H11"/>
  <c r="G11"/>
  <c r="F11"/>
  <c r="E11"/>
  <c r="D11"/>
  <c r="C11"/>
  <c r="B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C2"/>
  <c r="A2"/>
  <c r="P36" i="54"/>
  <c r="N36"/>
  <c r="L36"/>
  <c r="K36"/>
  <c r="J36"/>
  <c r="I36"/>
  <c r="H36"/>
  <c r="G36"/>
  <c r="F36"/>
  <c r="E36"/>
  <c r="D36"/>
  <c r="C36"/>
  <c r="A36"/>
  <c r="P35"/>
  <c r="N35"/>
  <c r="L35"/>
  <c r="K35"/>
  <c r="J35"/>
  <c r="I35"/>
  <c r="H35"/>
  <c r="G35"/>
  <c r="F35"/>
  <c r="E35"/>
  <c r="D35"/>
  <c r="C35"/>
  <c r="A35"/>
  <c r="R34"/>
  <c r="C34"/>
  <c r="A34"/>
  <c r="P33"/>
  <c r="N33"/>
  <c r="L33"/>
  <c r="K33"/>
  <c r="J33"/>
  <c r="I33"/>
  <c r="H33"/>
  <c r="G33"/>
  <c r="F33"/>
  <c r="E33"/>
  <c r="D33"/>
  <c r="C33"/>
  <c r="B33"/>
  <c r="A33"/>
  <c r="R32"/>
  <c r="C32"/>
  <c r="A32"/>
  <c r="P31"/>
  <c r="N31"/>
  <c r="L31"/>
  <c r="K31"/>
  <c r="J31"/>
  <c r="I31"/>
  <c r="H31"/>
  <c r="G31"/>
  <c r="F31"/>
  <c r="E31"/>
  <c r="D31"/>
  <c r="C31"/>
  <c r="B31"/>
  <c r="A31"/>
  <c r="R30"/>
  <c r="C30"/>
  <c r="A30"/>
  <c r="P29"/>
  <c r="N29"/>
  <c r="L29"/>
  <c r="K29"/>
  <c r="J29"/>
  <c r="I29"/>
  <c r="H29"/>
  <c r="G29"/>
  <c r="F29"/>
  <c r="E29"/>
  <c r="D29"/>
  <c r="C29"/>
  <c r="B29"/>
  <c r="A29"/>
  <c r="R28"/>
  <c r="C28"/>
  <c r="A28"/>
  <c r="P27"/>
  <c r="N27"/>
  <c r="L27"/>
  <c r="K27"/>
  <c r="J27"/>
  <c r="I27"/>
  <c r="H27"/>
  <c r="G27"/>
  <c r="F27"/>
  <c r="E27"/>
  <c r="D27"/>
  <c r="C27"/>
  <c r="B27"/>
  <c r="P26"/>
  <c r="N26"/>
  <c r="L26"/>
  <c r="K26"/>
  <c r="J26"/>
  <c r="I26"/>
  <c r="H26"/>
  <c r="G26"/>
  <c r="F26"/>
  <c r="E26"/>
  <c r="D26"/>
  <c r="C26"/>
  <c r="B26"/>
  <c r="P25"/>
  <c r="N25"/>
  <c r="L25"/>
  <c r="K25"/>
  <c r="J25"/>
  <c r="I25"/>
  <c r="H25"/>
  <c r="G25"/>
  <c r="F25"/>
  <c r="E25"/>
  <c r="D25"/>
  <c r="C25"/>
  <c r="B25"/>
  <c r="P24"/>
  <c r="N24"/>
  <c r="L24"/>
  <c r="K24"/>
  <c r="J24"/>
  <c r="I24"/>
  <c r="H24"/>
  <c r="G24"/>
  <c r="F24"/>
  <c r="E24"/>
  <c r="D24"/>
  <c r="C24"/>
  <c r="B24"/>
  <c r="P23"/>
  <c r="N23"/>
  <c r="L23"/>
  <c r="K23"/>
  <c r="J23"/>
  <c r="I23"/>
  <c r="H23"/>
  <c r="G23"/>
  <c r="F23"/>
  <c r="E23"/>
  <c r="D23"/>
  <c r="C23"/>
  <c r="B23"/>
  <c r="A23"/>
  <c r="R22"/>
  <c r="C22"/>
  <c r="A22"/>
  <c r="P21"/>
  <c r="N21"/>
  <c r="L21"/>
  <c r="K21"/>
  <c r="J21"/>
  <c r="I21"/>
  <c r="H21"/>
  <c r="G21"/>
  <c r="F21"/>
  <c r="E21"/>
  <c r="D21"/>
  <c r="C21"/>
  <c r="A21"/>
  <c r="P20"/>
  <c r="N20"/>
  <c r="L20"/>
  <c r="K20"/>
  <c r="J20"/>
  <c r="I20"/>
  <c r="H20"/>
  <c r="G20"/>
  <c r="F20"/>
  <c r="E20"/>
  <c r="D20"/>
  <c r="C20"/>
  <c r="A20"/>
  <c r="P19"/>
  <c r="N19"/>
  <c r="L19"/>
  <c r="K19"/>
  <c r="J19"/>
  <c r="I19"/>
  <c r="H19"/>
  <c r="G19"/>
  <c r="F19"/>
  <c r="E19"/>
  <c r="D19"/>
  <c r="C19"/>
  <c r="A19"/>
  <c r="P18"/>
  <c r="N18"/>
  <c r="L18"/>
  <c r="K18"/>
  <c r="J18"/>
  <c r="I18"/>
  <c r="H18"/>
  <c r="G18"/>
  <c r="F18"/>
  <c r="E18"/>
  <c r="D18"/>
  <c r="C18"/>
  <c r="A18"/>
  <c r="R17"/>
  <c r="C17"/>
  <c r="A17"/>
  <c r="P16"/>
  <c r="N16"/>
  <c r="L16"/>
  <c r="K16"/>
  <c r="J16"/>
  <c r="I16"/>
  <c r="H16"/>
  <c r="G16"/>
  <c r="F16"/>
  <c r="E16"/>
  <c r="D16"/>
  <c r="C16"/>
  <c r="B16"/>
  <c r="P15"/>
  <c r="N15"/>
  <c r="L15"/>
  <c r="K15"/>
  <c r="J15"/>
  <c r="I15"/>
  <c r="H15"/>
  <c r="G15"/>
  <c r="F15"/>
  <c r="E15"/>
  <c r="D15"/>
  <c r="C15"/>
  <c r="B15"/>
  <c r="A15"/>
  <c r="P14"/>
  <c r="N14"/>
  <c r="L14"/>
  <c r="K14"/>
  <c r="J14"/>
  <c r="I14"/>
  <c r="H14"/>
  <c r="G14"/>
  <c r="F14"/>
  <c r="E14"/>
  <c r="D14"/>
  <c r="C14"/>
  <c r="B14"/>
  <c r="A14"/>
  <c r="R13"/>
  <c r="C13"/>
  <c r="A13"/>
  <c r="P12"/>
  <c r="N12"/>
  <c r="L12"/>
  <c r="K12"/>
  <c r="J12"/>
  <c r="I12"/>
  <c r="H12"/>
  <c r="G12"/>
  <c r="F12"/>
  <c r="E12"/>
  <c r="D12"/>
  <c r="C12"/>
  <c r="B12"/>
  <c r="A12"/>
  <c r="P11"/>
  <c r="N11"/>
  <c r="L11"/>
  <c r="K11"/>
  <c r="J11"/>
  <c r="I11"/>
  <c r="H11"/>
  <c r="G11"/>
  <c r="F11"/>
  <c r="E11"/>
  <c r="D11"/>
  <c r="C11"/>
  <c r="B11"/>
  <c r="A11"/>
  <c r="P10"/>
  <c r="N10"/>
  <c r="L10"/>
  <c r="K10"/>
  <c r="J10"/>
  <c r="I10"/>
  <c r="H10"/>
  <c r="G10"/>
  <c r="F10"/>
  <c r="E10"/>
  <c r="D10"/>
  <c r="C10"/>
  <c r="B10"/>
  <c r="A10"/>
  <c r="P9"/>
  <c r="N9"/>
  <c r="L9"/>
  <c r="K9"/>
  <c r="J9"/>
  <c r="I9"/>
  <c r="H9"/>
  <c r="G9"/>
  <c r="F9"/>
  <c r="E9"/>
  <c r="D9"/>
  <c r="C9"/>
  <c r="B9"/>
  <c r="A9"/>
  <c r="R8"/>
  <c r="C8"/>
  <c r="A8"/>
  <c r="P7"/>
  <c r="N7"/>
  <c r="L7"/>
  <c r="K7"/>
  <c r="J7"/>
  <c r="I7"/>
  <c r="H7"/>
  <c r="G7"/>
  <c r="F7"/>
  <c r="E7"/>
  <c r="D7"/>
  <c r="C7"/>
  <c r="B7"/>
  <c r="A7"/>
  <c r="R6"/>
  <c r="C6"/>
  <c r="B6"/>
  <c r="A6"/>
  <c r="C3"/>
  <c r="C2"/>
  <c r="A2"/>
  <c r="P107" i="27"/>
  <c r="N107"/>
  <c r="L107"/>
  <c r="K107"/>
  <c r="J107"/>
  <c r="I107"/>
  <c r="H107"/>
  <c r="G107"/>
  <c r="F107"/>
  <c r="E107"/>
  <c r="D107"/>
  <c r="C107"/>
  <c r="B107"/>
  <c r="A107"/>
  <c r="P106"/>
  <c r="N106"/>
  <c r="L106"/>
  <c r="K106"/>
  <c r="J106"/>
  <c r="I106"/>
  <c r="H106"/>
  <c r="G106"/>
  <c r="F106"/>
  <c r="E106"/>
  <c r="D106"/>
  <c r="C106"/>
  <c r="B106"/>
  <c r="A106"/>
  <c r="P105"/>
  <c r="N105"/>
  <c r="L105"/>
  <c r="K105"/>
  <c r="J105"/>
  <c r="I105"/>
  <c r="H105"/>
  <c r="G105"/>
  <c r="F105"/>
  <c r="E105"/>
  <c r="D105"/>
  <c r="C105"/>
  <c r="B105"/>
  <c r="A105"/>
  <c r="P104"/>
  <c r="N104"/>
  <c r="L104"/>
  <c r="K104"/>
  <c r="J104"/>
  <c r="I104"/>
  <c r="H104"/>
  <c r="G104"/>
  <c r="F104"/>
  <c r="E104"/>
  <c r="D104"/>
  <c r="C104"/>
  <c r="B104"/>
  <c r="A104"/>
  <c r="C103"/>
  <c r="A103"/>
  <c r="P102"/>
  <c r="N102"/>
  <c r="L102"/>
  <c r="K102"/>
  <c r="J102"/>
  <c r="I102"/>
  <c r="H102"/>
  <c r="G102"/>
  <c r="F102"/>
  <c r="E102"/>
  <c r="D102"/>
  <c r="C102"/>
  <c r="P101"/>
  <c r="N101"/>
  <c r="L101"/>
  <c r="K101"/>
  <c r="J101"/>
  <c r="I101"/>
  <c r="H101"/>
  <c r="G101"/>
  <c r="F101"/>
  <c r="E101"/>
  <c r="D101"/>
  <c r="C101"/>
  <c r="P100"/>
  <c r="N100"/>
  <c r="L100"/>
  <c r="K100"/>
  <c r="J100"/>
  <c r="I100"/>
  <c r="H100"/>
  <c r="G100"/>
  <c r="F100"/>
  <c r="E100"/>
  <c r="D100"/>
  <c r="C100"/>
  <c r="P99"/>
  <c r="N99"/>
  <c r="L99"/>
  <c r="K99"/>
  <c r="J99"/>
  <c r="I99"/>
  <c r="H99"/>
  <c r="G99"/>
  <c r="F99"/>
  <c r="E99"/>
  <c r="D99"/>
  <c r="C99"/>
  <c r="P98"/>
  <c r="N98"/>
  <c r="L98"/>
  <c r="K98"/>
  <c r="J98"/>
  <c r="I98"/>
  <c r="H98"/>
  <c r="G98"/>
  <c r="F98"/>
  <c r="E98"/>
  <c r="D98"/>
  <c r="C98"/>
  <c r="B98"/>
  <c r="A98"/>
  <c r="C97"/>
  <c r="A97"/>
  <c r="P96"/>
  <c r="N96"/>
  <c r="L96"/>
  <c r="K96"/>
  <c r="J96"/>
  <c r="I96"/>
  <c r="H96"/>
  <c r="G96"/>
  <c r="F96"/>
  <c r="E96"/>
  <c r="D96"/>
  <c r="C96"/>
  <c r="P95"/>
  <c r="N95"/>
  <c r="L95"/>
  <c r="K95"/>
  <c r="J95"/>
  <c r="I95"/>
  <c r="H95"/>
  <c r="G95"/>
  <c r="F95"/>
  <c r="E95"/>
  <c r="D95"/>
  <c r="C95"/>
  <c r="A95"/>
  <c r="C94"/>
  <c r="A94"/>
  <c r="P93"/>
  <c r="N93"/>
  <c r="L93"/>
  <c r="K93"/>
  <c r="J93"/>
  <c r="I93"/>
  <c r="H93"/>
  <c r="G93"/>
  <c r="F93"/>
  <c r="E93"/>
  <c r="D93"/>
  <c r="C93"/>
  <c r="P92"/>
  <c r="N92"/>
  <c r="L92"/>
  <c r="K92"/>
  <c r="J92"/>
  <c r="I92"/>
  <c r="H92"/>
  <c r="G92"/>
  <c r="F92"/>
  <c r="E92"/>
  <c r="D92"/>
  <c r="C92"/>
  <c r="B92"/>
  <c r="P91"/>
  <c r="N91"/>
  <c r="L91"/>
  <c r="K91"/>
  <c r="J91"/>
  <c r="I91"/>
  <c r="H91"/>
  <c r="G91"/>
  <c r="F91"/>
  <c r="E91"/>
  <c r="D91"/>
  <c r="C91"/>
  <c r="B91"/>
  <c r="P90"/>
  <c r="N90"/>
  <c r="L90"/>
  <c r="K90"/>
  <c r="J90"/>
  <c r="I90"/>
  <c r="H90"/>
  <c r="G90"/>
  <c r="F90"/>
  <c r="E90"/>
  <c r="D90"/>
  <c r="C90"/>
  <c r="B90"/>
  <c r="P89"/>
  <c r="N89"/>
  <c r="L89"/>
  <c r="K89"/>
  <c r="J89"/>
  <c r="I89"/>
  <c r="H89"/>
  <c r="G89"/>
  <c r="F89"/>
  <c r="E89"/>
  <c r="D89"/>
  <c r="C89"/>
  <c r="B89"/>
  <c r="A89"/>
  <c r="C88"/>
  <c r="A88"/>
  <c r="P87"/>
  <c r="N87"/>
  <c r="L87"/>
  <c r="K87"/>
  <c r="J87"/>
  <c r="I87"/>
  <c r="H87"/>
  <c r="G87"/>
  <c r="F87"/>
  <c r="E87"/>
  <c r="D87"/>
  <c r="C87"/>
  <c r="P86"/>
  <c r="N86"/>
  <c r="L86"/>
  <c r="K86"/>
  <c r="J86"/>
  <c r="I86"/>
  <c r="H86"/>
  <c r="G86"/>
  <c r="F86"/>
  <c r="E86"/>
  <c r="D86"/>
  <c r="C86"/>
  <c r="B86"/>
  <c r="P85"/>
  <c r="N85"/>
  <c r="L85"/>
  <c r="K85"/>
  <c r="J85"/>
  <c r="I85"/>
  <c r="H85"/>
  <c r="G85"/>
  <c r="F85"/>
  <c r="E85"/>
  <c r="D85"/>
  <c r="C85"/>
  <c r="B85"/>
  <c r="P84"/>
  <c r="N84"/>
  <c r="L84"/>
  <c r="K84"/>
  <c r="J84"/>
  <c r="I84"/>
  <c r="H84"/>
  <c r="G84"/>
  <c r="F84"/>
  <c r="E84"/>
  <c r="D84"/>
  <c r="C84"/>
  <c r="B84"/>
  <c r="P83"/>
  <c r="N83"/>
  <c r="L83"/>
  <c r="K83"/>
  <c r="J83"/>
  <c r="I83"/>
  <c r="H83"/>
  <c r="G83"/>
  <c r="F83"/>
  <c r="E83"/>
  <c r="D83"/>
  <c r="C83"/>
  <c r="B83"/>
  <c r="A83"/>
  <c r="C82"/>
  <c r="A82"/>
  <c r="P81"/>
  <c r="N81"/>
  <c r="L81"/>
  <c r="K81"/>
  <c r="J81"/>
  <c r="I81"/>
  <c r="H81"/>
  <c r="G81"/>
  <c r="F81"/>
  <c r="E81"/>
  <c r="D81"/>
  <c r="C81"/>
  <c r="B81"/>
  <c r="A81"/>
  <c r="P80"/>
  <c r="N80"/>
  <c r="L80"/>
  <c r="K80"/>
  <c r="J80"/>
  <c r="I80"/>
  <c r="H80"/>
  <c r="G80"/>
  <c r="F80"/>
  <c r="E80"/>
  <c r="D80"/>
  <c r="C80"/>
  <c r="B80"/>
  <c r="A80"/>
  <c r="P79"/>
  <c r="N79"/>
  <c r="L79"/>
  <c r="K79"/>
  <c r="J79"/>
  <c r="I79"/>
  <c r="H79"/>
  <c r="G79"/>
  <c r="F79"/>
  <c r="E79"/>
  <c r="D79"/>
  <c r="C79"/>
  <c r="B79"/>
  <c r="A79"/>
  <c r="P78"/>
  <c r="N78"/>
  <c r="L78"/>
  <c r="K78"/>
  <c r="J78"/>
  <c r="I78"/>
  <c r="H78"/>
  <c r="G78"/>
  <c r="F78"/>
  <c r="E78"/>
  <c r="D78"/>
  <c r="C78"/>
  <c r="B78"/>
  <c r="A78"/>
  <c r="P77"/>
  <c r="N77"/>
  <c r="L77"/>
  <c r="K77"/>
  <c r="J77"/>
  <c r="I77"/>
  <c r="H77"/>
  <c r="G77"/>
  <c r="F77"/>
  <c r="E77"/>
  <c r="D77"/>
  <c r="C77"/>
  <c r="B77"/>
  <c r="A77"/>
  <c r="P76"/>
  <c r="N76"/>
  <c r="L76"/>
  <c r="K76"/>
  <c r="J76"/>
  <c r="I76"/>
  <c r="H76"/>
  <c r="G76"/>
  <c r="F76"/>
  <c r="E76"/>
  <c r="D76"/>
  <c r="C76"/>
  <c r="B76"/>
  <c r="A76"/>
  <c r="P75"/>
  <c r="N75"/>
  <c r="L75"/>
  <c r="K75"/>
  <c r="J75"/>
  <c r="I75"/>
  <c r="H75"/>
  <c r="G75"/>
  <c r="F75"/>
  <c r="E75"/>
  <c r="D75"/>
  <c r="C75"/>
  <c r="B75"/>
  <c r="A75"/>
  <c r="P74"/>
  <c r="N74"/>
  <c r="L74"/>
  <c r="K74"/>
  <c r="J74"/>
  <c r="I74"/>
  <c r="H74"/>
  <c r="G74"/>
  <c r="F74"/>
  <c r="E74"/>
  <c r="D74"/>
  <c r="C74"/>
  <c r="B74"/>
  <c r="A74"/>
  <c r="C73"/>
  <c r="B73"/>
  <c r="A73"/>
  <c r="P72"/>
  <c r="N72"/>
  <c r="L72"/>
  <c r="K72"/>
  <c r="J72"/>
  <c r="I72"/>
  <c r="H72"/>
  <c r="G72"/>
  <c r="F72"/>
  <c r="E72"/>
  <c r="D72"/>
  <c r="C72"/>
  <c r="B72"/>
  <c r="A72"/>
  <c r="P71"/>
  <c r="N71"/>
  <c r="L71"/>
  <c r="K71"/>
  <c r="J71"/>
  <c r="I71"/>
  <c r="H71"/>
  <c r="G71"/>
  <c r="F71"/>
  <c r="E71"/>
  <c r="D71"/>
  <c r="C71"/>
  <c r="B71"/>
  <c r="A71"/>
  <c r="P70"/>
  <c r="N70"/>
  <c r="L70"/>
  <c r="K70"/>
  <c r="J70"/>
  <c r="I70"/>
  <c r="H70"/>
  <c r="G70"/>
  <c r="F70"/>
  <c r="E70"/>
  <c r="D70"/>
  <c r="C70"/>
  <c r="B70"/>
  <c r="A70"/>
  <c r="C69"/>
  <c r="B69"/>
  <c r="A69"/>
  <c r="P68"/>
  <c r="N68"/>
  <c r="L68"/>
  <c r="K68"/>
  <c r="J68"/>
  <c r="I68"/>
  <c r="H68"/>
  <c r="G68"/>
  <c r="F68"/>
  <c r="E68"/>
  <c r="D68"/>
  <c r="C68"/>
  <c r="B68"/>
  <c r="A68"/>
  <c r="P67"/>
  <c r="N67"/>
  <c r="L67"/>
  <c r="K67"/>
  <c r="J67"/>
  <c r="I67"/>
  <c r="H67"/>
  <c r="G67"/>
  <c r="F67"/>
  <c r="E67"/>
  <c r="D67"/>
  <c r="C67"/>
  <c r="B67"/>
  <c r="A67"/>
  <c r="P66"/>
  <c r="N66"/>
  <c r="L66"/>
  <c r="K66"/>
  <c r="J66"/>
  <c r="I66"/>
  <c r="H66"/>
  <c r="G66"/>
  <c r="F66"/>
  <c r="E66"/>
  <c r="D66"/>
  <c r="C66"/>
  <c r="B66"/>
  <c r="A66"/>
  <c r="P65"/>
  <c r="N65"/>
  <c r="L65"/>
  <c r="K65"/>
  <c r="J65"/>
  <c r="I65"/>
  <c r="H65"/>
  <c r="G65"/>
  <c r="F65"/>
  <c r="E65"/>
  <c r="D65"/>
  <c r="C65"/>
  <c r="B65"/>
  <c r="A65"/>
  <c r="P64"/>
  <c r="N64"/>
  <c r="L64"/>
  <c r="K64"/>
  <c r="J64"/>
  <c r="I64"/>
  <c r="H64"/>
  <c r="G64"/>
  <c r="F64"/>
  <c r="E64"/>
  <c r="D64"/>
  <c r="C64"/>
  <c r="B64"/>
  <c r="A64"/>
  <c r="P63"/>
  <c r="N63"/>
  <c r="L63"/>
  <c r="K63"/>
  <c r="J63"/>
  <c r="I63"/>
  <c r="H63"/>
  <c r="G63"/>
  <c r="F63"/>
  <c r="E63"/>
  <c r="D63"/>
  <c r="C63"/>
  <c r="B63"/>
  <c r="A63"/>
  <c r="P62"/>
  <c r="N62"/>
  <c r="L62"/>
  <c r="K62"/>
  <c r="J62"/>
  <c r="I62"/>
  <c r="H62"/>
  <c r="G62"/>
  <c r="F62"/>
  <c r="E62"/>
  <c r="D62"/>
  <c r="C62"/>
  <c r="B62"/>
  <c r="A62"/>
  <c r="P61"/>
  <c r="N61"/>
  <c r="L61"/>
  <c r="K61"/>
  <c r="J61"/>
  <c r="I61"/>
  <c r="H61"/>
  <c r="G61"/>
  <c r="F61"/>
  <c r="E61"/>
  <c r="D61"/>
  <c r="C61"/>
  <c r="B61"/>
  <c r="A61"/>
  <c r="P60"/>
  <c r="N60"/>
  <c r="L60"/>
  <c r="K60"/>
  <c r="J60"/>
  <c r="I60"/>
  <c r="H60"/>
  <c r="G60"/>
  <c r="F60"/>
  <c r="E60"/>
  <c r="D60"/>
  <c r="C60"/>
  <c r="B60"/>
  <c r="A60"/>
  <c r="P59"/>
  <c r="N59"/>
  <c r="L59"/>
  <c r="K59"/>
  <c r="J59"/>
  <c r="I59"/>
  <c r="H59"/>
  <c r="G59"/>
  <c r="F59"/>
  <c r="E59"/>
  <c r="D59"/>
  <c r="C59"/>
  <c r="B59"/>
  <c r="A59"/>
  <c r="C58"/>
  <c r="B58"/>
  <c r="A58"/>
  <c r="P57"/>
  <c r="N57"/>
  <c r="L57"/>
  <c r="K57"/>
  <c r="J57"/>
  <c r="I57"/>
  <c r="H57"/>
  <c r="G57"/>
  <c r="F57"/>
  <c r="E57"/>
  <c r="D57"/>
  <c r="C57"/>
  <c r="B57"/>
  <c r="A57"/>
  <c r="P56"/>
  <c r="N56"/>
  <c r="L56"/>
  <c r="K56"/>
  <c r="J56"/>
  <c r="I56"/>
  <c r="H56"/>
  <c r="G56"/>
  <c r="F56"/>
  <c r="E56"/>
  <c r="D56"/>
  <c r="C56"/>
  <c r="B56"/>
  <c r="A56"/>
  <c r="C55"/>
  <c r="A55"/>
  <c r="P54"/>
  <c r="N54"/>
  <c r="L54"/>
  <c r="K54"/>
  <c r="J54"/>
  <c r="I54"/>
  <c r="H54"/>
  <c r="G54"/>
  <c r="F54"/>
  <c r="E54"/>
  <c r="D54"/>
  <c r="C54"/>
  <c r="B54"/>
  <c r="A54"/>
  <c r="P53"/>
  <c r="N53"/>
  <c r="L53"/>
  <c r="K53"/>
  <c r="J53"/>
  <c r="I53"/>
  <c r="H53"/>
  <c r="G53"/>
  <c r="F53"/>
  <c r="E53"/>
  <c r="D53"/>
  <c r="C53"/>
  <c r="B53"/>
  <c r="A53"/>
  <c r="P52"/>
  <c r="N52"/>
  <c r="L52"/>
  <c r="K52"/>
  <c r="J52"/>
  <c r="I52"/>
  <c r="H52"/>
  <c r="G52"/>
  <c r="F52"/>
  <c r="E52"/>
  <c r="D52"/>
  <c r="C52"/>
  <c r="B52"/>
  <c r="A52"/>
  <c r="C51"/>
  <c r="B51"/>
  <c r="A51"/>
  <c r="P50"/>
  <c r="N50"/>
  <c r="L50"/>
  <c r="K50"/>
  <c r="J50"/>
  <c r="I50"/>
  <c r="H50"/>
  <c r="G50"/>
  <c r="F50"/>
  <c r="E50"/>
  <c r="D50"/>
  <c r="C50"/>
  <c r="B50"/>
  <c r="A50"/>
  <c r="R49"/>
  <c r="S50" i="3" s="1"/>
  <c r="Q49" i="27"/>
  <c r="R50" i="3" s="1"/>
  <c r="P49" i="27"/>
  <c r="N49"/>
  <c r="L49"/>
  <c r="K49"/>
  <c r="J49"/>
  <c r="I49"/>
  <c r="H49"/>
  <c r="G49"/>
  <c r="F49"/>
  <c r="E49"/>
  <c r="D49"/>
  <c r="C49"/>
  <c r="B49"/>
  <c r="A49"/>
  <c r="R48"/>
  <c r="S49" i="3" s="1"/>
  <c r="Q48" i="27"/>
  <c r="P48"/>
  <c r="N48"/>
  <c r="L48"/>
  <c r="K48"/>
  <c r="J48"/>
  <c r="I48"/>
  <c r="H48"/>
  <c r="G48"/>
  <c r="F48"/>
  <c r="E48"/>
  <c r="D48"/>
  <c r="C48"/>
  <c r="B48"/>
  <c r="A48"/>
  <c r="R47"/>
  <c r="S48" i="3" s="1"/>
  <c r="Q47" i="27"/>
  <c r="P47"/>
  <c r="N47"/>
  <c r="L47"/>
  <c r="K47"/>
  <c r="J47"/>
  <c r="I47"/>
  <c r="H47"/>
  <c r="G47"/>
  <c r="F47"/>
  <c r="E47"/>
  <c r="D47"/>
  <c r="C47"/>
  <c r="B47"/>
  <c r="A47"/>
  <c r="C46"/>
  <c r="B46"/>
  <c r="A46"/>
  <c r="R45"/>
  <c r="S46" i="3" s="1"/>
  <c r="Q45" i="27"/>
  <c r="R46" i="3" s="1"/>
  <c r="P45" i="27"/>
  <c r="N45"/>
  <c r="L45"/>
  <c r="K45"/>
  <c r="J45"/>
  <c r="I45"/>
  <c r="H45"/>
  <c r="G45"/>
  <c r="F45"/>
  <c r="E45"/>
  <c r="D45"/>
  <c r="C45"/>
  <c r="B45"/>
  <c r="A45"/>
  <c r="R44"/>
  <c r="S45" i="3" s="1"/>
  <c r="Q44" i="27"/>
  <c r="P44"/>
  <c r="N44"/>
  <c r="L44"/>
  <c r="K44"/>
  <c r="J44"/>
  <c r="I44"/>
  <c r="H44"/>
  <c r="G44"/>
  <c r="F44"/>
  <c r="E44"/>
  <c r="D44"/>
  <c r="C44"/>
  <c r="B44"/>
  <c r="A44"/>
  <c r="R43"/>
  <c r="S44" i="3" s="1"/>
  <c r="Q43" i="27"/>
  <c r="R44" i="3" s="1"/>
  <c r="P43" i="27"/>
  <c r="N43"/>
  <c r="L43"/>
  <c r="K43"/>
  <c r="J43"/>
  <c r="I43"/>
  <c r="H43"/>
  <c r="G43"/>
  <c r="F43"/>
  <c r="E43"/>
  <c r="D43"/>
  <c r="C43"/>
  <c r="B43"/>
  <c r="A43"/>
  <c r="R42"/>
  <c r="S43" i="3" s="1"/>
  <c r="Q42" i="27"/>
  <c r="P42"/>
  <c r="N42"/>
  <c r="L42"/>
  <c r="K42"/>
  <c r="J42"/>
  <c r="I42"/>
  <c r="H42"/>
  <c r="G42"/>
  <c r="F42"/>
  <c r="E42"/>
  <c r="D42"/>
  <c r="C42"/>
  <c r="B42"/>
  <c r="A42"/>
  <c r="R41"/>
  <c r="S42" i="3" s="1"/>
  <c r="Q41" i="27"/>
  <c r="R42" i="3" s="1"/>
  <c r="P41" i="27"/>
  <c r="N41"/>
  <c r="L41"/>
  <c r="K41"/>
  <c r="J41"/>
  <c r="I41"/>
  <c r="H41"/>
  <c r="G41"/>
  <c r="F41"/>
  <c r="E41"/>
  <c r="D41"/>
  <c r="C41"/>
  <c r="B41"/>
  <c r="A41"/>
  <c r="R40"/>
  <c r="S41" i="3" s="1"/>
  <c r="Q40" i="27"/>
  <c r="R41" i="3" s="1"/>
  <c r="P40" i="27"/>
  <c r="N40"/>
  <c r="L40"/>
  <c r="K40"/>
  <c r="J40"/>
  <c r="I40"/>
  <c r="H40"/>
  <c r="G40"/>
  <c r="F40"/>
  <c r="E40"/>
  <c r="D40"/>
  <c r="C40"/>
  <c r="B40"/>
  <c r="A40"/>
  <c r="R39"/>
  <c r="S40" i="3" s="1"/>
  <c r="Q39" i="27"/>
  <c r="R40" i="3" s="1"/>
  <c r="P39" i="27"/>
  <c r="N39"/>
  <c r="L39"/>
  <c r="K39"/>
  <c r="J39"/>
  <c r="I39"/>
  <c r="H39"/>
  <c r="G39"/>
  <c r="F39"/>
  <c r="E39"/>
  <c r="D39"/>
  <c r="C39"/>
  <c r="B39"/>
  <c r="A39"/>
  <c r="C38"/>
  <c r="B38"/>
  <c r="A38"/>
  <c r="R37"/>
  <c r="Q37"/>
  <c r="R37" i="3" s="1"/>
  <c r="P37" i="27"/>
  <c r="N37"/>
  <c r="L37"/>
  <c r="K37"/>
  <c r="J37"/>
  <c r="I37"/>
  <c r="H37"/>
  <c r="G37"/>
  <c r="F37"/>
  <c r="E37"/>
  <c r="D37"/>
  <c r="C37"/>
  <c r="B37"/>
  <c r="A37"/>
  <c r="C36"/>
  <c r="B36"/>
  <c r="A36"/>
  <c r="R35"/>
  <c r="Q35"/>
  <c r="R35" i="3" s="1"/>
  <c r="P35" i="27"/>
  <c r="N35"/>
  <c r="L35"/>
  <c r="K35"/>
  <c r="J35"/>
  <c r="I35"/>
  <c r="H35"/>
  <c r="G35"/>
  <c r="F35"/>
  <c r="E35"/>
  <c r="D35"/>
  <c r="C35"/>
  <c r="B35"/>
  <c r="A35"/>
  <c r="R34"/>
  <c r="Q34"/>
  <c r="R34" i="3" s="1"/>
  <c r="P34" i="27"/>
  <c r="N34"/>
  <c r="L34"/>
  <c r="K34"/>
  <c r="J34"/>
  <c r="I34"/>
  <c r="H34"/>
  <c r="G34"/>
  <c r="F34"/>
  <c r="E34"/>
  <c r="D34"/>
  <c r="C34"/>
  <c r="B34"/>
  <c r="A34"/>
  <c r="C33"/>
  <c r="B33"/>
  <c r="A33"/>
  <c r="R32"/>
  <c r="Q32"/>
  <c r="R32" i="3" s="1"/>
  <c r="P32" i="27"/>
  <c r="N32"/>
  <c r="L32"/>
  <c r="K32"/>
  <c r="J32"/>
  <c r="I32"/>
  <c r="H32"/>
  <c r="G32"/>
  <c r="F32"/>
  <c r="E32"/>
  <c r="D32"/>
  <c r="C32"/>
  <c r="B32"/>
  <c r="A32"/>
  <c r="R31"/>
  <c r="S31" i="3" s="1"/>
  <c r="Q31" i="27"/>
  <c r="P31"/>
  <c r="N31"/>
  <c r="L31"/>
  <c r="K31"/>
  <c r="J31"/>
  <c r="I31"/>
  <c r="H31"/>
  <c r="G31"/>
  <c r="F31"/>
  <c r="E31"/>
  <c r="D31"/>
  <c r="C31"/>
  <c r="B31"/>
  <c r="A31"/>
  <c r="R30"/>
  <c r="S30" i="3" s="1"/>
  <c r="Q30" i="27"/>
  <c r="R30" i="3" s="1"/>
  <c r="P30" i="27"/>
  <c r="N30"/>
  <c r="L30"/>
  <c r="K30"/>
  <c r="J30"/>
  <c r="I30"/>
  <c r="H30"/>
  <c r="G30"/>
  <c r="F30"/>
  <c r="E30"/>
  <c r="D30"/>
  <c r="C30"/>
  <c r="B30"/>
  <c r="A30"/>
  <c r="R29"/>
  <c r="S29" i="3" s="1"/>
  <c r="Q29" i="27"/>
  <c r="P29"/>
  <c r="N29"/>
  <c r="L29"/>
  <c r="K29"/>
  <c r="J29"/>
  <c r="I29"/>
  <c r="H29"/>
  <c r="G29"/>
  <c r="F29"/>
  <c r="E29"/>
  <c r="D29"/>
  <c r="C29"/>
  <c r="B29"/>
  <c r="A29"/>
  <c r="R28"/>
  <c r="S28" i="3" s="1"/>
  <c r="Q28" i="27"/>
  <c r="R28" i="3" s="1"/>
  <c r="P28" i="27"/>
  <c r="N28"/>
  <c r="L28"/>
  <c r="K28"/>
  <c r="J28"/>
  <c r="I28"/>
  <c r="H28"/>
  <c r="G28"/>
  <c r="F28"/>
  <c r="E28"/>
  <c r="D28"/>
  <c r="C28"/>
  <c r="B28"/>
  <c r="A28"/>
  <c r="R27"/>
  <c r="S27" i="3" s="1"/>
  <c r="Q27" i="27"/>
  <c r="P27"/>
  <c r="N27"/>
  <c r="L27"/>
  <c r="K27"/>
  <c r="J27"/>
  <c r="I27"/>
  <c r="H27"/>
  <c r="G27"/>
  <c r="F27"/>
  <c r="E27"/>
  <c r="D27"/>
  <c r="C27"/>
  <c r="B27"/>
  <c r="A27"/>
  <c r="R26"/>
  <c r="S26" i="3" s="1"/>
  <c r="Q26" i="27"/>
  <c r="R26" i="3" s="1"/>
  <c r="P26" i="27"/>
  <c r="N26"/>
  <c r="L26"/>
  <c r="K26"/>
  <c r="J26"/>
  <c r="I26"/>
  <c r="H26"/>
  <c r="G26"/>
  <c r="F26"/>
  <c r="E26"/>
  <c r="D26"/>
  <c r="C26"/>
  <c r="B26"/>
  <c r="A26"/>
  <c r="R25"/>
  <c r="S25" i="3" s="1"/>
  <c r="Q25" i="27"/>
  <c r="P25"/>
  <c r="N25"/>
  <c r="L25"/>
  <c r="K25"/>
  <c r="J25"/>
  <c r="I25"/>
  <c r="H25"/>
  <c r="G25"/>
  <c r="F25"/>
  <c r="E25"/>
  <c r="D25"/>
  <c r="C25"/>
  <c r="B25"/>
  <c r="A25"/>
  <c r="R24"/>
  <c r="Q24"/>
  <c r="R24" i="3" s="1"/>
  <c r="P24" i="27"/>
  <c r="N24"/>
  <c r="L24"/>
  <c r="K24"/>
  <c r="J24"/>
  <c r="I24"/>
  <c r="H24"/>
  <c r="G24"/>
  <c r="F24"/>
  <c r="E24"/>
  <c r="D24"/>
  <c r="C24"/>
  <c r="B24"/>
  <c r="A24"/>
  <c r="C23"/>
  <c r="B23"/>
  <c r="A23"/>
  <c r="R22"/>
  <c r="S22" i="3" s="1"/>
  <c r="Q22" i="27"/>
  <c r="R22" i="3" s="1"/>
  <c r="P22" i="27"/>
  <c r="N22"/>
  <c r="L22"/>
  <c r="K22"/>
  <c r="J22"/>
  <c r="I22"/>
  <c r="H22"/>
  <c r="G22"/>
  <c r="F22"/>
  <c r="E22"/>
  <c r="D22"/>
  <c r="C22"/>
  <c r="B22"/>
  <c r="A22"/>
  <c r="R21"/>
  <c r="S21" i="3" s="1"/>
  <c r="Q21" i="27"/>
  <c r="R21" i="3" s="1"/>
  <c r="P21" i="27"/>
  <c r="N21"/>
  <c r="L21"/>
  <c r="K21"/>
  <c r="J21"/>
  <c r="I21"/>
  <c r="H21"/>
  <c r="G21"/>
  <c r="F21"/>
  <c r="E21"/>
  <c r="D21"/>
  <c r="C21"/>
  <c r="B21"/>
  <c r="A21"/>
  <c r="C20"/>
  <c r="B20"/>
  <c r="A20"/>
  <c r="R19"/>
  <c r="S19" i="3" s="1"/>
  <c r="Q19" i="27"/>
  <c r="R19" i="3" s="1"/>
  <c r="P19" i="27"/>
  <c r="N19"/>
  <c r="L19"/>
  <c r="K19"/>
  <c r="J19"/>
  <c r="I19"/>
  <c r="H19"/>
  <c r="G19"/>
  <c r="F19"/>
  <c r="E19"/>
  <c r="D19"/>
  <c r="C19"/>
  <c r="B19"/>
  <c r="A19"/>
  <c r="R18"/>
  <c r="S18" i="3" s="1"/>
  <c r="Q18" i="27"/>
  <c r="P18"/>
  <c r="N18"/>
  <c r="L18"/>
  <c r="K18"/>
  <c r="J18"/>
  <c r="I18"/>
  <c r="H18"/>
  <c r="G18"/>
  <c r="F18"/>
  <c r="E18"/>
  <c r="D18"/>
  <c r="C18"/>
  <c r="B18"/>
  <c r="A18"/>
  <c r="R17"/>
  <c r="S17" i="3" s="1"/>
  <c r="Q17" i="27"/>
  <c r="R17" i="3" s="1"/>
  <c r="P17" i="27"/>
  <c r="N17"/>
  <c r="L17"/>
  <c r="K17"/>
  <c r="J17"/>
  <c r="I17"/>
  <c r="H17"/>
  <c r="G17"/>
  <c r="F17"/>
  <c r="E17"/>
  <c r="D17"/>
  <c r="C17"/>
  <c r="B17"/>
  <c r="A17"/>
  <c r="R16"/>
  <c r="S16" i="3" s="1"/>
  <c r="Q16" i="27"/>
  <c r="P16"/>
  <c r="N16"/>
  <c r="L16"/>
  <c r="K16"/>
  <c r="J16"/>
  <c r="I16"/>
  <c r="H16"/>
  <c r="G16"/>
  <c r="F16"/>
  <c r="E16"/>
  <c r="D16"/>
  <c r="C16"/>
  <c r="B16"/>
  <c r="A16"/>
  <c r="R15"/>
  <c r="S15" i="3" s="1"/>
  <c r="Q15" i="27"/>
  <c r="R15" i="3" s="1"/>
  <c r="P15" i="27"/>
  <c r="N15"/>
  <c r="L15"/>
  <c r="K15"/>
  <c r="J15"/>
  <c r="I15"/>
  <c r="H15"/>
  <c r="G15"/>
  <c r="F15"/>
  <c r="E15"/>
  <c r="D15"/>
  <c r="C15"/>
  <c r="B15"/>
  <c r="A15"/>
  <c r="R14"/>
  <c r="S14" i="3" s="1"/>
  <c r="Q14" i="27"/>
  <c r="P14"/>
  <c r="N14"/>
  <c r="L14"/>
  <c r="K14"/>
  <c r="J14"/>
  <c r="I14"/>
  <c r="H14"/>
  <c r="G14"/>
  <c r="F14"/>
  <c r="E14"/>
  <c r="D14"/>
  <c r="C14"/>
  <c r="B14"/>
  <c r="A14"/>
  <c r="R13"/>
  <c r="S13" i="3" s="1"/>
  <c r="Q13" i="27"/>
  <c r="R13" i="3" s="1"/>
  <c r="P13" i="27"/>
  <c r="N13"/>
  <c r="L13"/>
  <c r="K13"/>
  <c r="J13"/>
  <c r="I13"/>
  <c r="H13"/>
  <c r="G13"/>
  <c r="F13"/>
  <c r="E13"/>
  <c r="D13"/>
  <c r="C13"/>
  <c r="B13"/>
  <c r="A13"/>
  <c r="C12"/>
  <c r="B12"/>
  <c r="A12"/>
  <c r="R11"/>
  <c r="S11" i="3" s="1"/>
  <c r="Q11" i="27"/>
  <c r="R11" i="3" s="1"/>
  <c r="P11" i="27"/>
  <c r="N11"/>
  <c r="L11"/>
  <c r="K11"/>
  <c r="J11"/>
  <c r="I11"/>
  <c r="H11"/>
  <c r="G11"/>
  <c r="F11"/>
  <c r="E11"/>
  <c r="D11"/>
  <c r="C11"/>
  <c r="B11"/>
  <c r="A11"/>
  <c r="R10"/>
  <c r="S10" i="3" s="1"/>
  <c r="Q10" i="27"/>
  <c r="R10" i="3" s="1"/>
  <c r="P10" i="27"/>
  <c r="N10"/>
  <c r="L10"/>
  <c r="K10"/>
  <c r="J10"/>
  <c r="I10"/>
  <c r="H10"/>
  <c r="G10"/>
  <c r="F10"/>
  <c r="E10"/>
  <c r="D10"/>
  <c r="C10"/>
  <c r="B10"/>
  <c r="A10"/>
  <c r="R9"/>
  <c r="S9" i="3" s="1"/>
  <c r="Q9" i="27"/>
  <c r="R9" i="3" s="1"/>
  <c r="P9" i="27"/>
  <c r="N9"/>
  <c r="L9"/>
  <c r="K9"/>
  <c r="J9"/>
  <c r="I9"/>
  <c r="H9"/>
  <c r="G9"/>
  <c r="F9"/>
  <c r="E9"/>
  <c r="D9"/>
  <c r="C9"/>
  <c r="B9"/>
  <c r="A9"/>
  <c r="R8"/>
  <c r="S8" i="3" s="1"/>
  <c r="Q8" i="27"/>
  <c r="P8"/>
  <c r="N8"/>
  <c r="L8"/>
  <c r="K8"/>
  <c r="J8"/>
  <c r="I8"/>
  <c r="H8"/>
  <c r="G8"/>
  <c r="F8"/>
  <c r="E8"/>
  <c r="D8"/>
  <c r="C8"/>
  <c r="B8"/>
  <c r="A8"/>
  <c r="C7"/>
  <c r="A7"/>
  <c r="C6"/>
  <c r="A6"/>
  <c r="F3"/>
  <c r="C3"/>
  <c r="F2"/>
  <c r="C2"/>
  <c r="B2"/>
  <c r="A2"/>
  <c r="P32" i="45"/>
  <c r="N32"/>
  <c r="L32"/>
  <c r="O232" i="72" s="1"/>
  <c r="K32" i="45"/>
  <c r="J32"/>
  <c r="I32"/>
  <c r="H32"/>
  <c r="G32"/>
  <c r="F32"/>
  <c r="E32"/>
  <c r="D32"/>
  <c r="C32"/>
  <c r="B32"/>
  <c r="A32"/>
  <c r="R31"/>
  <c r="C31"/>
  <c r="A31"/>
  <c r="P30"/>
  <c r="N30"/>
  <c r="L30"/>
  <c r="K30"/>
  <c r="J30"/>
  <c r="I30"/>
  <c r="H30"/>
  <c r="G30"/>
  <c r="F30"/>
  <c r="E30"/>
  <c r="D30"/>
  <c r="C30"/>
  <c r="B30"/>
  <c r="A30"/>
  <c r="R29"/>
  <c r="C29"/>
  <c r="A29"/>
  <c r="P28"/>
  <c r="N28"/>
  <c r="L28"/>
  <c r="K28"/>
  <c r="J28"/>
  <c r="I28"/>
  <c r="H28"/>
  <c r="G28"/>
  <c r="F28"/>
  <c r="E28"/>
  <c r="D28"/>
  <c r="C28"/>
  <c r="B28"/>
  <c r="P27"/>
  <c r="N27"/>
  <c r="L27"/>
  <c r="K27"/>
  <c r="J27"/>
  <c r="I27"/>
  <c r="H27"/>
  <c r="G27"/>
  <c r="F27"/>
  <c r="E27"/>
  <c r="D27"/>
  <c r="C27"/>
  <c r="B27"/>
  <c r="A27"/>
  <c r="R26"/>
  <c r="C26"/>
  <c r="A26"/>
  <c r="P25"/>
  <c r="N25"/>
  <c r="L25"/>
  <c r="K25"/>
  <c r="J25"/>
  <c r="I25"/>
  <c r="H25"/>
  <c r="G25"/>
  <c r="F25"/>
  <c r="E25"/>
  <c r="D25"/>
  <c r="C25"/>
  <c r="B25"/>
  <c r="P24"/>
  <c r="N24"/>
  <c r="L24"/>
  <c r="K24"/>
  <c r="J24"/>
  <c r="I24"/>
  <c r="H24"/>
  <c r="G24"/>
  <c r="F24"/>
  <c r="E24"/>
  <c r="D24"/>
  <c r="C24"/>
  <c r="B24"/>
  <c r="A24"/>
  <c r="R23"/>
  <c r="C23"/>
  <c r="A23"/>
  <c r="P22"/>
  <c r="N22"/>
  <c r="L22"/>
  <c r="K22"/>
  <c r="J22"/>
  <c r="I22"/>
  <c r="H22"/>
  <c r="G22"/>
  <c r="F22"/>
  <c r="E22"/>
  <c r="D22"/>
  <c r="C22"/>
  <c r="B22"/>
  <c r="P21"/>
  <c r="N21"/>
  <c r="L21"/>
  <c r="K21"/>
  <c r="J21"/>
  <c r="I21"/>
  <c r="H21"/>
  <c r="G21"/>
  <c r="F21"/>
  <c r="E21"/>
  <c r="D21"/>
  <c r="C21"/>
  <c r="B21"/>
  <c r="P20"/>
  <c r="N20"/>
  <c r="L20"/>
  <c r="K20"/>
  <c r="J20"/>
  <c r="I20"/>
  <c r="H20"/>
  <c r="G20"/>
  <c r="F20"/>
  <c r="E20"/>
  <c r="D20"/>
  <c r="C20"/>
  <c r="B20"/>
  <c r="A20"/>
  <c r="R19"/>
  <c r="C19"/>
  <c r="A19"/>
  <c r="P18"/>
  <c r="N18"/>
  <c r="L18"/>
  <c r="K18"/>
  <c r="J18"/>
  <c r="I18"/>
  <c r="H18"/>
  <c r="G18"/>
  <c r="F18"/>
  <c r="E18"/>
  <c r="D18"/>
  <c r="C18"/>
  <c r="B18"/>
  <c r="P17"/>
  <c r="N17"/>
  <c r="L17"/>
  <c r="K17"/>
  <c r="J17"/>
  <c r="I17"/>
  <c r="H17"/>
  <c r="G17"/>
  <c r="F17"/>
  <c r="E17"/>
  <c r="D17"/>
  <c r="C17"/>
  <c r="B17"/>
  <c r="A17"/>
  <c r="P16"/>
  <c r="N16"/>
  <c r="L16"/>
  <c r="K16"/>
  <c r="J16"/>
  <c r="I16"/>
  <c r="H16"/>
  <c r="G16"/>
  <c r="F16"/>
  <c r="E16"/>
  <c r="D16"/>
  <c r="C16"/>
  <c r="B16"/>
  <c r="P15"/>
  <c r="N15"/>
  <c r="L15"/>
  <c r="K15"/>
  <c r="J15"/>
  <c r="I15"/>
  <c r="H15"/>
  <c r="G15"/>
  <c r="F15"/>
  <c r="E15"/>
  <c r="D15"/>
  <c r="C15"/>
  <c r="B15"/>
  <c r="A15"/>
  <c r="R14"/>
  <c r="C14"/>
  <c r="A14"/>
  <c r="P13"/>
  <c r="N13"/>
  <c r="L13"/>
  <c r="K13"/>
  <c r="J13"/>
  <c r="I13"/>
  <c r="H13"/>
  <c r="G13"/>
  <c r="F13"/>
  <c r="E13"/>
  <c r="D13"/>
  <c r="C13"/>
  <c r="B13"/>
  <c r="A13"/>
  <c r="R12"/>
  <c r="C12"/>
  <c r="A12"/>
  <c r="P11"/>
  <c r="N11"/>
  <c r="L11"/>
  <c r="K11"/>
  <c r="J11"/>
  <c r="I11"/>
  <c r="H11"/>
  <c r="G11"/>
  <c r="F11"/>
  <c r="E11"/>
  <c r="D11"/>
  <c r="C11"/>
  <c r="B11"/>
  <c r="A11"/>
  <c r="P10"/>
  <c r="N10"/>
  <c r="L10"/>
  <c r="K10"/>
  <c r="J10"/>
  <c r="I10"/>
  <c r="H10"/>
  <c r="G10"/>
  <c r="F10"/>
  <c r="E10"/>
  <c r="D10"/>
  <c r="C10"/>
  <c r="B10"/>
  <c r="A10"/>
  <c r="R9"/>
  <c r="C9"/>
  <c r="A9"/>
  <c r="P8"/>
  <c r="N8"/>
  <c r="L8"/>
  <c r="K8"/>
  <c r="J8"/>
  <c r="I8"/>
  <c r="H8"/>
  <c r="G8"/>
  <c r="F8"/>
  <c r="E8"/>
  <c r="D8"/>
  <c r="C8"/>
  <c r="B8"/>
  <c r="A8"/>
  <c r="P7"/>
  <c r="N7"/>
  <c r="L7"/>
  <c r="K7"/>
  <c r="J7"/>
  <c r="I7"/>
  <c r="H7"/>
  <c r="G7"/>
  <c r="F7"/>
  <c r="E7"/>
  <c r="D7"/>
  <c r="C7"/>
  <c r="B7"/>
  <c r="A7"/>
  <c r="R6"/>
  <c r="C6"/>
  <c r="A6"/>
  <c r="C3"/>
  <c r="C2"/>
  <c r="A2"/>
  <c r="P28" i="61"/>
  <c r="N28"/>
  <c r="L28"/>
  <c r="K28"/>
  <c r="J28"/>
  <c r="I28"/>
  <c r="H28"/>
  <c r="G28"/>
  <c r="F28"/>
  <c r="E28"/>
  <c r="D28"/>
  <c r="C28"/>
  <c r="B28"/>
  <c r="A28"/>
  <c r="P27"/>
  <c r="N27"/>
  <c r="L27"/>
  <c r="O234" i="72" s="1"/>
  <c r="K27" i="61"/>
  <c r="J27"/>
  <c r="I27"/>
  <c r="H27"/>
  <c r="G27"/>
  <c r="F27"/>
  <c r="E27"/>
  <c r="D27"/>
  <c r="C27"/>
  <c r="B27"/>
  <c r="A27"/>
  <c r="R26"/>
  <c r="F2" s="1"/>
  <c r="C26"/>
  <c r="A26"/>
  <c r="P25"/>
  <c r="N25"/>
  <c r="L25"/>
  <c r="K25"/>
  <c r="J25"/>
  <c r="I25"/>
  <c r="H25"/>
  <c r="G25"/>
  <c r="F25"/>
  <c r="C25"/>
  <c r="B25"/>
  <c r="A25"/>
  <c r="P24"/>
  <c r="N24"/>
  <c r="L24"/>
  <c r="K24"/>
  <c r="J24"/>
  <c r="I24"/>
  <c r="H24"/>
  <c r="G24"/>
  <c r="F24"/>
  <c r="C24"/>
  <c r="B24"/>
  <c r="A24"/>
  <c r="P23"/>
  <c r="N23"/>
  <c r="L23"/>
  <c r="K23"/>
  <c r="J23"/>
  <c r="I23"/>
  <c r="H23"/>
  <c r="G23"/>
  <c r="F23"/>
  <c r="C23"/>
  <c r="B23"/>
  <c r="A23"/>
  <c r="P22"/>
  <c r="N22"/>
  <c r="L22"/>
  <c r="K22"/>
  <c r="J22"/>
  <c r="I22"/>
  <c r="H22"/>
  <c r="G22"/>
  <c r="F22"/>
  <c r="C22"/>
  <c r="B22"/>
  <c r="A22"/>
  <c r="P21"/>
  <c r="N21"/>
  <c r="L21"/>
  <c r="K21"/>
  <c r="J21"/>
  <c r="I21"/>
  <c r="H21"/>
  <c r="G21"/>
  <c r="F21"/>
  <c r="C21"/>
  <c r="B21"/>
  <c r="A21"/>
  <c r="R20"/>
  <c r="C20"/>
  <c r="A20"/>
  <c r="P19"/>
  <c r="N19"/>
  <c r="L19"/>
  <c r="K19"/>
  <c r="J19"/>
  <c r="I19"/>
  <c r="H19"/>
  <c r="G19"/>
  <c r="F19"/>
  <c r="E19"/>
  <c r="D19"/>
  <c r="C19"/>
  <c r="B19"/>
  <c r="A19"/>
  <c r="R18"/>
  <c r="C18"/>
  <c r="A18"/>
  <c r="P17"/>
  <c r="N17"/>
  <c r="L17"/>
  <c r="K17"/>
  <c r="J17"/>
  <c r="I17"/>
  <c r="H17"/>
  <c r="G17"/>
  <c r="F17"/>
  <c r="E17"/>
  <c r="D17"/>
  <c r="C17"/>
  <c r="B17"/>
  <c r="P16"/>
  <c r="N16"/>
  <c r="L16"/>
  <c r="K16"/>
  <c r="J16"/>
  <c r="I16"/>
  <c r="H16"/>
  <c r="G16"/>
  <c r="F16"/>
  <c r="E16"/>
  <c r="D16"/>
  <c r="C16"/>
  <c r="B16"/>
  <c r="P15"/>
  <c r="N15"/>
  <c r="L15"/>
  <c r="K15"/>
  <c r="J15"/>
  <c r="I15"/>
  <c r="H15"/>
  <c r="G15"/>
  <c r="F15"/>
  <c r="E15"/>
  <c r="D15"/>
  <c r="C15"/>
  <c r="B15"/>
  <c r="P14"/>
  <c r="N14"/>
  <c r="L14"/>
  <c r="K14"/>
  <c r="J14"/>
  <c r="I14"/>
  <c r="H14"/>
  <c r="G14"/>
  <c r="F14"/>
  <c r="E14"/>
  <c r="D14"/>
  <c r="C14"/>
  <c r="B14"/>
  <c r="A14"/>
  <c r="R13"/>
  <c r="C13"/>
  <c r="A13"/>
  <c r="P12"/>
  <c r="N12"/>
  <c r="L12"/>
  <c r="K12"/>
  <c r="J12"/>
  <c r="I12"/>
  <c r="H12"/>
  <c r="G12"/>
  <c r="F12"/>
  <c r="E12"/>
  <c r="D12"/>
  <c r="C12"/>
  <c r="B12"/>
  <c r="P11"/>
  <c r="N11"/>
  <c r="L11"/>
  <c r="K11"/>
  <c r="J11"/>
  <c r="I11"/>
  <c r="H11"/>
  <c r="G11"/>
  <c r="F11"/>
  <c r="E11"/>
  <c r="D11"/>
  <c r="C11"/>
  <c r="B11"/>
  <c r="P10"/>
  <c r="N10"/>
  <c r="L10"/>
  <c r="K10"/>
  <c r="J10"/>
  <c r="I10"/>
  <c r="H10"/>
  <c r="G10"/>
  <c r="F10"/>
  <c r="E10"/>
  <c r="D10"/>
  <c r="C10"/>
  <c r="B10"/>
  <c r="P9"/>
  <c r="N9"/>
  <c r="L9"/>
  <c r="K9"/>
  <c r="J9"/>
  <c r="I9"/>
  <c r="H9"/>
  <c r="G9"/>
  <c r="F9"/>
  <c r="E9"/>
  <c r="D9"/>
  <c r="C9"/>
  <c r="B9"/>
  <c r="A9"/>
  <c r="R8"/>
  <c r="C8"/>
  <c r="A8"/>
  <c r="P7"/>
  <c r="N7"/>
  <c r="L7"/>
  <c r="K7"/>
  <c r="J7"/>
  <c r="I7"/>
  <c r="H7"/>
  <c r="G7"/>
  <c r="F7"/>
  <c r="E7"/>
  <c r="D7"/>
  <c r="C7"/>
  <c r="B7"/>
  <c r="A7"/>
  <c r="R6"/>
  <c r="C6"/>
  <c r="A6"/>
  <c r="C3"/>
  <c r="C2"/>
  <c r="A2"/>
  <c r="P20" i="37"/>
  <c r="N20"/>
  <c r="L20"/>
  <c r="K20"/>
  <c r="J20"/>
  <c r="I20"/>
  <c r="H20"/>
  <c r="G20"/>
  <c r="F20"/>
  <c r="E20"/>
  <c r="D20"/>
  <c r="C20"/>
  <c r="B20"/>
  <c r="P19"/>
  <c r="N19"/>
  <c r="L19"/>
  <c r="K19"/>
  <c r="J19"/>
  <c r="I19"/>
  <c r="H19"/>
  <c r="G19"/>
  <c r="F19"/>
  <c r="E19"/>
  <c r="D19"/>
  <c r="C19"/>
  <c r="B19"/>
  <c r="A19"/>
  <c r="R18"/>
  <c r="C18"/>
  <c r="A18"/>
  <c r="P17"/>
  <c r="N17"/>
  <c r="L17"/>
  <c r="K17"/>
  <c r="J17"/>
  <c r="I17"/>
  <c r="H17"/>
  <c r="G17"/>
  <c r="F17"/>
  <c r="E17"/>
  <c r="D17"/>
  <c r="C17"/>
  <c r="B17"/>
  <c r="A17"/>
  <c r="P16"/>
  <c r="N16"/>
  <c r="L16"/>
  <c r="K16"/>
  <c r="J16"/>
  <c r="I16"/>
  <c r="H16"/>
  <c r="G16"/>
  <c r="F16"/>
  <c r="E16"/>
  <c r="D16"/>
  <c r="C16"/>
  <c r="B16"/>
  <c r="A16"/>
  <c r="R15"/>
  <c r="C15"/>
  <c r="A15"/>
  <c r="P14"/>
  <c r="N14"/>
  <c r="L14"/>
  <c r="K14"/>
  <c r="J14"/>
  <c r="I14"/>
  <c r="H14"/>
  <c r="G14"/>
  <c r="F14"/>
  <c r="E14"/>
  <c r="D14"/>
  <c r="C14"/>
  <c r="B14"/>
  <c r="P13"/>
  <c r="N13"/>
  <c r="L13"/>
  <c r="K13"/>
  <c r="J13"/>
  <c r="I13"/>
  <c r="H13"/>
  <c r="G13"/>
  <c r="F13"/>
  <c r="E13"/>
  <c r="D13"/>
  <c r="C13"/>
  <c r="B13"/>
  <c r="A13"/>
  <c r="P12"/>
  <c r="N12"/>
  <c r="L12"/>
  <c r="K12"/>
  <c r="J12"/>
  <c r="I12"/>
  <c r="H12"/>
  <c r="G12"/>
  <c r="F12"/>
  <c r="E12"/>
  <c r="D12"/>
  <c r="C12"/>
  <c r="B12"/>
  <c r="P11"/>
  <c r="N11"/>
  <c r="L11"/>
  <c r="K11"/>
  <c r="J11"/>
  <c r="I11"/>
  <c r="H11"/>
  <c r="G11"/>
  <c r="F11"/>
  <c r="E11"/>
  <c r="D11"/>
  <c r="C11"/>
  <c r="B11"/>
  <c r="A11"/>
  <c r="R10"/>
  <c r="C10"/>
  <c r="A10"/>
  <c r="P9"/>
  <c r="N9"/>
  <c r="L9"/>
  <c r="K9"/>
  <c r="J9"/>
  <c r="I9"/>
  <c r="H9"/>
  <c r="G9"/>
  <c r="F9"/>
  <c r="E9"/>
  <c r="D9"/>
  <c r="C9"/>
  <c r="B9"/>
  <c r="A9"/>
  <c r="R8"/>
  <c r="C8"/>
  <c r="A8"/>
  <c r="P7"/>
  <c r="N7"/>
  <c r="L7"/>
  <c r="K7"/>
  <c r="J7"/>
  <c r="I7"/>
  <c r="H7"/>
  <c r="G7"/>
  <c r="F7"/>
  <c r="E7"/>
  <c r="D7"/>
  <c r="C7"/>
  <c r="B7"/>
  <c r="A7"/>
  <c r="R6"/>
  <c r="C6"/>
  <c r="A6"/>
  <c r="C3"/>
  <c r="F2"/>
  <c r="C2"/>
  <c r="B2"/>
  <c r="A2"/>
  <c r="N274" i="66"/>
  <c r="N273" s="1"/>
  <c r="G273" i="67" s="1"/>
  <c r="AM60" i="76" s="1"/>
  <c r="Q58" i="80" s="1"/>
  <c r="Q273" i="66"/>
  <c r="N272"/>
  <c r="N271"/>
  <c r="N270" s="1"/>
  <c r="G270" i="67" s="1"/>
  <c r="Q270" i="66"/>
  <c r="N269"/>
  <c r="N268"/>
  <c r="N267"/>
  <c r="G267" i="67" s="1"/>
  <c r="N266" i="66"/>
  <c r="Q265"/>
  <c r="Q257"/>
  <c r="N254"/>
  <c r="N251" s="1"/>
  <c r="N253"/>
  <c r="N252"/>
  <c r="Q251"/>
  <c r="Q250"/>
  <c r="N249"/>
  <c r="G249" i="67" s="1"/>
  <c r="N246" i="66"/>
  <c r="N245" s="1"/>
  <c r="G245" i="67" s="1"/>
  <c r="Q245" i="66"/>
  <c r="N244"/>
  <c r="N243"/>
  <c r="N240"/>
  <c r="G240" i="67" s="1"/>
  <c r="Q239" i="66"/>
  <c r="N238"/>
  <c r="N237"/>
  <c r="N236"/>
  <c r="N235" s="1"/>
  <c r="G235" i="67" s="1"/>
  <c r="Q235" i="66"/>
  <c r="N234"/>
  <c r="Q233"/>
  <c r="N232"/>
  <c r="Q231"/>
  <c r="Q230"/>
  <c r="N229"/>
  <c r="N228"/>
  <c r="N227" s="1"/>
  <c r="G227" i="67" s="1"/>
  <c r="Q227" i="66"/>
  <c r="N226"/>
  <c r="G226" i="67" s="1"/>
  <c r="Q225" i="66"/>
  <c r="Q223"/>
  <c r="N222"/>
  <c r="N221"/>
  <c r="G221" i="67" s="1"/>
  <c r="N220" i="66"/>
  <c r="N219"/>
  <c r="G219" i="67" s="1"/>
  <c r="N218" i="66"/>
  <c r="G218" i="67" s="1"/>
  <c r="N217" i="66"/>
  <c r="Q216"/>
  <c r="N215"/>
  <c r="G215" i="67" s="1"/>
  <c r="N214" i="66"/>
  <c r="G214" i="67" s="1"/>
  <c r="N213" i="66"/>
  <c r="N212"/>
  <c r="Q211"/>
  <c r="Q210"/>
  <c r="N209"/>
  <c r="N208"/>
  <c r="N207" s="1"/>
  <c r="G207" i="67" s="1"/>
  <c r="Q207" i="66"/>
  <c r="N206"/>
  <c r="N205"/>
  <c r="Q204"/>
  <c r="N201"/>
  <c r="G201" i="67" s="1"/>
  <c r="N200" i="66"/>
  <c r="Q199"/>
  <c r="N198"/>
  <c r="G198" i="67" s="1"/>
  <c r="N197" i="66"/>
  <c r="Q196"/>
  <c r="Q195"/>
  <c r="N194"/>
  <c r="G194" i="67" s="1"/>
  <c r="N193" i="66"/>
  <c r="G193" i="67" s="1"/>
  <c r="N192" i="66"/>
  <c r="N191"/>
  <c r="G191" i="67" s="1"/>
  <c r="N190" i="66"/>
  <c r="G190" i="67" s="1"/>
  <c r="N189" i="66"/>
  <c r="N188"/>
  <c r="N187"/>
  <c r="N186"/>
  <c r="I4" s="1"/>
  <c r="Q185"/>
  <c r="N184"/>
  <c r="N183"/>
  <c r="N182"/>
  <c r="G182" i="67" s="1"/>
  <c r="N181" i="66"/>
  <c r="G181" i="67" s="1"/>
  <c r="N180" i="66"/>
  <c r="N179"/>
  <c r="Q178"/>
  <c r="N177"/>
  <c r="G177" i="67" s="1"/>
  <c r="N176" i="66"/>
  <c r="Q175"/>
  <c r="Q174"/>
  <c r="N173"/>
  <c r="G173" i="67" s="1"/>
  <c r="N172" i="66"/>
  <c r="Q171"/>
  <c r="N170"/>
  <c r="G170" i="67" s="1"/>
  <c r="I170" s="1"/>
  <c r="K31" i="1" s="1"/>
  <c r="N169" i="66"/>
  <c r="N168"/>
  <c r="N167"/>
  <c r="Q166"/>
  <c r="N165"/>
  <c r="N164"/>
  <c r="Q163"/>
  <c r="Q162"/>
  <c r="N161"/>
  <c r="N160"/>
  <c r="Q159"/>
  <c r="N159"/>
  <c r="G159" i="67" s="1"/>
  <c r="N158" i="66"/>
  <c r="N157"/>
  <c r="Q156"/>
  <c r="N156"/>
  <c r="G156" i="67" s="1"/>
  <c r="N155" i="66"/>
  <c r="N154"/>
  <c r="Q153"/>
  <c r="N153"/>
  <c r="N152" s="1"/>
  <c r="G152" i="67" s="1"/>
  <c r="Q152" i="66"/>
  <c r="N151"/>
  <c r="N150" s="1"/>
  <c r="Q150"/>
  <c r="N149"/>
  <c r="G149" i="67" s="1"/>
  <c r="N148" i="66"/>
  <c r="N147"/>
  <c r="N146"/>
  <c r="N145"/>
  <c r="G145" i="67" s="1"/>
  <c r="N144" i="66"/>
  <c r="N143"/>
  <c r="Q142"/>
  <c r="N141"/>
  <c r="G141" i="67" s="1"/>
  <c r="N140" i="66"/>
  <c r="N139"/>
  <c r="Q138"/>
  <c r="N138"/>
  <c r="N137"/>
  <c r="N136"/>
  <c r="N135"/>
  <c r="Q134"/>
  <c r="N134"/>
  <c r="N133"/>
  <c r="N132"/>
  <c r="N131"/>
  <c r="N130" s="1"/>
  <c r="G130" i="67" s="1"/>
  <c r="Q130" i="66"/>
  <c r="N129"/>
  <c r="N128"/>
  <c r="N127"/>
  <c r="G127" i="67" s="1"/>
  <c r="Q126" i="66"/>
  <c r="N125"/>
  <c r="N124"/>
  <c r="N123"/>
  <c r="N122" s="1"/>
  <c r="G122" i="67" s="1"/>
  <c r="Q122" i="66"/>
  <c r="Q121"/>
  <c r="Q120"/>
  <c r="N119"/>
  <c r="N118" s="1"/>
  <c r="G118" i="67" s="1"/>
  <c r="Q118" i="66"/>
  <c r="N117"/>
  <c r="N116"/>
  <c r="G116" i="67" s="1"/>
  <c r="Q115" i="66"/>
  <c r="N114"/>
  <c r="N113"/>
  <c r="Q112"/>
  <c r="N111"/>
  <c r="M287" i="72" s="1"/>
  <c r="M286" s="1"/>
  <c r="N110" i="66"/>
  <c r="G110" i="67" s="1"/>
  <c r="N109" i="66"/>
  <c r="Q108"/>
  <c r="N107"/>
  <c r="G107" i="67" s="1"/>
  <c r="N106" i="66"/>
  <c r="N105"/>
  <c r="Q104"/>
  <c r="Q103"/>
  <c r="N102"/>
  <c r="N101"/>
  <c r="N100"/>
  <c r="Q99"/>
  <c r="N99"/>
  <c r="N98"/>
  <c r="N97"/>
  <c r="N96"/>
  <c r="N92" s="1"/>
  <c r="G92" i="67" s="1"/>
  <c r="N95" i="66"/>
  <c r="N94"/>
  <c r="N93"/>
  <c r="Q92"/>
  <c r="Q91"/>
  <c r="N90"/>
  <c r="M285" i="72" s="1"/>
  <c r="N89" i="66"/>
  <c r="M284" i="72" s="1"/>
  <c r="Q88" i="66"/>
  <c r="N87"/>
  <c r="N86"/>
  <c r="G86" i="67" s="1"/>
  <c r="I86" s="1"/>
  <c r="N85" i="66"/>
  <c r="Q84"/>
  <c r="N83"/>
  <c r="M278" i="72" s="1"/>
  <c r="N82" i="66"/>
  <c r="G82" i="67" s="1"/>
  <c r="N81" i="66"/>
  <c r="M276" i="72" s="1"/>
  <c r="N80" i="66"/>
  <c r="M275" i="72" s="1"/>
  <c r="N79" i="66"/>
  <c r="Q78"/>
  <c r="Q77"/>
  <c r="N76"/>
  <c r="M271" i="72" s="1"/>
  <c r="N75" i="66"/>
  <c r="M270" i="72" s="1"/>
  <c r="N74" i="66"/>
  <c r="M269" i="72" s="1"/>
  <c r="N73" i="66"/>
  <c r="M268" i="72" s="1"/>
  <c r="N72" i="66"/>
  <c r="M267" i="72" s="1"/>
  <c r="Q71" i="66"/>
  <c r="Q70"/>
  <c r="N69"/>
  <c r="N68"/>
  <c r="N67"/>
  <c r="G67" i="67" s="1"/>
  <c r="N66" i="66"/>
  <c r="G66" i="67" s="1"/>
  <c r="Q65" i="66"/>
  <c r="Q64"/>
  <c r="N63"/>
  <c r="N62"/>
  <c r="N61"/>
  <c r="N60" s="1"/>
  <c r="G60" i="67" s="1"/>
  <c r="Q60" i="66"/>
  <c r="N59"/>
  <c r="N58"/>
  <c r="N57" s="1"/>
  <c r="Q57"/>
  <c r="N56"/>
  <c r="N55"/>
  <c r="G55" i="67" s="1"/>
  <c r="N54" i="66"/>
  <c r="Q53"/>
  <c r="Q52"/>
  <c r="Q51"/>
  <c r="N50"/>
  <c r="G50" i="67" s="1"/>
  <c r="N49" i="66"/>
  <c r="E4" s="1"/>
  <c r="N48"/>
  <c r="N47"/>
  <c r="N46"/>
  <c r="Q45"/>
  <c r="N44"/>
  <c r="N43"/>
  <c r="Q42"/>
  <c r="N41"/>
  <c r="N40"/>
  <c r="Q39"/>
  <c r="Q38"/>
  <c r="N37"/>
  <c r="G37" i="67" s="1"/>
  <c r="N36" i="66"/>
  <c r="N35"/>
  <c r="N34"/>
  <c r="Q33"/>
  <c r="N32"/>
  <c r="N31"/>
  <c r="Q30"/>
  <c r="N25"/>
  <c r="G25" i="67" s="1"/>
  <c r="N24" i="66"/>
  <c r="N23"/>
  <c r="N22"/>
  <c r="N21"/>
  <c r="G21" i="67" s="1"/>
  <c r="N20" i="66"/>
  <c r="N19"/>
  <c r="N17"/>
  <c r="O23" i="75" s="1"/>
  <c r="N16" i="66"/>
  <c r="O22" i="70" s="1"/>
  <c r="N15" i="66"/>
  <c r="O50" i="68" s="1"/>
  <c r="N14" i="66"/>
  <c r="O69" i="41" s="1"/>
  <c r="N13" i="66"/>
  <c r="O53" i="20" s="1"/>
  <c r="N12" i="66"/>
  <c r="O140" i="30" s="1"/>
  <c r="N11" i="66"/>
  <c r="O40" i="40" s="1"/>
  <c r="Q10" i="66"/>
  <c r="Q9" s="1"/>
  <c r="Q8" s="1"/>
  <c r="M4"/>
  <c r="K4"/>
  <c r="J4"/>
  <c r="H4"/>
  <c r="B4"/>
  <c r="N3"/>
  <c r="M3"/>
  <c r="L3"/>
  <c r="K3"/>
  <c r="J3"/>
  <c r="I3"/>
  <c r="H3"/>
  <c r="G3"/>
  <c r="F3"/>
  <c r="E3"/>
  <c r="B3"/>
  <c r="C2"/>
  <c r="B2"/>
  <c r="A2"/>
  <c r="N274" i="65"/>
  <c r="N273" s="1"/>
  <c r="E273" i="67" s="1"/>
  <c r="Q273" i="65"/>
  <c r="N272"/>
  <c r="N271"/>
  <c r="Q270"/>
  <c r="F270" i="67" s="1"/>
  <c r="N269" i="65"/>
  <c r="E269" i="67" s="1"/>
  <c r="N268" i="65"/>
  <c r="E268" i="67" s="1"/>
  <c r="N267" i="65"/>
  <c r="E267" i="67" s="1"/>
  <c r="N266" i="65"/>
  <c r="E266" i="67" s="1"/>
  <c r="Q265" i="65"/>
  <c r="N264"/>
  <c r="E264" i="67" s="1"/>
  <c r="I264" s="1"/>
  <c r="N263" i="65"/>
  <c r="E263" i="67" s="1"/>
  <c r="I263" s="1"/>
  <c r="Q262" i="65"/>
  <c r="N261"/>
  <c r="N260"/>
  <c r="E260" i="67" s="1"/>
  <c r="I260" s="1"/>
  <c r="N259" i="65"/>
  <c r="E259" i="67" s="1"/>
  <c r="I259" s="1"/>
  <c r="Q258" i="65"/>
  <c r="Q257" s="1"/>
  <c r="F257" i="67" s="1"/>
  <c r="J257" s="1"/>
  <c r="M56" i="1" s="1"/>
  <c r="N254" i="65"/>
  <c r="N253"/>
  <c r="E253" i="67" s="1"/>
  <c r="N252" i="65"/>
  <c r="M263" i="72" s="1"/>
  <c r="M262" s="1"/>
  <c r="M261" s="1"/>
  <c r="M260" s="1"/>
  <c r="Q251" i="65"/>
  <c r="N249"/>
  <c r="N248"/>
  <c r="E248" i="67" s="1"/>
  <c r="I248" s="1"/>
  <c r="N247" i="65"/>
  <c r="E247" i="67" s="1"/>
  <c r="I247" s="1"/>
  <c r="N246" i="65"/>
  <c r="Q245"/>
  <c r="N244"/>
  <c r="E244" i="67" s="1"/>
  <c r="N243" i="65"/>
  <c r="E243" i="67" s="1"/>
  <c r="N242" i="65"/>
  <c r="N241"/>
  <c r="N240"/>
  <c r="Q239"/>
  <c r="N238"/>
  <c r="N237"/>
  <c r="N236"/>
  <c r="Q235"/>
  <c r="Q233" s="1"/>
  <c r="N234"/>
  <c r="N232"/>
  <c r="N229"/>
  <c r="E229" i="67" s="1"/>
  <c r="N228" i="65"/>
  <c r="L4" s="1"/>
  <c r="Q227"/>
  <c r="N226"/>
  <c r="Q225"/>
  <c r="Q223" s="1"/>
  <c r="N222"/>
  <c r="N221"/>
  <c r="N220"/>
  <c r="N219"/>
  <c r="E219" i="67" s="1"/>
  <c r="N218" i="65"/>
  <c r="E218" i="67" s="1"/>
  <c r="N217" i="65"/>
  <c r="E217" i="67" s="1"/>
  <c r="Q216" i="65"/>
  <c r="N215"/>
  <c r="N214"/>
  <c r="E214" i="67" s="1"/>
  <c r="N213" i="65"/>
  <c r="N212"/>
  <c r="Q211"/>
  <c r="Q210" s="1"/>
  <c r="N209"/>
  <c r="N207" s="1"/>
  <c r="E207" i="67" s="1"/>
  <c r="N208" i="65"/>
  <c r="Q207"/>
  <c r="N206"/>
  <c r="N205"/>
  <c r="E205" i="67" s="1"/>
  <c r="Q204" i="65"/>
  <c r="N201"/>
  <c r="N200"/>
  <c r="E200" i="67" s="1"/>
  <c r="Q199" i="65"/>
  <c r="F199" i="67" s="1"/>
  <c r="J199" s="1"/>
  <c r="M38" i="1" s="1"/>
  <c r="N198" i="65"/>
  <c r="N197"/>
  <c r="Q196"/>
  <c r="N194"/>
  <c r="E194" i="67" s="1"/>
  <c r="N193" i="65"/>
  <c r="E193" i="67" s="1"/>
  <c r="N192" i="65"/>
  <c r="N191"/>
  <c r="E191" i="67" s="1"/>
  <c r="I191" s="1"/>
  <c r="N190" i="65"/>
  <c r="E190" i="67" s="1"/>
  <c r="N189" i="65"/>
  <c r="N188"/>
  <c r="N187"/>
  <c r="E187" i="67" s="1"/>
  <c r="N186" i="65"/>
  <c r="E186" i="67" s="1"/>
  <c r="Q185" i="65"/>
  <c r="Q178" s="1"/>
  <c r="N184"/>
  <c r="N183"/>
  <c r="E183" i="67" s="1"/>
  <c r="N182" i="65"/>
  <c r="E182" i="67" s="1"/>
  <c r="N181" i="65"/>
  <c r="N180"/>
  <c r="N179"/>
  <c r="E179" i="67" s="1"/>
  <c r="N177" i="65"/>
  <c r="E177" i="67" s="1"/>
  <c r="N176" i="65"/>
  <c r="Q175"/>
  <c r="N173"/>
  <c r="E173" i="67" s="1"/>
  <c r="N172" i="65"/>
  <c r="H4" s="1"/>
  <c r="H4" i="67" s="1"/>
  <c r="AC61" i="76" s="1"/>
  <c r="Q171" i="65"/>
  <c r="N170"/>
  <c r="E170" i="67" s="1"/>
  <c r="N169" i="65"/>
  <c r="E169" i="67" s="1"/>
  <c r="N168" i="65"/>
  <c r="E168" i="67" s="1"/>
  <c r="N167" i="65"/>
  <c r="Q166"/>
  <c r="N165"/>
  <c r="E165" i="67" s="1"/>
  <c r="N164" i="65"/>
  <c r="Q163"/>
  <c r="Q162" s="1"/>
  <c r="N161"/>
  <c r="N160"/>
  <c r="E160" i="67" s="1"/>
  <c r="Q159" i="65"/>
  <c r="F159" i="67" s="1"/>
  <c r="J159" s="1"/>
  <c r="N158" i="65"/>
  <c r="E158" i="67" s="1"/>
  <c r="N157" i="65"/>
  <c r="E157" i="67" s="1"/>
  <c r="Q156" i="65"/>
  <c r="N155"/>
  <c r="E155" i="67" s="1"/>
  <c r="N154" i="65"/>
  <c r="Q153"/>
  <c r="N151"/>
  <c r="N150" s="1"/>
  <c r="E150" i="67" s="1"/>
  <c r="Q150" i="65"/>
  <c r="F150" i="67" s="1"/>
  <c r="J150" s="1"/>
  <c r="N149" i="65"/>
  <c r="N148"/>
  <c r="N147"/>
  <c r="E147" i="67" s="1"/>
  <c r="N146" i="65"/>
  <c r="N145"/>
  <c r="N144"/>
  <c r="E144" i="67" s="1"/>
  <c r="N143" i="65"/>
  <c r="E143" i="67" s="1"/>
  <c r="Q142" i="65"/>
  <c r="N141"/>
  <c r="N140"/>
  <c r="E140" i="67" s="1"/>
  <c r="N139" i="65"/>
  <c r="Q138"/>
  <c r="F138" i="67" s="1"/>
  <c r="J138" s="1"/>
  <c r="N137" i="65"/>
  <c r="N136"/>
  <c r="E136" i="67" s="1"/>
  <c r="N135" i="65"/>
  <c r="E135" i="67" s="1"/>
  <c r="Q134" i="65"/>
  <c r="F134" i="67" s="1"/>
  <c r="J134" s="1"/>
  <c r="N133" i="65"/>
  <c r="E133" i="67" s="1"/>
  <c r="N132" i="65"/>
  <c r="N131"/>
  <c r="Q130"/>
  <c r="F130" i="67" s="1"/>
  <c r="J130" s="1"/>
  <c r="N129" i="65"/>
  <c r="N128"/>
  <c r="N127"/>
  <c r="Q126"/>
  <c r="F126" i="67" s="1"/>
  <c r="J126" s="1"/>
  <c r="N125" i="65"/>
  <c r="N124"/>
  <c r="E124" i="67" s="1"/>
  <c r="N123" i="65"/>
  <c r="E123" i="67" s="1"/>
  <c r="Q122" i="65"/>
  <c r="N119"/>
  <c r="N118" s="1"/>
  <c r="Q118"/>
  <c r="N117"/>
  <c r="N116"/>
  <c r="K259" i="72" s="1"/>
  <c r="Q115" i="65"/>
  <c r="N258" i="72" s="1"/>
  <c r="N114" i="65"/>
  <c r="E114" i="67" s="1"/>
  <c r="N113" i="65"/>
  <c r="E113" i="67" s="1"/>
  <c r="Q112" i="65"/>
  <c r="N111"/>
  <c r="E111" i="67" s="1"/>
  <c r="N110" i="65"/>
  <c r="E110" i="67" s="1"/>
  <c r="N109" i="65"/>
  <c r="Q108"/>
  <c r="P257" i="72" s="1"/>
  <c r="N107" i="65"/>
  <c r="N106"/>
  <c r="M256" i="72" s="1"/>
  <c r="N105" i="65"/>
  <c r="M255" i="72" s="1"/>
  <c r="Q104" i="65"/>
  <c r="P254" i="72" s="1"/>
  <c r="P253" s="1"/>
  <c r="P252" s="1"/>
  <c r="N102" i="65"/>
  <c r="N101"/>
  <c r="E101" i="67" s="1"/>
  <c r="N100" i="65"/>
  <c r="E100" i="67" s="1"/>
  <c r="Q99" i="65"/>
  <c r="Q92" s="1"/>
  <c r="N98"/>
  <c r="N97"/>
  <c r="E97" i="67" s="1"/>
  <c r="N96" i="65"/>
  <c r="N95"/>
  <c r="E95" i="67" s="1"/>
  <c r="N94" i="65"/>
  <c r="N93"/>
  <c r="N90"/>
  <c r="M251" i="72" s="1"/>
  <c r="N89" i="65"/>
  <c r="M250" i="72" s="1"/>
  <c r="Q88" i="65"/>
  <c r="N87"/>
  <c r="M248" i="72" s="1"/>
  <c r="N86" i="65"/>
  <c r="N85"/>
  <c r="M246" i="72" s="1"/>
  <c r="Q84" i="65"/>
  <c r="Q77" s="1"/>
  <c r="F77" i="67" s="1"/>
  <c r="N83" i="65"/>
  <c r="K244" i="72" s="1"/>
  <c r="N82" i="65"/>
  <c r="K243" i="72" s="1"/>
  <c r="N81" i="65"/>
  <c r="K242" i="72" s="1"/>
  <c r="N80" i="65"/>
  <c r="K241" i="72" s="1"/>
  <c r="N79" i="65"/>
  <c r="K240" i="72" s="1"/>
  <c r="Q78" i="65"/>
  <c r="N76"/>
  <c r="E76" i="67" s="1"/>
  <c r="N75" i="65"/>
  <c r="E75" i="67" s="1"/>
  <c r="N74" i="65"/>
  <c r="N73"/>
  <c r="E73" i="67" s="1"/>
  <c r="N72" i="65"/>
  <c r="Q71"/>
  <c r="Q70" s="1"/>
  <c r="F70" i="67" s="1"/>
  <c r="V59" i="76" s="1"/>
  <c r="N69" i="65"/>
  <c r="N68"/>
  <c r="E68" i="67" s="1"/>
  <c r="N67" i="65"/>
  <c r="N66"/>
  <c r="Q65"/>
  <c r="Q64" s="1"/>
  <c r="N63"/>
  <c r="N62"/>
  <c r="N61"/>
  <c r="N60" s="1"/>
  <c r="E60" i="67" s="1"/>
  <c r="Q60" i="65"/>
  <c r="N59"/>
  <c r="N58"/>
  <c r="E58" i="67" s="1"/>
  <c r="Q57" i="65"/>
  <c r="F57" i="67" s="1"/>
  <c r="J57" s="1"/>
  <c r="N56" i="65"/>
  <c r="N55"/>
  <c r="E55" i="67" s="1"/>
  <c r="N54" i="65"/>
  <c r="Q53"/>
  <c r="Q52" s="1"/>
  <c r="Q51" s="1"/>
  <c r="F51" i="67" s="1"/>
  <c r="N50" i="65"/>
  <c r="N49"/>
  <c r="E4" s="1"/>
  <c r="N48"/>
  <c r="E48" i="67" s="1"/>
  <c r="N47" i="65"/>
  <c r="E47" i="67" s="1"/>
  <c r="N46" i="65"/>
  <c r="Q45"/>
  <c r="N44"/>
  <c r="E44" i="67" s="1"/>
  <c r="N43" i="65"/>
  <c r="E43" i="67" s="1"/>
  <c r="Q42" i="65"/>
  <c r="N41"/>
  <c r="N40"/>
  <c r="E40" i="67" s="1"/>
  <c r="Q39" i="65"/>
  <c r="Q38" s="1"/>
  <c r="N37"/>
  <c r="N36"/>
  <c r="E36" i="67" s="1"/>
  <c r="N35" i="65"/>
  <c r="E35" i="67" s="1"/>
  <c r="N34" i="65"/>
  <c r="E34" i="67" s="1"/>
  <c r="Q33" i="65"/>
  <c r="N32"/>
  <c r="N31"/>
  <c r="E31" i="67" s="1"/>
  <c r="Q30" i="65"/>
  <c r="F30" i="67" s="1"/>
  <c r="J30" s="1"/>
  <c r="M8" i="1" s="1"/>
  <c r="N25" i="65"/>
  <c r="E25" i="67" s="1"/>
  <c r="N24" i="65"/>
  <c r="E24" i="67" s="1"/>
  <c r="N23" i="65"/>
  <c r="E23" i="67" s="1"/>
  <c r="N22" i="65"/>
  <c r="E22" i="67" s="1"/>
  <c r="N21" i="65"/>
  <c r="N20"/>
  <c r="E20" i="67" s="1"/>
  <c r="I20" s="1"/>
  <c r="N19" i="65"/>
  <c r="E19" i="67" s="1"/>
  <c r="N17" i="65"/>
  <c r="N16"/>
  <c r="O20" i="70" s="1"/>
  <c r="N15" i="65"/>
  <c r="O48" i="68" s="1"/>
  <c r="N14" i="65"/>
  <c r="O67" i="41" s="1"/>
  <c r="N13" i="65"/>
  <c r="O51" i="20" s="1"/>
  <c r="N12" i="65"/>
  <c r="O138" i="30" s="1"/>
  <c r="N11" i="65"/>
  <c r="O38" i="40" s="1"/>
  <c r="Q10" i="65"/>
  <c r="Q9" s="1"/>
  <c r="J4"/>
  <c r="F4"/>
  <c r="B4"/>
  <c r="N3"/>
  <c r="N3" i="67" s="1"/>
  <c r="AL61" i="76" s="1"/>
  <c r="P59" i="80" s="1"/>
  <c r="M3" i="65"/>
  <c r="L3"/>
  <c r="K3"/>
  <c r="J3"/>
  <c r="J3" i="67" s="1"/>
  <c r="P61" i="76" s="1"/>
  <c r="I3" i="65"/>
  <c r="H3"/>
  <c r="G3"/>
  <c r="F3"/>
  <c r="F3" i="67" s="1"/>
  <c r="L61" i="76" s="1"/>
  <c r="E3" i="65"/>
  <c r="B3"/>
  <c r="C2"/>
  <c r="B2"/>
  <c r="A2"/>
  <c r="M31" i="56"/>
  <c r="O31" s="1"/>
  <c r="M30"/>
  <c r="O30" s="1"/>
  <c r="M29"/>
  <c r="O29" s="1"/>
  <c r="M28"/>
  <c r="O28" s="1"/>
  <c r="M27"/>
  <c r="O27" s="1"/>
  <c r="R26"/>
  <c r="BD3" s="1"/>
  <c r="AN58" i="76" s="1"/>
  <c r="R56" i="80" s="1"/>
  <c r="M25" i="56"/>
  <c r="O25" s="1"/>
  <c r="M24"/>
  <c r="O24" s="1"/>
  <c r="M23"/>
  <c r="O23" s="1"/>
  <c r="M22"/>
  <c r="O22" s="1"/>
  <c r="M21"/>
  <c r="O21" s="1"/>
  <c r="R20"/>
  <c r="BC3" s="1"/>
  <c r="AN45" i="76" s="1"/>
  <c r="M19" i="56"/>
  <c r="O19" s="1"/>
  <c r="M18"/>
  <c r="O18" s="1"/>
  <c r="M17"/>
  <c r="O17" s="1"/>
  <c r="M16"/>
  <c r="O16" s="1"/>
  <c r="M15"/>
  <c r="O15" s="1"/>
  <c r="R14"/>
  <c r="AD3" s="1"/>
  <c r="AN33" i="76" s="1"/>
  <c r="R31" i="80" s="1"/>
  <c r="R13" i="56"/>
  <c r="Q13"/>
  <c r="M13"/>
  <c r="O13" s="1"/>
  <c r="O481" i="38" s="1"/>
  <c r="R12" i="56"/>
  <c r="Q12"/>
  <c r="M12"/>
  <c r="O12" s="1"/>
  <c r="O480" i="38" s="1"/>
  <c r="R11" i="56"/>
  <c r="Q11"/>
  <c r="M11"/>
  <c r="O11" s="1"/>
  <c r="O479" i="38" s="1"/>
  <c r="R10" i="56"/>
  <c r="Q10"/>
  <c r="M10"/>
  <c r="O10" s="1"/>
  <c r="O478" i="38" s="1"/>
  <c r="R9" i="56"/>
  <c r="R8" s="1"/>
  <c r="Q9"/>
  <c r="M9"/>
  <c r="O9" s="1"/>
  <c r="B4"/>
  <c r="B3"/>
  <c r="A2"/>
  <c r="P12" i="34"/>
  <c r="N12"/>
  <c r="L12"/>
  <c r="K12"/>
  <c r="J12"/>
  <c r="I12"/>
  <c r="H12"/>
  <c r="G12"/>
  <c r="F12"/>
  <c r="E12"/>
  <c r="D12"/>
  <c r="C12"/>
  <c r="B12"/>
  <c r="A12"/>
  <c r="R11"/>
  <c r="C11"/>
  <c r="A11"/>
  <c r="P10"/>
  <c r="N10"/>
  <c r="L10"/>
  <c r="K10"/>
  <c r="J10"/>
  <c r="I10"/>
  <c r="H10"/>
  <c r="G10"/>
  <c r="F10"/>
  <c r="E10"/>
  <c r="D10"/>
  <c r="C10"/>
  <c r="B10"/>
  <c r="P9"/>
  <c r="N9"/>
  <c r="L9"/>
  <c r="K9"/>
  <c r="J9"/>
  <c r="I9"/>
  <c r="H9"/>
  <c r="G9"/>
  <c r="F9"/>
  <c r="E9"/>
  <c r="D9"/>
  <c r="C9"/>
  <c r="B9"/>
  <c r="A9"/>
  <c r="R8"/>
  <c r="C8"/>
  <c r="A8"/>
  <c r="P7"/>
  <c r="N7"/>
  <c r="L7"/>
  <c r="K7"/>
  <c r="J7"/>
  <c r="I7"/>
  <c r="H7"/>
  <c r="G7"/>
  <c r="F7"/>
  <c r="E7"/>
  <c r="D7"/>
  <c r="C7"/>
  <c r="B7"/>
  <c r="A7"/>
  <c r="R6"/>
  <c r="C6"/>
  <c r="A6"/>
  <c r="C3"/>
  <c r="F2"/>
  <c r="C2"/>
  <c r="A2"/>
  <c r="P23" i="26"/>
  <c r="N23"/>
  <c r="L23"/>
  <c r="K23"/>
  <c r="J23"/>
  <c r="I23"/>
  <c r="H23"/>
  <c r="G23"/>
  <c r="F23"/>
  <c r="E23"/>
  <c r="D23"/>
  <c r="C23"/>
  <c r="B23"/>
  <c r="A23"/>
  <c r="R22"/>
  <c r="C22"/>
  <c r="B22"/>
  <c r="A22"/>
  <c r="P19"/>
  <c r="N19"/>
  <c r="L19"/>
  <c r="K19"/>
  <c r="J19"/>
  <c r="I19"/>
  <c r="H19"/>
  <c r="G19"/>
  <c r="F19"/>
  <c r="E19"/>
  <c r="D19"/>
  <c r="C19"/>
  <c r="B19"/>
  <c r="P18"/>
  <c r="N18"/>
  <c r="L18"/>
  <c r="K18"/>
  <c r="J18"/>
  <c r="I18"/>
  <c r="H18"/>
  <c r="G18"/>
  <c r="F18"/>
  <c r="E18"/>
  <c r="D18"/>
  <c r="C18"/>
  <c r="B18"/>
  <c r="P17"/>
  <c r="N17"/>
  <c r="L17"/>
  <c r="K17"/>
  <c r="J17"/>
  <c r="I17"/>
  <c r="H17"/>
  <c r="G17"/>
  <c r="F17"/>
  <c r="E17"/>
  <c r="D17"/>
  <c r="C17"/>
  <c r="B17"/>
  <c r="A17"/>
  <c r="R16"/>
  <c r="C16"/>
  <c r="A16"/>
  <c r="P15"/>
  <c r="N15"/>
  <c r="L15"/>
  <c r="K15"/>
  <c r="J15"/>
  <c r="I15"/>
  <c r="H15"/>
  <c r="G15"/>
  <c r="F15"/>
  <c r="E15"/>
  <c r="D15"/>
  <c r="C15"/>
  <c r="B15"/>
  <c r="P14"/>
  <c r="N14"/>
  <c r="L14"/>
  <c r="K14"/>
  <c r="J14"/>
  <c r="I14"/>
  <c r="H14"/>
  <c r="G14"/>
  <c r="F14"/>
  <c r="E14"/>
  <c r="D14"/>
  <c r="C14"/>
  <c r="B14"/>
  <c r="A14"/>
  <c r="R13"/>
  <c r="C13"/>
  <c r="A13"/>
  <c r="P12"/>
  <c r="N12"/>
  <c r="L12"/>
  <c r="K12"/>
  <c r="J12"/>
  <c r="I12"/>
  <c r="H12"/>
  <c r="G12"/>
  <c r="F12"/>
  <c r="E12"/>
  <c r="D12"/>
  <c r="C12"/>
  <c r="B12"/>
  <c r="P11"/>
  <c r="N11"/>
  <c r="L11"/>
  <c r="K11"/>
  <c r="J11"/>
  <c r="I11"/>
  <c r="H11"/>
  <c r="G11"/>
  <c r="F11"/>
  <c r="E11"/>
  <c r="D11"/>
  <c r="C11"/>
  <c r="B11"/>
  <c r="A11"/>
  <c r="R10"/>
  <c r="C10"/>
  <c r="A10"/>
  <c r="P9"/>
  <c r="N9"/>
  <c r="L9"/>
  <c r="K9"/>
  <c r="J9"/>
  <c r="I9"/>
  <c r="H9"/>
  <c r="G9"/>
  <c r="F9"/>
  <c r="E9"/>
  <c r="D9"/>
  <c r="C9"/>
  <c r="B9"/>
  <c r="A9"/>
  <c r="R8"/>
  <c r="C8"/>
  <c r="A8"/>
  <c r="P7"/>
  <c r="N7"/>
  <c r="L7"/>
  <c r="K7"/>
  <c r="J7"/>
  <c r="I7"/>
  <c r="H7"/>
  <c r="G7"/>
  <c r="F7"/>
  <c r="E7"/>
  <c r="D7"/>
  <c r="C7"/>
  <c r="B7"/>
  <c r="A7"/>
  <c r="R6"/>
  <c r="F2" s="1"/>
  <c r="C6"/>
  <c r="B6"/>
  <c r="A6"/>
  <c r="C3"/>
  <c r="C2"/>
  <c r="A2"/>
  <c r="P15" i="33"/>
  <c r="N15"/>
  <c r="L15"/>
  <c r="K15"/>
  <c r="J15"/>
  <c r="I15"/>
  <c r="H15"/>
  <c r="G15"/>
  <c r="F15"/>
  <c r="E15"/>
  <c r="D15"/>
  <c r="C15"/>
  <c r="B15"/>
  <c r="A15"/>
  <c r="R14"/>
  <c r="C14"/>
  <c r="A14"/>
  <c r="P13"/>
  <c r="N13"/>
  <c r="L13"/>
  <c r="K13"/>
  <c r="J13"/>
  <c r="I13"/>
  <c r="H13"/>
  <c r="G13"/>
  <c r="F13"/>
  <c r="E13"/>
  <c r="D13"/>
  <c r="C13"/>
  <c r="B13"/>
  <c r="A13"/>
  <c r="R12"/>
  <c r="C12"/>
  <c r="A12"/>
  <c r="P11"/>
  <c r="N11"/>
  <c r="L11"/>
  <c r="K11"/>
  <c r="J11"/>
  <c r="I11"/>
  <c r="H11"/>
  <c r="G11"/>
  <c r="F11"/>
  <c r="E11"/>
  <c r="D11"/>
  <c r="C11"/>
  <c r="B11"/>
  <c r="A11"/>
  <c r="P10"/>
  <c r="N10"/>
  <c r="L10"/>
  <c r="K10"/>
  <c r="J10"/>
  <c r="I10"/>
  <c r="H10"/>
  <c r="G10"/>
  <c r="F10"/>
  <c r="E10"/>
  <c r="D10"/>
  <c r="C10"/>
  <c r="B10"/>
  <c r="P9"/>
  <c r="N9"/>
  <c r="L9"/>
  <c r="K9"/>
  <c r="J9"/>
  <c r="I9"/>
  <c r="H9"/>
  <c r="G9"/>
  <c r="F9"/>
  <c r="E9"/>
  <c r="D9"/>
  <c r="C9"/>
  <c r="B9"/>
  <c r="A9"/>
  <c r="R8"/>
  <c r="C8"/>
  <c r="A8"/>
  <c r="P7"/>
  <c r="N7"/>
  <c r="L7"/>
  <c r="K7"/>
  <c r="J7"/>
  <c r="I7"/>
  <c r="H7"/>
  <c r="G7"/>
  <c r="F7"/>
  <c r="E7"/>
  <c r="D7"/>
  <c r="C7"/>
  <c r="B7"/>
  <c r="A7"/>
  <c r="R6"/>
  <c r="C6"/>
  <c r="A6"/>
  <c r="C3"/>
  <c r="F2"/>
  <c r="C2"/>
  <c r="A2"/>
  <c r="P22" i="44"/>
  <c r="N22"/>
  <c r="L22"/>
  <c r="K22"/>
  <c r="J22"/>
  <c r="I22"/>
  <c r="H22"/>
  <c r="G22"/>
  <c r="F22"/>
  <c r="E22"/>
  <c r="D22"/>
  <c r="C22"/>
  <c r="B22"/>
  <c r="A22"/>
  <c r="P21"/>
  <c r="N21"/>
  <c r="L21"/>
  <c r="K21"/>
  <c r="J21"/>
  <c r="I21"/>
  <c r="H21"/>
  <c r="G21"/>
  <c r="F21"/>
  <c r="E21"/>
  <c r="D21"/>
  <c r="C21"/>
  <c r="B21"/>
  <c r="A21"/>
  <c r="P20"/>
  <c r="N20"/>
  <c r="L20"/>
  <c r="K20"/>
  <c r="J20"/>
  <c r="I20"/>
  <c r="H20"/>
  <c r="G20"/>
  <c r="F20"/>
  <c r="E20"/>
  <c r="D20"/>
  <c r="C20"/>
  <c r="B20"/>
  <c r="A20"/>
  <c r="R19"/>
  <c r="C19"/>
  <c r="A19"/>
  <c r="P18"/>
  <c r="N18"/>
  <c r="L18"/>
  <c r="K18"/>
  <c r="J18"/>
  <c r="I18"/>
  <c r="H18"/>
  <c r="G18"/>
  <c r="F18"/>
  <c r="E18"/>
  <c r="D18"/>
  <c r="C18"/>
  <c r="B18"/>
  <c r="A18"/>
  <c r="R17"/>
  <c r="C17"/>
  <c r="A17"/>
  <c r="P16"/>
  <c r="N16"/>
  <c r="L16"/>
  <c r="K16"/>
  <c r="J16"/>
  <c r="I16"/>
  <c r="H16"/>
  <c r="G16"/>
  <c r="F16"/>
  <c r="E16"/>
  <c r="D16"/>
  <c r="C16"/>
  <c r="B16"/>
  <c r="P15"/>
  <c r="N15"/>
  <c r="L15"/>
  <c r="K15"/>
  <c r="J15"/>
  <c r="I15"/>
  <c r="H15"/>
  <c r="G15"/>
  <c r="F15"/>
  <c r="E15"/>
  <c r="D15"/>
  <c r="C15"/>
  <c r="B15"/>
  <c r="A15"/>
  <c r="R14"/>
  <c r="C14"/>
  <c r="A14"/>
  <c r="P13"/>
  <c r="N13"/>
  <c r="L13"/>
  <c r="K13"/>
  <c r="J13"/>
  <c r="I13"/>
  <c r="H13"/>
  <c r="G13"/>
  <c r="F13"/>
  <c r="E13"/>
  <c r="D13"/>
  <c r="C13"/>
  <c r="P12"/>
  <c r="N12"/>
  <c r="L12"/>
  <c r="K12"/>
  <c r="J12"/>
  <c r="I12"/>
  <c r="H12"/>
  <c r="G12"/>
  <c r="F12"/>
  <c r="E12"/>
  <c r="D12"/>
  <c r="C12"/>
  <c r="B12"/>
  <c r="A12"/>
  <c r="R11"/>
  <c r="C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F3"/>
  <c r="C3"/>
  <c r="F2"/>
  <c r="C2"/>
  <c r="A2"/>
  <c r="P23" i="53"/>
  <c r="N23"/>
  <c r="L23"/>
  <c r="K23"/>
  <c r="J23"/>
  <c r="I23"/>
  <c r="H23"/>
  <c r="G23"/>
  <c r="F23"/>
  <c r="E23"/>
  <c r="D23"/>
  <c r="C23"/>
  <c r="B23"/>
  <c r="A23"/>
  <c r="R22"/>
  <c r="C22"/>
  <c r="P21"/>
  <c r="N21"/>
  <c r="L21"/>
  <c r="K21"/>
  <c r="J21"/>
  <c r="I21"/>
  <c r="H21"/>
  <c r="G21"/>
  <c r="F21"/>
  <c r="E21"/>
  <c r="D21"/>
  <c r="C21"/>
  <c r="B21"/>
  <c r="A21"/>
  <c r="R20"/>
  <c r="C20"/>
  <c r="A20"/>
  <c r="P19"/>
  <c r="N19"/>
  <c r="L19"/>
  <c r="K19"/>
  <c r="J19"/>
  <c r="I19"/>
  <c r="H19"/>
  <c r="G19"/>
  <c r="F19"/>
  <c r="E19"/>
  <c r="D19"/>
  <c r="C19"/>
  <c r="B19"/>
  <c r="A19"/>
  <c r="R18"/>
  <c r="C18"/>
  <c r="A18"/>
  <c r="P17"/>
  <c r="N17"/>
  <c r="L17"/>
  <c r="K17"/>
  <c r="J17"/>
  <c r="I17"/>
  <c r="H17"/>
  <c r="G17"/>
  <c r="F17"/>
  <c r="E17"/>
  <c r="D17"/>
  <c r="C17"/>
  <c r="B17"/>
  <c r="P16"/>
  <c r="N16"/>
  <c r="L16"/>
  <c r="K16"/>
  <c r="J16"/>
  <c r="I16"/>
  <c r="H16"/>
  <c r="G16"/>
  <c r="F16"/>
  <c r="E16"/>
  <c r="D16"/>
  <c r="C16"/>
  <c r="B16"/>
  <c r="A16"/>
  <c r="R15"/>
  <c r="C15"/>
  <c r="A15"/>
  <c r="P14"/>
  <c r="N14"/>
  <c r="L14"/>
  <c r="K14"/>
  <c r="J14"/>
  <c r="I14"/>
  <c r="H14"/>
  <c r="G14"/>
  <c r="F14"/>
  <c r="E14"/>
  <c r="D14"/>
  <c r="C14"/>
  <c r="B14"/>
  <c r="P13"/>
  <c r="N13"/>
  <c r="L13"/>
  <c r="K13"/>
  <c r="J13"/>
  <c r="I13"/>
  <c r="H13"/>
  <c r="G13"/>
  <c r="F13"/>
  <c r="E13"/>
  <c r="D13"/>
  <c r="C13"/>
  <c r="B13"/>
  <c r="A13"/>
  <c r="P12"/>
  <c r="N12"/>
  <c r="L12"/>
  <c r="K12"/>
  <c r="J12"/>
  <c r="I12"/>
  <c r="H12"/>
  <c r="G12"/>
  <c r="F12"/>
  <c r="E12"/>
  <c r="D12"/>
  <c r="C12"/>
  <c r="B12"/>
  <c r="P11"/>
  <c r="N11"/>
  <c r="L11"/>
  <c r="K11"/>
  <c r="J11"/>
  <c r="I11"/>
  <c r="H11"/>
  <c r="G11"/>
  <c r="F11"/>
  <c r="E11"/>
  <c r="D11"/>
  <c r="C11"/>
  <c r="B11"/>
  <c r="A11"/>
  <c r="R10"/>
  <c r="C10"/>
  <c r="A10"/>
  <c r="P9"/>
  <c r="N9"/>
  <c r="L9"/>
  <c r="K9"/>
  <c r="J9"/>
  <c r="I9"/>
  <c r="H9"/>
  <c r="G9"/>
  <c r="F9"/>
  <c r="E9"/>
  <c r="D9"/>
  <c r="C9"/>
  <c r="B9"/>
  <c r="A9"/>
  <c r="P8"/>
  <c r="N8"/>
  <c r="L8"/>
  <c r="K8"/>
  <c r="J8"/>
  <c r="I8"/>
  <c r="H8"/>
  <c r="G8"/>
  <c r="F8"/>
  <c r="E8"/>
  <c r="D8"/>
  <c r="C8"/>
  <c r="B8"/>
  <c r="A8"/>
  <c r="P7"/>
  <c r="N7"/>
  <c r="L7"/>
  <c r="K7"/>
  <c r="J7"/>
  <c r="I7"/>
  <c r="H7"/>
  <c r="G7"/>
  <c r="F7"/>
  <c r="E7"/>
  <c r="D7"/>
  <c r="C7"/>
  <c r="B7"/>
  <c r="A7"/>
  <c r="R6"/>
  <c r="F2" s="1"/>
  <c r="C6"/>
  <c r="B6"/>
  <c r="A6"/>
  <c r="C3"/>
  <c r="C2"/>
  <c r="B2"/>
  <c r="A2"/>
  <c r="P73" i="24"/>
  <c r="N73"/>
  <c r="L73"/>
  <c r="K73"/>
  <c r="J73"/>
  <c r="I73"/>
  <c r="H73"/>
  <c r="G73"/>
  <c r="F73"/>
  <c r="E73"/>
  <c r="D73"/>
  <c r="C73"/>
  <c r="B73"/>
  <c r="A73"/>
  <c r="P72"/>
  <c r="N72"/>
  <c r="L72"/>
  <c r="K72"/>
  <c r="J72"/>
  <c r="I72"/>
  <c r="H72"/>
  <c r="G72"/>
  <c r="F72"/>
  <c r="E72"/>
  <c r="D72"/>
  <c r="C72"/>
  <c r="B72"/>
  <c r="A72"/>
  <c r="P71"/>
  <c r="N71"/>
  <c r="L71"/>
  <c r="K71"/>
  <c r="J71"/>
  <c r="I71"/>
  <c r="H71"/>
  <c r="G71"/>
  <c r="F71"/>
  <c r="E71"/>
  <c r="D71"/>
  <c r="C71"/>
  <c r="B71"/>
  <c r="A71"/>
  <c r="P70"/>
  <c r="N70"/>
  <c r="L70"/>
  <c r="K70"/>
  <c r="J70"/>
  <c r="I70"/>
  <c r="H70"/>
  <c r="G70"/>
  <c r="F70"/>
  <c r="E70"/>
  <c r="D70"/>
  <c r="C70"/>
  <c r="B70"/>
  <c r="A70"/>
  <c r="P69"/>
  <c r="N69"/>
  <c r="L69"/>
  <c r="K69"/>
  <c r="J69"/>
  <c r="I69"/>
  <c r="H69"/>
  <c r="G69"/>
  <c r="F69"/>
  <c r="E69"/>
  <c r="D69"/>
  <c r="C69"/>
  <c r="B69"/>
  <c r="A69"/>
  <c r="P68"/>
  <c r="N68"/>
  <c r="L68"/>
  <c r="K68"/>
  <c r="J68"/>
  <c r="I68"/>
  <c r="H68"/>
  <c r="G68"/>
  <c r="F68"/>
  <c r="E68"/>
  <c r="D68"/>
  <c r="C68"/>
  <c r="B68"/>
  <c r="A68"/>
  <c r="P67"/>
  <c r="N67"/>
  <c r="L67"/>
  <c r="K67"/>
  <c r="J67"/>
  <c r="I67"/>
  <c r="H67"/>
  <c r="G67"/>
  <c r="F67"/>
  <c r="E67"/>
  <c r="D67"/>
  <c r="C67"/>
  <c r="B67"/>
  <c r="A67"/>
  <c r="P66"/>
  <c r="N66"/>
  <c r="L66"/>
  <c r="K66"/>
  <c r="J66"/>
  <c r="I66"/>
  <c r="H66"/>
  <c r="G66"/>
  <c r="F66"/>
  <c r="E66"/>
  <c r="D66"/>
  <c r="C66"/>
  <c r="B66"/>
  <c r="A66"/>
  <c r="P65"/>
  <c r="N65"/>
  <c r="L65"/>
  <c r="K65"/>
  <c r="J65"/>
  <c r="I65"/>
  <c r="H65"/>
  <c r="G65"/>
  <c r="F65"/>
  <c r="E65"/>
  <c r="D65"/>
  <c r="C65"/>
  <c r="B65"/>
  <c r="A65"/>
  <c r="P64"/>
  <c r="N64"/>
  <c r="L64"/>
  <c r="K64"/>
  <c r="J64"/>
  <c r="I64"/>
  <c r="H64"/>
  <c r="G64"/>
  <c r="F64"/>
  <c r="E64"/>
  <c r="D64"/>
  <c r="C64"/>
  <c r="B64"/>
  <c r="A64"/>
  <c r="P63"/>
  <c r="N63"/>
  <c r="L63"/>
  <c r="K63"/>
  <c r="J63"/>
  <c r="I63"/>
  <c r="H63"/>
  <c r="G63"/>
  <c r="F63"/>
  <c r="E63"/>
  <c r="D63"/>
  <c r="C63"/>
  <c r="B63"/>
  <c r="A63"/>
  <c r="P62"/>
  <c r="N62"/>
  <c r="L62"/>
  <c r="K62"/>
  <c r="J62"/>
  <c r="I62"/>
  <c r="H62"/>
  <c r="G62"/>
  <c r="F62"/>
  <c r="E62"/>
  <c r="D62"/>
  <c r="C62"/>
  <c r="B62"/>
  <c r="A62"/>
  <c r="R61"/>
  <c r="C61"/>
  <c r="A61"/>
  <c r="P60"/>
  <c r="N60"/>
  <c r="L60"/>
  <c r="K60"/>
  <c r="J60"/>
  <c r="I60"/>
  <c r="H60"/>
  <c r="G60"/>
  <c r="F60"/>
  <c r="E60"/>
  <c r="D60"/>
  <c r="C60"/>
  <c r="A60"/>
  <c r="P59"/>
  <c r="N59"/>
  <c r="L59"/>
  <c r="K59"/>
  <c r="J59"/>
  <c r="I59"/>
  <c r="H59"/>
  <c r="G59"/>
  <c r="F59"/>
  <c r="E59"/>
  <c r="D59"/>
  <c r="C59"/>
  <c r="B59"/>
  <c r="A59"/>
  <c r="P58"/>
  <c r="N58"/>
  <c r="L58"/>
  <c r="K58"/>
  <c r="J58"/>
  <c r="I58"/>
  <c r="H58"/>
  <c r="G58"/>
  <c r="F58"/>
  <c r="E58"/>
  <c r="D58"/>
  <c r="C58"/>
  <c r="B58"/>
  <c r="A58"/>
  <c r="P57"/>
  <c r="N57"/>
  <c r="L57"/>
  <c r="K57"/>
  <c r="J57"/>
  <c r="I57"/>
  <c r="H57"/>
  <c r="G57"/>
  <c r="F57"/>
  <c r="E57"/>
  <c r="D57"/>
  <c r="C57"/>
  <c r="B57"/>
  <c r="A57"/>
  <c r="R56"/>
  <c r="C56"/>
  <c r="A56"/>
  <c r="P55"/>
  <c r="N55"/>
  <c r="L55"/>
  <c r="K55"/>
  <c r="J55"/>
  <c r="I55"/>
  <c r="H55"/>
  <c r="G55"/>
  <c r="F55"/>
  <c r="E55"/>
  <c r="D55"/>
  <c r="C55"/>
  <c r="B55"/>
  <c r="P54"/>
  <c r="N54"/>
  <c r="L54"/>
  <c r="K54"/>
  <c r="J54"/>
  <c r="I54"/>
  <c r="H54"/>
  <c r="G54"/>
  <c r="F54"/>
  <c r="E54"/>
  <c r="D54"/>
  <c r="C54"/>
  <c r="B54"/>
  <c r="P53"/>
  <c r="N53"/>
  <c r="L53"/>
  <c r="K53"/>
  <c r="J53"/>
  <c r="I53"/>
  <c r="H53"/>
  <c r="G53"/>
  <c r="F53"/>
  <c r="E53"/>
  <c r="D53"/>
  <c r="C53"/>
  <c r="B53"/>
  <c r="P52"/>
  <c r="N52"/>
  <c r="L52"/>
  <c r="K52"/>
  <c r="J52"/>
  <c r="I52"/>
  <c r="H52"/>
  <c r="G52"/>
  <c r="F52"/>
  <c r="E52"/>
  <c r="D52"/>
  <c r="C52"/>
  <c r="B52"/>
  <c r="A52"/>
  <c r="R51"/>
  <c r="C51"/>
  <c r="A51"/>
  <c r="P50"/>
  <c r="N50"/>
  <c r="L50"/>
  <c r="K50"/>
  <c r="J50"/>
  <c r="I50"/>
  <c r="H50"/>
  <c r="G50"/>
  <c r="F50"/>
  <c r="E50"/>
  <c r="D50"/>
  <c r="C50"/>
  <c r="B50"/>
  <c r="P49"/>
  <c r="N49"/>
  <c r="L49"/>
  <c r="K49"/>
  <c r="J49"/>
  <c r="I49"/>
  <c r="H49"/>
  <c r="G49"/>
  <c r="F49"/>
  <c r="E49"/>
  <c r="D49"/>
  <c r="C49"/>
  <c r="B49"/>
  <c r="P48"/>
  <c r="N48"/>
  <c r="L48"/>
  <c r="K48"/>
  <c r="J48"/>
  <c r="I48"/>
  <c r="H48"/>
  <c r="G48"/>
  <c r="F48"/>
  <c r="E48"/>
  <c r="D48"/>
  <c r="C48"/>
  <c r="B48"/>
  <c r="P47"/>
  <c r="N47"/>
  <c r="L47"/>
  <c r="K47"/>
  <c r="J47"/>
  <c r="I47"/>
  <c r="H47"/>
  <c r="G47"/>
  <c r="F47"/>
  <c r="E47"/>
  <c r="D47"/>
  <c r="C47"/>
  <c r="B47"/>
  <c r="A47"/>
  <c r="R46"/>
  <c r="C46"/>
  <c r="A46"/>
  <c r="P45"/>
  <c r="N45"/>
  <c r="L45"/>
  <c r="K45"/>
  <c r="J45"/>
  <c r="I45"/>
  <c r="H45"/>
  <c r="G45"/>
  <c r="F45"/>
  <c r="E45"/>
  <c r="D45"/>
  <c r="C45"/>
  <c r="A45"/>
  <c r="P44"/>
  <c r="N44"/>
  <c r="L44"/>
  <c r="K44"/>
  <c r="J44"/>
  <c r="I44"/>
  <c r="H44"/>
  <c r="G44"/>
  <c r="F44"/>
  <c r="E44"/>
  <c r="D44"/>
  <c r="C44"/>
  <c r="B44"/>
  <c r="A44"/>
  <c r="P43"/>
  <c r="N43"/>
  <c r="L43"/>
  <c r="K43"/>
  <c r="J43"/>
  <c r="I43"/>
  <c r="H43"/>
  <c r="G43"/>
  <c r="F43"/>
  <c r="E43"/>
  <c r="D43"/>
  <c r="C43"/>
  <c r="B43"/>
  <c r="A43"/>
  <c r="P42"/>
  <c r="N42"/>
  <c r="L42"/>
  <c r="K42"/>
  <c r="J42"/>
  <c r="I42"/>
  <c r="H42"/>
  <c r="G42"/>
  <c r="F42"/>
  <c r="E42"/>
  <c r="D42"/>
  <c r="C42"/>
  <c r="B42"/>
  <c r="A42"/>
  <c r="P41"/>
  <c r="N41"/>
  <c r="L41"/>
  <c r="K41"/>
  <c r="J41"/>
  <c r="I41"/>
  <c r="H41"/>
  <c r="G41"/>
  <c r="F41"/>
  <c r="E41"/>
  <c r="D41"/>
  <c r="C41"/>
  <c r="B41"/>
  <c r="A41"/>
  <c r="R40"/>
  <c r="C40"/>
  <c r="A40"/>
  <c r="P39"/>
  <c r="N39"/>
  <c r="L39"/>
  <c r="K39"/>
  <c r="J39"/>
  <c r="I39"/>
  <c r="H39"/>
  <c r="G39"/>
  <c r="F39"/>
  <c r="E39"/>
  <c r="D39"/>
  <c r="C39"/>
  <c r="B39"/>
  <c r="P38"/>
  <c r="N38"/>
  <c r="L38"/>
  <c r="K38"/>
  <c r="J38"/>
  <c r="I38"/>
  <c r="H38"/>
  <c r="G38"/>
  <c r="F38"/>
  <c r="E38"/>
  <c r="D38"/>
  <c r="C38"/>
  <c r="B38"/>
  <c r="P37"/>
  <c r="N37"/>
  <c r="L37"/>
  <c r="K37"/>
  <c r="J37"/>
  <c r="I37"/>
  <c r="H37"/>
  <c r="G37"/>
  <c r="F37"/>
  <c r="E37"/>
  <c r="D37"/>
  <c r="C37"/>
  <c r="B37"/>
  <c r="P36"/>
  <c r="N36"/>
  <c r="L36"/>
  <c r="K36"/>
  <c r="J36"/>
  <c r="I36"/>
  <c r="H36"/>
  <c r="G36"/>
  <c r="F36"/>
  <c r="E36"/>
  <c r="D36"/>
  <c r="C36"/>
  <c r="B36"/>
  <c r="A36"/>
  <c r="R35"/>
  <c r="C35"/>
  <c r="A35"/>
  <c r="P34"/>
  <c r="N34"/>
  <c r="L34"/>
  <c r="K34"/>
  <c r="J34"/>
  <c r="I34"/>
  <c r="H34"/>
  <c r="G34"/>
  <c r="F34"/>
  <c r="E34"/>
  <c r="D34"/>
  <c r="C34"/>
  <c r="B34"/>
  <c r="A34"/>
  <c r="P33"/>
  <c r="N33"/>
  <c r="L33"/>
  <c r="K33"/>
  <c r="J33"/>
  <c r="I33"/>
  <c r="H33"/>
  <c r="G33"/>
  <c r="F33"/>
  <c r="E33"/>
  <c r="D33"/>
  <c r="C33"/>
  <c r="B33"/>
  <c r="A33"/>
  <c r="R32"/>
  <c r="C32"/>
  <c r="A32"/>
  <c r="P31"/>
  <c r="N31"/>
  <c r="L31"/>
  <c r="K31"/>
  <c r="J31"/>
  <c r="I31"/>
  <c r="H31"/>
  <c r="G31"/>
  <c r="F31"/>
  <c r="E31"/>
  <c r="D31"/>
  <c r="C31"/>
  <c r="B31"/>
  <c r="P30"/>
  <c r="N30"/>
  <c r="L30"/>
  <c r="K30"/>
  <c r="J30"/>
  <c r="I30"/>
  <c r="H30"/>
  <c r="G30"/>
  <c r="F30"/>
  <c r="E30"/>
  <c r="D30"/>
  <c r="C30"/>
  <c r="B30"/>
  <c r="P29"/>
  <c r="N29"/>
  <c r="L29"/>
  <c r="K29"/>
  <c r="J29"/>
  <c r="I29"/>
  <c r="H29"/>
  <c r="G29"/>
  <c r="F29"/>
  <c r="E29"/>
  <c r="D29"/>
  <c r="C29"/>
  <c r="B29"/>
  <c r="P28"/>
  <c r="N28"/>
  <c r="L28"/>
  <c r="K28"/>
  <c r="J28"/>
  <c r="I28"/>
  <c r="H28"/>
  <c r="G28"/>
  <c r="F28"/>
  <c r="E28"/>
  <c r="D28"/>
  <c r="C28"/>
  <c r="B28"/>
  <c r="P27"/>
  <c r="N27"/>
  <c r="L27"/>
  <c r="K27"/>
  <c r="J27"/>
  <c r="I27"/>
  <c r="H27"/>
  <c r="G27"/>
  <c r="F27"/>
  <c r="E27"/>
  <c r="D27"/>
  <c r="C27"/>
  <c r="B27"/>
  <c r="P26"/>
  <c r="N26"/>
  <c r="L26"/>
  <c r="K26"/>
  <c r="J26"/>
  <c r="I26"/>
  <c r="H26"/>
  <c r="G26"/>
  <c r="F26"/>
  <c r="E26"/>
  <c r="D26"/>
  <c r="C26"/>
  <c r="B26"/>
  <c r="P25"/>
  <c r="N25"/>
  <c r="L25"/>
  <c r="K25"/>
  <c r="J25"/>
  <c r="I25"/>
  <c r="H25"/>
  <c r="G25"/>
  <c r="F25"/>
  <c r="E25"/>
  <c r="D25"/>
  <c r="C25"/>
  <c r="B25"/>
  <c r="P24"/>
  <c r="N24"/>
  <c r="L24"/>
  <c r="K24"/>
  <c r="J24"/>
  <c r="I24"/>
  <c r="H24"/>
  <c r="G24"/>
  <c r="F24"/>
  <c r="E24"/>
  <c r="D24"/>
  <c r="C24"/>
  <c r="B24"/>
  <c r="A24"/>
  <c r="P23"/>
  <c r="N23"/>
  <c r="L23"/>
  <c r="K23"/>
  <c r="J23"/>
  <c r="I23"/>
  <c r="H23"/>
  <c r="G23"/>
  <c r="F23"/>
  <c r="E23"/>
  <c r="D23"/>
  <c r="C23"/>
  <c r="B23"/>
  <c r="P22"/>
  <c r="N22"/>
  <c r="L22"/>
  <c r="K22"/>
  <c r="J22"/>
  <c r="I22"/>
  <c r="H22"/>
  <c r="G22"/>
  <c r="F22"/>
  <c r="E22"/>
  <c r="D22"/>
  <c r="C22"/>
  <c r="P21"/>
  <c r="N21"/>
  <c r="L21"/>
  <c r="K21"/>
  <c r="J21"/>
  <c r="I21"/>
  <c r="H21"/>
  <c r="G21"/>
  <c r="F21"/>
  <c r="E21"/>
  <c r="D21"/>
  <c r="C21"/>
  <c r="B21"/>
  <c r="P20"/>
  <c r="N20"/>
  <c r="L20"/>
  <c r="K20"/>
  <c r="J20"/>
  <c r="I20"/>
  <c r="H20"/>
  <c r="G20"/>
  <c r="F20"/>
  <c r="E20"/>
  <c r="D20"/>
  <c r="C20"/>
  <c r="B20"/>
  <c r="P19"/>
  <c r="N19"/>
  <c r="L19"/>
  <c r="K19"/>
  <c r="J19"/>
  <c r="I19"/>
  <c r="H19"/>
  <c r="G19"/>
  <c r="F19"/>
  <c r="E19"/>
  <c r="D19"/>
  <c r="C19"/>
  <c r="B19"/>
  <c r="P18"/>
  <c r="N18"/>
  <c r="L18"/>
  <c r="K18"/>
  <c r="J18"/>
  <c r="I18"/>
  <c r="H18"/>
  <c r="G18"/>
  <c r="F18"/>
  <c r="E18"/>
  <c r="D18"/>
  <c r="C18"/>
  <c r="B18"/>
  <c r="A18"/>
  <c r="R17"/>
  <c r="C17"/>
  <c r="A17"/>
  <c r="P16"/>
  <c r="N16"/>
  <c r="L16"/>
  <c r="K16"/>
  <c r="J16"/>
  <c r="I16"/>
  <c r="H16"/>
  <c r="G16"/>
  <c r="F16"/>
  <c r="E16"/>
  <c r="D16"/>
  <c r="C16"/>
  <c r="B16"/>
  <c r="A16"/>
  <c r="R15"/>
  <c r="C15"/>
  <c r="A15"/>
  <c r="P14"/>
  <c r="N14"/>
  <c r="L14"/>
  <c r="K14"/>
  <c r="J14"/>
  <c r="I14"/>
  <c r="H14"/>
  <c r="G14"/>
  <c r="F14"/>
  <c r="E14"/>
  <c r="D14"/>
  <c r="C14"/>
  <c r="B14"/>
  <c r="A14"/>
  <c r="R13"/>
  <c r="C13"/>
  <c r="A13"/>
  <c r="P12"/>
  <c r="N12"/>
  <c r="L12"/>
  <c r="K12"/>
  <c r="J12"/>
  <c r="I12"/>
  <c r="H12"/>
  <c r="G12"/>
  <c r="F12"/>
  <c r="E12"/>
  <c r="D12"/>
  <c r="C12"/>
  <c r="B12"/>
  <c r="A12"/>
  <c r="P11"/>
  <c r="N11"/>
  <c r="L11"/>
  <c r="K11"/>
  <c r="J11"/>
  <c r="I11"/>
  <c r="H11"/>
  <c r="G11"/>
  <c r="F11"/>
  <c r="E11"/>
  <c r="D11"/>
  <c r="C11"/>
  <c r="B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F2"/>
  <c r="C2"/>
  <c r="B2"/>
  <c r="A2"/>
  <c r="P33" i="42"/>
  <c r="N33"/>
  <c r="L33"/>
  <c r="K33"/>
  <c r="J33"/>
  <c r="I33"/>
  <c r="H33"/>
  <c r="G33"/>
  <c r="F33"/>
  <c r="E33"/>
  <c r="D33"/>
  <c r="C33"/>
  <c r="B33"/>
  <c r="A33"/>
  <c r="R32"/>
  <c r="C32"/>
  <c r="A32"/>
  <c r="P31"/>
  <c r="N31"/>
  <c r="L31"/>
  <c r="K31"/>
  <c r="J31"/>
  <c r="I31"/>
  <c r="H31"/>
  <c r="G31"/>
  <c r="F31"/>
  <c r="E31"/>
  <c r="D31"/>
  <c r="C31"/>
  <c r="B31"/>
  <c r="A31"/>
  <c r="R30"/>
  <c r="C30"/>
  <c r="A30"/>
  <c r="P29"/>
  <c r="N29"/>
  <c r="L29"/>
  <c r="K29"/>
  <c r="J29"/>
  <c r="I29"/>
  <c r="H29"/>
  <c r="G29"/>
  <c r="F29"/>
  <c r="E29"/>
  <c r="D29"/>
  <c r="C29"/>
  <c r="P28"/>
  <c r="N28"/>
  <c r="L28"/>
  <c r="K28"/>
  <c r="J28"/>
  <c r="I28"/>
  <c r="H28"/>
  <c r="G28"/>
  <c r="F28"/>
  <c r="E28"/>
  <c r="D28"/>
  <c r="C28"/>
  <c r="B28"/>
  <c r="A28"/>
  <c r="R27"/>
  <c r="C27"/>
  <c r="A27"/>
  <c r="P26"/>
  <c r="N26"/>
  <c r="L26"/>
  <c r="K26"/>
  <c r="J26"/>
  <c r="I26"/>
  <c r="H26"/>
  <c r="G26"/>
  <c r="F26"/>
  <c r="E26"/>
  <c r="D26"/>
  <c r="C26"/>
  <c r="A26"/>
  <c r="R25"/>
  <c r="C25"/>
  <c r="A25"/>
  <c r="P24"/>
  <c r="N24"/>
  <c r="L24"/>
  <c r="K24"/>
  <c r="J24"/>
  <c r="I24"/>
  <c r="H24"/>
  <c r="G24"/>
  <c r="F24"/>
  <c r="E24"/>
  <c r="D24"/>
  <c r="C24"/>
  <c r="P23"/>
  <c r="N23"/>
  <c r="L23"/>
  <c r="K23"/>
  <c r="J23"/>
  <c r="I23"/>
  <c r="H23"/>
  <c r="G23"/>
  <c r="F23"/>
  <c r="E23"/>
  <c r="D23"/>
  <c r="C23"/>
  <c r="B23"/>
  <c r="P22"/>
  <c r="N22"/>
  <c r="L22"/>
  <c r="K22"/>
  <c r="J22"/>
  <c r="I22"/>
  <c r="H22"/>
  <c r="G22"/>
  <c r="F22"/>
  <c r="E22"/>
  <c r="D22"/>
  <c r="C22"/>
  <c r="B22"/>
  <c r="P21"/>
  <c r="N21"/>
  <c r="L21"/>
  <c r="K21"/>
  <c r="J21"/>
  <c r="I21"/>
  <c r="H21"/>
  <c r="G21"/>
  <c r="F21"/>
  <c r="E21"/>
  <c r="D21"/>
  <c r="C21"/>
  <c r="B21"/>
  <c r="A21"/>
  <c r="R20"/>
  <c r="C20"/>
  <c r="A20"/>
  <c r="P19"/>
  <c r="N19"/>
  <c r="L19"/>
  <c r="K19"/>
  <c r="J19"/>
  <c r="I19"/>
  <c r="H19"/>
  <c r="G19"/>
  <c r="F19"/>
  <c r="E19"/>
  <c r="D19"/>
  <c r="C19"/>
  <c r="P18"/>
  <c r="N18"/>
  <c r="L18"/>
  <c r="K18"/>
  <c r="J18"/>
  <c r="I18"/>
  <c r="H18"/>
  <c r="G18"/>
  <c r="F18"/>
  <c r="E18"/>
  <c r="D18"/>
  <c r="C18"/>
  <c r="A18"/>
  <c r="P17"/>
  <c r="N17"/>
  <c r="L17"/>
  <c r="K17"/>
  <c r="J17"/>
  <c r="I17"/>
  <c r="H17"/>
  <c r="G17"/>
  <c r="F17"/>
  <c r="E17"/>
  <c r="D17"/>
  <c r="C17"/>
  <c r="B17"/>
  <c r="P16"/>
  <c r="N16"/>
  <c r="L16"/>
  <c r="K16"/>
  <c r="J16"/>
  <c r="I16"/>
  <c r="H16"/>
  <c r="G16"/>
  <c r="F16"/>
  <c r="E16"/>
  <c r="D16"/>
  <c r="C16"/>
  <c r="B16"/>
  <c r="P15"/>
  <c r="N15"/>
  <c r="L15"/>
  <c r="K15"/>
  <c r="J15"/>
  <c r="I15"/>
  <c r="H15"/>
  <c r="G15"/>
  <c r="F15"/>
  <c r="E15"/>
  <c r="D15"/>
  <c r="C15"/>
  <c r="B15"/>
  <c r="P14"/>
  <c r="N14"/>
  <c r="L14"/>
  <c r="K14"/>
  <c r="J14"/>
  <c r="I14"/>
  <c r="H14"/>
  <c r="G14"/>
  <c r="F14"/>
  <c r="E14"/>
  <c r="D14"/>
  <c r="C14"/>
  <c r="B14"/>
  <c r="P13"/>
  <c r="N13"/>
  <c r="L13"/>
  <c r="K13"/>
  <c r="J13"/>
  <c r="I13"/>
  <c r="H13"/>
  <c r="G13"/>
  <c r="F13"/>
  <c r="E13"/>
  <c r="D13"/>
  <c r="C13"/>
  <c r="B13"/>
  <c r="P12"/>
  <c r="N12"/>
  <c r="L12"/>
  <c r="K12"/>
  <c r="J12"/>
  <c r="I12"/>
  <c r="H12"/>
  <c r="G12"/>
  <c r="F12"/>
  <c r="E12"/>
  <c r="D12"/>
  <c r="C12"/>
  <c r="B12"/>
  <c r="P11"/>
  <c r="N11"/>
  <c r="L11"/>
  <c r="K11"/>
  <c r="J11"/>
  <c r="I11"/>
  <c r="H11"/>
  <c r="G11"/>
  <c r="F11"/>
  <c r="E11"/>
  <c r="D11"/>
  <c r="C11"/>
  <c r="B11"/>
  <c r="A11"/>
  <c r="R10"/>
  <c r="C10"/>
  <c r="A10"/>
  <c r="P9"/>
  <c r="N9"/>
  <c r="L9"/>
  <c r="K9"/>
  <c r="J9"/>
  <c r="I9"/>
  <c r="H9"/>
  <c r="G9"/>
  <c r="F9"/>
  <c r="E9"/>
  <c r="D9"/>
  <c r="C9"/>
  <c r="B9"/>
  <c r="A9"/>
  <c r="R8"/>
  <c r="C8"/>
  <c r="A8"/>
  <c r="P7"/>
  <c r="N7"/>
  <c r="L7"/>
  <c r="K7"/>
  <c r="J7"/>
  <c r="I7"/>
  <c r="H7"/>
  <c r="G7"/>
  <c r="F7"/>
  <c r="E7"/>
  <c r="D7"/>
  <c r="C7"/>
  <c r="A7"/>
  <c r="R6"/>
  <c r="C6"/>
  <c r="A6"/>
  <c r="C3"/>
  <c r="F2"/>
  <c r="C2"/>
  <c r="A2"/>
  <c r="R17" i="58"/>
  <c r="P236" i="72" s="1"/>
  <c r="Q17" i="58"/>
  <c r="O236" i="72" s="1"/>
  <c r="M17" i="58"/>
  <c r="M28" i="61" s="1"/>
  <c r="M16" i="58"/>
  <c r="K235" i="72" s="1"/>
  <c r="M15" i="58"/>
  <c r="K234" i="72" s="1"/>
  <c r="M14" i="58"/>
  <c r="K233" i="72" s="1"/>
  <c r="M13" i="58"/>
  <c r="M32" i="45" s="1"/>
  <c r="R12" i="58"/>
  <c r="P231" i="72" s="1"/>
  <c r="Q12" i="58"/>
  <c r="O231" i="72" s="1"/>
  <c r="M12" i="58"/>
  <c r="M27" i="61" s="1"/>
  <c r="R11" i="58"/>
  <c r="P230" i="72" s="1"/>
  <c r="Q11" i="58"/>
  <c r="O230" i="72" s="1"/>
  <c r="M11" i="58"/>
  <c r="K230" i="72" s="1"/>
  <c r="R10" i="58"/>
  <c r="P229" i="72" s="1"/>
  <c r="Q10" i="58"/>
  <c r="O229" i="72" s="1"/>
  <c r="M10" i="58"/>
  <c r="K229" i="72" s="1"/>
  <c r="R8" i="58"/>
  <c r="P227" i="72" s="1"/>
  <c r="Q8" i="58"/>
  <c r="O227" i="72" s="1"/>
  <c r="M8" i="58"/>
  <c r="O8" s="1"/>
  <c r="M227" i="72" s="1"/>
  <c r="B4" i="58"/>
  <c r="AE3"/>
  <c r="AL34" i="76" s="1"/>
  <c r="P32" i="80" s="1"/>
  <c r="AA3" i="58"/>
  <c r="U3"/>
  <c r="AL24" i="76" s="1"/>
  <c r="P22" i="80" s="1"/>
  <c r="B3" i="58"/>
  <c r="B2"/>
  <c r="A2"/>
  <c r="O177" i="49"/>
  <c r="Q177" s="1"/>
  <c r="U176"/>
  <c r="S176"/>
  <c r="O176"/>
  <c r="M73" i="24" s="1"/>
  <c r="U175" i="49"/>
  <c r="S175"/>
  <c r="O175"/>
  <c r="Q175" s="1"/>
  <c r="O72" i="24" s="1"/>
  <c r="U174" i="49"/>
  <c r="U173"/>
  <c r="S173"/>
  <c r="O173"/>
  <c r="Q173" s="1"/>
  <c r="U172"/>
  <c r="U171"/>
  <c r="S171"/>
  <c r="O171"/>
  <c r="Q171" s="1"/>
  <c r="O35" i="32" s="1"/>
  <c r="U170" i="49"/>
  <c r="S170"/>
  <c r="O170"/>
  <c r="M41" i="31" s="1"/>
  <c r="U169" i="49"/>
  <c r="S169"/>
  <c r="O169"/>
  <c r="Q169" s="1"/>
  <c r="O134" i="30" s="1"/>
  <c r="U168" i="49"/>
  <c r="S168"/>
  <c r="O168"/>
  <c r="Q168" s="1"/>
  <c r="O133" i="30" s="1"/>
  <c r="U167" i="49"/>
  <c r="S167"/>
  <c r="O167"/>
  <c r="Q167" s="1"/>
  <c r="O132" i="30" s="1"/>
  <c r="O166" i="49"/>
  <c r="Q166" s="1"/>
  <c r="O165"/>
  <c r="Q165" s="1"/>
  <c r="O164"/>
  <c r="Q164" s="1"/>
  <c r="U163"/>
  <c r="S163"/>
  <c r="O163"/>
  <c r="Q163" s="1"/>
  <c r="U161"/>
  <c r="S161"/>
  <c r="O161"/>
  <c r="M131" i="30" s="1"/>
  <c r="U160" i="49"/>
  <c r="S160"/>
  <c r="O160"/>
  <c r="M44" i="68" s="1"/>
  <c r="U159" i="49"/>
  <c r="S159"/>
  <c r="O159"/>
  <c r="M70" i="24" s="1"/>
  <c r="U158" i="49"/>
  <c r="S158"/>
  <c r="O158"/>
  <c r="M69" i="24" s="1"/>
  <c r="U157" i="49"/>
  <c r="U156"/>
  <c r="S156"/>
  <c r="O156"/>
  <c r="Q156" s="1"/>
  <c r="U155"/>
  <c r="S155"/>
  <c r="O155"/>
  <c r="Q155" s="1"/>
  <c r="U154"/>
  <c r="S154"/>
  <c r="O154"/>
  <c r="Q154" s="1"/>
  <c r="O130" i="30" s="1"/>
  <c r="U153" i="49"/>
  <c r="S153"/>
  <c r="O153"/>
  <c r="Q153" s="1"/>
  <c r="U151"/>
  <c r="U148" s="1"/>
  <c r="S151"/>
  <c r="O151"/>
  <c r="Q151" s="1"/>
  <c r="O150"/>
  <c r="Q150" s="1"/>
  <c r="U149"/>
  <c r="S149"/>
  <c r="O149"/>
  <c r="M30" i="45" s="1"/>
  <c r="U146" i="49"/>
  <c r="U145" s="1"/>
  <c r="S146"/>
  <c r="O146"/>
  <c r="Q146" s="1"/>
  <c r="Q145" s="1"/>
  <c r="U144"/>
  <c r="S144"/>
  <c r="O144"/>
  <c r="M68" i="24" s="1"/>
  <c r="U143" i="49"/>
  <c r="S143"/>
  <c r="O143"/>
  <c r="Q143" s="1"/>
  <c r="O34" i="32" s="1"/>
  <c r="U142" i="49"/>
  <c r="S142"/>
  <c r="O142"/>
  <c r="M33" i="23" s="1"/>
  <c r="U141" i="49"/>
  <c r="S141"/>
  <c r="O141"/>
  <c r="M32" i="23" s="1"/>
  <c r="U140" i="49"/>
  <c r="S140"/>
  <c r="O140"/>
  <c r="Q140" s="1"/>
  <c r="O46" i="20" s="1"/>
  <c r="U139" i="49"/>
  <c r="S139"/>
  <c r="O139"/>
  <c r="Q139" s="1"/>
  <c r="O45" i="20" s="1"/>
  <c r="U138" i="49"/>
  <c r="S138"/>
  <c r="O138"/>
  <c r="Q138" s="1"/>
  <c r="O128" i="30" s="1"/>
  <c r="U137" i="49"/>
  <c r="S137"/>
  <c r="O137"/>
  <c r="M23" i="26" s="1"/>
  <c r="O136" i="49"/>
  <c r="Q136" s="1"/>
  <c r="U134"/>
  <c r="S134"/>
  <c r="O134"/>
  <c r="Q134" s="1"/>
  <c r="O127" i="30" s="1"/>
  <c r="U133" i="49"/>
  <c r="S133"/>
  <c r="O133"/>
  <c r="U132"/>
  <c r="S132"/>
  <c r="O132"/>
  <c r="Q132" s="1"/>
  <c r="O67" i="24" s="1"/>
  <c r="U131" i="49"/>
  <c r="S131"/>
  <c r="O131"/>
  <c r="Q131" s="1"/>
  <c r="O33" i="32" s="1"/>
  <c r="U130" i="49"/>
  <c r="S130"/>
  <c r="O130"/>
  <c r="Q130" s="1"/>
  <c r="O32" i="32" s="1"/>
  <c r="U129" i="49"/>
  <c r="S129"/>
  <c r="O129"/>
  <c r="Q129" s="1"/>
  <c r="U128"/>
  <c r="S128"/>
  <c r="O128"/>
  <c r="Q128" s="1"/>
  <c r="U127"/>
  <c r="S127"/>
  <c r="O127"/>
  <c r="Q127" s="1"/>
  <c r="O43" i="20" s="1"/>
  <c r="U126" i="49"/>
  <c r="S126"/>
  <c r="O126"/>
  <c r="Q126" s="1"/>
  <c r="O126" i="30" s="1"/>
  <c r="U125" i="49"/>
  <c r="S125"/>
  <c r="O125"/>
  <c r="Q125" s="1"/>
  <c r="O125" i="30" s="1"/>
  <c r="U124" i="49"/>
  <c r="S124"/>
  <c r="O124"/>
  <c r="Q124" s="1"/>
  <c r="U123"/>
  <c r="S123"/>
  <c r="O123"/>
  <c r="O122"/>
  <c r="Q122" s="1"/>
  <c r="U121"/>
  <c r="S121"/>
  <c r="O121"/>
  <c r="Q121" s="1"/>
  <c r="O33" i="40" s="1"/>
  <c r="U120" i="49"/>
  <c r="S120"/>
  <c r="O120"/>
  <c r="Q120" s="1"/>
  <c r="O473" i="38" s="1"/>
  <c r="U117" i="49"/>
  <c r="S117"/>
  <c r="O117"/>
  <c r="Q117" s="1"/>
  <c r="Q116" s="1"/>
  <c r="U116"/>
  <c r="O115"/>
  <c r="Q115" s="1"/>
  <c r="U114"/>
  <c r="S114"/>
  <c r="O114"/>
  <c r="O113"/>
  <c r="Q113" s="1"/>
  <c r="U112"/>
  <c r="S112"/>
  <c r="O112"/>
  <c r="Q112" s="1"/>
  <c r="O472" i="38" s="1"/>
  <c r="U111" i="49"/>
  <c r="S111"/>
  <c r="O111"/>
  <c r="Q111" s="1"/>
  <c r="O471" i="38" s="1"/>
  <c r="U110" i="49"/>
  <c r="O109"/>
  <c r="Q109" s="1"/>
  <c r="U108"/>
  <c r="S108"/>
  <c r="O108"/>
  <c r="Q108" s="1"/>
  <c r="O66" i="24" s="1"/>
  <c r="U107" i="49"/>
  <c r="S107"/>
  <c r="O107"/>
  <c r="Q107" s="1"/>
  <c r="O31" i="32" s="1"/>
  <c r="U106" i="49"/>
  <c r="S106"/>
  <c r="O106"/>
  <c r="Q106" s="1"/>
  <c r="O31" i="23" s="1"/>
  <c r="U105" i="49"/>
  <c r="S105"/>
  <c r="O105"/>
  <c r="Q105" s="1"/>
  <c r="O61" i="41" s="1"/>
  <c r="U104" i="49"/>
  <c r="S104"/>
  <c r="O104"/>
  <c r="Q104" s="1"/>
  <c r="O41" i="20" s="1"/>
  <c r="U103" i="49"/>
  <c r="S103"/>
  <c r="O103"/>
  <c r="Q103" s="1"/>
  <c r="O40" i="20" s="1"/>
  <c r="U102" i="49"/>
  <c r="S102"/>
  <c r="O102"/>
  <c r="Q102" s="1"/>
  <c r="O124" i="30" s="1"/>
  <c r="U101" i="49"/>
  <c r="S101"/>
  <c r="O101"/>
  <c r="Q101" s="1"/>
  <c r="O32" i="40" s="1"/>
  <c r="U100" i="49"/>
  <c r="S100"/>
  <c r="O100"/>
  <c r="Q100" s="1"/>
  <c r="O470" i="38" s="1"/>
  <c r="U99" i="49"/>
  <c r="S99"/>
  <c r="O99"/>
  <c r="M21" i="44" s="1"/>
  <c r="U98" i="49"/>
  <c r="S98"/>
  <c r="O98"/>
  <c r="M106" i="27" s="1"/>
  <c r="O97" i="49"/>
  <c r="Q97" s="1"/>
  <c r="O96"/>
  <c r="Q96" s="1"/>
  <c r="U95"/>
  <c r="S95"/>
  <c r="O95"/>
  <c r="Q95" s="1"/>
  <c r="O469" i="38" s="1"/>
  <c r="U94" i="49"/>
  <c r="S94"/>
  <c r="O94"/>
  <c r="Q94" s="1"/>
  <c r="O468" i="38" s="1"/>
  <c r="U93" i="49"/>
  <c r="O92"/>
  <c r="Q92" s="1"/>
  <c r="U91"/>
  <c r="S91"/>
  <c r="O91"/>
  <c r="Q91" s="1"/>
  <c r="O123" i="30" s="1"/>
  <c r="U90" i="49"/>
  <c r="O89"/>
  <c r="Q89" s="1"/>
  <c r="U88"/>
  <c r="S88"/>
  <c r="O88"/>
  <c r="M17" i="75" s="1"/>
  <c r="U87" i="49"/>
  <c r="S87"/>
  <c r="O87"/>
  <c r="M65" i="24" s="1"/>
  <c r="U86" i="49"/>
  <c r="S86"/>
  <c r="O86"/>
  <c r="Q86" s="1"/>
  <c r="O30" i="32" s="1"/>
  <c r="U85" i="49"/>
  <c r="U84"/>
  <c r="S84"/>
  <c r="O84"/>
  <c r="U83"/>
  <c r="S83"/>
  <c r="O83"/>
  <c r="Q83" s="1"/>
  <c r="U82"/>
  <c r="S82"/>
  <c r="O82"/>
  <c r="Q82" s="1"/>
  <c r="O60" i="41" s="1"/>
  <c r="U81" i="49"/>
  <c r="S81"/>
  <c r="O81"/>
  <c r="Q81" s="1"/>
  <c r="U80"/>
  <c r="S80"/>
  <c r="O80"/>
  <c r="Q80" s="1"/>
  <c r="U79"/>
  <c r="S79"/>
  <c r="O79"/>
  <c r="Q79" s="1"/>
  <c r="U78"/>
  <c r="S78"/>
  <c r="O78"/>
  <c r="Q78" s="1"/>
  <c r="O121" i="30" s="1"/>
  <c r="U77" i="49"/>
  <c r="S77"/>
  <c r="O77"/>
  <c r="Q77" s="1"/>
  <c r="U76"/>
  <c r="S76"/>
  <c r="O76"/>
  <c r="Q76" s="1"/>
  <c r="U75"/>
  <c r="S75"/>
  <c r="O75"/>
  <c r="Q75" s="1"/>
  <c r="U74"/>
  <c r="S74"/>
  <c r="O74"/>
  <c r="Q74" s="1"/>
  <c r="O467" i="38" s="1"/>
  <c r="U73" i="49"/>
  <c r="S73"/>
  <c r="O73"/>
  <c r="Q73" s="1"/>
  <c r="U72"/>
  <c r="S72"/>
  <c r="O72"/>
  <c r="O71"/>
  <c r="Q71" s="1"/>
  <c r="U70"/>
  <c r="S70"/>
  <c r="O70"/>
  <c r="Q70" s="1"/>
  <c r="O69"/>
  <c r="Q69" s="1"/>
  <c r="O66"/>
  <c r="Q66" s="1"/>
  <c r="O65"/>
  <c r="Q65" s="1"/>
  <c r="U64"/>
  <c r="S64"/>
  <c r="O64"/>
  <c r="M16" i="70" s="1"/>
  <c r="O63" i="49"/>
  <c r="U62"/>
  <c r="S62"/>
  <c r="O62"/>
  <c r="Q62" s="1"/>
  <c r="U61"/>
  <c r="S61"/>
  <c r="O61"/>
  <c r="Q61" s="1"/>
  <c r="O63" i="24" s="1"/>
  <c r="U60" i="49"/>
  <c r="S60"/>
  <c r="O60"/>
  <c r="Q60" s="1"/>
  <c r="O62" i="24" s="1"/>
  <c r="U59" i="49"/>
  <c r="S59"/>
  <c r="O59"/>
  <c r="Q59" s="1"/>
  <c r="U58"/>
  <c r="S58"/>
  <c r="O58"/>
  <c r="Q58" s="1"/>
  <c r="U57"/>
  <c r="S57"/>
  <c r="O57"/>
  <c r="Q57" s="1"/>
  <c r="O115" i="30" s="1"/>
  <c r="U56" i="49"/>
  <c r="S56"/>
  <c r="O56"/>
  <c r="Q56" s="1"/>
  <c r="U55"/>
  <c r="S55"/>
  <c r="O55"/>
  <c r="Q55" s="1"/>
  <c r="U54"/>
  <c r="S54"/>
  <c r="O54"/>
  <c r="Q54" s="1"/>
  <c r="O53"/>
  <c r="Q53" s="1"/>
  <c r="O52"/>
  <c r="Q52" s="1"/>
  <c r="O51"/>
  <c r="Q51" s="1"/>
  <c r="U50"/>
  <c r="S50"/>
  <c r="O50"/>
  <c r="Q50" s="1"/>
  <c r="O464" i="38" s="1"/>
  <c r="U49" i="49"/>
  <c r="O48"/>
  <c r="Q48" s="1"/>
  <c r="U47"/>
  <c r="S47"/>
  <c r="O47"/>
  <c r="M16" i="75" s="1"/>
  <c r="U46" i="49"/>
  <c r="S46"/>
  <c r="O46"/>
  <c r="M33" i="42" s="1"/>
  <c r="U45" i="49"/>
  <c r="S45"/>
  <c r="O45"/>
  <c r="M41" i="68" s="1"/>
  <c r="U44" i="49"/>
  <c r="S44"/>
  <c r="O44"/>
  <c r="Q44" s="1"/>
  <c r="O21" i="71" s="1"/>
  <c r="U43" i="49"/>
  <c r="S43"/>
  <c r="O43"/>
  <c r="Q43" s="1"/>
  <c r="O20" i="71" s="1"/>
  <c r="U42" i="49"/>
  <c r="S42"/>
  <c r="O42"/>
  <c r="Q42" s="1"/>
  <c r="O29" i="32" s="1"/>
  <c r="U41" i="49"/>
  <c r="S41"/>
  <c r="O41"/>
  <c r="Q41" s="1"/>
  <c r="O57" i="41" s="1"/>
  <c r="U40" i="49"/>
  <c r="S40"/>
  <c r="O40"/>
  <c r="Q40" s="1"/>
  <c r="O37" i="20" s="1"/>
  <c r="U39" i="49"/>
  <c r="S39"/>
  <c r="O39"/>
  <c r="Q39" s="1"/>
  <c r="O111" i="30" s="1"/>
  <c r="U38" i="49"/>
  <c r="S38"/>
  <c r="O38"/>
  <c r="Q38" s="1"/>
  <c r="O110" i="30" s="1"/>
  <c r="U37" i="49"/>
  <c r="S37"/>
  <c r="O37"/>
  <c r="Q37" s="1"/>
  <c r="O109" i="30" s="1"/>
  <c r="U36" i="49"/>
  <c r="S36"/>
  <c r="O36"/>
  <c r="Q36" s="1"/>
  <c r="O30" i="40" s="1"/>
  <c r="U35" i="49"/>
  <c r="S35"/>
  <c r="O35"/>
  <c r="Q35" s="1"/>
  <c r="O463" i="38" s="1"/>
  <c r="U34" i="49"/>
  <c r="S34"/>
  <c r="O34"/>
  <c r="Q34" s="1"/>
  <c r="O462" i="38" s="1"/>
  <c r="U33" i="49"/>
  <c r="S33"/>
  <c r="O33"/>
  <c r="Q33" s="1"/>
  <c r="O461" i="38" s="1"/>
  <c r="U32" i="49"/>
  <c r="S32"/>
  <c r="O32"/>
  <c r="M20" i="44" s="1"/>
  <c r="O31" i="49"/>
  <c r="Q31" s="1"/>
  <c r="O30"/>
  <c r="Q30" s="1"/>
  <c r="U29"/>
  <c r="S29"/>
  <c r="O29"/>
  <c r="M104" i="27" s="1"/>
  <c r="O28" i="49"/>
  <c r="Q28" s="1"/>
  <c r="U27"/>
  <c r="S27"/>
  <c r="O27"/>
  <c r="Q27" s="1"/>
  <c r="U26"/>
  <c r="S26"/>
  <c r="O26"/>
  <c r="Q26" s="1"/>
  <c r="O459" i="38" s="1"/>
  <c r="U25" i="49"/>
  <c r="S25"/>
  <c r="O25"/>
  <c r="Q25" s="1"/>
  <c r="U24"/>
  <c r="S24"/>
  <c r="O24"/>
  <c r="Q24" s="1"/>
  <c r="U23"/>
  <c r="S23"/>
  <c r="O23"/>
  <c r="Q23" s="1"/>
  <c r="U22"/>
  <c r="S22"/>
  <c r="O22"/>
  <c r="Q22" s="1"/>
  <c r="O455" i="38" s="1"/>
  <c r="U21" i="49"/>
  <c r="S21"/>
  <c r="O21"/>
  <c r="Q21" s="1"/>
  <c r="O18"/>
  <c r="Q18" s="1"/>
  <c r="U17"/>
  <c r="S17"/>
  <c r="O17"/>
  <c r="Q17" s="1"/>
  <c r="U16"/>
  <c r="S16"/>
  <c r="O16"/>
  <c r="Q16" s="1"/>
  <c r="O453" i="38" s="1"/>
  <c r="U15" i="49"/>
  <c r="S15"/>
  <c r="O15"/>
  <c r="Q15" s="1"/>
  <c r="U14"/>
  <c r="S14"/>
  <c r="O14"/>
  <c r="Q14" s="1"/>
  <c r="U13"/>
  <c r="S13"/>
  <c r="O13"/>
  <c r="Q13" s="1"/>
  <c r="U12"/>
  <c r="S12"/>
  <c r="O12"/>
  <c r="Q12" s="1"/>
  <c r="O449" i="38" s="1"/>
  <c r="U11" i="49"/>
  <c r="S11"/>
  <c r="O11"/>
  <c r="Q11" s="1"/>
  <c r="O10"/>
  <c r="Q10" s="1"/>
  <c r="O9"/>
  <c r="Q9" s="1"/>
  <c r="O8"/>
  <c r="Q8" s="1"/>
  <c r="U7"/>
  <c r="U6" s="1"/>
  <c r="T5"/>
  <c r="D2"/>
  <c r="C2"/>
  <c r="B2"/>
  <c r="A2"/>
  <c r="L141" i="47"/>
  <c r="N141" s="1"/>
  <c r="L140"/>
  <c r="N140" s="1"/>
  <c r="L129"/>
  <c r="N129" s="1"/>
  <c r="N128" s="1"/>
  <c r="Q128"/>
  <c r="L117"/>
  <c r="N117" s="1"/>
  <c r="N116" s="1"/>
  <c r="Q116"/>
  <c r="L105"/>
  <c r="N105" s="1"/>
  <c r="N104" s="1"/>
  <c r="Q104"/>
  <c r="Q103"/>
  <c r="L92"/>
  <c r="N92" s="1"/>
  <c r="N91" s="1"/>
  <c r="Q91"/>
  <c r="L80"/>
  <c r="N80" s="1"/>
  <c r="N79" s="1"/>
  <c r="Q79"/>
  <c r="L68"/>
  <c r="N68" s="1"/>
  <c r="N67" s="1"/>
  <c r="Q67"/>
  <c r="L55"/>
  <c r="N55" s="1"/>
  <c r="N54" s="1"/>
  <c r="Q54"/>
  <c r="L43"/>
  <c r="N43" s="1"/>
  <c r="N42" s="1"/>
  <c r="Q42"/>
  <c r="L30"/>
  <c r="N30" s="1"/>
  <c r="N29" s="1"/>
  <c r="Q29"/>
  <c r="Q24" s="1"/>
  <c r="L28"/>
  <c r="N28" s="1"/>
  <c r="L27"/>
  <c r="N27" s="1"/>
  <c r="Q26"/>
  <c r="AH3" s="1"/>
  <c r="AH37" i="76" s="1"/>
  <c r="N35" i="80" s="1"/>
  <c r="L25" i="47"/>
  <c r="N25" s="1"/>
  <c r="Q22"/>
  <c r="P22"/>
  <c r="L22"/>
  <c r="M25" i="61" s="1"/>
  <c r="Q21" i="47"/>
  <c r="P225" i="72" s="1"/>
  <c r="P224" s="1"/>
  <c r="P223" s="1"/>
  <c r="P21" i="47"/>
  <c r="O225" i="72" s="1"/>
  <c r="L21" i="47"/>
  <c r="K225" i="72" s="1"/>
  <c r="Q20" i="47"/>
  <c r="P20"/>
  <c r="L20"/>
  <c r="M23" i="61" s="1"/>
  <c r="Q19" i="47"/>
  <c r="P19"/>
  <c r="L19"/>
  <c r="M22" i="61" s="1"/>
  <c r="Q18" i="47"/>
  <c r="P18"/>
  <c r="L18"/>
  <c r="M21" i="61" s="1"/>
  <c r="L16" i="47"/>
  <c r="M393" i="38" s="1"/>
  <c r="L15" i="47"/>
  <c r="M392" i="38" s="1"/>
  <c r="L14" i="47"/>
  <c r="M391" i="38" s="1"/>
  <c r="Q13" i="47"/>
  <c r="Q8"/>
  <c r="B4"/>
  <c r="BD3"/>
  <c r="BC3"/>
  <c r="BB3"/>
  <c r="AC3"/>
  <c r="AH32" i="76" s="1"/>
  <c r="B3" i="47"/>
  <c r="B2"/>
  <c r="A2"/>
  <c r="P47" i="20"/>
  <c r="O47"/>
  <c r="N47"/>
  <c r="M47"/>
  <c r="L47"/>
  <c r="K47"/>
  <c r="J47"/>
  <c r="I47"/>
  <c r="H47"/>
  <c r="G47"/>
  <c r="F47"/>
  <c r="E47"/>
  <c r="D47"/>
  <c r="C47"/>
  <c r="B47"/>
  <c r="A47"/>
  <c r="P46"/>
  <c r="N46"/>
  <c r="M46"/>
  <c r="L46"/>
  <c r="K46"/>
  <c r="J46"/>
  <c r="I46"/>
  <c r="H46"/>
  <c r="G46"/>
  <c r="F46"/>
  <c r="E46"/>
  <c r="D46"/>
  <c r="C46"/>
  <c r="B46"/>
  <c r="A46"/>
  <c r="P45"/>
  <c r="N45"/>
  <c r="M45"/>
  <c r="L45"/>
  <c r="K45"/>
  <c r="J45"/>
  <c r="I45"/>
  <c r="H45"/>
  <c r="G45"/>
  <c r="F45"/>
  <c r="E45"/>
  <c r="D45"/>
  <c r="C45"/>
  <c r="B45"/>
  <c r="A45"/>
  <c r="P44"/>
  <c r="O44"/>
  <c r="N44"/>
  <c r="M44"/>
  <c r="L44"/>
  <c r="K44"/>
  <c r="J44"/>
  <c r="I44"/>
  <c r="H44"/>
  <c r="G44"/>
  <c r="F44"/>
  <c r="E44"/>
  <c r="D44"/>
  <c r="C44"/>
  <c r="B44"/>
  <c r="A44"/>
  <c r="P43"/>
  <c r="N43"/>
  <c r="L43"/>
  <c r="K43"/>
  <c r="J43"/>
  <c r="I43"/>
  <c r="H43"/>
  <c r="G43"/>
  <c r="F43"/>
  <c r="E43"/>
  <c r="D43"/>
  <c r="C43"/>
  <c r="B43"/>
  <c r="A43"/>
  <c r="P42"/>
  <c r="N42"/>
  <c r="L42"/>
  <c r="K42"/>
  <c r="J42"/>
  <c r="I42"/>
  <c r="H42"/>
  <c r="G42"/>
  <c r="F42"/>
  <c r="E42"/>
  <c r="D42"/>
  <c r="C42"/>
  <c r="B42"/>
  <c r="A42"/>
  <c r="P41"/>
  <c r="N41"/>
  <c r="L41"/>
  <c r="K41"/>
  <c r="J41"/>
  <c r="I41"/>
  <c r="H41"/>
  <c r="G41"/>
  <c r="F41"/>
  <c r="E41"/>
  <c r="D41"/>
  <c r="C41"/>
  <c r="B41"/>
  <c r="A41"/>
  <c r="P40"/>
  <c r="N40"/>
  <c r="M40"/>
  <c r="L40"/>
  <c r="K40"/>
  <c r="J40"/>
  <c r="I40"/>
  <c r="H40"/>
  <c r="G40"/>
  <c r="F40"/>
  <c r="E40"/>
  <c r="D40"/>
  <c r="C40"/>
  <c r="B40"/>
  <c r="A40"/>
  <c r="P39"/>
  <c r="O39"/>
  <c r="N39"/>
  <c r="M39"/>
  <c r="L39"/>
  <c r="K39"/>
  <c r="J39"/>
  <c r="I39"/>
  <c r="H39"/>
  <c r="G39"/>
  <c r="F39"/>
  <c r="E39"/>
  <c r="D39"/>
  <c r="C39"/>
  <c r="B39"/>
  <c r="A39"/>
  <c r="P38"/>
  <c r="O38"/>
  <c r="N38"/>
  <c r="M38"/>
  <c r="L38"/>
  <c r="K38"/>
  <c r="J38"/>
  <c r="I38"/>
  <c r="H38"/>
  <c r="G38"/>
  <c r="F38"/>
  <c r="E38"/>
  <c r="D38"/>
  <c r="C38"/>
  <c r="B38"/>
  <c r="A38"/>
  <c r="P37"/>
  <c r="N37"/>
  <c r="M37"/>
  <c r="L37"/>
  <c r="K37"/>
  <c r="J37"/>
  <c r="I37"/>
  <c r="H37"/>
  <c r="G37"/>
  <c r="F37"/>
  <c r="E37"/>
  <c r="D37"/>
  <c r="C37"/>
  <c r="B37"/>
  <c r="A37"/>
  <c r="R36"/>
  <c r="C36"/>
  <c r="A36"/>
  <c r="P35"/>
  <c r="N35"/>
  <c r="L35"/>
  <c r="K35"/>
  <c r="J35"/>
  <c r="I35"/>
  <c r="H35"/>
  <c r="G35"/>
  <c r="F35"/>
  <c r="E35"/>
  <c r="D35"/>
  <c r="C35"/>
  <c r="A35"/>
  <c r="P34"/>
  <c r="N34"/>
  <c r="L34"/>
  <c r="K34"/>
  <c r="J34"/>
  <c r="I34"/>
  <c r="H34"/>
  <c r="G34"/>
  <c r="F34"/>
  <c r="E34"/>
  <c r="D34"/>
  <c r="C34"/>
  <c r="B34"/>
  <c r="A34"/>
  <c r="R33"/>
  <c r="C33"/>
  <c r="A33"/>
  <c r="P32"/>
  <c r="N32"/>
  <c r="L32"/>
  <c r="K32"/>
  <c r="J32"/>
  <c r="I32"/>
  <c r="H32"/>
  <c r="G32"/>
  <c r="F32"/>
  <c r="E32"/>
  <c r="D32"/>
  <c r="C32"/>
  <c r="B32"/>
  <c r="A32"/>
  <c r="R31"/>
  <c r="C31"/>
  <c r="A31"/>
  <c r="P30"/>
  <c r="N30"/>
  <c r="L30"/>
  <c r="K30"/>
  <c r="J30"/>
  <c r="I30"/>
  <c r="H30"/>
  <c r="G30"/>
  <c r="F30"/>
  <c r="E30"/>
  <c r="D30"/>
  <c r="C30"/>
  <c r="P29"/>
  <c r="N29"/>
  <c r="L29"/>
  <c r="K29"/>
  <c r="J29"/>
  <c r="I29"/>
  <c r="H29"/>
  <c r="G29"/>
  <c r="F29"/>
  <c r="E29"/>
  <c r="D29"/>
  <c r="C29"/>
  <c r="B29"/>
  <c r="A29"/>
  <c r="R28"/>
  <c r="C28"/>
  <c r="A28"/>
  <c r="P27"/>
  <c r="N27"/>
  <c r="L27"/>
  <c r="K27"/>
  <c r="J27"/>
  <c r="I27"/>
  <c r="H27"/>
  <c r="G27"/>
  <c r="F27"/>
  <c r="E27"/>
  <c r="D27"/>
  <c r="C27"/>
  <c r="B27"/>
  <c r="A27"/>
  <c r="R26"/>
  <c r="C26"/>
  <c r="A26"/>
  <c r="P25"/>
  <c r="N25"/>
  <c r="L25"/>
  <c r="K25"/>
  <c r="J25"/>
  <c r="I25"/>
  <c r="H25"/>
  <c r="G25"/>
  <c r="F25"/>
  <c r="E25"/>
  <c r="D25"/>
  <c r="C25"/>
  <c r="B25"/>
  <c r="P24"/>
  <c r="N24"/>
  <c r="L24"/>
  <c r="K24"/>
  <c r="J24"/>
  <c r="I24"/>
  <c r="H24"/>
  <c r="G24"/>
  <c r="F24"/>
  <c r="E24"/>
  <c r="D24"/>
  <c r="C24"/>
  <c r="B24"/>
  <c r="A24"/>
  <c r="R23"/>
  <c r="C23"/>
  <c r="A23"/>
  <c r="P22"/>
  <c r="N22"/>
  <c r="L22"/>
  <c r="K22"/>
  <c r="J22"/>
  <c r="I22"/>
  <c r="H22"/>
  <c r="G22"/>
  <c r="F22"/>
  <c r="E22"/>
  <c r="D22"/>
  <c r="C22"/>
  <c r="P21"/>
  <c r="N21"/>
  <c r="L21"/>
  <c r="K21"/>
  <c r="J21"/>
  <c r="I21"/>
  <c r="H21"/>
  <c r="G21"/>
  <c r="F21"/>
  <c r="E21"/>
  <c r="D21"/>
  <c r="C21"/>
  <c r="B21"/>
  <c r="A21"/>
  <c r="P20"/>
  <c r="N20"/>
  <c r="L20"/>
  <c r="K20"/>
  <c r="J20"/>
  <c r="I20"/>
  <c r="H20"/>
  <c r="G20"/>
  <c r="F20"/>
  <c r="E20"/>
  <c r="D20"/>
  <c r="C20"/>
  <c r="B20"/>
  <c r="P19"/>
  <c r="N19"/>
  <c r="L19"/>
  <c r="K19"/>
  <c r="J19"/>
  <c r="I19"/>
  <c r="H19"/>
  <c r="G19"/>
  <c r="F19"/>
  <c r="E19"/>
  <c r="D19"/>
  <c r="C19"/>
  <c r="B19"/>
  <c r="P18"/>
  <c r="N18"/>
  <c r="L18"/>
  <c r="K18"/>
  <c r="J18"/>
  <c r="I18"/>
  <c r="H18"/>
  <c r="G18"/>
  <c r="F18"/>
  <c r="E18"/>
  <c r="D18"/>
  <c r="C18"/>
  <c r="B18"/>
  <c r="P17"/>
  <c r="N17"/>
  <c r="L17"/>
  <c r="K17"/>
  <c r="J17"/>
  <c r="I17"/>
  <c r="H17"/>
  <c r="G17"/>
  <c r="F17"/>
  <c r="E17"/>
  <c r="D17"/>
  <c r="C17"/>
  <c r="B17"/>
  <c r="A17"/>
  <c r="R16"/>
  <c r="C16"/>
  <c r="A16"/>
  <c r="P15"/>
  <c r="N15"/>
  <c r="L15"/>
  <c r="K15"/>
  <c r="J15"/>
  <c r="I15"/>
  <c r="H15"/>
  <c r="G15"/>
  <c r="F15"/>
  <c r="E15"/>
  <c r="D15"/>
  <c r="C15"/>
  <c r="B15"/>
  <c r="P14"/>
  <c r="N14"/>
  <c r="L14"/>
  <c r="K14"/>
  <c r="J14"/>
  <c r="I14"/>
  <c r="H14"/>
  <c r="G14"/>
  <c r="F14"/>
  <c r="E14"/>
  <c r="D14"/>
  <c r="C14"/>
  <c r="B14"/>
  <c r="P13"/>
  <c r="N13"/>
  <c r="L13"/>
  <c r="K13"/>
  <c r="J13"/>
  <c r="I13"/>
  <c r="H13"/>
  <c r="G13"/>
  <c r="F13"/>
  <c r="E13"/>
  <c r="D13"/>
  <c r="C13"/>
  <c r="B13"/>
  <c r="A13"/>
  <c r="R12"/>
  <c r="C12"/>
  <c r="A12"/>
  <c r="P11"/>
  <c r="N11"/>
  <c r="L11"/>
  <c r="K11"/>
  <c r="J11"/>
  <c r="I11"/>
  <c r="H11"/>
  <c r="G11"/>
  <c r="F11"/>
  <c r="E11"/>
  <c r="D11"/>
  <c r="C11"/>
  <c r="B11"/>
  <c r="A11"/>
  <c r="R10"/>
  <c r="C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C2"/>
  <c r="A2"/>
  <c r="M53" i="11"/>
  <c r="O53" s="1"/>
  <c r="BD4" s="1"/>
  <c r="W58" i="76" s="1"/>
  <c r="G56" i="80" s="1"/>
  <c r="R52" i="11"/>
  <c r="Q52"/>
  <c r="M52"/>
  <c r="O52" s="1"/>
  <c r="R51"/>
  <c r="Q51"/>
  <c r="M51"/>
  <c r="M60" i="24" s="1"/>
  <c r="R50" i="11"/>
  <c r="Q50"/>
  <c r="M50"/>
  <c r="O50" s="1"/>
  <c r="O59" i="24" s="1"/>
  <c r="R49" i="11"/>
  <c r="Q49"/>
  <c r="M49"/>
  <c r="O49" s="1"/>
  <c r="O58" i="24" s="1"/>
  <c r="R48" i="11"/>
  <c r="Q48"/>
  <c r="M48"/>
  <c r="O48" s="1"/>
  <c r="O57" i="24" s="1"/>
  <c r="R47" i="11"/>
  <c r="M46"/>
  <c r="R45"/>
  <c r="Q45"/>
  <c r="M45"/>
  <c r="R42"/>
  <c r="Q42"/>
  <c r="M42"/>
  <c r="R41"/>
  <c r="Q41"/>
  <c r="M41"/>
  <c r="R40"/>
  <c r="Q40"/>
  <c r="M40"/>
  <c r="O40" s="1"/>
  <c r="O36" i="31" s="1"/>
  <c r="R39" i="11"/>
  <c r="Q39"/>
  <c r="M39"/>
  <c r="R38"/>
  <c r="Q38"/>
  <c r="M38"/>
  <c r="R37"/>
  <c r="R36"/>
  <c r="Q36"/>
  <c r="M36"/>
  <c r="M33" i="31" s="1"/>
  <c r="R35" i="11"/>
  <c r="Q35"/>
  <c r="M35"/>
  <c r="O35" s="1"/>
  <c r="M33"/>
  <c r="O33" s="1"/>
  <c r="BC4" s="1"/>
  <c r="W45" i="76" s="1"/>
  <c r="R32" i="11"/>
  <c r="R31" s="1"/>
  <c r="Q32"/>
  <c r="M32"/>
  <c r="O32" s="1"/>
  <c r="AM4" s="1"/>
  <c r="W42" i="76" s="1"/>
  <c r="G40" i="80" s="1"/>
  <c r="R30" i="11"/>
  <c r="Q30"/>
  <c r="M30"/>
  <c r="R29"/>
  <c r="Q29"/>
  <c r="M29"/>
  <c r="R28"/>
  <c r="Q28"/>
  <c r="M28"/>
  <c r="R27"/>
  <c r="Q27"/>
  <c r="M27"/>
  <c r="R25"/>
  <c r="Q25"/>
  <c r="M25"/>
  <c r="O25" s="1"/>
  <c r="O35" i="20" s="1"/>
  <c r="R24" i="11"/>
  <c r="R23" s="1"/>
  <c r="Q24"/>
  <c r="M24"/>
  <c r="M34" i="20" s="1"/>
  <c r="R22" i="11"/>
  <c r="Q22"/>
  <c r="M22"/>
  <c r="R21"/>
  <c r="Q21"/>
  <c r="M21"/>
  <c r="R20"/>
  <c r="M18"/>
  <c r="O18" s="1"/>
  <c r="Q17"/>
  <c r="M17"/>
  <c r="M33" i="54" s="1"/>
  <c r="M16" i="11"/>
  <c r="O16" s="1"/>
  <c r="M15"/>
  <c r="O15" s="1"/>
  <c r="M14"/>
  <c r="O14" s="1"/>
  <c r="M13"/>
  <c r="O13" s="1"/>
  <c r="R12"/>
  <c r="R11"/>
  <c r="BB3" s="1"/>
  <c r="X16" i="76" s="1"/>
  <c r="H14" i="80" s="1"/>
  <c r="Q11" i="11"/>
  <c r="M11"/>
  <c r="R10"/>
  <c r="Q10"/>
  <c r="M10"/>
  <c r="R9"/>
  <c r="H3" s="1"/>
  <c r="X10" i="76" s="1"/>
  <c r="Q9" i="11"/>
  <c r="M9"/>
  <c r="B4"/>
  <c r="BD3"/>
  <c r="X58" i="76" s="1"/>
  <c r="BC3" i="11"/>
  <c r="X45" i="76" s="1"/>
  <c r="H43" i="80" s="1"/>
  <c r="AZ3" i="11"/>
  <c r="X56" i="76" s="1"/>
  <c r="H54" i="80" s="1"/>
  <c r="AU3" i="11"/>
  <c r="AT3"/>
  <c r="X50" i="76" s="1"/>
  <c r="H48" i="80" s="1"/>
  <c r="AP3" i="11"/>
  <c r="AM3"/>
  <c r="X42" i="76" s="1"/>
  <c r="H40" i="80" s="1"/>
  <c r="AK3" i="11"/>
  <c r="AJ3"/>
  <c r="X39" i="76" s="1"/>
  <c r="H37" i="80" s="1"/>
  <c r="AH3" i="11"/>
  <c r="X37" i="76" s="1"/>
  <c r="H35" i="80" s="1"/>
  <c r="O3" i="11"/>
  <c r="X18" i="76" s="1"/>
  <c r="H16" i="80" s="1"/>
  <c r="B3" i="11"/>
  <c r="B2"/>
  <c r="A2"/>
  <c r="P63" i="41"/>
  <c r="O63"/>
  <c r="N63"/>
  <c r="M63"/>
  <c r="L63"/>
  <c r="K63"/>
  <c r="J63"/>
  <c r="I63"/>
  <c r="H63"/>
  <c r="G63"/>
  <c r="F63"/>
  <c r="E63"/>
  <c r="D63"/>
  <c r="C63"/>
  <c r="B63"/>
  <c r="A63"/>
  <c r="P62"/>
  <c r="O62"/>
  <c r="N62"/>
  <c r="M62"/>
  <c r="L62"/>
  <c r="K62"/>
  <c r="J62"/>
  <c r="I62"/>
  <c r="H62"/>
  <c r="G62"/>
  <c r="F62"/>
  <c r="E62"/>
  <c r="D62"/>
  <c r="C62"/>
  <c r="B62"/>
  <c r="A62"/>
  <c r="P61"/>
  <c r="N61"/>
  <c r="M61"/>
  <c r="L61"/>
  <c r="K61"/>
  <c r="J61"/>
  <c r="I61"/>
  <c r="H61"/>
  <c r="G61"/>
  <c r="F61"/>
  <c r="E61"/>
  <c r="D61"/>
  <c r="C61"/>
  <c r="B61"/>
  <c r="A61"/>
  <c r="P60"/>
  <c r="N60"/>
  <c r="L60"/>
  <c r="K60"/>
  <c r="J60"/>
  <c r="I60"/>
  <c r="H60"/>
  <c r="G60"/>
  <c r="F60"/>
  <c r="E60"/>
  <c r="D60"/>
  <c r="C60"/>
  <c r="B60"/>
  <c r="A60"/>
  <c r="P59"/>
  <c r="O59"/>
  <c r="N59"/>
  <c r="M59"/>
  <c r="L59"/>
  <c r="K59"/>
  <c r="J59"/>
  <c r="I59"/>
  <c r="H59"/>
  <c r="G59"/>
  <c r="F59"/>
  <c r="E59"/>
  <c r="D59"/>
  <c r="C59"/>
  <c r="B59"/>
  <c r="A59"/>
  <c r="P58"/>
  <c r="O58"/>
  <c r="N58"/>
  <c r="M58"/>
  <c r="L58"/>
  <c r="K58"/>
  <c r="J58"/>
  <c r="I58"/>
  <c r="H58"/>
  <c r="G58"/>
  <c r="F58"/>
  <c r="E58"/>
  <c r="D58"/>
  <c r="C58"/>
  <c r="B58"/>
  <c r="A58"/>
  <c r="P57"/>
  <c r="N57"/>
  <c r="M57"/>
  <c r="L57"/>
  <c r="K57"/>
  <c r="J57"/>
  <c r="I57"/>
  <c r="H57"/>
  <c r="G57"/>
  <c r="F57"/>
  <c r="E57"/>
  <c r="D57"/>
  <c r="C57"/>
  <c r="B57"/>
  <c r="A57"/>
  <c r="R56"/>
  <c r="C56"/>
  <c r="A56"/>
  <c r="P55"/>
  <c r="N55"/>
  <c r="L55"/>
  <c r="K55"/>
  <c r="J55"/>
  <c r="I55"/>
  <c r="H55"/>
  <c r="G55"/>
  <c r="F55"/>
  <c r="E55"/>
  <c r="D55"/>
  <c r="C55"/>
  <c r="B55"/>
  <c r="A55"/>
  <c r="P54"/>
  <c r="N54"/>
  <c r="L54"/>
  <c r="K54"/>
  <c r="J54"/>
  <c r="I54"/>
  <c r="H54"/>
  <c r="G54"/>
  <c r="F54"/>
  <c r="E54"/>
  <c r="D54"/>
  <c r="C54"/>
  <c r="B54"/>
  <c r="A54"/>
  <c r="P53"/>
  <c r="N53"/>
  <c r="L53"/>
  <c r="K53"/>
  <c r="J53"/>
  <c r="I53"/>
  <c r="H53"/>
  <c r="G53"/>
  <c r="F53"/>
  <c r="E53"/>
  <c r="D53"/>
  <c r="C53"/>
  <c r="B53"/>
  <c r="A53"/>
  <c r="P52"/>
  <c r="N52"/>
  <c r="L52"/>
  <c r="K52"/>
  <c r="J52"/>
  <c r="I52"/>
  <c r="H52"/>
  <c r="G52"/>
  <c r="F52"/>
  <c r="E52"/>
  <c r="D52"/>
  <c r="C52"/>
  <c r="B52"/>
  <c r="A52"/>
  <c r="R51"/>
  <c r="C51"/>
  <c r="A51"/>
  <c r="P50"/>
  <c r="N50"/>
  <c r="L50"/>
  <c r="K50"/>
  <c r="J50"/>
  <c r="I50"/>
  <c r="H50"/>
  <c r="G50"/>
  <c r="F50"/>
  <c r="E50"/>
  <c r="D50"/>
  <c r="C50"/>
  <c r="B50"/>
  <c r="A50"/>
  <c r="P49"/>
  <c r="N49"/>
  <c r="L49"/>
  <c r="K49"/>
  <c r="J49"/>
  <c r="I49"/>
  <c r="H49"/>
  <c r="G49"/>
  <c r="F49"/>
  <c r="E49"/>
  <c r="D49"/>
  <c r="C49"/>
  <c r="B49"/>
  <c r="A49"/>
  <c r="P48"/>
  <c r="N48"/>
  <c r="L48"/>
  <c r="K48"/>
  <c r="J48"/>
  <c r="I48"/>
  <c r="H48"/>
  <c r="G48"/>
  <c r="F48"/>
  <c r="E48"/>
  <c r="D48"/>
  <c r="C48"/>
  <c r="B48"/>
  <c r="A48"/>
  <c r="R47"/>
  <c r="C47"/>
  <c r="A47"/>
  <c r="P46"/>
  <c r="N46"/>
  <c r="L46"/>
  <c r="K46"/>
  <c r="J46"/>
  <c r="I46"/>
  <c r="H46"/>
  <c r="G46"/>
  <c r="F46"/>
  <c r="E46"/>
  <c r="D46"/>
  <c r="C46"/>
  <c r="B46"/>
  <c r="P45"/>
  <c r="N45"/>
  <c r="L45"/>
  <c r="K45"/>
  <c r="J45"/>
  <c r="I45"/>
  <c r="H45"/>
  <c r="G45"/>
  <c r="F45"/>
  <c r="E45"/>
  <c r="D45"/>
  <c r="C45"/>
  <c r="B45"/>
  <c r="A45"/>
  <c r="R44"/>
  <c r="C44"/>
  <c r="A44"/>
  <c r="P43"/>
  <c r="N43"/>
  <c r="L43"/>
  <c r="K43"/>
  <c r="J43"/>
  <c r="I43"/>
  <c r="H43"/>
  <c r="G43"/>
  <c r="F43"/>
  <c r="E43"/>
  <c r="D43"/>
  <c r="C43"/>
  <c r="B43"/>
  <c r="P42"/>
  <c r="N42"/>
  <c r="L42"/>
  <c r="K42"/>
  <c r="J42"/>
  <c r="I42"/>
  <c r="H42"/>
  <c r="G42"/>
  <c r="F42"/>
  <c r="E42"/>
  <c r="D42"/>
  <c r="C42"/>
  <c r="B42"/>
  <c r="P41"/>
  <c r="N41"/>
  <c r="L41"/>
  <c r="K41"/>
  <c r="J41"/>
  <c r="I41"/>
  <c r="H41"/>
  <c r="G41"/>
  <c r="F41"/>
  <c r="E41"/>
  <c r="D41"/>
  <c r="C41"/>
  <c r="B41"/>
  <c r="A41"/>
  <c r="R40"/>
  <c r="C40"/>
  <c r="A40"/>
  <c r="P39"/>
  <c r="N39"/>
  <c r="L39"/>
  <c r="K39"/>
  <c r="J39"/>
  <c r="I39"/>
  <c r="H39"/>
  <c r="G39"/>
  <c r="F39"/>
  <c r="E39"/>
  <c r="D39"/>
  <c r="C39"/>
  <c r="B39"/>
  <c r="A39"/>
  <c r="P38"/>
  <c r="N38"/>
  <c r="L38"/>
  <c r="K38"/>
  <c r="J38"/>
  <c r="I38"/>
  <c r="H38"/>
  <c r="G38"/>
  <c r="F38"/>
  <c r="E38"/>
  <c r="D38"/>
  <c r="C38"/>
  <c r="B38"/>
  <c r="A38"/>
  <c r="P37"/>
  <c r="N37"/>
  <c r="L37"/>
  <c r="K37"/>
  <c r="J37"/>
  <c r="I37"/>
  <c r="H37"/>
  <c r="G37"/>
  <c r="F37"/>
  <c r="E37"/>
  <c r="D37"/>
  <c r="C37"/>
  <c r="B37"/>
  <c r="A37"/>
  <c r="R36"/>
  <c r="C36"/>
  <c r="A36"/>
  <c r="P35"/>
  <c r="N35"/>
  <c r="L35"/>
  <c r="K35"/>
  <c r="J35"/>
  <c r="I35"/>
  <c r="H35"/>
  <c r="G35"/>
  <c r="F35"/>
  <c r="E35"/>
  <c r="D35"/>
  <c r="C35"/>
  <c r="P34"/>
  <c r="N34"/>
  <c r="L34"/>
  <c r="K34"/>
  <c r="J34"/>
  <c r="I34"/>
  <c r="H34"/>
  <c r="G34"/>
  <c r="F34"/>
  <c r="E34"/>
  <c r="D34"/>
  <c r="C34"/>
  <c r="B34"/>
  <c r="P33"/>
  <c r="N33"/>
  <c r="L33"/>
  <c r="K33"/>
  <c r="J33"/>
  <c r="I33"/>
  <c r="H33"/>
  <c r="G33"/>
  <c r="F33"/>
  <c r="E33"/>
  <c r="D33"/>
  <c r="C33"/>
  <c r="B33"/>
  <c r="A33"/>
  <c r="R32"/>
  <c r="C32"/>
  <c r="A32"/>
  <c r="P31"/>
  <c r="N31"/>
  <c r="L31"/>
  <c r="K31"/>
  <c r="J31"/>
  <c r="I31"/>
  <c r="H31"/>
  <c r="G31"/>
  <c r="F31"/>
  <c r="E31"/>
  <c r="D31"/>
  <c r="C31"/>
  <c r="A31"/>
  <c r="P30"/>
  <c r="N30"/>
  <c r="L30"/>
  <c r="K30"/>
  <c r="J30"/>
  <c r="I30"/>
  <c r="H30"/>
  <c r="G30"/>
  <c r="F30"/>
  <c r="E30"/>
  <c r="D30"/>
  <c r="C30"/>
  <c r="B30"/>
  <c r="A30"/>
  <c r="R29"/>
  <c r="C29"/>
  <c r="A29"/>
  <c r="P28"/>
  <c r="N28"/>
  <c r="L28"/>
  <c r="K28"/>
  <c r="J28"/>
  <c r="I28"/>
  <c r="H28"/>
  <c r="G28"/>
  <c r="F28"/>
  <c r="E28"/>
  <c r="D28"/>
  <c r="C28"/>
  <c r="P27"/>
  <c r="N27"/>
  <c r="L27"/>
  <c r="K27"/>
  <c r="J27"/>
  <c r="I27"/>
  <c r="H27"/>
  <c r="G27"/>
  <c r="F27"/>
  <c r="E27"/>
  <c r="D27"/>
  <c r="C27"/>
  <c r="B27"/>
  <c r="P26"/>
  <c r="N26"/>
  <c r="L26"/>
  <c r="K26"/>
  <c r="J26"/>
  <c r="I26"/>
  <c r="H26"/>
  <c r="G26"/>
  <c r="F26"/>
  <c r="E26"/>
  <c r="D26"/>
  <c r="C26"/>
  <c r="B26"/>
  <c r="A26"/>
  <c r="P25"/>
  <c r="N25"/>
  <c r="L25"/>
  <c r="K25"/>
  <c r="J25"/>
  <c r="I25"/>
  <c r="H25"/>
  <c r="G25"/>
  <c r="F25"/>
  <c r="E25"/>
  <c r="D25"/>
  <c r="C25"/>
  <c r="P24"/>
  <c r="N24"/>
  <c r="L24"/>
  <c r="K24"/>
  <c r="J24"/>
  <c r="I24"/>
  <c r="H24"/>
  <c r="G24"/>
  <c r="F24"/>
  <c r="E24"/>
  <c r="D24"/>
  <c r="C24"/>
  <c r="B24"/>
  <c r="A24"/>
  <c r="P23"/>
  <c r="N23"/>
  <c r="L23"/>
  <c r="K23"/>
  <c r="J23"/>
  <c r="I23"/>
  <c r="H23"/>
  <c r="G23"/>
  <c r="F23"/>
  <c r="E23"/>
  <c r="D23"/>
  <c r="C23"/>
  <c r="B23"/>
  <c r="P22"/>
  <c r="N22"/>
  <c r="L22"/>
  <c r="K22"/>
  <c r="J22"/>
  <c r="I22"/>
  <c r="H22"/>
  <c r="G22"/>
  <c r="F22"/>
  <c r="E22"/>
  <c r="D22"/>
  <c r="C22"/>
  <c r="B22"/>
  <c r="P21"/>
  <c r="N21"/>
  <c r="L21"/>
  <c r="K21"/>
  <c r="J21"/>
  <c r="I21"/>
  <c r="H21"/>
  <c r="G21"/>
  <c r="F21"/>
  <c r="E21"/>
  <c r="D21"/>
  <c r="C21"/>
  <c r="B21"/>
  <c r="A21"/>
  <c r="R20"/>
  <c r="C20"/>
  <c r="A20"/>
  <c r="P19"/>
  <c r="N19"/>
  <c r="L19"/>
  <c r="K19"/>
  <c r="J19"/>
  <c r="I19"/>
  <c r="H19"/>
  <c r="G19"/>
  <c r="F19"/>
  <c r="E19"/>
  <c r="D19"/>
  <c r="C19"/>
  <c r="A19"/>
  <c r="R18"/>
  <c r="C18"/>
  <c r="A18"/>
  <c r="P17"/>
  <c r="N17"/>
  <c r="L17"/>
  <c r="K17"/>
  <c r="J17"/>
  <c r="I17"/>
  <c r="H17"/>
  <c r="G17"/>
  <c r="F17"/>
  <c r="E17"/>
  <c r="D17"/>
  <c r="C17"/>
  <c r="B17"/>
  <c r="P16"/>
  <c r="N16"/>
  <c r="L16"/>
  <c r="K16"/>
  <c r="J16"/>
  <c r="I16"/>
  <c r="H16"/>
  <c r="G16"/>
  <c r="F16"/>
  <c r="E16"/>
  <c r="D16"/>
  <c r="C16"/>
  <c r="B16"/>
  <c r="A16"/>
  <c r="P15"/>
  <c r="N15"/>
  <c r="L15"/>
  <c r="K15"/>
  <c r="J15"/>
  <c r="I15"/>
  <c r="H15"/>
  <c r="G15"/>
  <c r="F15"/>
  <c r="E15"/>
  <c r="D15"/>
  <c r="C15"/>
  <c r="B15"/>
  <c r="A15"/>
  <c r="P14"/>
  <c r="N14"/>
  <c r="L14"/>
  <c r="K14"/>
  <c r="J14"/>
  <c r="I14"/>
  <c r="H14"/>
  <c r="G14"/>
  <c r="F14"/>
  <c r="E14"/>
  <c r="D14"/>
  <c r="C14"/>
  <c r="B14"/>
  <c r="A14"/>
  <c r="P13"/>
  <c r="N13"/>
  <c r="L13"/>
  <c r="K13"/>
  <c r="J13"/>
  <c r="I13"/>
  <c r="H13"/>
  <c r="G13"/>
  <c r="F13"/>
  <c r="E13"/>
  <c r="D13"/>
  <c r="C13"/>
  <c r="B13"/>
  <c r="A13"/>
  <c r="R12"/>
  <c r="C12"/>
  <c r="A12"/>
  <c r="P11"/>
  <c r="N11"/>
  <c r="L11"/>
  <c r="K11"/>
  <c r="J11"/>
  <c r="I11"/>
  <c r="H11"/>
  <c r="G11"/>
  <c r="F11"/>
  <c r="E11"/>
  <c r="D11"/>
  <c r="C11"/>
  <c r="B11"/>
  <c r="A11"/>
  <c r="R10"/>
  <c r="C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C2"/>
  <c r="A2"/>
  <c r="P134" i="30"/>
  <c r="N134"/>
  <c r="M134"/>
  <c r="L134"/>
  <c r="K134"/>
  <c r="J134"/>
  <c r="I134"/>
  <c r="H134"/>
  <c r="G134"/>
  <c r="F134"/>
  <c r="E134"/>
  <c r="D134"/>
  <c r="C134"/>
  <c r="B134"/>
  <c r="A134"/>
  <c r="P133"/>
  <c r="N133"/>
  <c r="M133"/>
  <c r="L133"/>
  <c r="K133"/>
  <c r="J133"/>
  <c r="I133"/>
  <c r="H133"/>
  <c r="G133"/>
  <c r="F133"/>
  <c r="E133"/>
  <c r="D133"/>
  <c r="C133"/>
  <c r="B133"/>
  <c r="A133"/>
  <c r="P132"/>
  <c r="N132"/>
  <c r="M132"/>
  <c r="L132"/>
  <c r="K132"/>
  <c r="J132"/>
  <c r="I132"/>
  <c r="H132"/>
  <c r="G132"/>
  <c r="F132"/>
  <c r="E132"/>
  <c r="D132"/>
  <c r="C132"/>
  <c r="B132"/>
  <c r="A132"/>
  <c r="P131"/>
  <c r="N131"/>
  <c r="L131"/>
  <c r="K131"/>
  <c r="J131"/>
  <c r="I131"/>
  <c r="H131"/>
  <c r="G131"/>
  <c r="F131"/>
  <c r="E131"/>
  <c r="D131"/>
  <c r="C131"/>
  <c r="B131"/>
  <c r="A131"/>
  <c r="P130"/>
  <c r="N130"/>
  <c r="M130"/>
  <c r="L130"/>
  <c r="K130"/>
  <c r="J130"/>
  <c r="I130"/>
  <c r="H130"/>
  <c r="G130"/>
  <c r="F130"/>
  <c r="E130"/>
  <c r="D130"/>
  <c r="C130"/>
  <c r="B130"/>
  <c r="A130"/>
  <c r="P129"/>
  <c r="O129"/>
  <c r="N129"/>
  <c r="M129"/>
  <c r="L129"/>
  <c r="K129"/>
  <c r="J129"/>
  <c r="I129"/>
  <c r="H129"/>
  <c r="G129"/>
  <c r="F129"/>
  <c r="E129"/>
  <c r="D129"/>
  <c r="C129"/>
  <c r="B129"/>
  <c r="A129"/>
  <c r="P128"/>
  <c r="N128"/>
  <c r="M128"/>
  <c r="L128"/>
  <c r="K128"/>
  <c r="J128"/>
  <c r="I128"/>
  <c r="H128"/>
  <c r="G128"/>
  <c r="F128"/>
  <c r="E128"/>
  <c r="D128"/>
  <c r="C128"/>
  <c r="B128"/>
  <c r="A128"/>
  <c r="P127"/>
  <c r="N127"/>
  <c r="L127"/>
  <c r="K127"/>
  <c r="J127"/>
  <c r="I127"/>
  <c r="H127"/>
  <c r="G127"/>
  <c r="F127"/>
  <c r="E127"/>
  <c r="D127"/>
  <c r="C127"/>
  <c r="B127"/>
  <c r="A127"/>
  <c r="P126"/>
  <c r="N126"/>
  <c r="L126"/>
  <c r="K126"/>
  <c r="J126"/>
  <c r="I126"/>
  <c r="H126"/>
  <c r="G126"/>
  <c r="F126"/>
  <c r="E126"/>
  <c r="D126"/>
  <c r="C126"/>
  <c r="B126"/>
  <c r="A126"/>
  <c r="P125"/>
  <c r="N125"/>
  <c r="L125"/>
  <c r="K125"/>
  <c r="J125"/>
  <c r="I125"/>
  <c r="H125"/>
  <c r="G125"/>
  <c r="F125"/>
  <c r="E125"/>
  <c r="D125"/>
  <c r="C125"/>
  <c r="B125"/>
  <c r="A125"/>
  <c r="P124"/>
  <c r="N124"/>
  <c r="L124"/>
  <c r="K124"/>
  <c r="J124"/>
  <c r="I124"/>
  <c r="H124"/>
  <c r="G124"/>
  <c r="F124"/>
  <c r="E124"/>
  <c r="D124"/>
  <c r="C124"/>
  <c r="B124"/>
  <c r="A124"/>
  <c r="P123"/>
  <c r="N123"/>
  <c r="M123"/>
  <c r="L123"/>
  <c r="K123"/>
  <c r="J123"/>
  <c r="I123"/>
  <c r="H123"/>
  <c r="G123"/>
  <c r="F123"/>
  <c r="E123"/>
  <c r="D123"/>
  <c r="C123"/>
  <c r="B123"/>
  <c r="A123"/>
  <c r="P122"/>
  <c r="O122"/>
  <c r="N122"/>
  <c r="M122"/>
  <c r="L122"/>
  <c r="K122"/>
  <c r="J122"/>
  <c r="I122"/>
  <c r="H122"/>
  <c r="G122"/>
  <c r="F122"/>
  <c r="E122"/>
  <c r="D122"/>
  <c r="C122"/>
  <c r="B122"/>
  <c r="A122"/>
  <c r="P121"/>
  <c r="N121"/>
  <c r="L121"/>
  <c r="K121"/>
  <c r="J121"/>
  <c r="I121"/>
  <c r="H121"/>
  <c r="G121"/>
  <c r="F121"/>
  <c r="E121"/>
  <c r="D121"/>
  <c r="C121"/>
  <c r="B121"/>
  <c r="A121"/>
  <c r="P120"/>
  <c r="O120"/>
  <c r="N120"/>
  <c r="M120"/>
  <c r="L120"/>
  <c r="K120"/>
  <c r="J120"/>
  <c r="I120"/>
  <c r="H120"/>
  <c r="G120"/>
  <c r="F120"/>
  <c r="E120"/>
  <c r="D120"/>
  <c r="C120"/>
  <c r="B120"/>
  <c r="A120"/>
  <c r="P119"/>
  <c r="O119"/>
  <c r="N119"/>
  <c r="M119"/>
  <c r="L119"/>
  <c r="K119"/>
  <c r="J119"/>
  <c r="I119"/>
  <c r="H119"/>
  <c r="G119"/>
  <c r="F119"/>
  <c r="E119"/>
  <c r="D119"/>
  <c r="C119"/>
  <c r="B119"/>
  <c r="A119"/>
  <c r="P117"/>
  <c r="O117"/>
  <c r="N117"/>
  <c r="M117"/>
  <c r="L117"/>
  <c r="K117"/>
  <c r="J117"/>
  <c r="I117"/>
  <c r="H117"/>
  <c r="G117"/>
  <c r="F117"/>
  <c r="E117"/>
  <c r="D117"/>
  <c r="C117"/>
  <c r="B117"/>
  <c r="A117"/>
  <c r="P116"/>
  <c r="O116"/>
  <c r="N116"/>
  <c r="M116"/>
  <c r="L116"/>
  <c r="K116"/>
  <c r="J116"/>
  <c r="I116"/>
  <c r="H116"/>
  <c r="G116"/>
  <c r="F116"/>
  <c r="E116"/>
  <c r="D116"/>
  <c r="C116"/>
  <c r="B116"/>
  <c r="A116"/>
  <c r="P115"/>
  <c r="N115"/>
  <c r="L115"/>
  <c r="K115"/>
  <c r="J115"/>
  <c r="I115"/>
  <c r="H115"/>
  <c r="G115"/>
  <c r="F115"/>
  <c r="E115"/>
  <c r="D115"/>
  <c r="C115"/>
  <c r="B115"/>
  <c r="A115"/>
  <c r="P114"/>
  <c r="O114"/>
  <c r="N114"/>
  <c r="M114"/>
  <c r="L114"/>
  <c r="K114"/>
  <c r="J114"/>
  <c r="I114"/>
  <c r="H114"/>
  <c r="G114"/>
  <c r="F114"/>
  <c r="E114"/>
  <c r="D114"/>
  <c r="C114"/>
  <c r="B114"/>
  <c r="A114"/>
  <c r="P113"/>
  <c r="O113"/>
  <c r="N113"/>
  <c r="M113"/>
  <c r="L113"/>
  <c r="K113"/>
  <c r="J113"/>
  <c r="I113"/>
  <c r="H113"/>
  <c r="G113"/>
  <c r="F113"/>
  <c r="E113"/>
  <c r="D113"/>
  <c r="C113"/>
  <c r="B113"/>
  <c r="A113"/>
  <c r="P112"/>
  <c r="O112"/>
  <c r="N112"/>
  <c r="M112"/>
  <c r="L112"/>
  <c r="K112"/>
  <c r="J112"/>
  <c r="I112"/>
  <c r="H112"/>
  <c r="G112"/>
  <c r="F112"/>
  <c r="E112"/>
  <c r="D112"/>
  <c r="C112"/>
  <c r="B112"/>
  <c r="A112"/>
  <c r="P111"/>
  <c r="N111"/>
  <c r="M111"/>
  <c r="L111"/>
  <c r="K111"/>
  <c r="J111"/>
  <c r="I111"/>
  <c r="H111"/>
  <c r="G111"/>
  <c r="F111"/>
  <c r="E111"/>
  <c r="D111"/>
  <c r="C111"/>
  <c r="B111"/>
  <c r="A111"/>
  <c r="P110"/>
  <c r="N110"/>
  <c r="M110"/>
  <c r="L110"/>
  <c r="K110"/>
  <c r="J110"/>
  <c r="I110"/>
  <c r="H110"/>
  <c r="G110"/>
  <c r="F110"/>
  <c r="E110"/>
  <c r="D110"/>
  <c r="C110"/>
  <c r="B110"/>
  <c r="A110"/>
  <c r="P109"/>
  <c r="N109"/>
  <c r="M109"/>
  <c r="L109"/>
  <c r="K109"/>
  <c r="J109"/>
  <c r="I109"/>
  <c r="H109"/>
  <c r="G109"/>
  <c r="F109"/>
  <c r="E109"/>
  <c r="D109"/>
  <c r="C109"/>
  <c r="B109"/>
  <c r="A109"/>
  <c r="R108"/>
  <c r="C108"/>
  <c r="A108"/>
  <c r="P107"/>
  <c r="N107"/>
  <c r="L107"/>
  <c r="K107"/>
  <c r="J107"/>
  <c r="I107"/>
  <c r="H107"/>
  <c r="G107"/>
  <c r="F107"/>
  <c r="E107"/>
  <c r="D107"/>
  <c r="C107"/>
  <c r="B107"/>
  <c r="A107"/>
  <c r="P106"/>
  <c r="N106"/>
  <c r="L106"/>
  <c r="K106"/>
  <c r="J106"/>
  <c r="I106"/>
  <c r="H106"/>
  <c r="G106"/>
  <c r="F106"/>
  <c r="E106"/>
  <c r="D106"/>
  <c r="C106"/>
  <c r="B106"/>
  <c r="A106"/>
  <c r="R105"/>
  <c r="C105"/>
  <c r="A105"/>
  <c r="P104"/>
  <c r="N104"/>
  <c r="L104"/>
  <c r="K104"/>
  <c r="J104"/>
  <c r="I104"/>
  <c r="H104"/>
  <c r="G104"/>
  <c r="F104"/>
  <c r="E104"/>
  <c r="D104"/>
  <c r="C104"/>
  <c r="B104"/>
  <c r="A104"/>
  <c r="R103"/>
  <c r="C103"/>
  <c r="A103"/>
  <c r="P102"/>
  <c r="N102"/>
  <c r="L102"/>
  <c r="K102"/>
  <c r="J102"/>
  <c r="I102"/>
  <c r="H102"/>
  <c r="G102"/>
  <c r="F102"/>
  <c r="E102"/>
  <c r="D102"/>
  <c r="C102"/>
  <c r="P101"/>
  <c r="N101"/>
  <c r="L101"/>
  <c r="K101"/>
  <c r="J101"/>
  <c r="I101"/>
  <c r="H101"/>
  <c r="G101"/>
  <c r="F101"/>
  <c r="E101"/>
  <c r="D101"/>
  <c r="C101"/>
  <c r="B101"/>
  <c r="P100"/>
  <c r="N100"/>
  <c r="L100"/>
  <c r="K100"/>
  <c r="J100"/>
  <c r="I100"/>
  <c r="H100"/>
  <c r="G100"/>
  <c r="F100"/>
  <c r="E100"/>
  <c r="D100"/>
  <c r="C100"/>
  <c r="B100"/>
  <c r="P99"/>
  <c r="N99"/>
  <c r="L99"/>
  <c r="K99"/>
  <c r="J99"/>
  <c r="I99"/>
  <c r="H99"/>
  <c r="G99"/>
  <c r="F99"/>
  <c r="E99"/>
  <c r="D99"/>
  <c r="C99"/>
  <c r="B99"/>
  <c r="A99"/>
  <c r="R98"/>
  <c r="C98"/>
  <c r="A98"/>
  <c r="P97"/>
  <c r="N97"/>
  <c r="L97"/>
  <c r="K97"/>
  <c r="J97"/>
  <c r="I97"/>
  <c r="H97"/>
  <c r="G97"/>
  <c r="F97"/>
  <c r="E97"/>
  <c r="D97"/>
  <c r="C97"/>
  <c r="P96"/>
  <c r="N96"/>
  <c r="L96"/>
  <c r="K96"/>
  <c r="J96"/>
  <c r="I96"/>
  <c r="H96"/>
  <c r="G96"/>
  <c r="F96"/>
  <c r="E96"/>
  <c r="D96"/>
  <c r="C96"/>
  <c r="P95"/>
  <c r="N95"/>
  <c r="L95"/>
  <c r="K95"/>
  <c r="J95"/>
  <c r="I95"/>
  <c r="H95"/>
  <c r="G95"/>
  <c r="F95"/>
  <c r="E95"/>
  <c r="D95"/>
  <c r="C95"/>
  <c r="B95"/>
  <c r="P94"/>
  <c r="N94"/>
  <c r="L94"/>
  <c r="K94"/>
  <c r="J94"/>
  <c r="I94"/>
  <c r="H94"/>
  <c r="G94"/>
  <c r="F94"/>
  <c r="E94"/>
  <c r="D94"/>
  <c r="C94"/>
  <c r="B94"/>
  <c r="P93"/>
  <c r="N93"/>
  <c r="L93"/>
  <c r="K93"/>
  <c r="J93"/>
  <c r="I93"/>
  <c r="H93"/>
  <c r="G93"/>
  <c r="F93"/>
  <c r="E93"/>
  <c r="D93"/>
  <c r="C93"/>
  <c r="B93"/>
  <c r="P92"/>
  <c r="N92"/>
  <c r="L92"/>
  <c r="K92"/>
  <c r="J92"/>
  <c r="I92"/>
  <c r="H92"/>
  <c r="G92"/>
  <c r="F92"/>
  <c r="E92"/>
  <c r="D92"/>
  <c r="C92"/>
  <c r="B92"/>
  <c r="P91"/>
  <c r="N91"/>
  <c r="L91"/>
  <c r="K91"/>
  <c r="J91"/>
  <c r="I91"/>
  <c r="H91"/>
  <c r="G91"/>
  <c r="F91"/>
  <c r="E91"/>
  <c r="D91"/>
  <c r="C91"/>
  <c r="B91"/>
  <c r="P90"/>
  <c r="N90"/>
  <c r="L90"/>
  <c r="K90"/>
  <c r="J90"/>
  <c r="I90"/>
  <c r="H90"/>
  <c r="G90"/>
  <c r="F90"/>
  <c r="E90"/>
  <c r="D90"/>
  <c r="C90"/>
  <c r="B90"/>
  <c r="A90"/>
  <c r="R89"/>
  <c r="C89"/>
  <c r="A89"/>
  <c r="P88"/>
  <c r="N88"/>
  <c r="L88"/>
  <c r="K88"/>
  <c r="J88"/>
  <c r="I88"/>
  <c r="H88"/>
  <c r="G88"/>
  <c r="F88"/>
  <c r="E88"/>
  <c r="D88"/>
  <c r="C88"/>
  <c r="B88"/>
  <c r="A88"/>
  <c r="P87"/>
  <c r="N87"/>
  <c r="L87"/>
  <c r="K87"/>
  <c r="J87"/>
  <c r="I87"/>
  <c r="H87"/>
  <c r="G87"/>
  <c r="F87"/>
  <c r="E87"/>
  <c r="D87"/>
  <c r="C87"/>
  <c r="B87"/>
  <c r="A87"/>
  <c r="P86"/>
  <c r="N86"/>
  <c r="L86"/>
  <c r="K86"/>
  <c r="J86"/>
  <c r="I86"/>
  <c r="H86"/>
  <c r="G86"/>
  <c r="F86"/>
  <c r="E86"/>
  <c r="D86"/>
  <c r="C86"/>
  <c r="B86"/>
  <c r="A86"/>
  <c r="P85"/>
  <c r="N85"/>
  <c r="L85"/>
  <c r="K85"/>
  <c r="J85"/>
  <c r="I85"/>
  <c r="H85"/>
  <c r="G85"/>
  <c r="F85"/>
  <c r="E85"/>
  <c r="D85"/>
  <c r="C85"/>
  <c r="B85"/>
  <c r="A85"/>
  <c r="P84"/>
  <c r="N84"/>
  <c r="L84"/>
  <c r="K84"/>
  <c r="J84"/>
  <c r="I84"/>
  <c r="H84"/>
  <c r="G84"/>
  <c r="F84"/>
  <c r="E84"/>
  <c r="D84"/>
  <c r="C84"/>
  <c r="B84"/>
  <c r="A84"/>
  <c r="P83"/>
  <c r="N83"/>
  <c r="L83"/>
  <c r="K83"/>
  <c r="J83"/>
  <c r="I83"/>
  <c r="H83"/>
  <c r="G83"/>
  <c r="F83"/>
  <c r="E83"/>
  <c r="D83"/>
  <c r="C83"/>
  <c r="B83"/>
  <c r="A83"/>
  <c r="P82"/>
  <c r="N82"/>
  <c r="L82"/>
  <c r="K82"/>
  <c r="J82"/>
  <c r="I82"/>
  <c r="H82"/>
  <c r="G82"/>
  <c r="F82"/>
  <c r="E82"/>
  <c r="D82"/>
  <c r="C82"/>
  <c r="B82"/>
  <c r="A82"/>
  <c r="P81"/>
  <c r="N81"/>
  <c r="L81"/>
  <c r="K81"/>
  <c r="J81"/>
  <c r="I81"/>
  <c r="H81"/>
  <c r="G81"/>
  <c r="F81"/>
  <c r="E81"/>
  <c r="D81"/>
  <c r="C81"/>
  <c r="B81"/>
  <c r="A81"/>
  <c r="P80"/>
  <c r="N80"/>
  <c r="L80"/>
  <c r="K80"/>
  <c r="J80"/>
  <c r="I80"/>
  <c r="H80"/>
  <c r="G80"/>
  <c r="F80"/>
  <c r="E80"/>
  <c r="D80"/>
  <c r="C80"/>
  <c r="B80"/>
  <c r="A80"/>
  <c r="P79"/>
  <c r="N79"/>
  <c r="L79"/>
  <c r="K79"/>
  <c r="J79"/>
  <c r="I79"/>
  <c r="H79"/>
  <c r="G79"/>
  <c r="F79"/>
  <c r="E79"/>
  <c r="D79"/>
  <c r="C79"/>
  <c r="B79"/>
  <c r="A79"/>
  <c r="P78"/>
  <c r="N78"/>
  <c r="L78"/>
  <c r="K78"/>
  <c r="J78"/>
  <c r="I78"/>
  <c r="H78"/>
  <c r="G78"/>
  <c r="F78"/>
  <c r="E78"/>
  <c r="D78"/>
  <c r="C78"/>
  <c r="B78"/>
  <c r="A78"/>
  <c r="P77"/>
  <c r="N77"/>
  <c r="L77"/>
  <c r="K77"/>
  <c r="J77"/>
  <c r="I77"/>
  <c r="H77"/>
  <c r="G77"/>
  <c r="F77"/>
  <c r="E77"/>
  <c r="D77"/>
  <c r="C77"/>
  <c r="B77"/>
  <c r="A77"/>
  <c r="P76"/>
  <c r="N76"/>
  <c r="L76"/>
  <c r="K76"/>
  <c r="J76"/>
  <c r="I76"/>
  <c r="H76"/>
  <c r="G76"/>
  <c r="F76"/>
  <c r="E76"/>
  <c r="D76"/>
  <c r="C76"/>
  <c r="B76"/>
  <c r="A76"/>
  <c r="P75"/>
  <c r="N75"/>
  <c r="L75"/>
  <c r="K75"/>
  <c r="J75"/>
  <c r="I75"/>
  <c r="H75"/>
  <c r="G75"/>
  <c r="F75"/>
  <c r="E75"/>
  <c r="D75"/>
  <c r="C75"/>
  <c r="B75"/>
  <c r="A75"/>
  <c r="P74"/>
  <c r="N74"/>
  <c r="L74"/>
  <c r="K74"/>
  <c r="J74"/>
  <c r="I74"/>
  <c r="H74"/>
  <c r="G74"/>
  <c r="F74"/>
  <c r="E74"/>
  <c r="D74"/>
  <c r="C74"/>
  <c r="B74"/>
  <c r="A74"/>
  <c r="P73"/>
  <c r="N73"/>
  <c r="L73"/>
  <c r="K73"/>
  <c r="J73"/>
  <c r="I73"/>
  <c r="H73"/>
  <c r="G73"/>
  <c r="F73"/>
  <c r="E73"/>
  <c r="D73"/>
  <c r="C73"/>
  <c r="B73"/>
  <c r="A73"/>
  <c r="P72"/>
  <c r="N72"/>
  <c r="L72"/>
  <c r="K72"/>
  <c r="J72"/>
  <c r="I72"/>
  <c r="H72"/>
  <c r="G72"/>
  <c r="F72"/>
  <c r="E72"/>
  <c r="D72"/>
  <c r="C72"/>
  <c r="B72"/>
  <c r="A72"/>
  <c r="P71"/>
  <c r="N71"/>
  <c r="L71"/>
  <c r="K71"/>
  <c r="J71"/>
  <c r="I71"/>
  <c r="H71"/>
  <c r="G71"/>
  <c r="F71"/>
  <c r="E71"/>
  <c r="D71"/>
  <c r="C71"/>
  <c r="B71"/>
  <c r="A71"/>
  <c r="R70"/>
  <c r="C70"/>
  <c r="A70"/>
  <c r="P69"/>
  <c r="N69"/>
  <c r="L69"/>
  <c r="K69"/>
  <c r="J69"/>
  <c r="I69"/>
  <c r="H69"/>
  <c r="G69"/>
  <c r="F69"/>
  <c r="E69"/>
  <c r="D69"/>
  <c r="C69"/>
  <c r="P68"/>
  <c r="N68"/>
  <c r="L68"/>
  <c r="K68"/>
  <c r="J68"/>
  <c r="I68"/>
  <c r="H68"/>
  <c r="G68"/>
  <c r="F68"/>
  <c r="E68"/>
  <c r="D68"/>
  <c r="C68"/>
  <c r="P67"/>
  <c r="N67"/>
  <c r="L67"/>
  <c r="K67"/>
  <c r="J67"/>
  <c r="I67"/>
  <c r="H67"/>
  <c r="G67"/>
  <c r="F67"/>
  <c r="E67"/>
  <c r="D67"/>
  <c r="C67"/>
  <c r="B67"/>
  <c r="P66"/>
  <c r="N66"/>
  <c r="L66"/>
  <c r="K66"/>
  <c r="J66"/>
  <c r="I66"/>
  <c r="H66"/>
  <c r="G66"/>
  <c r="F66"/>
  <c r="E66"/>
  <c r="D66"/>
  <c r="C66"/>
  <c r="B66"/>
  <c r="P65"/>
  <c r="N65"/>
  <c r="L65"/>
  <c r="K65"/>
  <c r="J65"/>
  <c r="I65"/>
  <c r="H65"/>
  <c r="G65"/>
  <c r="F65"/>
  <c r="E65"/>
  <c r="D65"/>
  <c r="C65"/>
  <c r="B65"/>
  <c r="P64"/>
  <c r="N64"/>
  <c r="L64"/>
  <c r="K64"/>
  <c r="J64"/>
  <c r="I64"/>
  <c r="H64"/>
  <c r="G64"/>
  <c r="F64"/>
  <c r="E64"/>
  <c r="D64"/>
  <c r="C64"/>
  <c r="B64"/>
  <c r="P63"/>
  <c r="N63"/>
  <c r="L63"/>
  <c r="K63"/>
  <c r="J63"/>
  <c r="I63"/>
  <c r="H63"/>
  <c r="G63"/>
  <c r="F63"/>
  <c r="E63"/>
  <c r="D63"/>
  <c r="C63"/>
  <c r="B63"/>
  <c r="P62"/>
  <c r="N62"/>
  <c r="L62"/>
  <c r="K62"/>
  <c r="J62"/>
  <c r="I62"/>
  <c r="H62"/>
  <c r="G62"/>
  <c r="F62"/>
  <c r="E62"/>
  <c r="D62"/>
  <c r="C62"/>
  <c r="B62"/>
  <c r="A62"/>
  <c r="R61"/>
  <c r="C61"/>
  <c r="A61"/>
  <c r="P60"/>
  <c r="N60"/>
  <c r="L60"/>
  <c r="K60"/>
  <c r="J60"/>
  <c r="I60"/>
  <c r="H60"/>
  <c r="G60"/>
  <c r="F60"/>
  <c r="E60"/>
  <c r="D60"/>
  <c r="C60"/>
  <c r="B60"/>
  <c r="P59"/>
  <c r="N59"/>
  <c r="L59"/>
  <c r="K59"/>
  <c r="J59"/>
  <c r="I59"/>
  <c r="H59"/>
  <c r="G59"/>
  <c r="F59"/>
  <c r="E59"/>
  <c r="D59"/>
  <c r="C59"/>
  <c r="B59"/>
  <c r="P58"/>
  <c r="N58"/>
  <c r="L58"/>
  <c r="K58"/>
  <c r="J58"/>
  <c r="I58"/>
  <c r="H58"/>
  <c r="G58"/>
  <c r="F58"/>
  <c r="E58"/>
  <c r="D58"/>
  <c r="C58"/>
  <c r="B58"/>
  <c r="P57"/>
  <c r="N57"/>
  <c r="L57"/>
  <c r="K57"/>
  <c r="J57"/>
  <c r="I57"/>
  <c r="H57"/>
  <c r="G57"/>
  <c r="F57"/>
  <c r="E57"/>
  <c r="D57"/>
  <c r="C57"/>
  <c r="B57"/>
  <c r="P56"/>
  <c r="N56"/>
  <c r="L56"/>
  <c r="K56"/>
  <c r="J56"/>
  <c r="I56"/>
  <c r="H56"/>
  <c r="G56"/>
  <c r="F56"/>
  <c r="E56"/>
  <c r="D56"/>
  <c r="C56"/>
  <c r="B56"/>
  <c r="P55"/>
  <c r="N55"/>
  <c r="L55"/>
  <c r="K55"/>
  <c r="J55"/>
  <c r="I55"/>
  <c r="H55"/>
  <c r="G55"/>
  <c r="F55"/>
  <c r="E55"/>
  <c r="D55"/>
  <c r="C55"/>
  <c r="B55"/>
  <c r="P54"/>
  <c r="N54"/>
  <c r="L54"/>
  <c r="K54"/>
  <c r="J54"/>
  <c r="I54"/>
  <c r="H54"/>
  <c r="G54"/>
  <c r="F54"/>
  <c r="E54"/>
  <c r="D54"/>
  <c r="C54"/>
  <c r="B54"/>
  <c r="P53"/>
  <c r="N53"/>
  <c r="L53"/>
  <c r="K53"/>
  <c r="J53"/>
  <c r="I53"/>
  <c r="H53"/>
  <c r="G53"/>
  <c r="F53"/>
  <c r="E53"/>
  <c r="D53"/>
  <c r="C53"/>
  <c r="B53"/>
  <c r="P52"/>
  <c r="N52"/>
  <c r="L52"/>
  <c r="K52"/>
  <c r="J52"/>
  <c r="I52"/>
  <c r="H52"/>
  <c r="G52"/>
  <c r="F52"/>
  <c r="E52"/>
  <c r="D52"/>
  <c r="C52"/>
  <c r="B52"/>
  <c r="P51"/>
  <c r="N51"/>
  <c r="L51"/>
  <c r="K51"/>
  <c r="J51"/>
  <c r="I51"/>
  <c r="H51"/>
  <c r="G51"/>
  <c r="F51"/>
  <c r="E51"/>
  <c r="D51"/>
  <c r="C51"/>
  <c r="B51"/>
  <c r="P50"/>
  <c r="N50"/>
  <c r="L50"/>
  <c r="K50"/>
  <c r="J50"/>
  <c r="I50"/>
  <c r="H50"/>
  <c r="G50"/>
  <c r="F50"/>
  <c r="E50"/>
  <c r="D50"/>
  <c r="C50"/>
  <c r="B50"/>
  <c r="P49"/>
  <c r="N49"/>
  <c r="L49"/>
  <c r="K49"/>
  <c r="J49"/>
  <c r="I49"/>
  <c r="H49"/>
  <c r="G49"/>
  <c r="F49"/>
  <c r="E49"/>
  <c r="D49"/>
  <c r="C49"/>
  <c r="B49"/>
  <c r="P48"/>
  <c r="N48"/>
  <c r="L48"/>
  <c r="K48"/>
  <c r="J48"/>
  <c r="I48"/>
  <c r="H48"/>
  <c r="G48"/>
  <c r="F48"/>
  <c r="E48"/>
  <c r="D48"/>
  <c r="C48"/>
  <c r="B48"/>
  <c r="P47"/>
  <c r="N47"/>
  <c r="L47"/>
  <c r="K47"/>
  <c r="J47"/>
  <c r="I47"/>
  <c r="H47"/>
  <c r="G47"/>
  <c r="F47"/>
  <c r="E47"/>
  <c r="D47"/>
  <c r="C47"/>
  <c r="B47"/>
  <c r="P46"/>
  <c r="N46"/>
  <c r="L46"/>
  <c r="K46"/>
  <c r="J46"/>
  <c r="I46"/>
  <c r="H46"/>
  <c r="G46"/>
  <c r="F46"/>
  <c r="E46"/>
  <c r="D46"/>
  <c r="C46"/>
  <c r="B46"/>
  <c r="P45"/>
  <c r="N45"/>
  <c r="L45"/>
  <c r="K45"/>
  <c r="J45"/>
  <c r="I45"/>
  <c r="H45"/>
  <c r="G45"/>
  <c r="F45"/>
  <c r="E45"/>
  <c r="D45"/>
  <c r="C45"/>
  <c r="B45"/>
  <c r="P44"/>
  <c r="N44"/>
  <c r="L44"/>
  <c r="K44"/>
  <c r="J44"/>
  <c r="I44"/>
  <c r="H44"/>
  <c r="G44"/>
  <c r="F44"/>
  <c r="E44"/>
  <c r="D44"/>
  <c r="C44"/>
  <c r="B44"/>
  <c r="A44"/>
  <c r="P43"/>
  <c r="N43"/>
  <c r="L43"/>
  <c r="K43"/>
  <c r="J43"/>
  <c r="I43"/>
  <c r="H43"/>
  <c r="G43"/>
  <c r="F43"/>
  <c r="E43"/>
  <c r="D43"/>
  <c r="C43"/>
  <c r="A43"/>
  <c r="P42"/>
  <c r="N42"/>
  <c r="L42"/>
  <c r="K42"/>
  <c r="J42"/>
  <c r="I42"/>
  <c r="H42"/>
  <c r="G42"/>
  <c r="F42"/>
  <c r="E42"/>
  <c r="D42"/>
  <c r="C42"/>
  <c r="P41"/>
  <c r="N41"/>
  <c r="L41"/>
  <c r="K41"/>
  <c r="J41"/>
  <c r="I41"/>
  <c r="H41"/>
  <c r="G41"/>
  <c r="F41"/>
  <c r="E41"/>
  <c r="D41"/>
  <c r="C41"/>
  <c r="P40"/>
  <c r="N40"/>
  <c r="L40"/>
  <c r="K40"/>
  <c r="J40"/>
  <c r="I40"/>
  <c r="H40"/>
  <c r="G40"/>
  <c r="F40"/>
  <c r="E40"/>
  <c r="D40"/>
  <c r="C40"/>
  <c r="B40"/>
  <c r="P39"/>
  <c r="N39"/>
  <c r="L39"/>
  <c r="K39"/>
  <c r="J39"/>
  <c r="I39"/>
  <c r="H39"/>
  <c r="G39"/>
  <c r="F39"/>
  <c r="E39"/>
  <c r="D39"/>
  <c r="C39"/>
  <c r="B39"/>
  <c r="P38"/>
  <c r="N38"/>
  <c r="L38"/>
  <c r="K38"/>
  <c r="J38"/>
  <c r="I38"/>
  <c r="H38"/>
  <c r="G38"/>
  <c r="F38"/>
  <c r="E38"/>
  <c r="D38"/>
  <c r="C38"/>
  <c r="B38"/>
  <c r="P37"/>
  <c r="N37"/>
  <c r="L37"/>
  <c r="K37"/>
  <c r="J37"/>
  <c r="I37"/>
  <c r="H37"/>
  <c r="G37"/>
  <c r="F37"/>
  <c r="E37"/>
  <c r="D37"/>
  <c r="C37"/>
  <c r="B37"/>
  <c r="A37"/>
  <c r="R36"/>
  <c r="C36"/>
  <c r="A36"/>
  <c r="P35"/>
  <c r="N35"/>
  <c r="L35"/>
  <c r="K35"/>
  <c r="J35"/>
  <c r="I35"/>
  <c r="H35"/>
  <c r="G35"/>
  <c r="F35"/>
  <c r="E35"/>
  <c r="D35"/>
  <c r="C35"/>
  <c r="B35"/>
  <c r="A35"/>
  <c r="P34"/>
  <c r="N34"/>
  <c r="L34"/>
  <c r="K34"/>
  <c r="J34"/>
  <c r="I34"/>
  <c r="H34"/>
  <c r="G34"/>
  <c r="F34"/>
  <c r="E34"/>
  <c r="D34"/>
  <c r="C34"/>
  <c r="B34"/>
  <c r="A34"/>
  <c r="P33"/>
  <c r="N33"/>
  <c r="L33"/>
  <c r="K33"/>
  <c r="J33"/>
  <c r="I33"/>
  <c r="H33"/>
  <c r="G33"/>
  <c r="F33"/>
  <c r="E33"/>
  <c r="D33"/>
  <c r="C33"/>
  <c r="B33"/>
  <c r="A33"/>
  <c r="R32"/>
  <c r="C32"/>
  <c r="A32"/>
  <c r="P31"/>
  <c r="N31"/>
  <c r="L31"/>
  <c r="K31"/>
  <c r="J31"/>
  <c r="I31"/>
  <c r="H31"/>
  <c r="G31"/>
  <c r="F31"/>
  <c r="E31"/>
  <c r="D31"/>
  <c r="C31"/>
  <c r="B31"/>
  <c r="P30"/>
  <c r="N30"/>
  <c r="L30"/>
  <c r="K30"/>
  <c r="J30"/>
  <c r="I30"/>
  <c r="H30"/>
  <c r="G30"/>
  <c r="F30"/>
  <c r="E30"/>
  <c r="D30"/>
  <c r="C30"/>
  <c r="B30"/>
  <c r="P29"/>
  <c r="N29"/>
  <c r="L29"/>
  <c r="K29"/>
  <c r="J29"/>
  <c r="I29"/>
  <c r="H29"/>
  <c r="G29"/>
  <c r="F29"/>
  <c r="E29"/>
  <c r="D29"/>
  <c r="C29"/>
  <c r="B29"/>
  <c r="P28"/>
  <c r="N28"/>
  <c r="L28"/>
  <c r="K28"/>
  <c r="J28"/>
  <c r="I28"/>
  <c r="H28"/>
  <c r="G28"/>
  <c r="F28"/>
  <c r="E28"/>
  <c r="D28"/>
  <c r="C28"/>
  <c r="B28"/>
  <c r="P27"/>
  <c r="N27"/>
  <c r="L27"/>
  <c r="K27"/>
  <c r="J27"/>
  <c r="I27"/>
  <c r="H27"/>
  <c r="G27"/>
  <c r="F27"/>
  <c r="E27"/>
  <c r="D27"/>
  <c r="C27"/>
  <c r="B27"/>
  <c r="P26"/>
  <c r="N26"/>
  <c r="L26"/>
  <c r="K26"/>
  <c r="J26"/>
  <c r="I26"/>
  <c r="H26"/>
  <c r="G26"/>
  <c r="F26"/>
  <c r="E26"/>
  <c r="D26"/>
  <c r="C26"/>
  <c r="B26"/>
  <c r="P25"/>
  <c r="N25"/>
  <c r="L25"/>
  <c r="K25"/>
  <c r="J25"/>
  <c r="I25"/>
  <c r="H25"/>
  <c r="G25"/>
  <c r="F25"/>
  <c r="E25"/>
  <c r="D25"/>
  <c r="C25"/>
  <c r="B25"/>
  <c r="P24"/>
  <c r="N24"/>
  <c r="L24"/>
  <c r="K24"/>
  <c r="J24"/>
  <c r="I24"/>
  <c r="H24"/>
  <c r="G24"/>
  <c r="F24"/>
  <c r="E24"/>
  <c r="D24"/>
  <c r="C24"/>
  <c r="B24"/>
  <c r="P23"/>
  <c r="N23"/>
  <c r="L23"/>
  <c r="K23"/>
  <c r="J23"/>
  <c r="I23"/>
  <c r="H23"/>
  <c r="G23"/>
  <c r="F23"/>
  <c r="E23"/>
  <c r="D23"/>
  <c r="C23"/>
  <c r="B23"/>
  <c r="P22"/>
  <c r="N22"/>
  <c r="L22"/>
  <c r="K22"/>
  <c r="J22"/>
  <c r="I22"/>
  <c r="H22"/>
  <c r="G22"/>
  <c r="F22"/>
  <c r="E22"/>
  <c r="D22"/>
  <c r="C22"/>
  <c r="B22"/>
  <c r="A22"/>
  <c r="P21"/>
  <c r="N21"/>
  <c r="L21"/>
  <c r="K21"/>
  <c r="J21"/>
  <c r="I21"/>
  <c r="H21"/>
  <c r="G21"/>
  <c r="F21"/>
  <c r="E21"/>
  <c r="D21"/>
  <c r="C21"/>
  <c r="B21"/>
  <c r="P20"/>
  <c r="N20"/>
  <c r="L20"/>
  <c r="K20"/>
  <c r="J20"/>
  <c r="I20"/>
  <c r="H20"/>
  <c r="G20"/>
  <c r="F20"/>
  <c r="E20"/>
  <c r="D20"/>
  <c r="C20"/>
  <c r="B20"/>
  <c r="P19"/>
  <c r="N19"/>
  <c r="L19"/>
  <c r="K19"/>
  <c r="J19"/>
  <c r="I19"/>
  <c r="H19"/>
  <c r="G19"/>
  <c r="F19"/>
  <c r="E19"/>
  <c r="D19"/>
  <c r="C19"/>
  <c r="B19"/>
  <c r="P18"/>
  <c r="N18"/>
  <c r="L18"/>
  <c r="K18"/>
  <c r="J18"/>
  <c r="I18"/>
  <c r="H18"/>
  <c r="G18"/>
  <c r="F18"/>
  <c r="E18"/>
  <c r="D18"/>
  <c r="C18"/>
  <c r="B18"/>
  <c r="P17"/>
  <c r="N17"/>
  <c r="L17"/>
  <c r="K17"/>
  <c r="J17"/>
  <c r="I17"/>
  <c r="H17"/>
  <c r="G17"/>
  <c r="F17"/>
  <c r="E17"/>
  <c r="D17"/>
  <c r="C17"/>
  <c r="B17"/>
  <c r="P16"/>
  <c r="N16"/>
  <c r="L16"/>
  <c r="K16"/>
  <c r="J16"/>
  <c r="I16"/>
  <c r="H16"/>
  <c r="G16"/>
  <c r="F16"/>
  <c r="E16"/>
  <c r="D16"/>
  <c r="C16"/>
  <c r="B16"/>
  <c r="P15"/>
  <c r="N15"/>
  <c r="L15"/>
  <c r="K15"/>
  <c r="J15"/>
  <c r="I15"/>
  <c r="H15"/>
  <c r="G15"/>
  <c r="F15"/>
  <c r="E15"/>
  <c r="D15"/>
  <c r="C15"/>
  <c r="B15"/>
  <c r="A15"/>
  <c r="R14"/>
  <c r="C14"/>
  <c r="A14"/>
  <c r="P13"/>
  <c r="N13"/>
  <c r="L13"/>
  <c r="K13"/>
  <c r="J13"/>
  <c r="I13"/>
  <c r="H13"/>
  <c r="G13"/>
  <c r="F13"/>
  <c r="E13"/>
  <c r="D13"/>
  <c r="C13"/>
  <c r="B13"/>
  <c r="A13"/>
  <c r="P12"/>
  <c r="N12"/>
  <c r="L12"/>
  <c r="K12"/>
  <c r="J12"/>
  <c r="I12"/>
  <c r="H12"/>
  <c r="G12"/>
  <c r="F12"/>
  <c r="E12"/>
  <c r="D12"/>
  <c r="C12"/>
  <c r="B12"/>
  <c r="A12"/>
  <c r="R11"/>
  <c r="C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C2"/>
  <c r="A2"/>
  <c r="M32" i="10"/>
  <c r="O32" s="1"/>
  <c r="R31"/>
  <c r="Q31"/>
  <c r="M31"/>
  <c r="M37" i="68" s="1"/>
  <c r="R30" i="10"/>
  <c r="Q30"/>
  <c r="M30"/>
  <c r="M50" i="41" s="1"/>
  <c r="R29" i="10"/>
  <c r="Q29"/>
  <c r="M29"/>
  <c r="M49" i="41" s="1"/>
  <c r="R27" i="10"/>
  <c r="AJ3" s="1"/>
  <c r="AB39" i="76" s="1"/>
  <c r="Q27" i="10"/>
  <c r="M27"/>
  <c r="O27" s="1"/>
  <c r="R26"/>
  <c r="Q26"/>
  <c r="M26"/>
  <c r="O26" s="1"/>
  <c r="O431" i="38" s="1"/>
  <c r="R25" i="10"/>
  <c r="Q25"/>
  <c r="M25"/>
  <c r="O25" s="1"/>
  <c r="O430" i="38" s="1"/>
  <c r="R24" i="10"/>
  <c r="Q24"/>
  <c r="M24"/>
  <c r="O24" s="1"/>
  <c r="O429" i="38" s="1"/>
  <c r="R23" i="10"/>
  <c r="Q23"/>
  <c r="M23"/>
  <c r="O23" s="1"/>
  <c r="O428" i="38" s="1"/>
  <c r="R22" i="10"/>
  <c r="Q22"/>
  <c r="M22"/>
  <c r="O22" s="1"/>
  <c r="O427" i="38" s="1"/>
  <c r="R21" i="10"/>
  <c r="Q21"/>
  <c r="M21"/>
  <c r="O21" s="1"/>
  <c r="R20"/>
  <c r="R19"/>
  <c r="Q19"/>
  <c r="M19"/>
  <c r="O19" s="1"/>
  <c r="O284" i="38" s="1"/>
  <c r="O283" s="1"/>
  <c r="R18" i="10"/>
  <c r="Q18"/>
  <c r="M18"/>
  <c r="M19" i="61" s="1"/>
  <c r="M17" i="10"/>
  <c r="O17" s="1"/>
  <c r="M15"/>
  <c r="O15" s="1"/>
  <c r="M14"/>
  <c r="O14" s="1"/>
  <c r="M13"/>
  <c r="O13" s="1"/>
  <c r="M12"/>
  <c r="O12" s="1"/>
  <c r="R11"/>
  <c r="Q11"/>
  <c r="M11"/>
  <c r="M48" i="41" s="1"/>
  <c r="M10" i="10"/>
  <c r="O10" s="1"/>
  <c r="R9"/>
  <c r="R8" s="1"/>
  <c r="L49" i="1" s="1"/>
  <c r="B4" i="10"/>
  <c r="AM3"/>
  <c r="AH3"/>
  <c r="AE3"/>
  <c r="AA3"/>
  <c r="AB30" i="76" s="1"/>
  <c r="J28" i="80" s="1"/>
  <c r="B3" i="10"/>
  <c r="B2"/>
  <c r="A2"/>
  <c r="M35" i="9"/>
  <c r="O35" s="1"/>
  <c r="R34"/>
  <c r="R32" s="1"/>
  <c r="Q34"/>
  <c r="M34"/>
  <c r="M424" i="38" s="1"/>
  <c r="M33" i="9"/>
  <c r="O33" s="1"/>
  <c r="M31"/>
  <c r="O31" s="1"/>
  <c r="M30"/>
  <c r="O30" s="1"/>
  <c r="M29"/>
  <c r="O29" s="1"/>
  <c r="M28"/>
  <c r="O28" s="1"/>
  <c r="M27"/>
  <c r="O27" s="1"/>
  <c r="M26"/>
  <c r="O26" s="1"/>
  <c r="M25"/>
  <c r="O25" s="1"/>
  <c r="O24" s="1"/>
  <c r="R24"/>
  <c r="M23"/>
  <c r="O23" s="1"/>
  <c r="M22"/>
  <c r="O22" s="1"/>
  <c r="R21"/>
  <c r="L46" i="1" s="1"/>
  <c r="M20" i="9"/>
  <c r="O20" s="1"/>
  <c r="M19"/>
  <c r="O19" s="1"/>
  <c r="M18"/>
  <c r="O18" s="1"/>
  <c r="M17"/>
  <c r="O17" s="1"/>
  <c r="M16"/>
  <c r="O16" s="1"/>
  <c r="M15"/>
  <c r="O15" s="1"/>
  <c r="M14"/>
  <c r="O14" s="1"/>
  <c r="M13"/>
  <c r="O13" s="1"/>
  <c r="M12"/>
  <c r="O12" s="1"/>
  <c r="M11"/>
  <c r="O11" s="1"/>
  <c r="M10"/>
  <c r="O10" s="1"/>
  <c r="R9"/>
  <c r="R8" s="1"/>
  <c r="L45" i="1" s="1"/>
  <c r="B4" i="9"/>
  <c r="AH3"/>
  <c r="T37" i="76" s="1"/>
  <c r="U3" i="9"/>
  <c r="B3"/>
  <c r="B2"/>
  <c r="A2"/>
  <c r="S109" i="13"/>
  <c r="R109"/>
  <c r="N109"/>
  <c r="M12" i="34" s="1"/>
  <c r="N108" i="13"/>
  <c r="S107"/>
  <c r="R107"/>
  <c r="N107"/>
  <c r="S106"/>
  <c r="R106"/>
  <c r="N106"/>
  <c r="P106" s="1"/>
  <c r="O18" i="44" s="1"/>
  <c r="O17" s="1"/>
  <c r="S105" i="13"/>
  <c r="R105"/>
  <c r="N105"/>
  <c r="P105" s="1"/>
  <c r="O41" i="84" s="1"/>
  <c r="AZ4" s="1"/>
  <c r="Q56" i="76" s="1"/>
  <c r="S104" i="13"/>
  <c r="R104"/>
  <c r="N104"/>
  <c r="P104" s="1"/>
  <c r="S103"/>
  <c r="R103"/>
  <c r="N103"/>
  <c r="S102"/>
  <c r="R102"/>
  <c r="N102"/>
  <c r="P102" s="1"/>
  <c r="O55" i="24" s="1"/>
  <c r="S101" i="13"/>
  <c r="R101"/>
  <c r="N101"/>
  <c r="S100"/>
  <c r="R100"/>
  <c r="N100"/>
  <c r="S99"/>
  <c r="R99"/>
  <c r="N99"/>
  <c r="P99" s="1"/>
  <c r="S98"/>
  <c r="R38" i="84" s="1"/>
  <c r="S97" i="13"/>
  <c r="R97"/>
  <c r="N97"/>
  <c r="P97" s="1"/>
  <c r="O27" i="32" s="1"/>
  <c r="S96" i="13"/>
  <c r="R96"/>
  <c r="N96"/>
  <c r="P96" s="1"/>
  <c r="S95"/>
  <c r="S94"/>
  <c r="R94"/>
  <c r="N94"/>
  <c r="S93"/>
  <c r="R93"/>
  <c r="N93"/>
  <c r="P93" s="1"/>
  <c r="S92"/>
  <c r="R92"/>
  <c r="N92"/>
  <c r="N90"/>
  <c r="P90" s="1"/>
  <c r="O32" i="84" s="1"/>
  <c r="S89" i="13"/>
  <c r="R89"/>
  <c r="N89"/>
  <c r="M14" i="70" s="1"/>
  <c r="N88" i="13"/>
  <c r="S87"/>
  <c r="R87"/>
  <c r="N87"/>
  <c r="S86"/>
  <c r="S84" s="1"/>
  <c r="R28" i="84" s="1"/>
  <c r="AL3" s="1"/>
  <c r="R41" i="76" s="1"/>
  <c r="R86" i="13"/>
  <c r="N86"/>
  <c r="S85"/>
  <c r="R85"/>
  <c r="N85"/>
  <c r="S83"/>
  <c r="S82" s="1"/>
  <c r="R27" i="84" s="1"/>
  <c r="AK3" s="1"/>
  <c r="R40" i="76" s="1"/>
  <c r="R83" i="13"/>
  <c r="N83"/>
  <c r="M32" i="20" s="1"/>
  <c r="S81" i="13"/>
  <c r="R81"/>
  <c r="N81"/>
  <c r="S80"/>
  <c r="R80"/>
  <c r="N80"/>
  <c r="P80" s="1"/>
  <c r="O101" i="30" s="1"/>
  <c r="S79" i="13"/>
  <c r="R79"/>
  <c r="N79"/>
  <c r="S78"/>
  <c r="S77" s="1"/>
  <c r="R26" i="84" s="1"/>
  <c r="AJ3" s="1"/>
  <c r="R39" i="76" s="1"/>
  <c r="R78" i="13"/>
  <c r="N78"/>
  <c r="N75"/>
  <c r="P75" s="1"/>
  <c r="P74"/>
  <c r="O23" i="84" s="1"/>
  <c r="N74" i="13"/>
  <c r="N73"/>
  <c r="P73" s="1"/>
  <c r="S72"/>
  <c r="R72"/>
  <c r="N72"/>
  <c r="P72" s="1"/>
  <c r="S71"/>
  <c r="R71"/>
  <c r="N71"/>
  <c r="S70"/>
  <c r="R70"/>
  <c r="N70"/>
  <c r="P70" s="1"/>
  <c r="O16" i="61" s="1"/>
  <c r="S69" i="13"/>
  <c r="R69"/>
  <c r="N69"/>
  <c r="P69" s="1"/>
  <c r="O15" i="61" s="1"/>
  <c r="S68" i="13"/>
  <c r="R68"/>
  <c r="N68"/>
  <c r="S67"/>
  <c r="R20" i="84" s="1"/>
  <c r="S66" i="13"/>
  <c r="R66"/>
  <c r="N66"/>
  <c r="M28" i="45" s="1"/>
  <c r="S65" i="13"/>
  <c r="R65"/>
  <c r="N65"/>
  <c r="M27" i="45" s="1"/>
  <c r="S64" i="13"/>
  <c r="S63"/>
  <c r="R63"/>
  <c r="N63"/>
  <c r="P63" s="1"/>
  <c r="O102" i="27" s="1"/>
  <c r="S62" i="13"/>
  <c r="R62"/>
  <c r="N62"/>
  <c r="S61"/>
  <c r="R61"/>
  <c r="N61"/>
  <c r="P61" s="1"/>
  <c r="O100" i="27" s="1"/>
  <c r="S60" i="13"/>
  <c r="R60"/>
  <c r="N60"/>
  <c r="S59"/>
  <c r="R59"/>
  <c r="N59"/>
  <c r="P59" s="1"/>
  <c r="S58"/>
  <c r="R18" i="84" s="1"/>
  <c r="N57" i="13"/>
  <c r="P57" s="1"/>
  <c r="N56"/>
  <c r="P56" s="1"/>
  <c r="S55"/>
  <c r="S53"/>
  <c r="R53"/>
  <c r="N53"/>
  <c r="P53" s="1"/>
  <c r="O389" i="38" s="1"/>
  <c r="S52" i="13"/>
  <c r="R52"/>
  <c r="N52"/>
  <c r="P52" s="1"/>
  <c r="S51"/>
  <c r="R51"/>
  <c r="N51"/>
  <c r="P51" s="1"/>
  <c r="S50"/>
  <c r="R15" i="84" s="1"/>
  <c r="K3" s="1"/>
  <c r="R13" i="76" s="1"/>
  <c r="S49" i="13"/>
  <c r="R49"/>
  <c r="N49"/>
  <c r="P49" s="1"/>
  <c r="O422" i="38" s="1"/>
  <c r="S48" i="13"/>
  <c r="R48"/>
  <c r="N48"/>
  <c r="P48" s="1"/>
  <c r="S47"/>
  <c r="S46"/>
  <c r="R46"/>
  <c r="N46"/>
  <c r="P46" s="1"/>
  <c r="O376" i="38" s="1"/>
  <c r="S45" i="13"/>
  <c r="R45"/>
  <c r="N45"/>
  <c r="P45" s="1"/>
  <c r="S44"/>
  <c r="R44"/>
  <c r="N44"/>
  <c r="P44" s="1"/>
  <c r="S43"/>
  <c r="R43"/>
  <c r="N43"/>
  <c r="P43" s="1"/>
  <c r="O373" i="38" s="1"/>
  <c r="S42" i="13"/>
  <c r="R42"/>
  <c r="N42"/>
  <c r="P42" s="1"/>
  <c r="O372" i="38" s="1"/>
  <c r="S41" i="13"/>
  <c r="R41"/>
  <c r="N41"/>
  <c r="P41" s="1"/>
  <c r="S40"/>
  <c r="R13" i="84" s="1"/>
  <c r="S39" i="13"/>
  <c r="R39"/>
  <c r="N39"/>
  <c r="P39" s="1"/>
  <c r="O340" i="38" s="1"/>
  <c r="S38" i="13"/>
  <c r="R38"/>
  <c r="N38"/>
  <c r="P38" s="1"/>
  <c r="O339" i="38" s="1"/>
  <c r="S37" i="13"/>
  <c r="R37"/>
  <c r="N37"/>
  <c r="M338" i="38" s="1"/>
  <c r="S36" i="13"/>
  <c r="R36"/>
  <c r="N36"/>
  <c r="P36" s="1"/>
  <c r="O337" i="38" s="1"/>
  <c r="S35" i="13"/>
  <c r="R35"/>
  <c r="N35"/>
  <c r="P35" s="1"/>
  <c r="O336" i="38" s="1"/>
  <c r="S34" i="13"/>
  <c r="R34"/>
  <c r="N34"/>
  <c r="P34" s="1"/>
  <c r="O335" i="38" s="1"/>
  <c r="S33" i="13"/>
  <c r="R12" i="84" s="1"/>
  <c r="I3" s="1"/>
  <c r="R11" i="76" s="1"/>
  <c r="S32" i="13"/>
  <c r="R32"/>
  <c r="N32"/>
  <c r="P32" s="1"/>
  <c r="O282" i="38" s="1"/>
  <c r="S31" i="13"/>
  <c r="R31"/>
  <c r="N31"/>
  <c r="P31" s="1"/>
  <c r="S30"/>
  <c r="R30"/>
  <c r="N30"/>
  <c r="P30" s="1"/>
  <c r="S29"/>
  <c r="R29"/>
  <c r="N29"/>
  <c r="P29" s="1"/>
  <c r="S28"/>
  <c r="S27" s="1"/>
  <c r="R11" i="84" s="1"/>
  <c r="H3" s="1"/>
  <c r="R10" i="76" s="1"/>
  <c r="R28" i="13"/>
  <c r="N28"/>
  <c r="P28" s="1"/>
  <c r="S26"/>
  <c r="R26"/>
  <c r="N26"/>
  <c r="P26" s="1"/>
  <c r="O195" i="38" s="1"/>
  <c r="S25" i="13"/>
  <c r="R25"/>
  <c r="N25"/>
  <c r="P25" s="1"/>
  <c r="O194" i="38" s="1"/>
  <c r="S24" i="13"/>
  <c r="R24"/>
  <c r="N24"/>
  <c r="P24" s="1"/>
  <c r="O193" i="38" s="1"/>
  <c r="S23" i="13"/>
  <c r="R23"/>
  <c r="N23"/>
  <c r="P23" s="1"/>
  <c r="O192" i="38" s="1"/>
  <c r="S22" i="13"/>
  <c r="R22"/>
  <c r="N22"/>
  <c r="P22" s="1"/>
  <c r="O191" i="38" s="1"/>
  <c r="S21" i="13"/>
  <c r="R21"/>
  <c r="N21"/>
  <c r="P21" s="1"/>
  <c r="O190" i="38" s="1"/>
  <c r="S20" i="13"/>
  <c r="R20"/>
  <c r="N20"/>
  <c r="P20" s="1"/>
  <c r="O189" i="38" s="1"/>
  <c r="S19" i="13"/>
  <c r="R19"/>
  <c r="N19"/>
  <c r="P19" s="1"/>
  <c r="O188" i="38" s="1"/>
  <c r="S18" i="13"/>
  <c r="R18"/>
  <c r="N18"/>
  <c r="P18" s="1"/>
  <c r="O187" i="38" s="1"/>
  <c r="S17" i="13"/>
  <c r="R17"/>
  <c r="N17"/>
  <c r="P17" s="1"/>
  <c r="O186" i="38" s="1"/>
  <c r="S16" i="13"/>
  <c r="R16"/>
  <c r="N16"/>
  <c r="P16" s="1"/>
  <c r="O185" i="38" s="1"/>
  <c r="S15" i="13"/>
  <c r="R15"/>
  <c r="N15"/>
  <c r="P15" s="1"/>
  <c r="O184" i="38" s="1"/>
  <c r="S14" i="13"/>
  <c r="R14"/>
  <c r="N14"/>
  <c r="P14" s="1"/>
  <c r="O183" i="38" s="1"/>
  <c r="S13" i="13"/>
  <c r="R13"/>
  <c r="N13"/>
  <c r="P13" s="1"/>
  <c r="O182" i="38" s="1"/>
  <c r="S12" i="13"/>
  <c r="R10" i="84" s="1"/>
  <c r="G3" s="1"/>
  <c r="R9" i="76" s="1"/>
  <c r="S11" i="13"/>
  <c r="R11"/>
  <c r="N11"/>
  <c r="S10"/>
  <c r="R10"/>
  <c r="N10"/>
  <c r="P10" s="1"/>
  <c r="O181" i="38" s="1"/>
  <c r="S9" i="13"/>
  <c r="R9"/>
  <c r="N9"/>
  <c r="S8"/>
  <c r="R8"/>
  <c r="N8"/>
  <c r="S7"/>
  <c r="R7"/>
  <c r="N7"/>
  <c r="S6"/>
  <c r="R9" i="84" s="1"/>
  <c r="F3" s="1"/>
  <c r="R8" i="76" s="1"/>
  <c r="D2" i="13"/>
  <c r="C2"/>
  <c r="B2"/>
  <c r="A2"/>
  <c r="P35" i="32"/>
  <c r="N35"/>
  <c r="M35"/>
  <c r="L35"/>
  <c r="K35"/>
  <c r="J35"/>
  <c r="I35"/>
  <c r="H35"/>
  <c r="G35"/>
  <c r="F35"/>
  <c r="E35"/>
  <c r="D35"/>
  <c r="C35"/>
  <c r="B35"/>
  <c r="A35"/>
  <c r="P34"/>
  <c r="N34"/>
  <c r="M34"/>
  <c r="L34"/>
  <c r="K34"/>
  <c r="J34"/>
  <c r="I34"/>
  <c r="H34"/>
  <c r="G34"/>
  <c r="F34"/>
  <c r="E34"/>
  <c r="D34"/>
  <c r="C34"/>
  <c r="B34"/>
  <c r="A34"/>
  <c r="P33"/>
  <c r="N33"/>
  <c r="L33"/>
  <c r="K33"/>
  <c r="J33"/>
  <c r="I33"/>
  <c r="H33"/>
  <c r="G33"/>
  <c r="F33"/>
  <c r="E33"/>
  <c r="D33"/>
  <c r="C33"/>
  <c r="B33"/>
  <c r="A33"/>
  <c r="P32"/>
  <c r="N32"/>
  <c r="L32"/>
  <c r="K32"/>
  <c r="J32"/>
  <c r="I32"/>
  <c r="H32"/>
  <c r="G32"/>
  <c r="F32"/>
  <c r="E32"/>
  <c r="D32"/>
  <c r="C32"/>
  <c r="B32"/>
  <c r="A32"/>
  <c r="P31"/>
  <c r="N31"/>
  <c r="M31"/>
  <c r="L31"/>
  <c r="K31"/>
  <c r="J31"/>
  <c r="I31"/>
  <c r="H31"/>
  <c r="G31"/>
  <c r="F31"/>
  <c r="E31"/>
  <c r="D31"/>
  <c r="C31"/>
  <c r="B31"/>
  <c r="A31"/>
  <c r="P30"/>
  <c r="N30"/>
  <c r="M30"/>
  <c r="L30"/>
  <c r="K30"/>
  <c r="J30"/>
  <c r="I30"/>
  <c r="H30"/>
  <c r="G30"/>
  <c r="F30"/>
  <c r="E30"/>
  <c r="D30"/>
  <c r="C30"/>
  <c r="B30"/>
  <c r="A30"/>
  <c r="P29"/>
  <c r="N29"/>
  <c r="M29"/>
  <c r="L29"/>
  <c r="K29"/>
  <c r="J29"/>
  <c r="I29"/>
  <c r="H29"/>
  <c r="G29"/>
  <c r="F29"/>
  <c r="E29"/>
  <c r="D29"/>
  <c r="C29"/>
  <c r="B29"/>
  <c r="A29"/>
  <c r="R28"/>
  <c r="C28"/>
  <c r="B28"/>
  <c r="A28"/>
  <c r="P27"/>
  <c r="N27"/>
  <c r="M27"/>
  <c r="L27"/>
  <c r="K27"/>
  <c r="J27"/>
  <c r="I27"/>
  <c r="H27"/>
  <c r="G27"/>
  <c r="F27"/>
  <c r="E27"/>
  <c r="D27"/>
  <c r="C27"/>
  <c r="P26"/>
  <c r="N26"/>
  <c r="M26"/>
  <c r="L26"/>
  <c r="K26"/>
  <c r="J26"/>
  <c r="I26"/>
  <c r="H26"/>
  <c r="G26"/>
  <c r="F26"/>
  <c r="E26"/>
  <c r="D26"/>
  <c r="C26"/>
  <c r="B26"/>
  <c r="A26"/>
  <c r="R25"/>
  <c r="C25"/>
  <c r="A25"/>
  <c r="P24"/>
  <c r="N24"/>
  <c r="L24"/>
  <c r="K24"/>
  <c r="J24"/>
  <c r="I24"/>
  <c r="H24"/>
  <c r="G24"/>
  <c r="F24"/>
  <c r="E24"/>
  <c r="D24"/>
  <c r="C24"/>
  <c r="B24"/>
  <c r="A24"/>
  <c r="R23"/>
  <c r="C23"/>
  <c r="A23"/>
  <c r="P22"/>
  <c r="N22"/>
  <c r="L22"/>
  <c r="K22"/>
  <c r="J22"/>
  <c r="I22"/>
  <c r="H22"/>
  <c r="G22"/>
  <c r="F22"/>
  <c r="E22"/>
  <c r="D22"/>
  <c r="C22"/>
  <c r="B22"/>
  <c r="A22"/>
  <c r="P21"/>
  <c r="N21"/>
  <c r="L21"/>
  <c r="K21"/>
  <c r="J21"/>
  <c r="I21"/>
  <c r="H21"/>
  <c r="G21"/>
  <c r="F21"/>
  <c r="E21"/>
  <c r="D21"/>
  <c r="C21"/>
  <c r="B21"/>
  <c r="A21"/>
  <c r="R20"/>
  <c r="C20"/>
  <c r="A20"/>
  <c r="P19"/>
  <c r="N19"/>
  <c r="L19"/>
  <c r="K19"/>
  <c r="J19"/>
  <c r="I19"/>
  <c r="H19"/>
  <c r="G19"/>
  <c r="F19"/>
  <c r="E19"/>
  <c r="D19"/>
  <c r="C19"/>
  <c r="B19"/>
  <c r="P18"/>
  <c r="N18"/>
  <c r="L18"/>
  <c r="K18"/>
  <c r="J18"/>
  <c r="I18"/>
  <c r="H18"/>
  <c r="G18"/>
  <c r="F18"/>
  <c r="E18"/>
  <c r="D18"/>
  <c r="C18"/>
  <c r="B18"/>
  <c r="A18"/>
  <c r="R17"/>
  <c r="C17"/>
  <c r="A17"/>
  <c r="P16"/>
  <c r="N16"/>
  <c r="L16"/>
  <c r="K16"/>
  <c r="J16"/>
  <c r="I16"/>
  <c r="H16"/>
  <c r="G16"/>
  <c r="F16"/>
  <c r="E16"/>
  <c r="D16"/>
  <c r="C16"/>
  <c r="B16"/>
  <c r="P15"/>
  <c r="N15"/>
  <c r="L15"/>
  <c r="K15"/>
  <c r="J15"/>
  <c r="I15"/>
  <c r="H15"/>
  <c r="G15"/>
  <c r="F15"/>
  <c r="E15"/>
  <c r="D15"/>
  <c r="C15"/>
  <c r="B15"/>
  <c r="A15"/>
  <c r="P14"/>
  <c r="N14"/>
  <c r="L14"/>
  <c r="K14"/>
  <c r="J14"/>
  <c r="I14"/>
  <c r="H14"/>
  <c r="G14"/>
  <c r="F14"/>
  <c r="E14"/>
  <c r="D14"/>
  <c r="C14"/>
  <c r="B14"/>
  <c r="P13"/>
  <c r="N13"/>
  <c r="L13"/>
  <c r="K13"/>
  <c r="J13"/>
  <c r="I13"/>
  <c r="H13"/>
  <c r="G13"/>
  <c r="F13"/>
  <c r="E13"/>
  <c r="D13"/>
  <c r="C13"/>
  <c r="B13"/>
  <c r="P12"/>
  <c r="N12"/>
  <c r="L12"/>
  <c r="K12"/>
  <c r="J12"/>
  <c r="I12"/>
  <c r="H12"/>
  <c r="G12"/>
  <c r="F12"/>
  <c r="E12"/>
  <c r="D12"/>
  <c r="C12"/>
  <c r="B12"/>
  <c r="A12"/>
  <c r="R11"/>
  <c r="C11"/>
  <c r="A11"/>
  <c r="P10"/>
  <c r="N10"/>
  <c r="L10"/>
  <c r="K10"/>
  <c r="J10"/>
  <c r="I10"/>
  <c r="H10"/>
  <c r="G10"/>
  <c r="F10"/>
  <c r="E10"/>
  <c r="D10"/>
  <c r="C10"/>
  <c r="B10"/>
  <c r="A10"/>
  <c r="R9"/>
  <c r="C9"/>
  <c r="A9"/>
  <c r="P8"/>
  <c r="N8"/>
  <c r="L8"/>
  <c r="K8"/>
  <c r="J8"/>
  <c r="I8"/>
  <c r="H8"/>
  <c r="G8"/>
  <c r="F8"/>
  <c r="E8"/>
  <c r="D8"/>
  <c r="C8"/>
  <c r="B8"/>
  <c r="A8"/>
  <c r="P7"/>
  <c r="N7"/>
  <c r="L7"/>
  <c r="K7"/>
  <c r="J7"/>
  <c r="I7"/>
  <c r="H7"/>
  <c r="G7"/>
  <c r="F7"/>
  <c r="E7"/>
  <c r="D7"/>
  <c r="C7"/>
  <c r="B7"/>
  <c r="A7"/>
  <c r="R6"/>
  <c r="C6"/>
  <c r="A6"/>
  <c r="F3"/>
  <c r="C3"/>
  <c r="F2"/>
  <c r="C2"/>
  <c r="B2"/>
  <c r="A2"/>
  <c r="R45" i="84"/>
  <c r="R44"/>
  <c r="R43"/>
  <c r="AW3" s="1"/>
  <c r="R53" i="76" s="1"/>
  <c r="R42" i="84"/>
  <c r="R41"/>
  <c r="AZ3" s="1"/>
  <c r="R56" i="76" s="1"/>
  <c r="R40" i="84"/>
  <c r="O40"/>
  <c r="AV4" s="1"/>
  <c r="Q52" i="76" s="1"/>
  <c r="R39" i="84"/>
  <c r="R37"/>
  <c r="AS3" s="1"/>
  <c r="R49" i="76" s="1"/>
  <c r="R36" i="84"/>
  <c r="R35"/>
  <c r="R33" s="1"/>
  <c r="R34"/>
  <c r="R32"/>
  <c r="AO3" s="1"/>
  <c r="R44" i="76" s="1"/>
  <c r="R31" i="84"/>
  <c r="AN3" s="1"/>
  <c r="R43" i="76" s="1"/>
  <c r="R30" i="84"/>
  <c r="AI3" s="1"/>
  <c r="R38" i="76" s="1"/>
  <c r="R29" i="84"/>
  <c r="AM3" s="1"/>
  <c r="R42" i="76" s="1"/>
  <c r="R24" i="84"/>
  <c r="O24"/>
  <c r="R23"/>
  <c r="R22"/>
  <c r="O22"/>
  <c r="R21"/>
  <c r="R19"/>
  <c r="AF3" s="1"/>
  <c r="R35" i="76" s="1"/>
  <c r="R17" i="84"/>
  <c r="U4"/>
  <c r="Q24" i="76" s="1"/>
  <c r="B4" i="84"/>
  <c r="BA3"/>
  <c r="R57" i="76" s="1"/>
  <c r="AY3" i="84"/>
  <c r="R55" i="76" s="1"/>
  <c r="AX3" i="84"/>
  <c r="AV3"/>
  <c r="R52" i="76" s="1"/>
  <c r="AU3" i="84"/>
  <c r="R51" i="76" s="1"/>
  <c r="AT3" i="84"/>
  <c r="R50" i="76" s="1"/>
  <c r="AR3" i="84"/>
  <c r="R48" i="76" s="1"/>
  <c r="AQ3" i="84"/>
  <c r="R47" i="76" s="1"/>
  <c r="AP3" i="84"/>
  <c r="R46" i="76" s="1"/>
  <c r="AH3" i="84"/>
  <c r="R37" i="76" s="1"/>
  <c r="AE3" i="84"/>
  <c r="R34" i="76" s="1"/>
  <c r="U3" i="84"/>
  <c r="R24" i="76" s="1"/>
  <c r="P3" i="84"/>
  <c r="R19" i="76" s="1"/>
  <c r="O3" i="84"/>
  <c r="R18" i="76" s="1"/>
  <c r="B3" i="84"/>
  <c r="B2"/>
  <c r="A2"/>
  <c r="S106" i="12"/>
  <c r="R106"/>
  <c r="N106"/>
  <c r="P106" s="1"/>
  <c r="O16" i="44" s="1"/>
  <c r="S105" i="12"/>
  <c r="R105"/>
  <c r="N105"/>
  <c r="M15" i="44" s="1"/>
  <c r="S104" i="12"/>
  <c r="R42" i="85" s="1"/>
  <c r="S103" i="12"/>
  <c r="R103"/>
  <c r="N103"/>
  <c r="M19" i="26" s="1"/>
  <c r="S102" i="12"/>
  <c r="R102"/>
  <c r="N102"/>
  <c r="M18" i="26" s="1"/>
  <c r="S101" i="12"/>
  <c r="R101"/>
  <c r="N101"/>
  <c r="M17" i="26" s="1"/>
  <c r="S100" i="12"/>
  <c r="R41" i="85" s="1"/>
  <c r="AX3" s="1"/>
  <c r="P54" i="76" s="1"/>
  <c r="S99" i="12"/>
  <c r="R99"/>
  <c r="N99"/>
  <c r="P99" s="1"/>
  <c r="O16" i="43" s="1"/>
  <c r="S98" i="12"/>
  <c r="R98"/>
  <c r="N98"/>
  <c r="P98" s="1"/>
  <c r="S97"/>
  <c r="R40" i="85" s="1"/>
  <c r="AZ3" s="1"/>
  <c r="P56" i="76" s="1"/>
  <c r="S96" i="12"/>
  <c r="R96"/>
  <c r="N96"/>
  <c r="M19" i="53" s="1"/>
  <c r="S95" i="12"/>
  <c r="R95"/>
  <c r="N95"/>
  <c r="M16" i="71" s="1"/>
  <c r="S94" i="12"/>
  <c r="R94"/>
  <c r="N94"/>
  <c r="M13" i="33" s="1"/>
  <c r="S93" i="12"/>
  <c r="R93"/>
  <c r="N93"/>
  <c r="M50" i="24" s="1"/>
  <c r="S92" i="12"/>
  <c r="R92"/>
  <c r="N92"/>
  <c r="M49" i="24" s="1"/>
  <c r="S91" i="12"/>
  <c r="R91"/>
  <c r="N91"/>
  <c r="M48" i="24" s="1"/>
  <c r="S90" i="12"/>
  <c r="R90"/>
  <c r="N90"/>
  <c r="M47" i="24" s="1"/>
  <c r="S89" i="12"/>
  <c r="R36" i="85" s="1"/>
  <c r="AT3" s="1"/>
  <c r="S88" i="12"/>
  <c r="R88"/>
  <c r="N88"/>
  <c r="M24" i="32" s="1"/>
  <c r="S87" i="12"/>
  <c r="R35" i="85" s="1"/>
  <c r="AS3" s="1"/>
  <c r="P49" i="76" s="1"/>
  <c r="S86" i="12"/>
  <c r="R86"/>
  <c r="N86"/>
  <c r="M29" i="42" s="1"/>
  <c r="S85" i="12"/>
  <c r="R85"/>
  <c r="N85"/>
  <c r="M28" i="42" s="1"/>
  <c r="S84" i="12"/>
  <c r="R34" i="85" s="1"/>
  <c r="AR3" s="1"/>
  <c r="P48" i="76" s="1"/>
  <c r="S83" i="12"/>
  <c r="R83"/>
  <c r="N83"/>
  <c r="M24" i="23" s="1"/>
  <c r="S82" i="12"/>
  <c r="R82"/>
  <c r="N82"/>
  <c r="M23" i="23" s="1"/>
  <c r="S81" i="12"/>
  <c r="R81"/>
  <c r="N81"/>
  <c r="P81" s="1"/>
  <c r="O22" i="23" s="1"/>
  <c r="S80" i="12"/>
  <c r="R33" i="85" s="1"/>
  <c r="AQ3" s="1"/>
  <c r="P47" i="76" s="1"/>
  <c r="S79" i="12"/>
  <c r="R79"/>
  <c r="N79"/>
  <c r="M29" i="31" s="1"/>
  <c r="S78" i="12"/>
  <c r="R78"/>
  <c r="N78"/>
  <c r="M28" i="31" s="1"/>
  <c r="S77" i="12"/>
  <c r="R32" i="85" s="1"/>
  <c r="S75" i="12"/>
  <c r="R75"/>
  <c r="N75"/>
  <c r="M33" i="68" s="1"/>
  <c r="S74" i="12"/>
  <c r="R29" i="85" s="1"/>
  <c r="AO3" s="1"/>
  <c r="P44" i="76" s="1"/>
  <c r="R74" i="12"/>
  <c r="N74"/>
  <c r="M12" i="75" s="1"/>
  <c r="S73" i="12"/>
  <c r="R28" i="85" s="1"/>
  <c r="AN3" s="1"/>
  <c r="P43" i="76" s="1"/>
  <c r="R73" i="12"/>
  <c r="N73"/>
  <c r="M12" i="70" s="1"/>
  <c r="S72" i="12"/>
  <c r="R72"/>
  <c r="N72"/>
  <c r="M43" i="41" s="1"/>
  <c r="S71" i="12"/>
  <c r="R71"/>
  <c r="N71"/>
  <c r="M42" i="41" s="1"/>
  <c r="S70" i="12"/>
  <c r="R70"/>
  <c r="N70"/>
  <c r="M41" i="41" s="1"/>
  <c r="S69" i="12"/>
  <c r="R27" i="85" s="1"/>
  <c r="AL3" s="1"/>
  <c r="P41" i="76" s="1"/>
  <c r="S68" i="12"/>
  <c r="R68"/>
  <c r="N68"/>
  <c r="M30" i="20" s="1"/>
  <c r="S67" i="12"/>
  <c r="S66" s="1"/>
  <c r="R26" i="85" s="1"/>
  <c r="AK3" s="1"/>
  <c r="P40" i="76" s="1"/>
  <c r="R67" i="12"/>
  <c r="N67"/>
  <c r="M29" i="20" s="1"/>
  <c r="S65" i="12"/>
  <c r="R65"/>
  <c r="N65"/>
  <c r="M97" i="30" s="1"/>
  <c r="S64" i="12"/>
  <c r="R64"/>
  <c r="N64"/>
  <c r="M96" i="30" s="1"/>
  <c r="S63" i="12"/>
  <c r="R63"/>
  <c r="N63"/>
  <c r="M95" i="30" s="1"/>
  <c r="S62" i="12"/>
  <c r="R62"/>
  <c r="N62"/>
  <c r="M94" i="30" s="1"/>
  <c r="S61" i="12"/>
  <c r="R61"/>
  <c r="N61"/>
  <c r="M93" i="30" s="1"/>
  <c r="S60" i="12"/>
  <c r="R60"/>
  <c r="N60"/>
  <c r="M92" i="30" s="1"/>
  <c r="S59" i="12"/>
  <c r="S57" s="1"/>
  <c r="R25" i="85" s="1"/>
  <c r="R59" i="12"/>
  <c r="N59"/>
  <c r="M91" i="30" s="1"/>
  <c r="S58" i="12"/>
  <c r="R58"/>
  <c r="N58"/>
  <c r="M90" i="30" s="1"/>
  <c r="N55" i="12"/>
  <c r="P55" s="1"/>
  <c r="N54"/>
  <c r="P54" s="1"/>
  <c r="N53"/>
  <c r="P53" s="1"/>
  <c r="N52"/>
  <c r="P52" s="1"/>
  <c r="N51"/>
  <c r="P51" s="1"/>
  <c r="N49"/>
  <c r="P49" s="1"/>
  <c r="N48"/>
  <c r="P48" s="1"/>
  <c r="N47"/>
  <c r="P47" s="1"/>
  <c r="R23" i="85"/>
  <c r="N45" i="12"/>
  <c r="P45" s="1"/>
  <c r="O22" i="85" s="1"/>
  <c r="Z4" s="1"/>
  <c r="O29" i="76" s="1"/>
  <c r="N44" i="12"/>
  <c r="P44" s="1"/>
  <c r="O21" i="85" s="1"/>
  <c r="U4" s="1"/>
  <c r="O24" i="76" s="1"/>
  <c r="S43" i="12"/>
  <c r="R43"/>
  <c r="N43"/>
  <c r="M29" i="54" s="1"/>
  <c r="S42" i="12"/>
  <c r="R42"/>
  <c r="N42"/>
  <c r="M96" i="27" s="1"/>
  <c r="S41" i="12"/>
  <c r="R41"/>
  <c r="N41"/>
  <c r="M95" i="27" s="1"/>
  <c r="S40" i="12"/>
  <c r="R19" i="85" s="1"/>
  <c r="P3" s="1"/>
  <c r="P19" i="76" s="1"/>
  <c r="S39" i="12"/>
  <c r="R39"/>
  <c r="N39"/>
  <c r="M25" i="45" s="1"/>
  <c r="S38" i="12"/>
  <c r="R38"/>
  <c r="N38"/>
  <c r="M24" i="45" s="1"/>
  <c r="S37" i="12"/>
  <c r="R18" i="85" s="1"/>
  <c r="N36" i="12"/>
  <c r="P36" s="1"/>
  <c r="O17" i="85" s="1"/>
  <c r="S34" i="12"/>
  <c r="R34"/>
  <c r="N34"/>
  <c r="M20" i="37" s="1"/>
  <c r="S33" i="12"/>
  <c r="R33"/>
  <c r="N33"/>
  <c r="M19" i="37" s="1"/>
  <c r="S32" i="12"/>
  <c r="R15" i="85" s="1"/>
  <c r="N3" s="1"/>
  <c r="P17" i="76" s="1"/>
  <c r="S31" i="12"/>
  <c r="R31"/>
  <c r="N31"/>
  <c r="M385" i="38" s="1"/>
  <c r="S30" i="12"/>
  <c r="R30"/>
  <c r="N30"/>
  <c r="P30" s="1"/>
  <c r="S29"/>
  <c r="R14" i="85" s="1"/>
  <c r="K3" s="1"/>
  <c r="P13" i="76" s="1"/>
  <c r="S28" i="12"/>
  <c r="R28"/>
  <c r="N28"/>
  <c r="P28" s="1"/>
  <c r="O419" i="38" s="1"/>
  <c r="S27" i="12"/>
  <c r="R27"/>
  <c r="N27"/>
  <c r="M418" i="38" s="1"/>
  <c r="S26" i="12"/>
  <c r="R13" i="85" s="1"/>
  <c r="L3" s="1"/>
  <c r="P14" i="76" s="1"/>
  <c r="S25" i="12"/>
  <c r="R25"/>
  <c r="N25"/>
  <c r="P25" s="1"/>
  <c r="O333" i="38" s="1"/>
  <c r="S24" i="12"/>
  <c r="R24"/>
  <c r="N24"/>
  <c r="M332" i="38" s="1"/>
  <c r="S23" i="12"/>
  <c r="R23"/>
  <c r="N23"/>
  <c r="M331" i="38" s="1"/>
  <c r="S22" i="12"/>
  <c r="R12" i="85" s="1"/>
  <c r="I3" s="1"/>
  <c r="P11" i="76" s="1"/>
  <c r="S21" i="12"/>
  <c r="R21"/>
  <c r="N21"/>
  <c r="P21" s="1"/>
  <c r="O276" i="38" s="1"/>
  <c r="S20" i="12"/>
  <c r="R20"/>
  <c r="N20"/>
  <c r="P20" s="1"/>
  <c r="O275" i="38" s="1"/>
  <c r="S19" i="12"/>
  <c r="R19"/>
  <c r="N19"/>
  <c r="P19" s="1"/>
  <c r="O274" i="38" s="1"/>
  <c r="S18" i="12"/>
  <c r="R18"/>
  <c r="N18"/>
  <c r="P18" s="1"/>
  <c r="O273" i="38" s="1"/>
  <c r="S17" i="12"/>
  <c r="R17"/>
  <c r="N17"/>
  <c r="P17" s="1"/>
  <c r="O272" i="38" s="1"/>
  <c r="S16" i="12"/>
  <c r="R16"/>
  <c r="N16"/>
  <c r="P16" s="1"/>
  <c r="S15"/>
  <c r="R11" i="85" s="1"/>
  <c r="H3" s="1"/>
  <c r="P10" i="76" s="1"/>
  <c r="S14" i="12"/>
  <c r="R14"/>
  <c r="N14"/>
  <c r="P14" s="1"/>
  <c r="O179" i="38" s="1"/>
  <c r="S13" i="12"/>
  <c r="R13"/>
  <c r="N13"/>
  <c r="M178" i="38" s="1"/>
  <c r="S12" i="12"/>
  <c r="R12"/>
  <c r="N12"/>
  <c r="P12" s="1"/>
  <c r="O177" i="38" s="1"/>
  <c r="S11" i="12"/>
  <c r="R11"/>
  <c r="N11"/>
  <c r="M176" i="38" s="1"/>
  <c r="S10" i="12"/>
  <c r="R10" i="85" s="1"/>
  <c r="G3" s="1"/>
  <c r="P9" i="76" s="1"/>
  <c r="S9" i="12"/>
  <c r="R9"/>
  <c r="N9"/>
  <c r="M95" i="38" s="1"/>
  <c r="S8" i="12"/>
  <c r="R8"/>
  <c r="N8"/>
  <c r="M94" i="38" s="1"/>
  <c r="S7" i="12"/>
  <c r="S6" s="1"/>
  <c r="R9" i="85" s="1"/>
  <c r="R7" i="12"/>
  <c r="N7"/>
  <c r="M93" i="38" s="1"/>
  <c r="D2" i="12"/>
  <c r="C2"/>
  <c r="B2"/>
  <c r="A2"/>
  <c r="R39" i="85"/>
  <c r="AU3" s="1"/>
  <c r="P51" i="76" s="1"/>
  <c r="R38" i="85"/>
  <c r="R37"/>
  <c r="AW3" s="1"/>
  <c r="P53" i="76" s="1"/>
  <c r="R30" i="85"/>
  <c r="AM3" s="1"/>
  <c r="P42" i="76" s="1"/>
  <c r="R22" i="85"/>
  <c r="R21"/>
  <c r="U3" s="1"/>
  <c r="P24" i="76" s="1"/>
  <c r="R20" i="85"/>
  <c r="O3" s="1"/>
  <c r="P18" i="76" s="1"/>
  <c r="R17" i="85"/>
  <c r="B4"/>
  <c r="AY3"/>
  <c r="P55" i="76" s="1"/>
  <c r="AV3" i="85"/>
  <c r="P52" i="76" s="1"/>
  <c r="Z3" i="85"/>
  <c r="B3"/>
  <c r="B2"/>
  <c r="A2"/>
  <c r="P35" i="40"/>
  <c r="O35"/>
  <c r="N35"/>
  <c r="M35"/>
  <c r="L35"/>
  <c r="K35"/>
  <c r="J35"/>
  <c r="I35"/>
  <c r="H35"/>
  <c r="G35"/>
  <c r="F35"/>
  <c r="E35"/>
  <c r="D35"/>
  <c r="C35"/>
  <c r="B35"/>
  <c r="A35"/>
  <c r="P34"/>
  <c r="O34"/>
  <c r="N34"/>
  <c r="M34"/>
  <c r="L34"/>
  <c r="K34"/>
  <c r="J34"/>
  <c r="I34"/>
  <c r="H34"/>
  <c r="G34"/>
  <c r="F34"/>
  <c r="E34"/>
  <c r="D34"/>
  <c r="C34"/>
  <c r="B34"/>
  <c r="A34"/>
  <c r="P33"/>
  <c r="N33"/>
  <c r="L33"/>
  <c r="K33"/>
  <c r="J33"/>
  <c r="I33"/>
  <c r="H33"/>
  <c r="G33"/>
  <c r="F33"/>
  <c r="E33"/>
  <c r="D33"/>
  <c r="C33"/>
  <c r="B33"/>
  <c r="A33"/>
  <c r="P32"/>
  <c r="N32"/>
  <c r="M32"/>
  <c r="L32"/>
  <c r="K32"/>
  <c r="J32"/>
  <c r="I32"/>
  <c r="H32"/>
  <c r="G32"/>
  <c r="F32"/>
  <c r="E32"/>
  <c r="D32"/>
  <c r="C32"/>
  <c r="B32"/>
  <c r="A32"/>
  <c r="P31"/>
  <c r="O31"/>
  <c r="N31"/>
  <c r="M31"/>
  <c r="L31"/>
  <c r="K31"/>
  <c r="J31"/>
  <c r="I31"/>
  <c r="H31"/>
  <c r="G31"/>
  <c r="F31"/>
  <c r="E31"/>
  <c r="D31"/>
  <c r="C31"/>
  <c r="B31"/>
  <c r="A31"/>
  <c r="P30"/>
  <c r="N30"/>
  <c r="M30"/>
  <c r="L30"/>
  <c r="K30"/>
  <c r="J30"/>
  <c r="I30"/>
  <c r="H30"/>
  <c r="G30"/>
  <c r="F30"/>
  <c r="E30"/>
  <c r="D30"/>
  <c r="C30"/>
  <c r="B30"/>
  <c r="A30"/>
  <c r="R29"/>
  <c r="C29"/>
  <c r="A29"/>
  <c r="P26"/>
  <c r="N26"/>
  <c r="L26"/>
  <c r="K26"/>
  <c r="J26"/>
  <c r="I26"/>
  <c r="H26"/>
  <c r="G26"/>
  <c r="F26"/>
  <c r="E26"/>
  <c r="D26"/>
  <c r="C26"/>
  <c r="B26"/>
  <c r="A26"/>
  <c r="P25"/>
  <c r="N25"/>
  <c r="L25"/>
  <c r="K25"/>
  <c r="J25"/>
  <c r="I25"/>
  <c r="H25"/>
  <c r="G25"/>
  <c r="F25"/>
  <c r="E25"/>
  <c r="D25"/>
  <c r="C25"/>
  <c r="B25"/>
  <c r="A25"/>
  <c r="P24"/>
  <c r="N24"/>
  <c r="L24"/>
  <c r="K24"/>
  <c r="J24"/>
  <c r="I24"/>
  <c r="H24"/>
  <c r="G24"/>
  <c r="F24"/>
  <c r="E24"/>
  <c r="D24"/>
  <c r="C24"/>
  <c r="B24"/>
  <c r="A24"/>
  <c r="P23"/>
  <c r="N23"/>
  <c r="L23"/>
  <c r="K23"/>
  <c r="J23"/>
  <c r="I23"/>
  <c r="H23"/>
  <c r="G23"/>
  <c r="F23"/>
  <c r="E23"/>
  <c r="D23"/>
  <c r="C23"/>
  <c r="B23"/>
  <c r="A23"/>
  <c r="R22"/>
  <c r="C22"/>
  <c r="A22"/>
  <c r="P21"/>
  <c r="N21"/>
  <c r="L21"/>
  <c r="K21"/>
  <c r="J21"/>
  <c r="I21"/>
  <c r="H21"/>
  <c r="G21"/>
  <c r="F21"/>
  <c r="E21"/>
  <c r="D21"/>
  <c r="C21"/>
  <c r="B21"/>
  <c r="P20"/>
  <c r="N20"/>
  <c r="L20"/>
  <c r="K20"/>
  <c r="J20"/>
  <c r="I20"/>
  <c r="H20"/>
  <c r="G20"/>
  <c r="F20"/>
  <c r="E20"/>
  <c r="D20"/>
  <c r="C20"/>
  <c r="B20"/>
  <c r="P19"/>
  <c r="N19"/>
  <c r="L19"/>
  <c r="K19"/>
  <c r="J19"/>
  <c r="I19"/>
  <c r="H19"/>
  <c r="G19"/>
  <c r="F19"/>
  <c r="E19"/>
  <c r="D19"/>
  <c r="C19"/>
  <c r="B19"/>
  <c r="P18"/>
  <c r="N18"/>
  <c r="L18"/>
  <c r="K18"/>
  <c r="J18"/>
  <c r="I18"/>
  <c r="H18"/>
  <c r="G18"/>
  <c r="F18"/>
  <c r="E18"/>
  <c r="D18"/>
  <c r="C18"/>
  <c r="B18"/>
  <c r="P17"/>
  <c r="N17"/>
  <c r="L17"/>
  <c r="K17"/>
  <c r="J17"/>
  <c r="I17"/>
  <c r="H17"/>
  <c r="G17"/>
  <c r="F17"/>
  <c r="E17"/>
  <c r="D17"/>
  <c r="C17"/>
  <c r="B17"/>
  <c r="P16"/>
  <c r="N16"/>
  <c r="L16"/>
  <c r="K16"/>
  <c r="J16"/>
  <c r="I16"/>
  <c r="H16"/>
  <c r="G16"/>
  <c r="F16"/>
  <c r="E16"/>
  <c r="D16"/>
  <c r="C16"/>
  <c r="B16"/>
  <c r="P15"/>
  <c r="N15"/>
  <c r="L15"/>
  <c r="K15"/>
  <c r="J15"/>
  <c r="I15"/>
  <c r="H15"/>
  <c r="G15"/>
  <c r="F15"/>
  <c r="E15"/>
  <c r="D15"/>
  <c r="C15"/>
  <c r="B15"/>
  <c r="P14"/>
  <c r="N14"/>
  <c r="L14"/>
  <c r="K14"/>
  <c r="J14"/>
  <c r="I14"/>
  <c r="H14"/>
  <c r="G14"/>
  <c r="F14"/>
  <c r="E14"/>
  <c r="D14"/>
  <c r="C14"/>
  <c r="B14"/>
  <c r="P13"/>
  <c r="N13"/>
  <c r="L13"/>
  <c r="K13"/>
  <c r="J13"/>
  <c r="I13"/>
  <c r="H13"/>
  <c r="G13"/>
  <c r="F13"/>
  <c r="E13"/>
  <c r="D13"/>
  <c r="C13"/>
  <c r="B13"/>
  <c r="A13"/>
  <c r="R12"/>
  <c r="C12"/>
  <c r="A12"/>
  <c r="P11"/>
  <c r="N11"/>
  <c r="L11"/>
  <c r="K11"/>
  <c r="J11"/>
  <c r="I11"/>
  <c r="H11"/>
  <c r="G11"/>
  <c r="F11"/>
  <c r="E11"/>
  <c r="D11"/>
  <c r="C11"/>
  <c r="B11"/>
  <c r="A11"/>
  <c r="P10"/>
  <c r="N10"/>
  <c r="L10"/>
  <c r="K10"/>
  <c r="J10"/>
  <c r="I10"/>
  <c r="H10"/>
  <c r="G10"/>
  <c r="F10"/>
  <c r="E10"/>
  <c r="D10"/>
  <c r="C10"/>
  <c r="P9"/>
  <c r="N9"/>
  <c r="L9"/>
  <c r="K9"/>
  <c r="J9"/>
  <c r="I9"/>
  <c r="H9"/>
  <c r="G9"/>
  <c r="F9"/>
  <c r="E9"/>
  <c r="D9"/>
  <c r="C9"/>
  <c r="B9"/>
  <c r="A9"/>
  <c r="R8"/>
  <c r="C8"/>
  <c r="A8"/>
  <c r="P7"/>
  <c r="N7"/>
  <c r="L7"/>
  <c r="K7"/>
  <c r="J7"/>
  <c r="I7"/>
  <c r="H7"/>
  <c r="G7"/>
  <c r="F7"/>
  <c r="E7"/>
  <c r="D7"/>
  <c r="C7"/>
  <c r="B7"/>
  <c r="A7"/>
  <c r="R6"/>
  <c r="F2" s="1"/>
  <c r="C6"/>
  <c r="A6"/>
  <c r="C3"/>
  <c r="C2"/>
  <c r="A2"/>
  <c r="M62" i="8"/>
  <c r="O62" s="1"/>
  <c r="R61"/>
  <c r="Q61"/>
  <c r="M61"/>
  <c r="M26" i="31" s="1"/>
  <c r="R60" i="8"/>
  <c r="R55" s="1"/>
  <c r="L41" i="1" s="1"/>
  <c r="Q60" i="8"/>
  <c r="M60"/>
  <c r="M88" i="30" s="1"/>
  <c r="R59" i="8"/>
  <c r="Q59"/>
  <c r="M59"/>
  <c r="M87" i="30" s="1"/>
  <c r="R58" i="8"/>
  <c r="Q58"/>
  <c r="M58"/>
  <c r="M86" i="30" s="1"/>
  <c r="R57" i="8"/>
  <c r="AK3" s="1"/>
  <c r="AJ40" i="76" s="1"/>
  <c r="P38" i="80" s="1"/>
  <c r="Q57" i="8"/>
  <c r="M57"/>
  <c r="M27" i="20" s="1"/>
  <c r="R56" i="8"/>
  <c r="Q56"/>
  <c r="M56"/>
  <c r="M39" i="41" s="1"/>
  <c r="M54" i="8"/>
  <c r="O54" s="1"/>
  <c r="R53"/>
  <c r="Q53"/>
  <c r="M53"/>
  <c r="M85" i="30" s="1"/>
  <c r="R52" i="8"/>
  <c r="Q52"/>
  <c r="M52"/>
  <c r="M26" i="40" s="1"/>
  <c r="R51" i="8"/>
  <c r="Q51"/>
  <c r="M51"/>
  <c r="M25" i="40" s="1"/>
  <c r="R50" i="8"/>
  <c r="Q50"/>
  <c r="M50"/>
  <c r="M24" i="40" s="1"/>
  <c r="R49" i="8"/>
  <c r="Q49"/>
  <c r="M49"/>
  <c r="M23" i="40" s="1"/>
  <c r="R48" i="8"/>
  <c r="Q48"/>
  <c r="M48"/>
  <c r="M17" i="37" s="1"/>
  <c r="M46" i="8"/>
  <c r="O46" s="1"/>
  <c r="R45"/>
  <c r="Q45"/>
  <c r="M45"/>
  <c r="M45" i="24" s="1"/>
  <c r="R44" i="8"/>
  <c r="Q44"/>
  <c r="M44"/>
  <c r="M44" i="24" s="1"/>
  <c r="R43" i="8"/>
  <c r="Q43"/>
  <c r="M43"/>
  <c r="O43" s="1"/>
  <c r="R42"/>
  <c r="R41"/>
  <c r="Q41"/>
  <c r="M41"/>
  <c r="M84" i="30" s="1"/>
  <c r="R40" i="8"/>
  <c r="Q40"/>
  <c r="M40"/>
  <c r="M83" i="30" s="1"/>
  <c r="R39" i="8"/>
  <c r="Q39"/>
  <c r="M39"/>
  <c r="M82" i="30" s="1"/>
  <c r="R38" i="8"/>
  <c r="Q38"/>
  <c r="M38"/>
  <c r="M81" i="30" s="1"/>
  <c r="R37" i="8"/>
  <c r="Q37"/>
  <c r="M37"/>
  <c r="M80" i="30" s="1"/>
  <c r="R36" i="8"/>
  <c r="Q36"/>
  <c r="M36"/>
  <c r="M79" i="30" s="1"/>
  <c r="M33" i="8"/>
  <c r="O33" s="1"/>
  <c r="R32"/>
  <c r="Q32"/>
  <c r="M32"/>
  <c r="O32" s="1"/>
  <c r="O26" i="42" s="1"/>
  <c r="O25" s="1"/>
  <c r="R31" i="8"/>
  <c r="Q31"/>
  <c r="M31"/>
  <c r="O31" s="1"/>
  <c r="R30"/>
  <c r="Q30"/>
  <c r="M30"/>
  <c r="O30" s="1"/>
  <c r="O42" i="24" s="1"/>
  <c r="R29" i="8"/>
  <c r="Q29"/>
  <c r="M29"/>
  <c r="M41" i="24" s="1"/>
  <c r="O28" i="8"/>
  <c r="O22" i="32" s="1"/>
  <c r="M28" i="8"/>
  <c r="M22" i="32" s="1"/>
  <c r="M27" i="8"/>
  <c r="M21" i="32" s="1"/>
  <c r="R26" i="8"/>
  <c r="Q26"/>
  <c r="M26"/>
  <c r="M38" i="41" s="1"/>
  <c r="R25" i="8"/>
  <c r="Q25"/>
  <c r="M25"/>
  <c r="M37" i="41" s="1"/>
  <c r="R24" i="8"/>
  <c r="Q24"/>
  <c r="M24"/>
  <c r="M78" i="30" s="1"/>
  <c r="R23" i="8"/>
  <c r="Q23"/>
  <c r="O23"/>
  <c r="O77" i="30" s="1"/>
  <c r="M23" i="8"/>
  <c r="M77" i="30" s="1"/>
  <c r="R22" i="8"/>
  <c r="Q22"/>
  <c r="O22"/>
  <c r="O76" i="30" s="1"/>
  <c r="M22" i="8"/>
  <c r="M76" i="30" s="1"/>
  <c r="R21" i="8"/>
  <c r="Q20"/>
  <c r="M20"/>
  <c r="M75" i="30" s="1"/>
  <c r="Q19" i="8"/>
  <c r="M19"/>
  <c r="M74" i="30" s="1"/>
  <c r="R18" i="8"/>
  <c r="R17"/>
  <c r="Q17"/>
  <c r="M17"/>
  <c r="M73" i="30" s="1"/>
  <c r="R16" i="8"/>
  <c r="Q16"/>
  <c r="M16"/>
  <c r="M72" i="30" s="1"/>
  <c r="R15" i="8"/>
  <c r="Q15"/>
  <c r="M15"/>
  <c r="O15" s="1"/>
  <c r="O71" i="30" s="1"/>
  <c r="R14" i="8"/>
  <c r="Q14"/>
  <c r="M14"/>
  <c r="M16" i="37" s="1"/>
  <c r="M13" i="8"/>
  <c r="O13" s="1"/>
  <c r="M11"/>
  <c r="O11" s="1"/>
  <c r="R10"/>
  <c r="G3" s="1"/>
  <c r="AJ9" i="76" s="1"/>
  <c r="P7" i="80" s="1"/>
  <c r="Q10" i="8"/>
  <c r="M10"/>
  <c r="M174" i="38" s="1"/>
  <c r="R9" i="8"/>
  <c r="F3" s="1"/>
  <c r="AJ8" i="76" s="1"/>
  <c r="P6" i="80" s="1"/>
  <c r="Q9" i="8"/>
  <c r="M9"/>
  <c r="O9" s="1"/>
  <c r="R8"/>
  <c r="B4"/>
  <c r="AV3"/>
  <c r="AT3"/>
  <c r="AJ50" i="76" s="1"/>
  <c r="P48" i="80" s="1"/>
  <c r="AR3" i="8"/>
  <c r="AP3"/>
  <c r="AH3"/>
  <c r="AJ37" i="76" s="1"/>
  <c r="N3" i="8"/>
  <c r="AJ17" i="76" s="1"/>
  <c r="P15" i="80" s="1"/>
  <c r="B3" i="8"/>
  <c r="B2"/>
  <c r="A2"/>
  <c r="S283" i="7"/>
  <c r="R283"/>
  <c r="N283"/>
  <c r="M17" i="53" s="1"/>
  <c r="S282" i="7"/>
  <c r="R282"/>
  <c r="N282"/>
  <c r="M16" i="53" s="1"/>
  <c r="S281" i="7"/>
  <c r="S280"/>
  <c r="R280"/>
  <c r="N280"/>
  <c r="P280" s="1"/>
  <c r="O12" i="71" s="1"/>
  <c r="S279" i="7"/>
  <c r="S278" s="1"/>
  <c r="R63" i="83" s="1"/>
  <c r="AV3" s="1"/>
  <c r="AF52" i="76" s="1"/>
  <c r="L50" i="80" s="1"/>
  <c r="R279" i="7"/>
  <c r="N279"/>
  <c r="P279" s="1"/>
  <c r="S277"/>
  <c r="R277"/>
  <c r="N277"/>
  <c r="P277" s="1"/>
  <c r="O13" i="44" s="1"/>
  <c r="S276" i="7"/>
  <c r="R276"/>
  <c r="N276"/>
  <c r="M12" i="44" s="1"/>
  <c r="S275" i="7"/>
  <c r="S274"/>
  <c r="R274"/>
  <c r="P274"/>
  <c r="O15" i="26" s="1"/>
  <c r="N274" i="7"/>
  <c r="M15" i="26" s="1"/>
  <c r="S273" i="7"/>
  <c r="R273"/>
  <c r="P273"/>
  <c r="P272" s="1"/>
  <c r="N273"/>
  <c r="M14" i="26" s="1"/>
  <c r="S272" i="7"/>
  <c r="R61" i="83" s="1"/>
  <c r="AX3" s="1"/>
  <c r="AF54" i="76" s="1"/>
  <c r="L52" i="80" s="1"/>
  <c r="S271" i="7"/>
  <c r="R271"/>
  <c r="N271"/>
  <c r="P271" s="1"/>
  <c r="O13" i="43" s="1"/>
  <c r="S270" i="7"/>
  <c r="R270"/>
  <c r="N270"/>
  <c r="P270" s="1"/>
  <c r="O12" i="43" s="1"/>
  <c r="S269" i="7"/>
  <c r="R269"/>
  <c r="N269"/>
  <c r="P269" s="1"/>
  <c r="O11" i="43" s="1"/>
  <c r="S268" i="7"/>
  <c r="R268"/>
  <c r="N268"/>
  <c r="P268" s="1"/>
  <c r="S267"/>
  <c r="R60" i="83" s="1"/>
  <c r="AZ3" s="1"/>
  <c r="AF56" i="76" s="1"/>
  <c r="L54" i="80" s="1"/>
  <c r="S266" i="7"/>
  <c r="R266"/>
  <c r="N266"/>
  <c r="M39" i="24" s="1"/>
  <c r="S265" i="7"/>
  <c r="R265"/>
  <c r="N265"/>
  <c r="M38" i="24" s="1"/>
  <c r="S264" i="7"/>
  <c r="R264"/>
  <c r="N264"/>
  <c r="P264" s="1"/>
  <c r="O37" i="24" s="1"/>
  <c r="S263" i="7"/>
  <c r="R263"/>
  <c r="N263"/>
  <c r="P263" s="1"/>
  <c r="S262"/>
  <c r="S261"/>
  <c r="R261"/>
  <c r="N261"/>
  <c r="M19" i="32" s="1"/>
  <c r="S260" i="7"/>
  <c r="R260"/>
  <c r="N260"/>
  <c r="P260" s="1"/>
  <c r="S259"/>
  <c r="S258"/>
  <c r="R258"/>
  <c r="N258"/>
  <c r="P258" s="1"/>
  <c r="O24" i="42" s="1"/>
  <c r="S257" i="7"/>
  <c r="R257"/>
  <c r="N257"/>
  <c r="S256"/>
  <c r="R256"/>
  <c r="N256"/>
  <c r="P256" s="1"/>
  <c r="O22" i="42" s="1"/>
  <c r="S255" i="7"/>
  <c r="R255"/>
  <c r="N255"/>
  <c r="S254"/>
  <c r="R57" i="83" s="1"/>
  <c r="AR3" s="1"/>
  <c r="S253" i="7"/>
  <c r="R253"/>
  <c r="N253"/>
  <c r="M20" i="23" s="1"/>
  <c r="S252" i="7"/>
  <c r="R252"/>
  <c r="N252"/>
  <c r="M19" i="23" s="1"/>
  <c r="S251" i="7"/>
  <c r="S250"/>
  <c r="R250"/>
  <c r="N250"/>
  <c r="S249"/>
  <c r="R249"/>
  <c r="N249"/>
  <c r="S248"/>
  <c r="R55" i="83" s="1"/>
  <c r="S246" i="7"/>
  <c r="R246"/>
  <c r="N246"/>
  <c r="M10" i="75" s="1"/>
  <c r="S245" i="7"/>
  <c r="R53" i="83" s="1"/>
  <c r="AO3" s="1"/>
  <c r="AF44" i="76" s="1"/>
  <c r="L42" i="80" s="1"/>
  <c r="S244" i="7"/>
  <c r="R244"/>
  <c r="N244"/>
  <c r="M10" i="70" s="1"/>
  <c r="S243" i="7"/>
  <c r="S242"/>
  <c r="R242"/>
  <c r="N242"/>
  <c r="M31" i="68" s="1"/>
  <c r="S241" i="7"/>
  <c r="R241"/>
  <c r="N241"/>
  <c r="P241" s="1"/>
  <c r="O30" i="68" s="1"/>
  <c r="S240" i="7"/>
  <c r="R240"/>
  <c r="N240"/>
  <c r="P240" s="1"/>
  <c r="O29" i="68" s="1"/>
  <c r="S239" i="7"/>
  <c r="R239"/>
  <c r="N239"/>
  <c r="M28" i="68" s="1"/>
  <c r="S238" i="7"/>
  <c r="R238"/>
  <c r="N238"/>
  <c r="M27" i="68" s="1"/>
  <c r="S237" i="7"/>
  <c r="R237"/>
  <c r="N237"/>
  <c r="M26" i="68" s="1"/>
  <c r="S236" i="7"/>
  <c r="R236"/>
  <c r="N236"/>
  <c r="M25" i="68" s="1"/>
  <c r="S235" i="7"/>
  <c r="R51" i="83" s="1"/>
  <c r="AM3" s="1"/>
  <c r="AF42" i="76" s="1"/>
  <c r="L40" i="80" s="1"/>
  <c r="S234" i="7"/>
  <c r="R234"/>
  <c r="N234"/>
  <c r="M35" i="41" s="1"/>
  <c r="S233" i="7"/>
  <c r="R233"/>
  <c r="N233"/>
  <c r="M34" i="41" s="1"/>
  <c r="S232" i="7"/>
  <c r="S231" s="1"/>
  <c r="R50" i="83" s="1"/>
  <c r="AL3" s="1"/>
  <c r="AF41" i="76" s="1"/>
  <c r="L39" i="80" s="1"/>
  <c r="R232" i="7"/>
  <c r="N232"/>
  <c r="P232" s="1"/>
  <c r="S230"/>
  <c r="R230"/>
  <c r="N230"/>
  <c r="M25" i="20" s="1"/>
  <c r="S229" i="7"/>
  <c r="R229"/>
  <c r="N229"/>
  <c r="M24" i="20" s="1"/>
  <c r="S228" i="7"/>
  <c r="R49" i="83" s="1"/>
  <c r="S227" i="7"/>
  <c r="R227"/>
  <c r="N227"/>
  <c r="M69" i="30" s="1"/>
  <c r="S226" i="7"/>
  <c r="R226"/>
  <c r="N226"/>
  <c r="P226" s="1"/>
  <c r="O68" i="30" s="1"/>
  <c r="S225" i="7"/>
  <c r="R225"/>
  <c r="N225"/>
  <c r="M67" i="30" s="1"/>
  <c r="S224" i="7"/>
  <c r="R224"/>
  <c r="N224"/>
  <c r="P224" s="1"/>
  <c r="O66" i="30" s="1"/>
  <c r="S223" i="7"/>
  <c r="R223"/>
  <c r="N223"/>
  <c r="M65" i="30" s="1"/>
  <c r="S222" i="7"/>
  <c r="R222"/>
  <c r="N222"/>
  <c r="M64" i="30" s="1"/>
  <c r="S221" i="7"/>
  <c r="R221"/>
  <c r="N221"/>
  <c r="M63" i="30" s="1"/>
  <c r="S220" i="7"/>
  <c r="R220"/>
  <c r="N220"/>
  <c r="M62" i="30" s="1"/>
  <c r="S219" i="7"/>
  <c r="R48" i="83" s="1"/>
  <c r="AJ3" s="1"/>
  <c r="AF39" i="76" s="1"/>
  <c r="L37" i="80" s="1"/>
  <c r="S218" i="7"/>
  <c r="R218"/>
  <c r="N218"/>
  <c r="M21" i="40" s="1"/>
  <c r="S217" i="7"/>
  <c r="R217"/>
  <c r="N217"/>
  <c r="M20" i="40" s="1"/>
  <c r="S216" i="7"/>
  <c r="R216"/>
  <c r="N216"/>
  <c r="M19" i="40" s="1"/>
  <c r="S215" i="7"/>
  <c r="R215"/>
  <c r="N215"/>
  <c r="M18" i="40" s="1"/>
  <c r="S214" i="7"/>
  <c r="R214"/>
  <c r="N214"/>
  <c r="M17" i="40" s="1"/>
  <c r="S213" i="7"/>
  <c r="R213"/>
  <c r="N213"/>
  <c r="M16" i="40" s="1"/>
  <c r="S212" i="7"/>
  <c r="R212"/>
  <c r="N212"/>
  <c r="M15" i="40" s="1"/>
  <c r="S211" i="7"/>
  <c r="R211"/>
  <c r="N211"/>
  <c r="M14" i="40" s="1"/>
  <c r="S210" i="7"/>
  <c r="R210"/>
  <c r="N210"/>
  <c r="M13" i="40" s="1"/>
  <c r="S209" i="7"/>
  <c r="N207"/>
  <c r="P207" s="1"/>
  <c r="O45" i="83" s="1"/>
  <c r="N206" i="7"/>
  <c r="P206" s="1"/>
  <c r="N205"/>
  <c r="P205" s="1"/>
  <c r="O43" i="83" s="1"/>
  <c r="N204" i="7"/>
  <c r="P204" s="1"/>
  <c r="N203"/>
  <c r="P203" s="1"/>
  <c r="O41" i="83" s="1"/>
  <c r="N202" i="7"/>
  <c r="P202" s="1"/>
  <c r="N201"/>
  <c r="P201" s="1"/>
  <c r="O39" i="83" s="1"/>
  <c r="N199" i="7"/>
  <c r="P199" s="1"/>
  <c r="N198"/>
  <c r="P198" s="1"/>
  <c r="N197"/>
  <c r="P197" s="1"/>
  <c r="N196"/>
  <c r="P196" s="1"/>
  <c r="S195"/>
  <c r="S194"/>
  <c r="R194"/>
  <c r="N194"/>
  <c r="P194" s="1"/>
  <c r="O27" i="54" s="1"/>
  <c r="S193" i="7"/>
  <c r="R193"/>
  <c r="N193"/>
  <c r="P193" s="1"/>
  <c r="O26" i="54" s="1"/>
  <c r="S192" i="7"/>
  <c r="R192"/>
  <c r="N192"/>
  <c r="S191"/>
  <c r="R191"/>
  <c r="N191"/>
  <c r="P191" s="1"/>
  <c r="O24" i="54" s="1"/>
  <c r="S190" i="7"/>
  <c r="R190"/>
  <c r="N190"/>
  <c r="S189"/>
  <c r="R37" i="83" s="1"/>
  <c r="O3" s="1"/>
  <c r="AF18" i="76" s="1"/>
  <c r="S188" i="7"/>
  <c r="R188"/>
  <c r="N188"/>
  <c r="M12" i="61" s="1"/>
  <c r="S187" i="7"/>
  <c r="R187"/>
  <c r="N187"/>
  <c r="M11" i="61" s="1"/>
  <c r="S186" i="7"/>
  <c r="R186"/>
  <c r="N186"/>
  <c r="M10" i="61" s="1"/>
  <c r="S185" i="7"/>
  <c r="R185"/>
  <c r="N185"/>
  <c r="M9" i="61" s="1"/>
  <c r="S184" i="7"/>
  <c r="R36" i="83" s="1"/>
  <c r="AE3" s="1"/>
  <c r="AF34" i="76" s="1"/>
  <c r="L32" i="80" s="1"/>
  <c r="N183" i="7"/>
  <c r="P183" s="1"/>
  <c r="N182"/>
  <c r="P182" s="1"/>
  <c r="N181"/>
  <c r="P181" s="1"/>
  <c r="N180"/>
  <c r="P180" s="1"/>
  <c r="N179"/>
  <c r="P179" s="1"/>
  <c r="N178"/>
  <c r="P178" s="1"/>
  <c r="S177"/>
  <c r="R35" i="83" s="1"/>
  <c r="S176" i="7"/>
  <c r="R176"/>
  <c r="N176"/>
  <c r="P176" s="1"/>
  <c r="O13" i="35" s="1"/>
  <c r="S175" i="7"/>
  <c r="R175"/>
  <c r="N175"/>
  <c r="P175" s="1"/>
  <c r="S174"/>
  <c r="N173"/>
  <c r="P173" s="1"/>
  <c r="N172"/>
  <c r="P172" s="1"/>
  <c r="N171"/>
  <c r="P171" s="1"/>
  <c r="N170"/>
  <c r="P170" s="1"/>
  <c r="S169"/>
  <c r="S168"/>
  <c r="R168"/>
  <c r="N168"/>
  <c r="P168" s="1"/>
  <c r="O93" i="27" s="1"/>
  <c r="S167" i="7"/>
  <c r="R167"/>
  <c r="N167"/>
  <c r="M92" i="27" s="1"/>
  <c r="S166" i="7"/>
  <c r="R166"/>
  <c r="N166"/>
  <c r="M91" i="27" s="1"/>
  <c r="S165" i="7"/>
  <c r="R165"/>
  <c r="N165"/>
  <c r="P165" s="1"/>
  <c r="O90" i="27" s="1"/>
  <c r="S164" i="7"/>
  <c r="R164"/>
  <c r="N164"/>
  <c r="P164" s="1"/>
  <c r="O89" i="27" s="1"/>
  <c r="S163" i="7"/>
  <c r="N162"/>
  <c r="P162" s="1"/>
  <c r="N161"/>
  <c r="P161" s="1"/>
  <c r="N160"/>
  <c r="P160" s="1"/>
  <c r="S159"/>
  <c r="N158"/>
  <c r="P158" s="1"/>
  <c r="N157"/>
  <c r="P157" s="1"/>
  <c r="N156"/>
  <c r="P156" s="1"/>
  <c r="S155"/>
  <c r="N154"/>
  <c r="P154" s="1"/>
  <c r="N153"/>
  <c r="P153" s="1"/>
  <c r="N152"/>
  <c r="P152" s="1"/>
  <c r="S151"/>
  <c r="S150" s="1"/>
  <c r="R31" i="83" s="1"/>
  <c r="S149" i="7"/>
  <c r="R149"/>
  <c r="N149"/>
  <c r="M22" i="45" s="1"/>
  <c r="S148" i="7"/>
  <c r="R148"/>
  <c r="N148"/>
  <c r="M21" i="45" s="1"/>
  <c r="S147" i="7"/>
  <c r="R147"/>
  <c r="N147"/>
  <c r="M20" i="45" s="1"/>
  <c r="S146" i="7"/>
  <c r="S144"/>
  <c r="R144"/>
  <c r="N144"/>
  <c r="P144" s="1"/>
  <c r="S143"/>
  <c r="R143"/>
  <c r="N143"/>
  <c r="P143" s="1"/>
  <c r="S142"/>
  <c r="R28" i="83" s="1"/>
  <c r="M3" s="1"/>
  <c r="AF15" i="76" s="1"/>
  <c r="L13" i="80" s="1"/>
  <c r="S141" i="7"/>
  <c r="R141"/>
  <c r="N141"/>
  <c r="P141" s="1"/>
  <c r="O416" i="38" s="1"/>
  <c r="S140" i="7"/>
  <c r="S139" s="1"/>
  <c r="R27" i="83" s="1"/>
  <c r="L3" s="1"/>
  <c r="AF14" i="76" s="1"/>
  <c r="L12" i="80" s="1"/>
  <c r="R140" i="7"/>
  <c r="N140"/>
  <c r="P140" s="1"/>
  <c r="S138"/>
  <c r="R138"/>
  <c r="N138"/>
  <c r="S137"/>
  <c r="R137"/>
  <c r="N137"/>
  <c r="P137" s="1"/>
  <c r="O381" i="38" s="1"/>
  <c r="S136" i="7"/>
  <c r="R136"/>
  <c r="N136"/>
  <c r="P136" s="1"/>
  <c r="S135"/>
  <c r="R135"/>
  <c r="N135"/>
  <c r="P135" s="1"/>
  <c r="S134"/>
  <c r="R26" i="83" s="1"/>
  <c r="K3" s="1"/>
  <c r="AF13" i="76" s="1"/>
  <c r="L11" i="80" s="1"/>
  <c r="S133" i="7"/>
  <c r="R133"/>
  <c r="N133"/>
  <c r="P133" s="1"/>
  <c r="O369" i="38" s="1"/>
  <c r="S132" i="7"/>
  <c r="R132"/>
  <c r="N132"/>
  <c r="P132" s="1"/>
  <c r="S131"/>
  <c r="R131"/>
  <c r="N131"/>
  <c r="S130"/>
  <c r="R130"/>
  <c r="N130"/>
  <c r="P130" s="1"/>
  <c r="S129"/>
  <c r="R129"/>
  <c r="N129"/>
  <c r="P129" s="1"/>
  <c r="O365" i="38" s="1"/>
  <c r="S128" i="7"/>
  <c r="R25" i="83" s="1"/>
  <c r="J3" s="1"/>
  <c r="AF12" i="76" s="1"/>
  <c r="S127" i="7"/>
  <c r="R127"/>
  <c r="N127"/>
  <c r="P127" s="1"/>
  <c r="S126"/>
  <c r="R126"/>
  <c r="N126"/>
  <c r="S125"/>
  <c r="R125"/>
  <c r="N125"/>
  <c r="P125" s="1"/>
  <c r="S124"/>
  <c r="R124"/>
  <c r="N124"/>
  <c r="P124" s="1"/>
  <c r="O326" i="38" s="1"/>
  <c r="S123" i="7"/>
  <c r="S122"/>
  <c r="R122"/>
  <c r="N122"/>
  <c r="P122" s="1"/>
  <c r="S121"/>
  <c r="R121"/>
  <c r="N121"/>
  <c r="S120"/>
  <c r="R120"/>
  <c r="N120"/>
  <c r="P120" s="1"/>
  <c r="S119"/>
  <c r="R119"/>
  <c r="N119"/>
  <c r="P119" s="1"/>
  <c r="O322" i="38" s="1"/>
  <c r="S118" i="7"/>
  <c r="R118"/>
  <c r="N118"/>
  <c r="P118" s="1"/>
  <c r="S117"/>
  <c r="R117"/>
  <c r="N117"/>
  <c r="S116"/>
  <c r="R116"/>
  <c r="N116"/>
  <c r="P116" s="1"/>
  <c r="O319" i="38" s="1"/>
  <c r="S115" i="7"/>
  <c r="R115"/>
  <c r="N115"/>
  <c r="P115" s="1"/>
  <c r="O318" i="38" s="1"/>
  <c r="S114" i="7"/>
  <c r="R114"/>
  <c r="N114"/>
  <c r="P114" s="1"/>
  <c r="S113"/>
  <c r="R113"/>
  <c r="N113"/>
  <c r="S112"/>
  <c r="R112"/>
  <c r="N112"/>
  <c r="P112" s="1"/>
  <c r="S111"/>
  <c r="R111"/>
  <c r="N111"/>
  <c r="P111" s="1"/>
  <c r="O314" i="38" s="1"/>
  <c r="S109" i="7"/>
  <c r="R109"/>
  <c r="N109"/>
  <c r="P109" s="1"/>
  <c r="O269" i="38" s="1"/>
  <c r="S108" i="7"/>
  <c r="R108"/>
  <c r="N108"/>
  <c r="P108" s="1"/>
  <c r="O268" i="38" s="1"/>
  <c r="S107" i="7"/>
  <c r="R107"/>
  <c r="N107"/>
  <c r="P107" s="1"/>
  <c r="O267" i="38" s="1"/>
  <c r="S106" i="7"/>
  <c r="R106"/>
  <c r="N106"/>
  <c r="P106" s="1"/>
  <c r="O266" i="38" s="1"/>
  <c r="S105" i="7"/>
  <c r="R105"/>
  <c r="N105"/>
  <c r="P105" s="1"/>
  <c r="O265" i="38" s="1"/>
  <c r="S104" i="7"/>
  <c r="R104"/>
  <c r="N104"/>
  <c r="P104" s="1"/>
  <c r="O264" i="38" s="1"/>
  <c r="S103" i="7"/>
  <c r="R103"/>
  <c r="N103"/>
  <c r="P103" s="1"/>
  <c r="O263" i="38" s="1"/>
  <c r="S102" i="7"/>
  <c r="R102"/>
  <c r="N102"/>
  <c r="P102" s="1"/>
  <c r="O262" i="38" s="1"/>
  <c r="S101" i="7"/>
  <c r="R101"/>
  <c r="N101"/>
  <c r="P101" s="1"/>
  <c r="O261" i="38" s="1"/>
  <c r="S100" i="7"/>
  <c r="R100"/>
  <c r="N100"/>
  <c r="P100" s="1"/>
  <c r="O260" i="38" s="1"/>
  <c r="S99" i="7"/>
  <c r="R99"/>
  <c r="N99"/>
  <c r="P99" s="1"/>
  <c r="O259" i="38" s="1"/>
  <c r="S98" i="7"/>
  <c r="R98"/>
  <c r="N98"/>
  <c r="P98" s="1"/>
  <c r="O258" i="38" s="1"/>
  <c r="S97" i="7"/>
  <c r="R97"/>
  <c r="N97"/>
  <c r="P97" s="1"/>
  <c r="O257" i="38" s="1"/>
  <c r="S96" i="7"/>
  <c r="R96"/>
  <c r="N96"/>
  <c r="P96" s="1"/>
  <c r="O256" i="38" s="1"/>
  <c r="S95" i="7"/>
  <c r="R95"/>
  <c r="N95"/>
  <c r="P95" s="1"/>
  <c r="O255" i="38" s="1"/>
  <c r="S94" i="7"/>
  <c r="R94"/>
  <c r="N94"/>
  <c r="P94" s="1"/>
  <c r="O254" i="38" s="1"/>
  <c r="S93" i="7"/>
  <c r="R93"/>
  <c r="N93"/>
  <c r="P93" s="1"/>
  <c r="O253" i="38" s="1"/>
  <c r="S92" i="7"/>
  <c r="R92"/>
  <c r="N92"/>
  <c r="P92" s="1"/>
  <c r="O252" i="38" s="1"/>
  <c r="S91" i="7"/>
  <c r="R91"/>
  <c r="N91"/>
  <c r="P91" s="1"/>
  <c r="O251" i="38" s="1"/>
  <c r="S90" i="7"/>
  <c r="R90"/>
  <c r="N90"/>
  <c r="P90" s="1"/>
  <c r="O250" i="38" s="1"/>
  <c r="S89" i="7"/>
  <c r="R89"/>
  <c r="N89"/>
  <c r="P89" s="1"/>
  <c r="O249" i="38" s="1"/>
  <c r="S88" i="7"/>
  <c r="R88"/>
  <c r="N88"/>
  <c r="P88" s="1"/>
  <c r="O248" i="38" s="1"/>
  <c r="S87" i="7"/>
  <c r="R87"/>
  <c r="N87"/>
  <c r="P87" s="1"/>
  <c r="O247" i="38" s="1"/>
  <c r="S86" i="7"/>
  <c r="R86"/>
  <c r="N86"/>
  <c r="P86" s="1"/>
  <c r="O246" i="38" s="1"/>
  <c r="S85" i="7"/>
  <c r="R85"/>
  <c r="N85"/>
  <c r="P85" s="1"/>
  <c r="O245" i="38" s="1"/>
  <c r="S84" i="7"/>
  <c r="R84"/>
  <c r="N84"/>
  <c r="P84" s="1"/>
  <c r="O244" i="38" s="1"/>
  <c r="S83" i="7"/>
  <c r="R83"/>
  <c r="N83"/>
  <c r="P83" s="1"/>
  <c r="S82"/>
  <c r="R82"/>
  <c r="N82"/>
  <c r="P82" s="1"/>
  <c r="O242" i="38" s="1"/>
  <c r="S81" i="7"/>
  <c r="R23" i="83" s="1"/>
  <c r="H3" s="1"/>
  <c r="AF10" i="76" s="1"/>
  <c r="S80" i="7"/>
  <c r="R80"/>
  <c r="N80"/>
  <c r="P80" s="1"/>
  <c r="O172" i="38" s="1"/>
  <c r="S79" i="7"/>
  <c r="R79"/>
  <c r="N79"/>
  <c r="M171" i="38" s="1"/>
  <c r="S78" i="7"/>
  <c r="R78"/>
  <c r="N78"/>
  <c r="M170" i="38" s="1"/>
  <c r="S77" i="7"/>
  <c r="R77"/>
  <c r="N77"/>
  <c r="P77" s="1"/>
  <c r="O169" i="38" s="1"/>
  <c r="S76" i="7"/>
  <c r="R76"/>
  <c r="N76"/>
  <c r="M168" i="38" s="1"/>
  <c r="S75" i="7"/>
  <c r="R75"/>
  <c r="N75"/>
  <c r="P75" s="1"/>
  <c r="O167" i="38" s="1"/>
  <c r="S74" i="7"/>
  <c r="R74"/>
  <c r="N74"/>
  <c r="M166" i="38" s="1"/>
  <c r="S73" i="7"/>
  <c r="R73"/>
  <c r="N73"/>
  <c r="M165" i="38" s="1"/>
  <c r="S72" i="7"/>
  <c r="R72"/>
  <c r="N72"/>
  <c r="P72" s="1"/>
  <c r="O164" i="38" s="1"/>
  <c r="S71" i="7"/>
  <c r="R71"/>
  <c r="N71"/>
  <c r="M163" i="38" s="1"/>
  <c r="S70" i="7"/>
  <c r="R70"/>
  <c r="N70"/>
  <c r="M162" i="38" s="1"/>
  <c r="S69" i="7"/>
  <c r="R69"/>
  <c r="N69"/>
  <c r="P69" s="1"/>
  <c r="O161" i="38" s="1"/>
  <c r="S68" i="7"/>
  <c r="R68"/>
  <c r="N68"/>
  <c r="M160" i="38" s="1"/>
  <c r="S67" i="7"/>
  <c r="R67"/>
  <c r="N67"/>
  <c r="P67" s="1"/>
  <c r="O159" i="38" s="1"/>
  <c r="S66" i="7"/>
  <c r="R66"/>
  <c r="N66"/>
  <c r="M158" i="38" s="1"/>
  <c r="S65" i="7"/>
  <c r="R65"/>
  <c r="N65"/>
  <c r="M157" i="38" s="1"/>
  <c r="S64" i="7"/>
  <c r="R64"/>
  <c r="N64"/>
  <c r="P64" s="1"/>
  <c r="O156" i="38" s="1"/>
  <c r="S63" i="7"/>
  <c r="R63"/>
  <c r="N63"/>
  <c r="M155" i="38" s="1"/>
  <c r="S62" i="7"/>
  <c r="R62"/>
  <c r="N62"/>
  <c r="M154" i="38" s="1"/>
  <c r="S61" i="7"/>
  <c r="R61"/>
  <c r="N61"/>
  <c r="P61" s="1"/>
  <c r="O153" i="38" s="1"/>
  <c r="S60" i="7"/>
  <c r="R60"/>
  <c r="N60"/>
  <c r="M152" i="38" s="1"/>
  <c r="S59" i="7"/>
  <c r="R59"/>
  <c r="N59"/>
  <c r="P59" s="1"/>
  <c r="O151" i="38" s="1"/>
  <c r="S58" i="7"/>
  <c r="R58"/>
  <c r="N58"/>
  <c r="M150" i="38" s="1"/>
  <c r="S57" i="7"/>
  <c r="R57"/>
  <c r="N57"/>
  <c r="M149" i="38" s="1"/>
  <c r="S56" i="7"/>
  <c r="R56"/>
  <c r="N56"/>
  <c r="P56" s="1"/>
  <c r="O148" i="38" s="1"/>
  <c r="S55" i="7"/>
  <c r="R55"/>
  <c r="N55"/>
  <c r="M147" i="38" s="1"/>
  <c r="S54" i="7"/>
  <c r="R22" i="83" s="1"/>
  <c r="G3" s="1"/>
  <c r="AF9" i="76" s="1"/>
  <c r="L7" i="80" s="1"/>
  <c r="S53" i="7"/>
  <c r="R53"/>
  <c r="N53"/>
  <c r="P53" s="1"/>
  <c r="O89" i="38" s="1"/>
  <c r="S52" i="7"/>
  <c r="R52"/>
  <c r="N52"/>
  <c r="P52" s="1"/>
  <c r="O88" i="38" s="1"/>
  <c r="S51" i="7"/>
  <c r="R51"/>
  <c r="N51"/>
  <c r="P51" s="1"/>
  <c r="O87" i="38" s="1"/>
  <c r="S50" i="7"/>
  <c r="R50"/>
  <c r="N50"/>
  <c r="P50" s="1"/>
  <c r="O86" i="38" s="1"/>
  <c r="S49" i="7"/>
  <c r="R49"/>
  <c r="N49"/>
  <c r="P49" s="1"/>
  <c r="O85" i="38" s="1"/>
  <c r="S48" i="7"/>
  <c r="R48"/>
  <c r="N48"/>
  <c r="P48" s="1"/>
  <c r="O84" i="38" s="1"/>
  <c r="S47" i="7"/>
  <c r="R47"/>
  <c r="N47"/>
  <c r="P47" s="1"/>
  <c r="O83" i="38" s="1"/>
  <c r="S46" i="7"/>
  <c r="R46"/>
  <c r="N46"/>
  <c r="P46" s="1"/>
  <c r="O82" i="38" s="1"/>
  <c r="S45" i="7"/>
  <c r="R45"/>
  <c r="N45"/>
  <c r="P45" s="1"/>
  <c r="O81" i="38" s="1"/>
  <c r="S44" i="7"/>
  <c r="R44"/>
  <c r="N44"/>
  <c r="P44" s="1"/>
  <c r="O80" i="38" s="1"/>
  <c r="S43" i="7"/>
  <c r="R43"/>
  <c r="N43"/>
  <c r="P43" s="1"/>
  <c r="O79" i="38" s="1"/>
  <c r="S42" i="7"/>
  <c r="R42"/>
  <c r="N42"/>
  <c r="P42" s="1"/>
  <c r="O78" i="38" s="1"/>
  <c r="S41" i="7"/>
  <c r="R41"/>
  <c r="N41"/>
  <c r="P41" s="1"/>
  <c r="O77" i="38" s="1"/>
  <c r="S40" i="7"/>
  <c r="R40"/>
  <c r="N40"/>
  <c r="P40" s="1"/>
  <c r="O76" i="38" s="1"/>
  <c r="S39" i="7"/>
  <c r="R39"/>
  <c r="N39"/>
  <c r="P39" s="1"/>
  <c r="O75" i="38" s="1"/>
  <c r="S38" i="7"/>
  <c r="R38"/>
  <c r="N38"/>
  <c r="P38" s="1"/>
  <c r="O74" i="38" s="1"/>
  <c r="S37" i="7"/>
  <c r="R37"/>
  <c r="N37"/>
  <c r="P37" s="1"/>
  <c r="O73" i="38" s="1"/>
  <c r="S36" i="7"/>
  <c r="R36"/>
  <c r="N36"/>
  <c r="P36" s="1"/>
  <c r="O72" i="38" s="1"/>
  <c r="S35" i="7"/>
  <c r="R35"/>
  <c r="N35"/>
  <c r="P35" s="1"/>
  <c r="O71" i="38" s="1"/>
  <c r="S34" i="7"/>
  <c r="R34"/>
  <c r="N34"/>
  <c r="P34" s="1"/>
  <c r="O70" i="38" s="1"/>
  <c r="S33" i="7"/>
  <c r="R33"/>
  <c r="N33"/>
  <c r="P33" s="1"/>
  <c r="O69" i="38" s="1"/>
  <c r="S32" i="7"/>
  <c r="R32"/>
  <c r="N32"/>
  <c r="P32" s="1"/>
  <c r="O68" i="38" s="1"/>
  <c r="S31" i="7"/>
  <c r="R31"/>
  <c r="N31"/>
  <c r="P31" s="1"/>
  <c r="O67" i="38" s="1"/>
  <c r="S30" i="7"/>
  <c r="R30"/>
  <c r="N30"/>
  <c r="P30" s="1"/>
  <c r="O66" i="38" s="1"/>
  <c r="S29" i="7"/>
  <c r="R29"/>
  <c r="N29"/>
  <c r="P29" s="1"/>
  <c r="O65" i="38" s="1"/>
  <c r="S28" i="7"/>
  <c r="R28"/>
  <c r="N28"/>
  <c r="P28" s="1"/>
  <c r="O64" i="38" s="1"/>
  <c r="S27" i="7"/>
  <c r="S25" s="1"/>
  <c r="R21" i="83" s="1"/>
  <c r="R27" i="7"/>
  <c r="N27"/>
  <c r="P27" s="1"/>
  <c r="O63" i="38" s="1"/>
  <c r="N26" i="7"/>
  <c r="P26" s="1"/>
  <c r="N22"/>
  <c r="P22" s="1"/>
  <c r="N21"/>
  <c r="M17" i="83" s="1"/>
  <c r="N20" i="7"/>
  <c r="S19"/>
  <c r="R15" i="83" s="1"/>
  <c r="R19" i="7"/>
  <c r="Q15" i="83" s="1"/>
  <c r="N19" i="7"/>
  <c r="S18"/>
  <c r="R14" i="83" s="1"/>
  <c r="R18" i="7"/>
  <c r="Q14" i="83" s="1"/>
  <c r="N18" i="7"/>
  <c r="M443" i="38" s="1"/>
  <c r="S17" i="7"/>
  <c r="R13" i="83" s="1"/>
  <c r="R17" i="7"/>
  <c r="Q13" i="83" s="1"/>
  <c r="N17" i="7"/>
  <c r="P17" s="1"/>
  <c r="S16"/>
  <c r="N15"/>
  <c r="P15" s="1"/>
  <c r="N14"/>
  <c r="P14" s="1"/>
  <c r="N13"/>
  <c r="P13" s="1"/>
  <c r="S12"/>
  <c r="N11"/>
  <c r="P11" s="1"/>
  <c r="M222" i="72" s="1"/>
  <c r="S10" i="7"/>
  <c r="P221" i="72" s="1"/>
  <c r="R10" i="7"/>
  <c r="O221" i="72" s="1"/>
  <c r="N10" i="7"/>
  <c r="P10" s="1"/>
  <c r="M221" i="72" s="1"/>
  <c r="S9" i="7"/>
  <c r="P220" i="72" s="1"/>
  <c r="R9" i="7"/>
  <c r="O220" i="72" s="1"/>
  <c r="N9" i="7"/>
  <c r="P9" s="1"/>
  <c r="M220" i="72" s="1"/>
  <c r="S8" i="7"/>
  <c r="P219" i="72" s="1"/>
  <c r="R8" i="7"/>
  <c r="O219" i="72" s="1"/>
  <c r="N8" i="7"/>
  <c r="S7"/>
  <c r="P218" i="72" s="1"/>
  <c r="R7" i="7"/>
  <c r="O218" i="72" s="1"/>
  <c r="N7" i="7"/>
  <c r="P7" s="1"/>
  <c r="M218" i="72" s="1"/>
  <c r="S6" i="7"/>
  <c r="R9" i="83" s="1"/>
  <c r="D2" i="7"/>
  <c r="C2"/>
  <c r="B2"/>
  <c r="A2"/>
  <c r="P13" i="35"/>
  <c r="N13"/>
  <c r="M13"/>
  <c r="L13"/>
  <c r="K13"/>
  <c r="J13"/>
  <c r="I13"/>
  <c r="H13"/>
  <c r="G13"/>
  <c r="F13"/>
  <c r="E13"/>
  <c r="D13"/>
  <c r="C13"/>
  <c r="P12"/>
  <c r="N12"/>
  <c r="M12"/>
  <c r="L12"/>
  <c r="K12"/>
  <c r="J12"/>
  <c r="I12"/>
  <c r="H12"/>
  <c r="G12"/>
  <c r="F12"/>
  <c r="E12"/>
  <c r="D12"/>
  <c r="C12"/>
  <c r="B12"/>
  <c r="A12"/>
  <c r="R11"/>
  <c r="C11"/>
  <c r="A11"/>
  <c r="P10"/>
  <c r="N10"/>
  <c r="L10"/>
  <c r="K10"/>
  <c r="J10"/>
  <c r="I10"/>
  <c r="H10"/>
  <c r="G10"/>
  <c r="F10"/>
  <c r="E10"/>
  <c r="D10"/>
  <c r="C10"/>
  <c r="P9"/>
  <c r="N9"/>
  <c r="L9"/>
  <c r="K9"/>
  <c r="J9"/>
  <c r="I9"/>
  <c r="H9"/>
  <c r="G9"/>
  <c r="F9"/>
  <c r="E9"/>
  <c r="D9"/>
  <c r="C9"/>
  <c r="A9"/>
  <c r="P8"/>
  <c r="N8"/>
  <c r="L8"/>
  <c r="K8"/>
  <c r="J8"/>
  <c r="I8"/>
  <c r="H8"/>
  <c r="G8"/>
  <c r="F8"/>
  <c r="E8"/>
  <c r="D8"/>
  <c r="C8"/>
  <c r="P7"/>
  <c r="N7"/>
  <c r="L7"/>
  <c r="K7"/>
  <c r="J7"/>
  <c r="I7"/>
  <c r="H7"/>
  <c r="G7"/>
  <c r="F7"/>
  <c r="E7"/>
  <c r="D7"/>
  <c r="C7"/>
  <c r="A7"/>
  <c r="R6"/>
  <c r="C6"/>
  <c r="A6"/>
  <c r="C3"/>
  <c r="F2"/>
  <c r="C2"/>
  <c r="A2"/>
  <c r="R64" i="83"/>
  <c r="AU3" s="1"/>
  <c r="AF51" i="76" s="1"/>
  <c r="L49" i="80" s="1"/>
  <c r="R62" i="83"/>
  <c r="O61"/>
  <c r="AX4" s="1"/>
  <c r="AE54" i="76" s="1"/>
  <c r="K52" i="80" s="1"/>
  <c r="R59" i="83"/>
  <c r="R58"/>
  <c r="AS3" s="1"/>
  <c r="AF49" i="76" s="1"/>
  <c r="L47" i="80" s="1"/>
  <c r="R56" i="83"/>
  <c r="AQ3" s="1"/>
  <c r="AF47" i="76" s="1"/>
  <c r="L45" i="80" s="1"/>
  <c r="R52" i="83"/>
  <c r="AN3" s="1"/>
  <c r="AF43" i="76" s="1"/>
  <c r="L41" i="80" s="1"/>
  <c r="R47" i="83"/>
  <c r="AI3" s="1"/>
  <c r="AF38" i="76" s="1"/>
  <c r="L36" i="80" s="1"/>
  <c r="R45" i="83"/>
  <c r="R44"/>
  <c r="O44"/>
  <c r="R43"/>
  <c r="R42"/>
  <c r="O42"/>
  <c r="R41"/>
  <c r="R40"/>
  <c r="O40"/>
  <c r="R39"/>
  <c r="R38"/>
  <c r="R34"/>
  <c r="AG3" s="1"/>
  <c r="AF36" i="76" s="1"/>
  <c r="L34" i="80" s="1"/>
  <c r="R33" i="83"/>
  <c r="R32"/>
  <c r="R30"/>
  <c r="R18"/>
  <c r="Q18"/>
  <c r="P18"/>
  <c r="O18"/>
  <c r="N18"/>
  <c r="M18"/>
  <c r="L18"/>
  <c r="K18"/>
  <c r="R17"/>
  <c r="Q17"/>
  <c r="P17"/>
  <c r="N17"/>
  <c r="L17"/>
  <c r="K17"/>
  <c r="R16"/>
  <c r="Q16"/>
  <c r="P16"/>
  <c r="N16"/>
  <c r="L16"/>
  <c r="K16"/>
  <c r="P15"/>
  <c r="N15"/>
  <c r="L15"/>
  <c r="K15"/>
  <c r="P14"/>
  <c r="N14"/>
  <c r="L14"/>
  <c r="K14"/>
  <c r="P13"/>
  <c r="O13"/>
  <c r="N13"/>
  <c r="M13"/>
  <c r="L13"/>
  <c r="K13"/>
  <c r="R11"/>
  <c r="R10"/>
  <c r="B4"/>
  <c r="AY3"/>
  <c r="AF55" i="76" s="1"/>
  <c r="AT3" i="83"/>
  <c r="AF50" i="76" s="1"/>
  <c r="L48" i="80" s="1"/>
  <c r="AP3" i="83"/>
  <c r="AF46" i="76" s="1"/>
  <c r="L44" i="80" s="1"/>
  <c r="U3" i="83"/>
  <c r="AF24" i="76" s="1"/>
  <c r="P3" i="83"/>
  <c r="AF19" i="76" s="1"/>
  <c r="L17" i="80" s="1"/>
  <c r="B3" i="83"/>
  <c r="B2"/>
  <c r="A2"/>
  <c r="N175" i="6"/>
  <c r="P175" s="1"/>
  <c r="S174"/>
  <c r="S163" s="1"/>
  <c r="L32" i="1" s="1"/>
  <c r="R174" i="6"/>
  <c r="P174"/>
  <c r="O23" i="68" s="1"/>
  <c r="O22" s="1"/>
  <c r="M23"/>
  <c r="S173" i="6"/>
  <c r="R173"/>
  <c r="N173"/>
  <c r="M21" i="54" s="1"/>
  <c r="S172" i="6"/>
  <c r="R172"/>
  <c r="N172"/>
  <c r="M20" i="54" s="1"/>
  <c r="S171" i="6"/>
  <c r="R171"/>
  <c r="N171"/>
  <c r="P171" s="1"/>
  <c r="O240" i="38" s="1"/>
  <c r="S170" i="6"/>
  <c r="R170"/>
  <c r="N170"/>
  <c r="P170" s="1"/>
  <c r="O239" i="38" s="1"/>
  <c r="S169" i="6"/>
  <c r="R169"/>
  <c r="N169"/>
  <c r="P169" s="1"/>
  <c r="O238" i="38" s="1"/>
  <c r="S168" i="6"/>
  <c r="H3" s="1"/>
  <c r="R168"/>
  <c r="N168"/>
  <c r="P168" s="1"/>
  <c r="S167"/>
  <c r="I3" s="1"/>
  <c r="R167"/>
  <c r="P167"/>
  <c r="O312" i="38" s="1"/>
  <c r="O311" s="1"/>
  <c r="N167" i="6"/>
  <c r="S166"/>
  <c r="J3" s="1"/>
  <c r="AD12" i="76" s="1"/>
  <c r="R166" i="6"/>
  <c r="P166"/>
  <c r="J4" s="1"/>
  <c r="AC12" i="76" s="1"/>
  <c r="N166" i="6"/>
  <c r="N165"/>
  <c r="P165" s="1"/>
  <c r="N164"/>
  <c r="P164" s="1"/>
  <c r="N162"/>
  <c r="P162" s="1"/>
  <c r="J31" i="1" s="1"/>
  <c r="N161" i="6"/>
  <c r="P161" s="1"/>
  <c r="J30" i="1" s="1"/>
  <c r="N160" i="6"/>
  <c r="P160" s="1"/>
  <c r="N159"/>
  <c r="P159" s="1"/>
  <c r="N154"/>
  <c r="P154" s="1"/>
  <c r="S153"/>
  <c r="N152"/>
  <c r="P152" s="1"/>
  <c r="N150"/>
  <c r="P150" s="1"/>
  <c r="P149" s="1"/>
  <c r="S149"/>
  <c r="N138"/>
  <c r="P138" s="1"/>
  <c r="S137"/>
  <c r="N132"/>
  <c r="P132" s="1"/>
  <c r="P131" s="1"/>
  <c r="S131"/>
  <c r="N109"/>
  <c r="P109" s="1"/>
  <c r="P108" s="1"/>
  <c r="S108"/>
  <c r="S107"/>
  <c r="R107"/>
  <c r="N107"/>
  <c r="P107" s="1"/>
  <c r="O19" i="54" s="1"/>
  <c r="S106" i="6"/>
  <c r="R106"/>
  <c r="N106"/>
  <c r="P106" s="1"/>
  <c r="S105"/>
  <c r="N100"/>
  <c r="P100" s="1"/>
  <c r="P99" s="1"/>
  <c r="S99"/>
  <c r="N95"/>
  <c r="P95" s="1"/>
  <c r="P94" s="1"/>
  <c r="S94"/>
  <c r="N88"/>
  <c r="P88" s="1"/>
  <c r="P87" s="1"/>
  <c r="S87"/>
  <c r="N81"/>
  <c r="P81" s="1"/>
  <c r="P80" s="1"/>
  <c r="S80"/>
  <c r="N68"/>
  <c r="P68" s="1"/>
  <c r="P67" s="1"/>
  <c r="S67"/>
  <c r="S60" s="1"/>
  <c r="N62"/>
  <c r="P62" s="1"/>
  <c r="P61" s="1"/>
  <c r="S61"/>
  <c r="N57"/>
  <c r="P57" s="1"/>
  <c r="P56" s="1"/>
  <c r="S56"/>
  <c r="N54"/>
  <c r="P54" s="1"/>
  <c r="P53" s="1"/>
  <c r="S53"/>
  <c r="N46"/>
  <c r="P46" s="1"/>
  <c r="P45" s="1"/>
  <c r="S45"/>
  <c r="N35"/>
  <c r="P35" s="1"/>
  <c r="P34" s="1"/>
  <c r="S34"/>
  <c r="N28"/>
  <c r="P28" s="1"/>
  <c r="P27" s="1"/>
  <c r="S27"/>
  <c r="S8" s="1"/>
  <c r="L29" i="1" s="1"/>
  <c r="K12" i="6"/>
  <c r="S9"/>
  <c r="K9"/>
  <c r="I4"/>
  <c r="B4"/>
  <c r="AA3"/>
  <c r="AD30" i="76" s="1"/>
  <c r="O3" i="6"/>
  <c r="B3"/>
  <c r="B2"/>
  <c r="A2"/>
  <c r="M29" i="5"/>
  <c r="O29" s="1"/>
  <c r="Q28"/>
  <c r="O28"/>
  <c r="O17" i="23" s="1"/>
  <c r="O16" s="1"/>
  <c r="M28" i="5"/>
  <c r="R27"/>
  <c r="Q27"/>
  <c r="O27"/>
  <c r="O34" i="24" s="1"/>
  <c r="M27" i="5"/>
  <c r="M34" i="24" s="1"/>
  <c r="R26" i="5"/>
  <c r="Q26"/>
  <c r="O26"/>
  <c r="AT4" s="1"/>
  <c r="M50" i="76" s="1"/>
  <c r="M26" i="5"/>
  <c r="M33" i="24" s="1"/>
  <c r="R25" i="5"/>
  <c r="R24"/>
  <c r="Q24"/>
  <c r="M24"/>
  <c r="M31" i="41" s="1"/>
  <c r="R23" i="5"/>
  <c r="Q23"/>
  <c r="M23"/>
  <c r="M30" i="41" s="1"/>
  <c r="M21" i="5"/>
  <c r="O21" s="1"/>
  <c r="M216" i="72" s="1"/>
  <c r="M215" s="1"/>
  <c r="M214" s="1"/>
  <c r="M20" i="5"/>
  <c r="O20" s="1"/>
  <c r="O19" s="1"/>
  <c r="R19"/>
  <c r="M18"/>
  <c r="O18" s="1"/>
  <c r="M17"/>
  <c r="O17" s="1"/>
  <c r="M16"/>
  <c r="O16" s="1"/>
  <c r="M15"/>
  <c r="O15" s="1"/>
  <c r="R14"/>
  <c r="R12" s="1"/>
  <c r="M13"/>
  <c r="O13" s="1"/>
  <c r="R10"/>
  <c r="H3" s="1"/>
  <c r="N10" i="76" s="1"/>
  <c r="Q10" i="5"/>
  <c r="M10"/>
  <c r="O10" s="1"/>
  <c r="R9"/>
  <c r="G3" s="1"/>
  <c r="N9" i="76" s="1"/>
  <c r="Q9" i="5"/>
  <c r="M9"/>
  <c r="M145" i="38" s="1"/>
  <c r="R8" i="5"/>
  <c r="Q8"/>
  <c r="M8"/>
  <c r="O8" s="1"/>
  <c r="B4"/>
  <c r="AT3"/>
  <c r="N50" i="76" s="1"/>
  <c r="AQ3" i="5"/>
  <c r="N47" i="76" s="1"/>
  <c r="R3" i="5"/>
  <c r="N21" i="76" s="1"/>
  <c r="B3" i="5"/>
  <c r="B2"/>
  <c r="A2"/>
  <c r="S280" i="15"/>
  <c r="R280"/>
  <c r="N280"/>
  <c r="M28" i="41" s="1"/>
  <c r="S279" i="15"/>
  <c r="R279"/>
  <c r="N279"/>
  <c r="S278"/>
  <c r="P213" i="72" s="1"/>
  <c r="P212" s="1"/>
  <c r="R278" i="15"/>
  <c r="O213" i="72" s="1"/>
  <c r="N278" i="15"/>
  <c r="K213" i="72" s="1"/>
  <c r="S277" i="15"/>
  <c r="R87" i="82" s="1"/>
  <c r="R86" s="1"/>
  <c r="L26" i="1" s="1"/>
  <c r="S275" i="15"/>
  <c r="R275"/>
  <c r="N275"/>
  <c r="S274"/>
  <c r="R85" i="82" s="1"/>
  <c r="S273" i="15"/>
  <c r="R273"/>
  <c r="N273"/>
  <c r="M14" i="53" s="1"/>
  <c r="S272" i="15"/>
  <c r="R272"/>
  <c r="N272"/>
  <c r="M13" i="53" s="1"/>
  <c r="S271" i="15"/>
  <c r="R84" i="82" s="1"/>
  <c r="S270" i="15"/>
  <c r="R270"/>
  <c r="N270"/>
  <c r="M31" i="24" s="1"/>
  <c r="S269" i="15"/>
  <c r="R269"/>
  <c r="N269"/>
  <c r="M30" i="24" s="1"/>
  <c r="S268" i="15"/>
  <c r="R268"/>
  <c r="N268"/>
  <c r="M29" i="24" s="1"/>
  <c r="S267" i="15"/>
  <c r="R267"/>
  <c r="N267"/>
  <c r="M28" i="24" s="1"/>
  <c r="S266" i="15"/>
  <c r="R266"/>
  <c r="N266"/>
  <c r="M27" i="24" s="1"/>
  <c r="S265" i="15"/>
  <c r="R265"/>
  <c r="N265"/>
  <c r="M26" i="24" s="1"/>
  <c r="S264" i="15"/>
  <c r="R264"/>
  <c r="N264"/>
  <c r="P264" s="1"/>
  <c r="O25" i="24" s="1"/>
  <c r="S263" i="15"/>
  <c r="R263"/>
  <c r="N263"/>
  <c r="M24" i="24" s="1"/>
  <c r="S262" i="15"/>
  <c r="R83" i="82" s="1"/>
  <c r="S261" i="15"/>
  <c r="R261"/>
  <c r="N261"/>
  <c r="P261" s="1"/>
  <c r="O16" i="32" s="1"/>
  <c r="S260" i="15"/>
  <c r="R260"/>
  <c r="N260"/>
  <c r="S259"/>
  <c r="R82" i="82" s="1"/>
  <c r="S258" i="15"/>
  <c r="R258"/>
  <c r="N258"/>
  <c r="M19" i="42" s="1"/>
  <c r="S257" i="15"/>
  <c r="R257"/>
  <c r="N257"/>
  <c r="M18" i="42" s="1"/>
  <c r="S256" i="15"/>
  <c r="R81" i="82" s="1"/>
  <c r="S255" i="15"/>
  <c r="R255"/>
  <c r="N255"/>
  <c r="S254"/>
  <c r="R254"/>
  <c r="N254"/>
  <c r="S253"/>
  <c r="R80" i="82" s="1"/>
  <c r="S252" i="15"/>
  <c r="R252"/>
  <c r="N252"/>
  <c r="M21" i="31" s="1"/>
  <c r="S251" i="15"/>
  <c r="R251"/>
  <c r="N251"/>
  <c r="M20" i="31" s="1"/>
  <c r="S250" i="15"/>
  <c r="R79" i="82" s="1"/>
  <c r="S248" i="15"/>
  <c r="S246" s="1"/>
  <c r="R77" i="82" s="1"/>
  <c r="AO3" s="1"/>
  <c r="Z44" i="76" s="1"/>
  <c r="R248" i="15"/>
  <c r="N248"/>
  <c r="M8" i="75" s="1"/>
  <c r="S247" i="15"/>
  <c r="R247"/>
  <c r="N247"/>
  <c r="P247" s="1"/>
  <c r="S245"/>
  <c r="S244" s="1"/>
  <c r="R76" i="82" s="1"/>
  <c r="R245" i="15"/>
  <c r="N245"/>
  <c r="P245" s="1"/>
  <c r="O8" i="70" s="1"/>
  <c r="S243" i="15"/>
  <c r="R243"/>
  <c r="N243"/>
  <c r="S242"/>
  <c r="R242"/>
  <c r="N242"/>
  <c r="S241"/>
  <c r="R241"/>
  <c r="N241"/>
  <c r="S240"/>
  <c r="R240"/>
  <c r="N240"/>
  <c r="S239"/>
  <c r="R75" i="82" s="1"/>
  <c r="AM3" s="1"/>
  <c r="Z42" i="76" s="1"/>
  <c r="S238" i="15"/>
  <c r="R238"/>
  <c r="N238"/>
  <c r="M25" i="41" s="1"/>
  <c r="S237" i="15"/>
  <c r="S235" s="1"/>
  <c r="R74" i="82" s="1"/>
  <c r="R237" i="15"/>
  <c r="N237"/>
  <c r="M24" i="41" s="1"/>
  <c r="S236" i="15"/>
  <c r="R236"/>
  <c r="N236"/>
  <c r="M23" i="41" s="1"/>
  <c r="S234" i="15"/>
  <c r="R234"/>
  <c r="N234"/>
  <c r="M22" i="20" s="1"/>
  <c r="S233" i="15"/>
  <c r="S232" s="1"/>
  <c r="R73" i="82" s="1"/>
  <c r="R233" i="15"/>
  <c r="N233"/>
  <c r="M21" i="20" s="1"/>
  <c r="S231" i="15"/>
  <c r="R231"/>
  <c r="N231"/>
  <c r="S230"/>
  <c r="R230"/>
  <c r="N230"/>
  <c r="S229"/>
  <c r="R229"/>
  <c r="N229"/>
  <c r="S228"/>
  <c r="R228"/>
  <c r="N228"/>
  <c r="P228" s="1"/>
  <c r="O57" i="30" s="1"/>
  <c r="S227" i="15"/>
  <c r="R227"/>
  <c r="N227"/>
  <c r="S226"/>
  <c r="R226"/>
  <c r="N226"/>
  <c r="S225"/>
  <c r="R225"/>
  <c r="N225"/>
  <c r="S224"/>
  <c r="R224"/>
  <c r="N224"/>
  <c r="S223"/>
  <c r="R223"/>
  <c r="N223"/>
  <c r="S222"/>
  <c r="R222"/>
  <c r="N222"/>
  <c r="S221"/>
  <c r="R221"/>
  <c r="N221"/>
  <c r="S220"/>
  <c r="R220"/>
  <c r="N220"/>
  <c r="S219"/>
  <c r="R219"/>
  <c r="N219"/>
  <c r="S218"/>
  <c r="R218"/>
  <c r="N218"/>
  <c r="S217"/>
  <c r="R217"/>
  <c r="N217"/>
  <c r="S216"/>
  <c r="R216"/>
  <c r="N216"/>
  <c r="P216" s="1"/>
  <c r="O45" i="30" s="1"/>
  <c r="S215" i="15"/>
  <c r="R215"/>
  <c r="N215"/>
  <c r="N212"/>
  <c r="P212" s="1"/>
  <c r="P211" s="1"/>
  <c r="O70" i="82" s="1"/>
  <c r="S211" i="15"/>
  <c r="R70" i="82" s="1"/>
  <c r="S210" i="15"/>
  <c r="R210"/>
  <c r="N210"/>
  <c r="S209"/>
  <c r="R209"/>
  <c r="N209"/>
  <c r="S208"/>
  <c r="N207"/>
  <c r="P207" s="1"/>
  <c r="N206"/>
  <c r="P206" s="1"/>
  <c r="S205"/>
  <c r="S204"/>
  <c r="R204"/>
  <c r="N204"/>
  <c r="M10" i="35" s="1"/>
  <c r="S203" i="15"/>
  <c r="R203"/>
  <c r="N203"/>
  <c r="M9" i="35" s="1"/>
  <c r="S202" i="15"/>
  <c r="R67" i="82" s="1"/>
  <c r="N201" i="15"/>
  <c r="P201" s="1"/>
  <c r="P200" s="1"/>
  <c r="O66" i="82" s="1"/>
  <c r="S200" i="15"/>
  <c r="R199"/>
  <c r="N199"/>
  <c r="M18" i="45" s="1"/>
  <c r="R198" i="15"/>
  <c r="N198"/>
  <c r="M17" i="45" s="1"/>
  <c r="S197" i="15"/>
  <c r="R65" i="82" s="1"/>
  <c r="S196" i="15"/>
  <c r="R196"/>
  <c r="N196"/>
  <c r="S195"/>
  <c r="R195"/>
  <c r="N195"/>
  <c r="S194"/>
  <c r="R194"/>
  <c r="N194"/>
  <c r="S193"/>
  <c r="R193"/>
  <c r="N193"/>
  <c r="S192"/>
  <c r="R192"/>
  <c r="N192"/>
  <c r="S191"/>
  <c r="R64" i="82" s="1"/>
  <c r="P3" s="1"/>
  <c r="Z19" i="76" s="1"/>
  <c r="S189" i="15"/>
  <c r="R189"/>
  <c r="N189"/>
  <c r="M14" i="37" s="1"/>
  <c r="S188" i="15"/>
  <c r="R188"/>
  <c r="N188"/>
  <c r="M13" i="37" s="1"/>
  <c r="S187" i="15"/>
  <c r="R62" i="82" s="1"/>
  <c r="S186" i="15"/>
  <c r="R186"/>
  <c r="N186"/>
  <c r="P186" s="1"/>
  <c r="O413" i="38" s="1"/>
  <c r="S185" i="15"/>
  <c r="R185"/>
  <c r="N185"/>
  <c r="P185" s="1"/>
  <c r="S184"/>
  <c r="R61" i="82" s="1"/>
  <c r="S183" i="15"/>
  <c r="R183"/>
  <c r="N183"/>
  <c r="P183" s="1"/>
  <c r="O361" i="38" s="1"/>
  <c r="S182" i="15"/>
  <c r="R182"/>
  <c r="N182"/>
  <c r="M360" i="38" s="1"/>
  <c r="S181" i="15"/>
  <c r="R60" i="82" s="1"/>
  <c r="S180" i="15"/>
  <c r="R180"/>
  <c r="N180"/>
  <c r="P180" s="1"/>
  <c r="O310" i="38" s="1"/>
  <c r="S179" i="15"/>
  <c r="R179"/>
  <c r="N179"/>
  <c r="P179" s="1"/>
  <c r="O309" i="38" s="1"/>
  <c r="S178" i="15"/>
  <c r="R178"/>
  <c r="N178"/>
  <c r="P178" s="1"/>
  <c r="O308" i="38" s="1"/>
  <c r="S177" i="15"/>
  <c r="R177"/>
  <c r="N177"/>
  <c r="P177" s="1"/>
  <c r="O307" i="38" s="1"/>
  <c r="S176" i="15"/>
  <c r="R59" i="82" s="1"/>
  <c r="S175" i="15"/>
  <c r="R175"/>
  <c r="N175"/>
  <c r="P175" s="1"/>
  <c r="O233" i="38" s="1"/>
  <c r="S174" i="15"/>
  <c r="R174"/>
  <c r="N174"/>
  <c r="P174" s="1"/>
  <c r="O232" i="38" s="1"/>
  <c r="S173" i="15"/>
  <c r="R58" i="82" s="1"/>
  <c r="S172" i="15"/>
  <c r="R172"/>
  <c r="N172"/>
  <c r="P172" s="1"/>
  <c r="O143" i="38" s="1"/>
  <c r="S171" i="15"/>
  <c r="R171"/>
  <c r="N171"/>
  <c r="P171" s="1"/>
  <c r="O142" i="38" s="1"/>
  <c r="S170" i="15"/>
  <c r="R170"/>
  <c r="N170"/>
  <c r="P170" s="1"/>
  <c r="O141" i="38" s="1"/>
  <c r="S169" i="15"/>
  <c r="R169"/>
  <c r="N169"/>
  <c r="P169" s="1"/>
  <c r="S168"/>
  <c r="S167"/>
  <c r="R167"/>
  <c r="N167"/>
  <c r="P167" s="1"/>
  <c r="O139" i="38" s="1"/>
  <c r="S166" i="15"/>
  <c r="R166"/>
  <c r="N166"/>
  <c r="P166" s="1"/>
  <c r="O138" i="38" s="1"/>
  <c r="S165" i="15"/>
  <c r="R165"/>
  <c r="N165"/>
  <c r="P165" s="1"/>
  <c r="O137" i="38" s="1"/>
  <c r="S164" i="15"/>
  <c r="R164"/>
  <c r="N164"/>
  <c r="P164" s="1"/>
  <c r="O136" i="38" s="1"/>
  <c r="S163" i="15"/>
  <c r="R163"/>
  <c r="N163"/>
  <c r="P163" s="1"/>
  <c r="O135" i="38" s="1"/>
  <c r="S162" i="15"/>
  <c r="R162"/>
  <c r="N162"/>
  <c r="P162" s="1"/>
  <c r="O134" i="38" s="1"/>
  <c r="S161" i="15"/>
  <c r="R161"/>
  <c r="N161"/>
  <c r="P161" s="1"/>
  <c r="O133" i="38" s="1"/>
  <c r="S159" i="15"/>
  <c r="R159"/>
  <c r="N159"/>
  <c r="P159" s="1"/>
  <c r="O53" i="38" s="1"/>
  <c r="S158" i="15"/>
  <c r="R158"/>
  <c r="N158"/>
  <c r="P158" s="1"/>
  <c r="O52" i="38" s="1"/>
  <c r="S157" i="15"/>
  <c r="R157"/>
  <c r="N157"/>
  <c r="S156"/>
  <c r="R156"/>
  <c r="N156"/>
  <c r="S155"/>
  <c r="R155"/>
  <c r="N155"/>
  <c r="P155" s="1"/>
  <c r="O49" i="38" s="1"/>
  <c r="S154" i="15"/>
  <c r="R154"/>
  <c r="N154"/>
  <c r="P154" s="1"/>
  <c r="O48" i="38" s="1"/>
  <c r="S153" i="15"/>
  <c r="S152"/>
  <c r="R152"/>
  <c r="N152"/>
  <c r="S151"/>
  <c r="R151"/>
  <c r="N151"/>
  <c r="S150"/>
  <c r="R150"/>
  <c r="N150"/>
  <c r="P150" s="1"/>
  <c r="O45" i="38" s="1"/>
  <c r="S149" i="15"/>
  <c r="R149"/>
  <c r="N149"/>
  <c r="P149" s="1"/>
  <c r="O44" i="38" s="1"/>
  <c r="S148" i="15"/>
  <c r="R148"/>
  <c r="N148"/>
  <c r="S147"/>
  <c r="R147"/>
  <c r="N147"/>
  <c r="N143"/>
  <c r="P143" s="1"/>
  <c r="O53" i="82" s="1"/>
  <c r="N142" i="15"/>
  <c r="P142" s="1"/>
  <c r="O52" i="82" s="1"/>
  <c r="S141" i="15"/>
  <c r="R141"/>
  <c r="N141"/>
  <c r="M51" i="82" s="1"/>
  <c r="S140" i="15"/>
  <c r="R50" i="82" s="1"/>
  <c r="R140" i="15"/>
  <c r="Q50" i="82" s="1"/>
  <c r="N140" i="15"/>
  <c r="S139"/>
  <c r="R139"/>
  <c r="N139"/>
  <c r="M49" i="82" s="1"/>
  <c r="S138" i="15"/>
  <c r="R138"/>
  <c r="Q48" i="82" s="1"/>
  <c r="N138" i="15"/>
  <c r="M48" i="82" s="1"/>
  <c r="S137" i="15"/>
  <c r="R137"/>
  <c r="Q47" i="82" s="1"/>
  <c r="N137" i="15"/>
  <c r="P137" s="1"/>
  <c r="O47" i="82" s="1"/>
  <c r="S134" i="15"/>
  <c r="R134"/>
  <c r="N134"/>
  <c r="P134" s="1"/>
  <c r="M155" i="72" s="1"/>
  <c r="S133" i="15"/>
  <c r="R133"/>
  <c r="N133"/>
  <c r="P133" s="1"/>
  <c r="S132"/>
  <c r="R45" i="82" s="1"/>
  <c r="BA3" s="1"/>
  <c r="Z57" i="76" s="1"/>
  <c r="J55" i="80" s="1"/>
  <c r="S131" i="15"/>
  <c r="P152" i="72" s="1"/>
  <c r="R131" i="15"/>
  <c r="O152" i="72" s="1"/>
  <c r="N131" i="15"/>
  <c r="K152" i="72" s="1"/>
  <c r="S130" i="15"/>
  <c r="P151" i="72" s="1"/>
  <c r="R130" i="15"/>
  <c r="N130"/>
  <c r="K151" i="72" s="1"/>
  <c r="S129" i="15"/>
  <c r="R44" i="82" s="1"/>
  <c r="AX3" s="1"/>
  <c r="Z54" i="76" s="1"/>
  <c r="J52" i="80" s="1"/>
  <c r="S128" i="15"/>
  <c r="R128"/>
  <c r="N128"/>
  <c r="K149" i="72" s="1"/>
  <c r="S127" i="15"/>
  <c r="R127"/>
  <c r="N127"/>
  <c r="P127" s="1"/>
  <c r="S126"/>
  <c r="R43" i="82" s="1"/>
  <c r="S125" i="15"/>
  <c r="R125"/>
  <c r="N125"/>
  <c r="K146" i="72" s="1"/>
  <c r="S124" i="15"/>
  <c r="R124"/>
  <c r="N124"/>
  <c r="P124" s="1"/>
  <c r="S123"/>
  <c r="R42" i="82" s="1"/>
  <c r="AZ3" s="1"/>
  <c r="Z56" i="76" s="1"/>
  <c r="J54" i="80" s="1"/>
  <c r="S122" i="15"/>
  <c r="R122"/>
  <c r="N122"/>
  <c r="S121"/>
  <c r="R121"/>
  <c r="N121"/>
  <c r="S120"/>
  <c r="R41" i="82" s="1"/>
  <c r="S119" i="15"/>
  <c r="R119"/>
  <c r="N119"/>
  <c r="K188" i="72" s="1"/>
  <c r="S118" i="15"/>
  <c r="R118"/>
  <c r="N118"/>
  <c r="K210" i="72" s="1"/>
  <c r="S117" i="15"/>
  <c r="R117"/>
  <c r="N117"/>
  <c r="P117" s="1"/>
  <c r="S116"/>
  <c r="R116"/>
  <c r="N116"/>
  <c r="M20" i="24" s="1"/>
  <c r="S115" i="15"/>
  <c r="R115"/>
  <c r="N115"/>
  <c r="K185" i="72" s="1"/>
  <c r="S114" i="15"/>
  <c r="R114"/>
  <c r="N114"/>
  <c r="K184" i="72" s="1"/>
  <c r="S113" i="15"/>
  <c r="R40" i="82" s="1"/>
  <c r="S112" i="15"/>
  <c r="R112"/>
  <c r="N112"/>
  <c r="K182" i="72" s="1"/>
  <c r="S111" i="15"/>
  <c r="R111"/>
  <c r="N111"/>
  <c r="K181" i="72" s="1"/>
  <c r="S110" i="15"/>
  <c r="R110"/>
  <c r="N110"/>
  <c r="S109"/>
  <c r="R39" i="82" s="1"/>
  <c r="S108" i="15"/>
  <c r="R108"/>
  <c r="N108"/>
  <c r="K206" i="72" s="1"/>
  <c r="S107" i="15"/>
  <c r="R107"/>
  <c r="N107"/>
  <c r="K205" i="72" s="1"/>
  <c r="S106" i="15"/>
  <c r="R106"/>
  <c r="N106"/>
  <c r="K178" i="72" s="1"/>
  <c r="S105" i="15"/>
  <c r="R105"/>
  <c r="N105"/>
  <c r="M14" i="42" s="1"/>
  <c r="S104" i="15"/>
  <c r="R104"/>
  <c r="N104"/>
  <c r="M13" i="42" s="1"/>
  <c r="S103" i="15"/>
  <c r="R103"/>
  <c r="N103"/>
  <c r="K175" i="72" s="1"/>
  <c r="S102" i="15"/>
  <c r="R102"/>
  <c r="N102"/>
  <c r="M11" i="42" s="1"/>
  <c r="S101" i="15"/>
  <c r="S100"/>
  <c r="R100"/>
  <c r="N100"/>
  <c r="P100" s="1"/>
  <c r="M172" i="72" s="1"/>
  <c r="M171" s="1"/>
  <c r="S99" i="15"/>
  <c r="R37" i="82" s="1"/>
  <c r="S98" i="15"/>
  <c r="R98"/>
  <c r="N98"/>
  <c r="S97"/>
  <c r="R97"/>
  <c r="N97"/>
  <c r="P97" s="1"/>
  <c r="S96"/>
  <c r="R96"/>
  <c r="N96"/>
  <c r="S95"/>
  <c r="R95"/>
  <c r="N95"/>
  <c r="S94"/>
  <c r="R94"/>
  <c r="N94"/>
  <c r="S93"/>
  <c r="R36" i="82" s="1"/>
  <c r="S91" i="15"/>
  <c r="R91"/>
  <c r="N91"/>
  <c r="M7" i="70" s="1"/>
  <c r="S90" i="15"/>
  <c r="R34" i="82" s="1"/>
  <c r="S89" i="15"/>
  <c r="P164" i="72" s="1"/>
  <c r="P163" s="1"/>
  <c r="R89" i="15"/>
  <c r="O164" i="72" s="1"/>
  <c r="N89" i="15"/>
  <c r="K164" i="72" s="1"/>
  <c r="S87" i="15"/>
  <c r="P204" i="72" s="1"/>
  <c r="R87" i="15"/>
  <c r="O204" i="72" s="1"/>
  <c r="N87" i="15"/>
  <c r="S86"/>
  <c r="P203" i="72" s="1"/>
  <c r="R86" i="15"/>
  <c r="O203" i="72" s="1"/>
  <c r="N86" i="15"/>
  <c r="S85"/>
  <c r="P202" i="72" s="1"/>
  <c r="R85" i="15"/>
  <c r="O202" i="72" s="1"/>
  <c r="N85" i="15"/>
  <c r="S84"/>
  <c r="P162" i="72" s="1"/>
  <c r="P161" s="1"/>
  <c r="R84" i="15"/>
  <c r="O162" i="72" s="1"/>
  <c r="N84" i="15"/>
  <c r="S83"/>
  <c r="R32" i="82" s="1"/>
  <c r="S82" i="15"/>
  <c r="P201" i="72" s="1"/>
  <c r="R82" i="15"/>
  <c r="O201" i="72" s="1"/>
  <c r="N82" i="15"/>
  <c r="K201" i="72" s="1"/>
  <c r="S81" i="15"/>
  <c r="P200" i="72" s="1"/>
  <c r="R81" i="15"/>
  <c r="O200" i="72" s="1"/>
  <c r="N81" i="15"/>
  <c r="K200" i="72" s="1"/>
  <c r="S80" i="15"/>
  <c r="P199" i="72" s="1"/>
  <c r="R80" i="15"/>
  <c r="O199" i="72" s="1"/>
  <c r="N80" i="15"/>
  <c r="K199" i="72" s="1"/>
  <c r="S79" i="15"/>
  <c r="P198" i="72" s="1"/>
  <c r="R79" i="15"/>
  <c r="O198" i="72" s="1"/>
  <c r="N79" i="15"/>
  <c r="K198" i="72" s="1"/>
  <c r="S78" i="15"/>
  <c r="P197" i="72" s="1"/>
  <c r="R78" i="15"/>
  <c r="O197" i="72" s="1"/>
  <c r="N78" i="15"/>
  <c r="K197" i="72" s="1"/>
  <c r="S77" i="15"/>
  <c r="P160" i="72" s="1"/>
  <c r="P159" s="1"/>
  <c r="R77" i="15"/>
  <c r="O160" i="72" s="1"/>
  <c r="N77" i="15"/>
  <c r="K160" i="72" s="1"/>
  <c r="S75" i="15"/>
  <c r="P158" i="72" s="1"/>
  <c r="R75" i="15"/>
  <c r="O158" i="72" s="1"/>
  <c r="N75" i="15"/>
  <c r="M10" i="40" s="1"/>
  <c r="S74" i="15"/>
  <c r="P157" i="72" s="1"/>
  <c r="R74" i="15"/>
  <c r="O157" i="72" s="1"/>
  <c r="N74" i="15"/>
  <c r="S71"/>
  <c r="R71"/>
  <c r="N71"/>
  <c r="M132" i="38" s="1"/>
  <c r="S70" i="15"/>
  <c r="R27" i="82" s="1"/>
  <c r="R70" i="15"/>
  <c r="N70"/>
  <c r="M41" i="38" s="1"/>
  <c r="S69" i="15"/>
  <c r="N68"/>
  <c r="P68" s="1"/>
  <c r="N67"/>
  <c r="P67" s="1"/>
  <c r="N66"/>
  <c r="P66" s="1"/>
  <c r="S65"/>
  <c r="R26" i="82" s="1"/>
  <c r="Z3" s="1"/>
  <c r="Z29" i="76" s="1"/>
  <c r="N63" i="15"/>
  <c r="S62"/>
  <c r="R62"/>
  <c r="N62"/>
  <c r="S61"/>
  <c r="R24" i="82" s="1"/>
  <c r="AE3" s="1"/>
  <c r="Z34" i="76" s="1"/>
  <c r="S60" i="15"/>
  <c r="R60"/>
  <c r="N60"/>
  <c r="K208" i="72" s="1"/>
  <c r="S59" i="15"/>
  <c r="R23" i="82" s="1"/>
  <c r="N58" i="15"/>
  <c r="P58" s="1"/>
  <c r="N57"/>
  <c r="P57" s="1"/>
  <c r="N56"/>
  <c r="K193" i="72" s="1"/>
  <c r="S55" i="15"/>
  <c r="R22" i="82" s="1"/>
  <c r="N54" i="15"/>
  <c r="K143" i="72" s="1"/>
  <c r="S53" i="15"/>
  <c r="R21" i="82" s="1"/>
  <c r="S52" i="15"/>
  <c r="R52"/>
  <c r="N52"/>
  <c r="S51"/>
  <c r="R51"/>
  <c r="N51"/>
  <c r="S50"/>
  <c r="R20" i="82" s="1"/>
  <c r="S49" i="15"/>
  <c r="R49"/>
  <c r="N49"/>
  <c r="S48"/>
  <c r="R48"/>
  <c r="N48"/>
  <c r="S47"/>
  <c r="R19" i="82" s="1"/>
  <c r="N46" i="15"/>
  <c r="K134" i="72" s="1"/>
  <c r="N45" i="15"/>
  <c r="K133" i="72" s="1"/>
  <c r="N44" i="15"/>
  <c r="N43"/>
  <c r="K130" i="72" s="1"/>
  <c r="S42" i="15"/>
  <c r="R18" i="82" s="1"/>
  <c r="S40" i="15"/>
  <c r="R40"/>
  <c r="N40"/>
  <c r="S39"/>
  <c r="R39"/>
  <c r="N39"/>
  <c r="P39" s="1"/>
  <c r="S38"/>
  <c r="R16" i="82" s="1"/>
  <c r="S37" i="15"/>
  <c r="R37"/>
  <c r="N37"/>
  <c r="P37" s="1"/>
  <c r="O411" i="38" s="1"/>
  <c r="S36" i="15"/>
  <c r="P142" i="72" s="1"/>
  <c r="P141" s="1"/>
  <c r="R36" i="15"/>
  <c r="O142" i="72" s="1"/>
  <c r="N36" i="15"/>
  <c r="K142" i="72" s="1"/>
  <c r="S34" i="15"/>
  <c r="P125" i="72" s="1"/>
  <c r="R34" i="15"/>
  <c r="O125" i="72" s="1"/>
  <c r="N34" i="15"/>
  <c r="S33"/>
  <c r="P196" i="72" s="1"/>
  <c r="R33" i="15"/>
  <c r="O196" i="72" s="1"/>
  <c r="N33" i="15"/>
  <c r="M358" i="38" s="1"/>
  <c r="S32" i="15"/>
  <c r="P195" i="72" s="1"/>
  <c r="R32" i="15"/>
  <c r="O195" i="72" s="1"/>
  <c r="N32" i="15"/>
  <c r="S31"/>
  <c r="P124" i="72" s="1"/>
  <c r="R31" i="15"/>
  <c r="O124" i="72" s="1"/>
  <c r="N31" i="15"/>
  <c r="S30"/>
  <c r="P123" i="72" s="1"/>
  <c r="R30" i="15"/>
  <c r="O123" i="72" s="1"/>
  <c r="N30" i="15"/>
  <c r="S29"/>
  <c r="R14" i="82" s="1"/>
  <c r="S28" i="15"/>
  <c r="P121" i="72" s="1"/>
  <c r="R28" i="15"/>
  <c r="O121" i="72" s="1"/>
  <c r="N28" i="15"/>
  <c r="K121" i="72" s="1"/>
  <c r="S27" i="15"/>
  <c r="P120" i="72" s="1"/>
  <c r="R27" i="15"/>
  <c r="O120" i="72" s="1"/>
  <c r="N27" i="15"/>
  <c r="K120" i="72" s="1"/>
  <c r="S26" i="15"/>
  <c r="R13" i="82" s="1"/>
  <c r="S25" i="15"/>
  <c r="P118" i="72" s="1"/>
  <c r="R25" i="15"/>
  <c r="O118" i="72" s="1"/>
  <c r="N25" i="15"/>
  <c r="M230" i="38" s="1"/>
  <c r="S24" i="15"/>
  <c r="P117" i="72" s="1"/>
  <c r="R24" i="15"/>
  <c r="O117" i="72" s="1"/>
  <c r="N24" i="15"/>
  <c r="S23"/>
  <c r="P116" i="72" s="1"/>
  <c r="R23" i="15"/>
  <c r="O116" i="72" s="1"/>
  <c r="N23" i="15"/>
  <c r="S22"/>
  <c r="P115" i="72" s="1"/>
  <c r="R22" i="15"/>
  <c r="O115" i="72" s="1"/>
  <c r="N22" i="15"/>
  <c r="S21"/>
  <c r="P114" i="72" s="1"/>
  <c r="R21" i="15"/>
  <c r="O114" i="72" s="1"/>
  <c r="N21" i="15"/>
  <c r="M226" i="38" s="1"/>
  <c r="S20" i="15"/>
  <c r="P113" i="72" s="1"/>
  <c r="R20" i="15"/>
  <c r="O113" i="72" s="1"/>
  <c r="N20" i="15"/>
  <c r="S19"/>
  <c r="R12" i="82" s="1"/>
  <c r="S18" i="15"/>
  <c r="P111" i="72" s="1"/>
  <c r="R18" i="15"/>
  <c r="O111" i="72" s="1"/>
  <c r="N18" i="15"/>
  <c r="M131" i="38" s="1"/>
  <c r="S17" i="15"/>
  <c r="P194" i="72" s="1"/>
  <c r="R17" i="15"/>
  <c r="O194" i="72" s="1"/>
  <c r="N17" i="15"/>
  <c r="M130" i="38" s="1"/>
  <c r="S16" i="15"/>
  <c r="R16"/>
  <c r="N16"/>
  <c r="P16" s="1"/>
  <c r="O129" i="38" s="1"/>
  <c r="S15" i="15"/>
  <c r="R15"/>
  <c r="N15"/>
  <c r="M128" i="38" s="1"/>
  <c r="S14" i="15"/>
  <c r="P110" i="72" s="1"/>
  <c r="R14" i="15"/>
  <c r="O110" i="72" s="1"/>
  <c r="N14" i="15"/>
  <c r="K110" i="72" s="1"/>
  <c r="S13" i="15"/>
  <c r="R11" i="82" s="1"/>
  <c r="S12" i="15"/>
  <c r="P108" i="72" s="1"/>
  <c r="R12" i="15"/>
  <c r="O108" i="72" s="1"/>
  <c r="N12" i="15"/>
  <c r="S11"/>
  <c r="P132" i="72" s="1"/>
  <c r="P129" s="1"/>
  <c r="R11" i="15"/>
  <c r="O132" i="72" s="1"/>
  <c r="N11" i="15"/>
  <c r="M39" i="38" s="1"/>
  <c r="S10" i="15"/>
  <c r="P107" i="72" s="1"/>
  <c r="R10" i="15"/>
  <c r="O107" i="72" s="1"/>
  <c r="N10" i="15"/>
  <c r="S9"/>
  <c r="P106" i="72" s="1"/>
  <c r="R9" i="15"/>
  <c r="O106" i="72" s="1"/>
  <c r="N9" i="15"/>
  <c r="S8"/>
  <c r="P105" i="72" s="1"/>
  <c r="R8" i="15"/>
  <c r="O105" i="72" s="1"/>
  <c r="N8" i="15"/>
  <c r="S7"/>
  <c r="R10" i="82" s="1"/>
  <c r="D2" i="15"/>
  <c r="C2"/>
  <c r="B2"/>
  <c r="A2"/>
  <c r="P21" i="43"/>
  <c r="N21"/>
  <c r="L21"/>
  <c r="K21"/>
  <c r="J21"/>
  <c r="I21"/>
  <c r="H21"/>
  <c r="G21"/>
  <c r="F21"/>
  <c r="E21"/>
  <c r="D21"/>
  <c r="C21"/>
  <c r="B21"/>
  <c r="A21"/>
  <c r="C20"/>
  <c r="A20"/>
  <c r="P18"/>
  <c r="N18"/>
  <c r="M18"/>
  <c r="L18"/>
  <c r="K18"/>
  <c r="J18"/>
  <c r="I18"/>
  <c r="H18"/>
  <c r="G18"/>
  <c r="F18"/>
  <c r="E18"/>
  <c r="D18"/>
  <c r="C18"/>
  <c r="B18"/>
  <c r="A18"/>
  <c r="C17"/>
  <c r="A17"/>
  <c r="P16"/>
  <c r="N16"/>
  <c r="M16"/>
  <c r="L16"/>
  <c r="K16"/>
  <c r="J16"/>
  <c r="I16"/>
  <c r="H16"/>
  <c r="G16"/>
  <c r="F16"/>
  <c r="E16"/>
  <c r="D16"/>
  <c r="C16"/>
  <c r="B16"/>
  <c r="P15"/>
  <c r="N15"/>
  <c r="L15"/>
  <c r="K15"/>
  <c r="J15"/>
  <c r="I15"/>
  <c r="H15"/>
  <c r="G15"/>
  <c r="F15"/>
  <c r="E15"/>
  <c r="D15"/>
  <c r="C15"/>
  <c r="B15"/>
  <c r="A15"/>
  <c r="C14"/>
  <c r="A14"/>
  <c r="P13"/>
  <c r="N13"/>
  <c r="M13"/>
  <c r="L13"/>
  <c r="K13"/>
  <c r="J13"/>
  <c r="I13"/>
  <c r="H13"/>
  <c r="G13"/>
  <c r="F13"/>
  <c r="E13"/>
  <c r="D13"/>
  <c r="C13"/>
  <c r="B13"/>
  <c r="P12"/>
  <c r="N12"/>
  <c r="M12"/>
  <c r="L12"/>
  <c r="K12"/>
  <c r="J12"/>
  <c r="I12"/>
  <c r="H12"/>
  <c r="G12"/>
  <c r="F12"/>
  <c r="E12"/>
  <c r="D12"/>
  <c r="C12"/>
  <c r="B12"/>
  <c r="P11"/>
  <c r="N11"/>
  <c r="M11"/>
  <c r="L11"/>
  <c r="K11"/>
  <c r="J11"/>
  <c r="I11"/>
  <c r="H11"/>
  <c r="G11"/>
  <c r="F11"/>
  <c r="E11"/>
  <c r="D11"/>
  <c r="C11"/>
  <c r="B11"/>
  <c r="P10"/>
  <c r="N10"/>
  <c r="M10"/>
  <c r="L10"/>
  <c r="K10"/>
  <c r="J10"/>
  <c r="I10"/>
  <c r="H10"/>
  <c r="G10"/>
  <c r="F10"/>
  <c r="E10"/>
  <c r="D10"/>
  <c r="C10"/>
  <c r="B10"/>
  <c r="A10"/>
  <c r="C9"/>
  <c r="A9"/>
  <c r="P8"/>
  <c r="N8"/>
  <c r="L8"/>
  <c r="K8"/>
  <c r="J8"/>
  <c r="I8"/>
  <c r="H8"/>
  <c r="G8"/>
  <c r="F8"/>
  <c r="E8"/>
  <c r="D8"/>
  <c r="C8"/>
  <c r="B8"/>
  <c r="P7"/>
  <c r="N7"/>
  <c r="L7"/>
  <c r="K7"/>
  <c r="J7"/>
  <c r="I7"/>
  <c r="H7"/>
  <c r="G7"/>
  <c r="F7"/>
  <c r="E7"/>
  <c r="D7"/>
  <c r="C7"/>
  <c r="B7"/>
  <c r="A7"/>
  <c r="C6"/>
  <c r="A6"/>
  <c r="C3"/>
  <c r="C2"/>
  <c r="A2"/>
  <c r="R69" i="82"/>
  <c r="R68"/>
  <c r="Y3" s="1"/>
  <c r="Z28" i="76" s="1"/>
  <c r="R66" i="82"/>
  <c r="R53"/>
  <c r="Q53"/>
  <c r="P53"/>
  <c r="K53"/>
  <c r="R52"/>
  <c r="Q52"/>
  <c r="P52"/>
  <c r="K52"/>
  <c r="R51"/>
  <c r="Q51"/>
  <c r="P51"/>
  <c r="K51"/>
  <c r="P50"/>
  <c r="K50"/>
  <c r="R49"/>
  <c r="Q49"/>
  <c r="P49"/>
  <c r="K49"/>
  <c r="P48"/>
  <c r="K48"/>
  <c r="R47"/>
  <c r="P47"/>
  <c r="K47"/>
  <c r="R38"/>
  <c r="R28"/>
  <c r="B4"/>
  <c r="B3"/>
  <c r="A2"/>
  <c r="P21" i="71"/>
  <c r="N21"/>
  <c r="M21"/>
  <c r="L21"/>
  <c r="K21"/>
  <c r="J21"/>
  <c r="I21"/>
  <c r="H21"/>
  <c r="G21"/>
  <c r="F21"/>
  <c r="E21"/>
  <c r="D21"/>
  <c r="C21"/>
  <c r="B21"/>
  <c r="A21"/>
  <c r="P20"/>
  <c r="N20"/>
  <c r="M20"/>
  <c r="L20"/>
  <c r="K20"/>
  <c r="J20"/>
  <c r="I20"/>
  <c r="H20"/>
  <c r="G20"/>
  <c r="F20"/>
  <c r="E20"/>
  <c r="D20"/>
  <c r="C20"/>
  <c r="B20"/>
  <c r="A20"/>
  <c r="C19"/>
  <c r="B19"/>
  <c r="A19"/>
  <c r="P18"/>
  <c r="O18"/>
  <c r="O17" s="1"/>
  <c r="N18"/>
  <c r="M18"/>
  <c r="L18"/>
  <c r="K18"/>
  <c r="J18"/>
  <c r="I18"/>
  <c r="H18"/>
  <c r="G18"/>
  <c r="F18"/>
  <c r="E18"/>
  <c r="D18"/>
  <c r="C18"/>
  <c r="B18"/>
  <c r="A18"/>
  <c r="C17"/>
  <c r="A17"/>
  <c r="P16"/>
  <c r="N16"/>
  <c r="L16"/>
  <c r="K16"/>
  <c r="J16"/>
  <c r="I16"/>
  <c r="H16"/>
  <c r="G16"/>
  <c r="F16"/>
  <c r="E16"/>
  <c r="D16"/>
  <c r="C16"/>
  <c r="B16"/>
  <c r="A16"/>
  <c r="C15"/>
  <c r="A15"/>
  <c r="P14"/>
  <c r="N14"/>
  <c r="M14"/>
  <c r="L14"/>
  <c r="K14"/>
  <c r="J14"/>
  <c r="I14"/>
  <c r="H14"/>
  <c r="G14"/>
  <c r="F14"/>
  <c r="E14"/>
  <c r="D14"/>
  <c r="C14"/>
  <c r="B14"/>
  <c r="A14"/>
  <c r="C13"/>
  <c r="A13"/>
  <c r="P12"/>
  <c r="N12"/>
  <c r="M12"/>
  <c r="L12"/>
  <c r="K12"/>
  <c r="J12"/>
  <c r="I12"/>
  <c r="H12"/>
  <c r="G12"/>
  <c r="F12"/>
  <c r="E12"/>
  <c r="D12"/>
  <c r="C12"/>
  <c r="B12"/>
  <c r="P11"/>
  <c r="N11"/>
  <c r="M11"/>
  <c r="L11"/>
  <c r="K11"/>
  <c r="J11"/>
  <c r="I11"/>
  <c r="H11"/>
  <c r="G11"/>
  <c r="F11"/>
  <c r="E11"/>
  <c r="D11"/>
  <c r="C11"/>
  <c r="B11"/>
  <c r="A11"/>
  <c r="C10"/>
  <c r="A10"/>
  <c r="P9"/>
  <c r="N9"/>
  <c r="L9"/>
  <c r="K9"/>
  <c r="J9"/>
  <c r="I9"/>
  <c r="H9"/>
  <c r="G9"/>
  <c r="F9"/>
  <c r="E9"/>
  <c r="D9"/>
  <c r="C9"/>
  <c r="B9"/>
  <c r="A9"/>
  <c r="C8"/>
  <c r="A8"/>
  <c r="P7"/>
  <c r="N7"/>
  <c r="L7"/>
  <c r="K7"/>
  <c r="J7"/>
  <c r="I7"/>
  <c r="H7"/>
  <c r="G7"/>
  <c r="F7"/>
  <c r="E7"/>
  <c r="D7"/>
  <c r="C7"/>
  <c r="B7"/>
  <c r="A7"/>
  <c r="C6"/>
  <c r="A6"/>
  <c r="C3"/>
  <c r="F2"/>
  <c r="C2"/>
  <c r="A2"/>
  <c r="P481" i="38"/>
  <c r="N481"/>
  <c r="L481"/>
  <c r="K481"/>
  <c r="J481"/>
  <c r="I481"/>
  <c r="H481"/>
  <c r="G481"/>
  <c r="F481"/>
  <c r="E481"/>
  <c r="D481"/>
  <c r="C481"/>
  <c r="B481"/>
  <c r="A481"/>
  <c r="P480"/>
  <c r="N480"/>
  <c r="M480"/>
  <c r="L480"/>
  <c r="K480"/>
  <c r="J480"/>
  <c r="I480"/>
  <c r="H480"/>
  <c r="G480"/>
  <c r="F480"/>
  <c r="E480"/>
  <c r="D480"/>
  <c r="C480"/>
  <c r="B480"/>
  <c r="A480"/>
  <c r="P479"/>
  <c r="N479"/>
  <c r="M479"/>
  <c r="L479"/>
  <c r="K479"/>
  <c r="J479"/>
  <c r="I479"/>
  <c r="H479"/>
  <c r="G479"/>
  <c r="F479"/>
  <c r="E479"/>
  <c r="D479"/>
  <c r="C479"/>
  <c r="B479"/>
  <c r="A479"/>
  <c r="P478"/>
  <c r="N478"/>
  <c r="M478"/>
  <c r="L478"/>
  <c r="K478"/>
  <c r="J478"/>
  <c r="I478"/>
  <c r="H478"/>
  <c r="G478"/>
  <c r="F478"/>
  <c r="E478"/>
  <c r="D478"/>
  <c r="C478"/>
  <c r="B478"/>
  <c r="A478"/>
  <c r="P477"/>
  <c r="N477"/>
  <c r="L477"/>
  <c r="K477"/>
  <c r="J477"/>
  <c r="I477"/>
  <c r="H477"/>
  <c r="G477"/>
  <c r="F477"/>
  <c r="E477"/>
  <c r="D477"/>
  <c r="C477"/>
  <c r="B477"/>
  <c r="A477"/>
  <c r="R476"/>
  <c r="C476"/>
  <c r="A476"/>
  <c r="P475"/>
  <c r="O475"/>
  <c r="N475"/>
  <c r="M475"/>
  <c r="L475"/>
  <c r="K475"/>
  <c r="J475"/>
  <c r="I475"/>
  <c r="H475"/>
  <c r="G475"/>
  <c r="F475"/>
  <c r="E475"/>
  <c r="D475"/>
  <c r="C475"/>
  <c r="B475"/>
  <c r="A475"/>
  <c r="P474"/>
  <c r="O474"/>
  <c r="N474"/>
  <c r="M474"/>
  <c r="L474"/>
  <c r="K474"/>
  <c r="J474"/>
  <c r="I474"/>
  <c r="H474"/>
  <c r="G474"/>
  <c r="F474"/>
  <c r="E474"/>
  <c r="D474"/>
  <c r="C474"/>
  <c r="B474"/>
  <c r="A474"/>
  <c r="P473"/>
  <c r="N473"/>
  <c r="M473"/>
  <c r="L473"/>
  <c r="K473"/>
  <c r="J473"/>
  <c r="I473"/>
  <c r="H473"/>
  <c r="G473"/>
  <c r="F473"/>
  <c r="E473"/>
  <c r="D473"/>
  <c r="C473"/>
  <c r="B473"/>
  <c r="A473"/>
  <c r="P472"/>
  <c r="N472"/>
  <c r="M472"/>
  <c r="L472"/>
  <c r="K472"/>
  <c r="J472"/>
  <c r="I472"/>
  <c r="H472"/>
  <c r="G472"/>
  <c r="F472"/>
  <c r="E472"/>
  <c r="D472"/>
  <c r="C472"/>
  <c r="B472"/>
  <c r="A472"/>
  <c r="P471"/>
  <c r="N471"/>
  <c r="M471"/>
  <c r="L471"/>
  <c r="K471"/>
  <c r="J471"/>
  <c r="I471"/>
  <c r="H471"/>
  <c r="G471"/>
  <c r="F471"/>
  <c r="E471"/>
  <c r="D471"/>
  <c r="C471"/>
  <c r="B471"/>
  <c r="A471"/>
  <c r="P470"/>
  <c r="N470"/>
  <c r="L470"/>
  <c r="K470"/>
  <c r="J470"/>
  <c r="I470"/>
  <c r="H470"/>
  <c r="G470"/>
  <c r="F470"/>
  <c r="E470"/>
  <c r="D470"/>
  <c r="C470"/>
  <c r="B470"/>
  <c r="A470"/>
  <c r="P469"/>
  <c r="N469"/>
  <c r="M469"/>
  <c r="L469"/>
  <c r="K469"/>
  <c r="J469"/>
  <c r="I469"/>
  <c r="H469"/>
  <c r="G469"/>
  <c r="F469"/>
  <c r="E469"/>
  <c r="D469"/>
  <c r="C469"/>
  <c r="B469"/>
  <c r="A469"/>
  <c r="P468"/>
  <c r="N468"/>
  <c r="L468"/>
  <c r="K468"/>
  <c r="J468"/>
  <c r="I468"/>
  <c r="H468"/>
  <c r="G468"/>
  <c r="F468"/>
  <c r="E468"/>
  <c r="D468"/>
  <c r="C468"/>
  <c r="B468"/>
  <c r="A468"/>
  <c r="P467"/>
  <c r="N467"/>
  <c r="M467"/>
  <c r="L467"/>
  <c r="K467"/>
  <c r="J467"/>
  <c r="I467"/>
  <c r="H467"/>
  <c r="G467"/>
  <c r="F467"/>
  <c r="E467"/>
  <c r="D467"/>
  <c r="C467"/>
  <c r="B467"/>
  <c r="A467"/>
  <c r="P466"/>
  <c r="O466"/>
  <c r="N466"/>
  <c r="M466"/>
  <c r="L466"/>
  <c r="K466"/>
  <c r="J466"/>
  <c r="I466"/>
  <c r="H466"/>
  <c r="G466"/>
  <c r="F466"/>
  <c r="E466"/>
  <c r="D466"/>
  <c r="C466"/>
  <c r="B466"/>
  <c r="A466"/>
  <c r="P465"/>
  <c r="N465"/>
  <c r="M465"/>
  <c r="L465"/>
  <c r="K465"/>
  <c r="J465"/>
  <c r="I465"/>
  <c r="H465"/>
  <c r="G465"/>
  <c r="F465"/>
  <c r="E465"/>
  <c r="D465"/>
  <c r="C465"/>
  <c r="B465"/>
  <c r="A465"/>
  <c r="P464"/>
  <c r="N464"/>
  <c r="M464"/>
  <c r="L464"/>
  <c r="K464"/>
  <c r="J464"/>
  <c r="I464"/>
  <c r="H464"/>
  <c r="G464"/>
  <c r="F464"/>
  <c r="E464"/>
  <c r="D464"/>
  <c r="C464"/>
  <c r="B464"/>
  <c r="A464"/>
  <c r="P463"/>
  <c r="N463"/>
  <c r="M463"/>
  <c r="L463"/>
  <c r="K463"/>
  <c r="J463"/>
  <c r="I463"/>
  <c r="H463"/>
  <c r="G463"/>
  <c r="F463"/>
  <c r="E463"/>
  <c r="D463"/>
  <c r="C463"/>
  <c r="B463"/>
  <c r="A463"/>
  <c r="P462"/>
  <c r="N462"/>
  <c r="M462"/>
  <c r="L462"/>
  <c r="K462"/>
  <c r="J462"/>
  <c r="I462"/>
  <c r="H462"/>
  <c r="G462"/>
  <c r="F462"/>
  <c r="E462"/>
  <c r="D462"/>
  <c r="C462"/>
  <c r="B462"/>
  <c r="A462"/>
  <c r="P461"/>
  <c r="N461"/>
  <c r="M461"/>
  <c r="L461"/>
  <c r="K461"/>
  <c r="J461"/>
  <c r="I461"/>
  <c r="H461"/>
  <c r="G461"/>
  <c r="F461"/>
  <c r="E461"/>
  <c r="D461"/>
  <c r="C461"/>
  <c r="B461"/>
  <c r="A461"/>
  <c r="P460"/>
  <c r="O460"/>
  <c r="N460"/>
  <c r="M460"/>
  <c r="L460"/>
  <c r="K460"/>
  <c r="J460"/>
  <c r="I460"/>
  <c r="H460"/>
  <c r="G460"/>
  <c r="F460"/>
  <c r="E460"/>
  <c r="D460"/>
  <c r="C460"/>
  <c r="B460"/>
  <c r="A460"/>
  <c r="P459"/>
  <c r="N459"/>
  <c r="M459"/>
  <c r="L459"/>
  <c r="K459"/>
  <c r="J459"/>
  <c r="I459"/>
  <c r="H459"/>
  <c r="G459"/>
  <c r="F459"/>
  <c r="E459"/>
  <c r="D459"/>
  <c r="C459"/>
  <c r="B459"/>
  <c r="A459"/>
  <c r="P458"/>
  <c r="O458"/>
  <c r="N458"/>
  <c r="M458"/>
  <c r="L458"/>
  <c r="K458"/>
  <c r="J458"/>
  <c r="I458"/>
  <c r="H458"/>
  <c r="G458"/>
  <c r="F458"/>
  <c r="E458"/>
  <c r="D458"/>
  <c r="C458"/>
  <c r="B458"/>
  <c r="A458"/>
  <c r="P457"/>
  <c r="O457"/>
  <c r="N457"/>
  <c r="M457"/>
  <c r="L457"/>
  <c r="K457"/>
  <c r="J457"/>
  <c r="I457"/>
  <c r="H457"/>
  <c r="G457"/>
  <c r="F457"/>
  <c r="E457"/>
  <c r="D457"/>
  <c r="C457"/>
  <c r="B457"/>
  <c r="A457"/>
  <c r="P456"/>
  <c r="O456"/>
  <c r="N456"/>
  <c r="M456"/>
  <c r="L456"/>
  <c r="K456"/>
  <c r="J456"/>
  <c r="I456"/>
  <c r="H456"/>
  <c r="G456"/>
  <c r="F456"/>
  <c r="E456"/>
  <c r="D456"/>
  <c r="C456"/>
  <c r="B456"/>
  <c r="A456"/>
  <c r="P455"/>
  <c r="N455"/>
  <c r="M455"/>
  <c r="L455"/>
  <c r="K455"/>
  <c r="J455"/>
  <c r="I455"/>
  <c r="H455"/>
  <c r="G455"/>
  <c r="F455"/>
  <c r="E455"/>
  <c r="D455"/>
  <c r="C455"/>
  <c r="B455"/>
  <c r="A455"/>
  <c r="P454"/>
  <c r="O454"/>
  <c r="N454"/>
  <c r="M454"/>
  <c r="L454"/>
  <c r="K454"/>
  <c r="J454"/>
  <c r="I454"/>
  <c r="H454"/>
  <c r="G454"/>
  <c r="F454"/>
  <c r="E454"/>
  <c r="D454"/>
  <c r="C454"/>
  <c r="B454"/>
  <c r="A454"/>
  <c r="P453"/>
  <c r="N453"/>
  <c r="M453"/>
  <c r="L453"/>
  <c r="K453"/>
  <c r="J453"/>
  <c r="I453"/>
  <c r="H453"/>
  <c r="G453"/>
  <c r="F453"/>
  <c r="E453"/>
  <c r="D453"/>
  <c r="C453"/>
  <c r="B453"/>
  <c r="A453"/>
  <c r="P452"/>
  <c r="O452"/>
  <c r="N452"/>
  <c r="M452"/>
  <c r="L452"/>
  <c r="K452"/>
  <c r="J452"/>
  <c r="I452"/>
  <c r="H452"/>
  <c r="G452"/>
  <c r="F452"/>
  <c r="E452"/>
  <c r="D452"/>
  <c r="C452"/>
  <c r="B452"/>
  <c r="A452"/>
  <c r="P451"/>
  <c r="O451"/>
  <c r="N451"/>
  <c r="M451"/>
  <c r="L451"/>
  <c r="K451"/>
  <c r="J451"/>
  <c r="I451"/>
  <c r="H451"/>
  <c r="G451"/>
  <c r="F451"/>
  <c r="E451"/>
  <c r="D451"/>
  <c r="C451"/>
  <c r="B451"/>
  <c r="A451"/>
  <c r="P450"/>
  <c r="O450"/>
  <c r="N450"/>
  <c r="M450"/>
  <c r="L450"/>
  <c r="K450"/>
  <c r="J450"/>
  <c r="I450"/>
  <c r="H450"/>
  <c r="G450"/>
  <c r="F450"/>
  <c r="E450"/>
  <c r="D450"/>
  <c r="C450"/>
  <c r="B450"/>
  <c r="A450"/>
  <c r="P449"/>
  <c r="N449"/>
  <c r="M449"/>
  <c r="L449"/>
  <c r="K449"/>
  <c r="J449"/>
  <c r="I449"/>
  <c r="H449"/>
  <c r="G449"/>
  <c r="F449"/>
  <c r="E449"/>
  <c r="D449"/>
  <c r="C449"/>
  <c r="B449"/>
  <c r="A449"/>
  <c r="P448"/>
  <c r="O448"/>
  <c r="N448"/>
  <c r="M448"/>
  <c r="L448"/>
  <c r="K448"/>
  <c r="J448"/>
  <c r="I448"/>
  <c r="H448"/>
  <c r="G448"/>
  <c r="F448"/>
  <c r="E448"/>
  <c r="D448"/>
  <c r="C448"/>
  <c r="B448"/>
  <c r="A448"/>
  <c r="R447"/>
  <c r="C447"/>
  <c r="A447"/>
  <c r="R446"/>
  <c r="C446"/>
  <c r="A446"/>
  <c r="P445"/>
  <c r="N445"/>
  <c r="L445"/>
  <c r="K445"/>
  <c r="J445"/>
  <c r="I445"/>
  <c r="H445"/>
  <c r="G445"/>
  <c r="F445"/>
  <c r="E445"/>
  <c r="D445"/>
  <c r="C445"/>
  <c r="B445"/>
  <c r="A445"/>
  <c r="R444"/>
  <c r="C444"/>
  <c r="A444"/>
  <c r="P443"/>
  <c r="N443"/>
  <c r="L443"/>
  <c r="K443"/>
  <c r="J443"/>
  <c r="I443"/>
  <c r="H443"/>
  <c r="G443"/>
  <c r="F443"/>
  <c r="E443"/>
  <c r="D443"/>
  <c r="C443"/>
  <c r="B443"/>
  <c r="A443"/>
  <c r="P442"/>
  <c r="O442"/>
  <c r="N442"/>
  <c r="L442"/>
  <c r="K442"/>
  <c r="J442"/>
  <c r="I442"/>
  <c r="H442"/>
  <c r="G442"/>
  <c r="F442"/>
  <c r="E442"/>
  <c r="D442"/>
  <c r="C442"/>
  <c r="B442"/>
  <c r="P441"/>
  <c r="N441"/>
  <c r="M441"/>
  <c r="L441"/>
  <c r="K441"/>
  <c r="J441"/>
  <c r="I441"/>
  <c r="H441"/>
  <c r="G441"/>
  <c r="F441"/>
  <c r="E441"/>
  <c r="D441"/>
  <c r="C441"/>
  <c r="B441"/>
  <c r="A441"/>
  <c r="R440"/>
  <c r="C440"/>
  <c r="A440"/>
  <c r="P439"/>
  <c r="N439"/>
  <c r="L439"/>
  <c r="K439"/>
  <c r="J439"/>
  <c r="I439"/>
  <c r="H439"/>
  <c r="G439"/>
  <c r="F439"/>
  <c r="E439"/>
  <c r="D439"/>
  <c r="C439"/>
  <c r="B439"/>
  <c r="A439"/>
  <c r="P438"/>
  <c r="N438"/>
  <c r="L438"/>
  <c r="K438"/>
  <c r="J438"/>
  <c r="I438"/>
  <c r="H438"/>
  <c r="G438"/>
  <c r="F438"/>
  <c r="E438"/>
  <c r="D438"/>
  <c r="C438"/>
  <c r="B438"/>
  <c r="A438"/>
  <c r="R437"/>
  <c r="R432" s="1"/>
  <c r="C437"/>
  <c r="A437"/>
  <c r="P436"/>
  <c r="N436"/>
  <c r="L436"/>
  <c r="K436"/>
  <c r="J436"/>
  <c r="I436"/>
  <c r="H436"/>
  <c r="G436"/>
  <c r="F436"/>
  <c r="E436"/>
  <c r="D436"/>
  <c r="C436"/>
  <c r="B436"/>
  <c r="A436"/>
  <c r="P435"/>
  <c r="N435"/>
  <c r="L435"/>
  <c r="K435"/>
  <c r="J435"/>
  <c r="I435"/>
  <c r="H435"/>
  <c r="G435"/>
  <c r="F435"/>
  <c r="E435"/>
  <c r="D435"/>
  <c r="C435"/>
  <c r="B435"/>
  <c r="A435"/>
  <c r="P434"/>
  <c r="N434"/>
  <c r="L434"/>
  <c r="K434"/>
  <c r="J434"/>
  <c r="I434"/>
  <c r="H434"/>
  <c r="G434"/>
  <c r="F434"/>
  <c r="E434"/>
  <c r="D434"/>
  <c r="C434"/>
  <c r="B434"/>
  <c r="A434"/>
  <c r="R433"/>
  <c r="C433"/>
  <c r="B433"/>
  <c r="A433"/>
  <c r="P431"/>
  <c r="N431"/>
  <c r="M431"/>
  <c r="L431"/>
  <c r="K431"/>
  <c r="J431"/>
  <c r="I431"/>
  <c r="H431"/>
  <c r="G431"/>
  <c r="F431"/>
  <c r="E431"/>
  <c r="D431"/>
  <c r="C431"/>
  <c r="B431"/>
  <c r="A431"/>
  <c r="P430"/>
  <c r="N430"/>
  <c r="M430"/>
  <c r="L430"/>
  <c r="K430"/>
  <c r="J430"/>
  <c r="I430"/>
  <c r="H430"/>
  <c r="G430"/>
  <c r="F430"/>
  <c r="E430"/>
  <c r="D430"/>
  <c r="C430"/>
  <c r="B430"/>
  <c r="A430"/>
  <c r="P429"/>
  <c r="N429"/>
  <c r="M429"/>
  <c r="L429"/>
  <c r="K429"/>
  <c r="J429"/>
  <c r="I429"/>
  <c r="H429"/>
  <c r="G429"/>
  <c r="F429"/>
  <c r="E429"/>
  <c r="D429"/>
  <c r="C429"/>
  <c r="B429"/>
  <c r="A429"/>
  <c r="P428"/>
  <c r="N428"/>
  <c r="M428"/>
  <c r="L428"/>
  <c r="K428"/>
  <c r="J428"/>
  <c r="I428"/>
  <c r="H428"/>
  <c r="G428"/>
  <c r="F428"/>
  <c r="E428"/>
  <c r="D428"/>
  <c r="C428"/>
  <c r="B428"/>
  <c r="A428"/>
  <c r="P427"/>
  <c r="N427"/>
  <c r="M427"/>
  <c r="L427"/>
  <c r="K427"/>
  <c r="J427"/>
  <c r="I427"/>
  <c r="H427"/>
  <c r="G427"/>
  <c r="F427"/>
  <c r="E427"/>
  <c r="D427"/>
  <c r="C427"/>
  <c r="B427"/>
  <c r="A427"/>
  <c r="P426"/>
  <c r="N426"/>
  <c r="M426"/>
  <c r="L426"/>
  <c r="K426"/>
  <c r="J426"/>
  <c r="I426"/>
  <c r="H426"/>
  <c r="G426"/>
  <c r="F426"/>
  <c r="E426"/>
  <c r="D426"/>
  <c r="C426"/>
  <c r="B426"/>
  <c r="A426"/>
  <c r="R425"/>
  <c r="C425"/>
  <c r="A425"/>
  <c r="P424"/>
  <c r="N424"/>
  <c r="L424"/>
  <c r="K424"/>
  <c r="J424"/>
  <c r="I424"/>
  <c r="H424"/>
  <c r="G424"/>
  <c r="F424"/>
  <c r="E424"/>
  <c r="D424"/>
  <c r="C424"/>
  <c r="B424"/>
  <c r="A424"/>
  <c r="R423"/>
  <c r="C423"/>
  <c r="A423"/>
  <c r="P422"/>
  <c r="N422"/>
  <c r="M422"/>
  <c r="L422"/>
  <c r="K422"/>
  <c r="J422"/>
  <c r="I422"/>
  <c r="H422"/>
  <c r="G422"/>
  <c r="F422"/>
  <c r="E422"/>
  <c r="D422"/>
  <c r="C422"/>
  <c r="B422"/>
  <c r="P421"/>
  <c r="N421"/>
  <c r="M421"/>
  <c r="L421"/>
  <c r="K421"/>
  <c r="J421"/>
  <c r="I421"/>
  <c r="H421"/>
  <c r="G421"/>
  <c r="F421"/>
  <c r="E421"/>
  <c r="D421"/>
  <c r="C421"/>
  <c r="B421"/>
  <c r="A421"/>
  <c r="R420"/>
  <c r="C420"/>
  <c r="A420"/>
  <c r="P419"/>
  <c r="N419"/>
  <c r="M419"/>
  <c r="L419"/>
  <c r="K419"/>
  <c r="J419"/>
  <c r="I419"/>
  <c r="H419"/>
  <c r="G419"/>
  <c r="F419"/>
  <c r="E419"/>
  <c r="D419"/>
  <c r="C419"/>
  <c r="B419"/>
  <c r="P418"/>
  <c r="N418"/>
  <c r="L418"/>
  <c r="K418"/>
  <c r="J418"/>
  <c r="I418"/>
  <c r="H418"/>
  <c r="G418"/>
  <c r="F418"/>
  <c r="E418"/>
  <c r="D418"/>
  <c r="C418"/>
  <c r="B418"/>
  <c r="A418"/>
  <c r="R417"/>
  <c r="C417"/>
  <c r="A417"/>
  <c r="P416"/>
  <c r="N416"/>
  <c r="M416"/>
  <c r="L416"/>
  <c r="K416"/>
  <c r="J416"/>
  <c r="I416"/>
  <c r="H416"/>
  <c r="G416"/>
  <c r="F416"/>
  <c r="E416"/>
  <c r="D416"/>
  <c r="C416"/>
  <c r="B416"/>
  <c r="P415"/>
  <c r="N415"/>
  <c r="M415"/>
  <c r="L415"/>
  <c r="K415"/>
  <c r="J415"/>
  <c r="I415"/>
  <c r="H415"/>
  <c r="G415"/>
  <c r="F415"/>
  <c r="E415"/>
  <c r="D415"/>
  <c r="C415"/>
  <c r="B415"/>
  <c r="A415"/>
  <c r="R414"/>
  <c r="C414"/>
  <c r="A414"/>
  <c r="P413"/>
  <c r="N413"/>
  <c r="L413"/>
  <c r="K413"/>
  <c r="J413"/>
  <c r="I413"/>
  <c r="H413"/>
  <c r="G413"/>
  <c r="F413"/>
  <c r="E413"/>
  <c r="D413"/>
  <c r="C413"/>
  <c r="B413"/>
  <c r="P412"/>
  <c r="N412"/>
  <c r="L412"/>
  <c r="K412"/>
  <c r="J412"/>
  <c r="I412"/>
  <c r="H412"/>
  <c r="G412"/>
  <c r="F412"/>
  <c r="E412"/>
  <c r="D412"/>
  <c r="C412"/>
  <c r="B412"/>
  <c r="A412"/>
  <c r="P411"/>
  <c r="N411"/>
  <c r="L411"/>
  <c r="K411"/>
  <c r="J411"/>
  <c r="I411"/>
  <c r="H411"/>
  <c r="G411"/>
  <c r="F411"/>
  <c r="E411"/>
  <c r="D411"/>
  <c r="C411"/>
  <c r="B411"/>
  <c r="P410"/>
  <c r="N410"/>
  <c r="M410"/>
  <c r="L410"/>
  <c r="K410"/>
  <c r="J410"/>
  <c r="I410"/>
  <c r="H410"/>
  <c r="G410"/>
  <c r="F410"/>
  <c r="E410"/>
  <c r="D410"/>
  <c r="C410"/>
  <c r="B410"/>
  <c r="A410"/>
  <c r="R409"/>
  <c r="C409"/>
  <c r="A409"/>
  <c r="P408"/>
  <c r="N408"/>
  <c r="L408"/>
  <c r="K408"/>
  <c r="J408"/>
  <c r="I408"/>
  <c r="H408"/>
  <c r="G408"/>
  <c r="F408"/>
  <c r="E408"/>
  <c r="D408"/>
  <c r="C408"/>
  <c r="B408"/>
  <c r="A408"/>
  <c r="R407"/>
  <c r="C407"/>
  <c r="A407"/>
  <c r="P406"/>
  <c r="N406"/>
  <c r="L406"/>
  <c r="K406"/>
  <c r="J406"/>
  <c r="I406"/>
  <c r="H406"/>
  <c r="G406"/>
  <c r="F406"/>
  <c r="E406"/>
  <c r="D406"/>
  <c r="C406"/>
  <c r="B406"/>
  <c r="P405"/>
  <c r="N405"/>
  <c r="L405"/>
  <c r="K405"/>
  <c r="J405"/>
  <c r="I405"/>
  <c r="H405"/>
  <c r="G405"/>
  <c r="F405"/>
  <c r="E405"/>
  <c r="D405"/>
  <c r="C405"/>
  <c r="B405"/>
  <c r="A405"/>
  <c r="R404"/>
  <c r="C404"/>
  <c r="A404"/>
  <c r="P403"/>
  <c r="N403"/>
  <c r="L403"/>
  <c r="K403"/>
  <c r="J403"/>
  <c r="I403"/>
  <c r="H403"/>
  <c r="G403"/>
  <c r="F403"/>
  <c r="E403"/>
  <c r="D403"/>
  <c r="C403"/>
  <c r="B403"/>
  <c r="A403"/>
  <c r="P402"/>
  <c r="N402"/>
  <c r="L402"/>
  <c r="K402"/>
  <c r="J402"/>
  <c r="I402"/>
  <c r="H402"/>
  <c r="G402"/>
  <c r="F402"/>
  <c r="E402"/>
  <c r="D402"/>
  <c r="C402"/>
  <c r="B402"/>
  <c r="A402"/>
  <c r="P401"/>
  <c r="N401"/>
  <c r="L401"/>
  <c r="K401"/>
  <c r="J401"/>
  <c r="I401"/>
  <c r="H401"/>
  <c r="G401"/>
  <c r="F401"/>
  <c r="E401"/>
  <c r="D401"/>
  <c r="C401"/>
  <c r="B401"/>
  <c r="A401"/>
  <c r="P400"/>
  <c r="N400"/>
  <c r="L400"/>
  <c r="K400"/>
  <c r="J400"/>
  <c r="I400"/>
  <c r="H400"/>
  <c r="G400"/>
  <c r="F400"/>
  <c r="E400"/>
  <c r="D400"/>
  <c r="C400"/>
  <c r="B400"/>
  <c r="A400"/>
  <c r="P399"/>
  <c r="N399"/>
  <c r="L399"/>
  <c r="K399"/>
  <c r="J399"/>
  <c r="I399"/>
  <c r="H399"/>
  <c r="G399"/>
  <c r="F399"/>
  <c r="E399"/>
  <c r="D399"/>
  <c r="C399"/>
  <c r="B399"/>
  <c r="A399"/>
  <c r="P398"/>
  <c r="N398"/>
  <c r="L398"/>
  <c r="K398"/>
  <c r="J398"/>
  <c r="I398"/>
  <c r="H398"/>
  <c r="G398"/>
  <c r="F398"/>
  <c r="E398"/>
  <c r="D398"/>
  <c r="C398"/>
  <c r="B398"/>
  <c r="A398"/>
  <c r="R397"/>
  <c r="C397"/>
  <c r="A397"/>
  <c r="P396"/>
  <c r="N396"/>
  <c r="L396"/>
  <c r="K396"/>
  <c r="J396"/>
  <c r="I396"/>
  <c r="H396"/>
  <c r="G396"/>
  <c r="F396"/>
  <c r="E396"/>
  <c r="D396"/>
  <c r="C396"/>
  <c r="B396"/>
  <c r="A396"/>
  <c r="R395"/>
  <c r="C395"/>
  <c r="A395"/>
  <c r="P389"/>
  <c r="N389"/>
  <c r="M389"/>
  <c r="L389"/>
  <c r="K389"/>
  <c r="J389"/>
  <c r="I389"/>
  <c r="H389"/>
  <c r="G389"/>
  <c r="F389"/>
  <c r="E389"/>
  <c r="D389"/>
  <c r="C389"/>
  <c r="B389"/>
  <c r="P388"/>
  <c r="O388"/>
  <c r="N388"/>
  <c r="M388"/>
  <c r="L388"/>
  <c r="K388"/>
  <c r="J388"/>
  <c r="I388"/>
  <c r="H388"/>
  <c r="G388"/>
  <c r="F388"/>
  <c r="E388"/>
  <c r="D388"/>
  <c r="C388"/>
  <c r="B388"/>
  <c r="P387"/>
  <c r="O387"/>
  <c r="N387"/>
  <c r="M387"/>
  <c r="L387"/>
  <c r="K387"/>
  <c r="J387"/>
  <c r="I387"/>
  <c r="H387"/>
  <c r="G387"/>
  <c r="F387"/>
  <c r="E387"/>
  <c r="D387"/>
  <c r="C387"/>
  <c r="B387"/>
  <c r="A387"/>
  <c r="R386"/>
  <c r="C386"/>
  <c r="A386"/>
  <c r="P385"/>
  <c r="N385"/>
  <c r="L385"/>
  <c r="K385"/>
  <c r="J385"/>
  <c r="I385"/>
  <c r="H385"/>
  <c r="G385"/>
  <c r="F385"/>
  <c r="E385"/>
  <c r="D385"/>
  <c r="C385"/>
  <c r="B385"/>
  <c r="P384"/>
  <c r="N384"/>
  <c r="M384"/>
  <c r="L384"/>
  <c r="K384"/>
  <c r="J384"/>
  <c r="I384"/>
  <c r="H384"/>
  <c r="G384"/>
  <c r="F384"/>
  <c r="E384"/>
  <c r="D384"/>
  <c r="C384"/>
  <c r="B384"/>
  <c r="A384"/>
  <c r="R383"/>
  <c r="C383"/>
  <c r="A383"/>
  <c r="P382"/>
  <c r="N382"/>
  <c r="L382"/>
  <c r="K382"/>
  <c r="J382"/>
  <c r="I382"/>
  <c r="H382"/>
  <c r="G382"/>
  <c r="F382"/>
  <c r="E382"/>
  <c r="D382"/>
  <c r="C382"/>
  <c r="B382"/>
  <c r="P381"/>
  <c r="N381"/>
  <c r="M381"/>
  <c r="L381"/>
  <c r="K381"/>
  <c r="J381"/>
  <c r="I381"/>
  <c r="H381"/>
  <c r="G381"/>
  <c r="F381"/>
  <c r="E381"/>
  <c r="D381"/>
  <c r="C381"/>
  <c r="B381"/>
  <c r="P380"/>
  <c r="O380"/>
  <c r="N380"/>
  <c r="M380"/>
  <c r="L380"/>
  <c r="K380"/>
  <c r="J380"/>
  <c r="I380"/>
  <c r="H380"/>
  <c r="G380"/>
  <c r="F380"/>
  <c r="E380"/>
  <c r="D380"/>
  <c r="C380"/>
  <c r="B380"/>
  <c r="P379"/>
  <c r="O379"/>
  <c r="N379"/>
  <c r="M379"/>
  <c r="L379"/>
  <c r="K379"/>
  <c r="J379"/>
  <c r="I379"/>
  <c r="H379"/>
  <c r="G379"/>
  <c r="F379"/>
  <c r="E379"/>
  <c r="D379"/>
  <c r="C379"/>
  <c r="B379"/>
  <c r="A379"/>
  <c r="R378"/>
  <c r="R377" s="1"/>
  <c r="C378"/>
  <c r="A378"/>
  <c r="P376"/>
  <c r="N376"/>
  <c r="M376"/>
  <c r="L376"/>
  <c r="K376"/>
  <c r="J376"/>
  <c r="I376"/>
  <c r="H376"/>
  <c r="G376"/>
  <c r="F376"/>
  <c r="E376"/>
  <c r="D376"/>
  <c r="C376"/>
  <c r="B376"/>
  <c r="P375"/>
  <c r="O375"/>
  <c r="N375"/>
  <c r="M375"/>
  <c r="L375"/>
  <c r="K375"/>
  <c r="J375"/>
  <c r="I375"/>
  <c r="H375"/>
  <c r="G375"/>
  <c r="F375"/>
  <c r="E375"/>
  <c r="D375"/>
  <c r="C375"/>
  <c r="B375"/>
  <c r="P374"/>
  <c r="O374"/>
  <c r="N374"/>
  <c r="M374"/>
  <c r="L374"/>
  <c r="K374"/>
  <c r="J374"/>
  <c r="I374"/>
  <c r="H374"/>
  <c r="G374"/>
  <c r="F374"/>
  <c r="E374"/>
  <c r="D374"/>
  <c r="C374"/>
  <c r="B374"/>
  <c r="P373"/>
  <c r="N373"/>
  <c r="M373"/>
  <c r="L373"/>
  <c r="K373"/>
  <c r="J373"/>
  <c r="I373"/>
  <c r="H373"/>
  <c r="G373"/>
  <c r="F373"/>
  <c r="E373"/>
  <c r="D373"/>
  <c r="C373"/>
  <c r="B373"/>
  <c r="P372"/>
  <c r="N372"/>
  <c r="M372"/>
  <c r="L372"/>
  <c r="K372"/>
  <c r="J372"/>
  <c r="I372"/>
  <c r="H372"/>
  <c r="G372"/>
  <c r="F372"/>
  <c r="E372"/>
  <c r="D372"/>
  <c r="C372"/>
  <c r="B372"/>
  <c r="P371"/>
  <c r="O371"/>
  <c r="N371"/>
  <c r="M371"/>
  <c r="L371"/>
  <c r="K371"/>
  <c r="J371"/>
  <c r="I371"/>
  <c r="H371"/>
  <c r="G371"/>
  <c r="F371"/>
  <c r="E371"/>
  <c r="D371"/>
  <c r="C371"/>
  <c r="B371"/>
  <c r="A371"/>
  <c r="R370"/>
  <c r="C370"/>
  <c r="A370"/>
  <c r="P369"/>
  <c r="N369"/>
  <c r="M369"/>
  <c r="L369"/>
  <c r="K369"/>
  <c r="J369"/>
  <c r="I369"/>
  <c r="H369"/>
  <c r="G369"/>
  <c r="F369"/>
  <c r="E369"/>
  <c r="D369"/>
  <c r="C369"/>
  <c r="B369"/>
  <c r="P368"/>
  <c r="O368"/>
  <c r="N368"/>
  <c r="M368"/>
  <c r="L368"/>
  <c r="K368"/>
  <c r="J368"/>
  <c r="I368"/>
  <c r="H368"/>
  <c r="G368"/>
  <c r="F368"/>
  <c r="E368"/>
  <c r="D368"/>
  <c r="C368"/>
  <c r="B368"/>
  <c r="P367"/>
  <c r="N367"/>
  <c r="L367"/>
  <c r="K367"/>
  <c r="J367"/>
  <c r="I367"/>
  <c r="H367"/>
  <c r="G367"/>
  <c r="F367"/>
  <c r="E367"/>
  <c r="D367"/>
  <c r="C367"/>
  <c r="B367"/>
  <c r="P366"/>
  <c r="O366"/>
  <c r="N366"/>
  <c r="L366"/>
  <c r="K366"/>
  <c r="J366"/>
  <c r="I366"/>
  <c r="H366"/>
  <c r="G366"/>
  <c r="F366"/>
  <c r="E366"/>
  <c r="D366"/>
  <c r="C366"/>
  <c r="B366"/>
  <c r="P365"/>
  <c r="N365"/>
  <c r="M365"/>
  <c r="L365"/>
  <c r="K365"/>
  <c r="J365"/>
  <c r="I365"/>
  <c r="H365"/>
  <c r="G365"/>
  <c r="F365"/>
  <c r="E365"/>
  <c r="D365"/>
  <c r="C365"/>
  <c r="B365"/>
  <c r="A365"/>
  <c r="R364"/>
  <c r="C364"/>
  <c r="A364"/>
  <c r="P363"/>
  <c r="N363"/>
  <c r="M363"/>
  <c r="L363"/>
  <c r="K363"/>
  <c r="J363"/>
  <c r="I363"/>
  <c r="H363"/>
  <c r="G363"/>
  <c r="F363"/>
  <c r="E363"/>
  <c r="D363"/>
  <c r="C363"/>
  <c r="B363"/>
  <c r="A363"/>
  <c r="R362"/>
  <c r="C362"/>
  <c r="A362"/>
  <c r="P361"/>
  <c r="N361"/>
  <c r="L361"/>
  <c r="K361"/>
  <c r="J361"/>
  <c r="I361"/>
  <c r="H361"/>
  <c r="G361"/>
  <c r="F361"/>
  <c r="E361"/>
  <c r="D361"/>
  <c r="C361"/>
  <c r="B361"/>
  <c r="P360"/>
  <c r="N360"/>
  <c r="L360"/>
  <c r="K360"/>
  <c r="J360"/>
  <c r="I360"/>
  <c r="H360"/>
  <c r="G360"/>
  <c r="F360"/>
  <c r="E360"/>
  <c r="D360"/>
  <c r="C360"/>
  <c r="B360"/>
  <c r="A360"/>
  <c r="P359"/>
  <c r="N359"/>
  <c r="L359"/>
  <c r="K359"/>
  <c r="J359"/>
  <c r="I359"/>
  <c r="H359"/>
  <c r="G359"/>
  <c r="F359"/>
  <c r="E359"/>
  <c r="D359"/>
  <c r="C359"/>
  <c r="B359"/>
  <c r="P358"/>
  <c r="N358"/>
  <c r="L358"/>
  <c r="K358"/>
  <c r="J358"/>
  <c r="I358"/>
  <c r="H358"/>
  <c r="G358"/>
  <c r="F358"/>
  <c r="E358"/>
  <c r="D358"/>
  <c r="C358"/>
  <c r="B358"/>
  <c r="P357"/>
  <c r="N357"/>
  <c r="L357"/>
  <c r="K357"/>
  <c r="J357"/>
  <c r="I357"/>
  <c r="H357"/>
  <c r="G357"/>
  <c r="F357"/>
  <c r="E357"/>
  <c r="D357"/>
  <c r="C357"/>
  <c r="B357"/>
  <c r="P356"/>
  <c r="N356"/>
  <c r="L356"/>
  <c r="K356"/>
  <c r="J356"/>
  <c r="I356"/>
  <c r="H356"/>
  <c r="G356"/>
  <c r="F356"/>
  <c r="E356"/>
  <c r="D356"/>
  <c r="C356"/>
  <c r="B356"/>
  <c r="P355"/>
  <c r="N355"/>
  <c r="L355"/>
  <c r="K355"/>
  <c r="J355"/>
  <c r="I355"/>
  <c r="H355"/>
  <c r="G355"/>
  <c r="F355"/>
  <c r="E355"/>
  <c r="D355"/>
  <c r="C355"/>
  <c r="B355"/>
  <c r="A355"/>
  <c r="R354"/>
  <c r="C354"/>
  <c r="A354"/>
  <c r="P353"/>
  <c r="N353"/>
  <c r="L353"/>
  <c r="K353"/>
  <c r="J353"/>
  <c r="I353"/>
  <c r="H353"/>
  <c r="G353"/>
  <c r="F353"/>
  <c r="E353"/>
  <c r="D353"/>
  <c r="C353"/>
  <c r="B353"/>
  <c r="A353"/>
  <c r="P352"/>
  <c r="N352"/>
  <c r="L352"/>
  <c r="K352"/>
  <c r="J352"/>
  <c r="I352"/>
  <c r="H352"/>
  <c r="G352"/>
  <c r="F352"/>
  <c r="E352"/>
  <c r="D352"/>
  <c r="C352"/>
  <c r="B352"/>
  <c r="A352"/>
  <c r="R351"/>
  <c r="C351"/>
  <c r="A351"/>
  <c r="P350"/>
  <c r="N350"/>
  <c r="L350"/>
  <c r="K350"/>
  <c r="J350"/>
  <c r="I350"/>
  <c r="H350"/>
  <c r="G350"/>
  <c r="F350"/>
  <c r="E350"/>
  <c r="D350"/>
  <c r="C350"/>
  <c r="B350"/>
  <c r="A350"/>
  <c r="P349"/>
  <c r="N349"/>
  <c r="L349"/>
  <c r="K349"/>
  <c r="J349"/>
  <c r="I349"/>
  <c r="H349"/>
  <c r="G349"/>
  <c r="F349"/>
  <c r="E349"/>
  <c r="D349"/>
  <c r="C349"/>
  <c r="B349"/>
  <c r="A349"/>
  <c r="R348"/>
  <c r="R341" s="1"/>
  <c r="C348"/>
  <c r="B348"/>
  <c r="A348"/>
  <c r="P347"/>
  <c r="N347"/>
  <c r="L347"/>
  <c r="K347"/>
  <c r="J347"/>
  <c r="I347"/>
  <c r="H347"/>
  <c r="G347"/>
  <c r="F347"/>
  <c r="E347"/>
  <c r="D347"/>
  <c r="C347"/>
  <c r="B347"/>
  <c r="A347"/>
  <c r="P346"/>
  <c r="N346"/>
  <c r="L346"/>
  <c r="K346"/>
  <c r="J346"/>
  <c r="I346"/>
  <c r="H346"/>
  <c r="G346"/>
  <c r="F346"/>
  <c r="E346"/>
  <c r="D346"/>
  <c r="C346"/>
  <c r="B346"/>
  <c r="A346"/>
  <c r="P345"/>
  <c r="N345"/>
  <c r="L345"/>
  <c r="K345"/>
  <c r="J345"/>
  <c r="I345"/>
  <c r="H345"/>
  <c r="G345"/>
  <c r="F345"/>
  <c r="E345"/>
  <c r="D345"/>
  <c r="C345"/>
  <c r="B345"/>
  <c r="A345"/>
  <c r="P344"/>
  <c r="N344"/>
  <c r="L344"/>
  <c r="K344"/>
  <c r="J344"/>
  <c r="I344"/>
  <c r="H344"/>
  <c r="G344"/>
  <c r="F344"/>
  <c r="E344"/>
  <c r="D344"/>
  <c r="C344"/>
  <c r="B344"/>
  <c r="A344"/>
  <c r="P343"/>
  <c r="N343"/>
  <c r="L343"/>
  <c r="K343"/>
  <c r="J343"/>
  <c r="I343"/>
  <c r="H343"/>
  <c r="G343"/>
  <c r="F343"/>
  <c r="E343"/>
  <c r="D343"/>
  <c r="C343"/>
  <c r="B343"/>
  <c r="A343"/>
  <c r="R342"/>
  <c r="C342"/>
  <c r="B342"/>
  <c r="A342"/>
  <c r="P340"/>
  <c r="N340"/>
  <c r="M340"/>
  <c r="L340"/>
  <c r="K340"/>
  <c r="J340"/>
  <c r="I340"/>
  <c r="H340"/>
  <c r="G340"/>
  <c r="F340"/>
  <c r="E340"/>
  <c r="D340"/>
  <c r="C340"/>
  <c r="B340"/>
  <c r="P339"/>
  <c r="N339"/>
  <c r="M339"/>
  <c r="L339"/>
  <c r="K339"/>
  <c r="J339"/>
  <c r="I339"/>
  <c r="H339"/>
  <c r="G339"/>
  <c r="F339"/>
  <c r="E339"/>
  <c r="D339"/>
  <c r="C339"/>
  <c r="B339"/>
  <c r="P338"/>
  <c r="N338"/>
  <c r="L338"/>
  <c r="K338"/>
  <c r="J338"/>
  <c r="I338"/>
  <c r="H338"/>
  <c r="G338"/>
  <c r="F338"/>
  <c r="E338"/>
  <c r="D338"/>
  <c r="C338"/>
  <c r="B338"/>
  <c r="P337"/>
  <c r="N337"/>
  <c r="M337"/>
  <c r="L337"/>
  <c r="K337"/>
  <c r="J337"/>
  <c r="I337"/>
  <c r="H337"/>
  <c r="G337"/>
  <c r="F337"/>
  <c r="E337"/>
  <c r="D337"/>
  <c r="C337"/>
  <c r="B337"/>
  <c r="P336"/>
  <c r="N336"/>
  <c r="M336"/>
  <c r="L336"/>
  <c r="K336"/>
  <c r="J336"/>
  <c r="I336"/>
  <c r="H336"/>
  <c r="G336"/>
  <c r="F336"/>
  <c r="E336"/>
  <c r="D336"/>
  <c r="C336"/>
  <c r="B336"/>
  <c r="P335"/>
  <c r="N335"/>
  <c r="M335"/>
  <c r="L335"/>
  <c r="K335"/>
  <c r="J335"/>
  <c r="I335"/>
  <c r="H335"/>
  <c r="G335"/>
  <c r="F335"/>
  <c r="E335"/>
  <c r="D335"/>
  <c r="C335"/>
  <c r="B335"/>
  <c r="A335"/>
  <c r="R334"/>
  <c r="C334"/>
  <c r="A334"/>
  <c r="P333"/>
  <c r="N333"/>
  <c r="M333"/>
  <c r="L333"/>
  <c r="K333"/>
  <c r="J333"/>
  <c r="I333"/>
  <c r="H333"/>
  <c r="G333"/>
  <c r="F333"/>
  <c r="E333"/>
  <c r="D333"/>
  <c r="C333"/>
  <c r="B333"/>
  <c r="P332"/>
  <c r="N332"/>
  <c r="L332"/>
  <c r="K332"/>
  <c r="J332"/>
  <c r="I332"/>
  <c r="H332"/>
  <c r="G332"/>
  <c r="F332"/>
  <c r="E332"/>
  <c r="D332"/>
  <c r="C332"/>
  <c r="B332"/>
  <c r="P331"/>
  <c r="N331"/>
  <c r="L331"/>
  <c r="K331"/>
  <c r="J331"/>
  <c r="I331"/>
  <c r="H331"/>
  <c r="G331"/>
  <c r="F331"/>
  <c r="E331"/>
  <c r="D331"/>
  <c r="C331"/>
  <c r="B331"/>
  <c r="A331"/>
  <c r="R330"/>
  <c r="C330"/>
  <c r="A330"/>
  <c r="P329"/>
  <c r="N329"/>
  <c r="M329"/>
  <c r="L329"/>
  <c r="K329"/>
  <c r="J329"/>
  <c r="I329"/>
  <c r="H329"/>
  <c r="G329"/>
  <c r="F329"/>
  <c r="E329"/>
  <c r="D329"/>
  <c r="C329"/>
  <c r="B329"/>
  <c r="P328"/>
  <c r="N328"/>
  <c r="L328"/>
  <c r="K328"/>
  <c r="J328"/>
  <c r="I328"/>
  <c r="H328"/>
  <c r="G328"/>
  <c r="F328"/>
  <c r="E328"/>
  <c r="D328"/>
  <c r="C328"/>
  <c r="B328"/>
  <c r="P327"/>
  <c r="O327"/>
  <c r="N327"/>
  <c r="M327"/>
  <c r="L327"/>
  <c r="K327"/>
  <c r="J327"/>
  <c r="I327"/>
  <c r="H327"/>
  <c r="G327"/>
  <c r="F327"/>
  <c r="E327"/>
  <c r="D327"/>
  <c r="C327"/>
  <c r="B327"/>
  <c r="P326"/>
  <c r="N326"/>
  <c r="L326"/>
  <c r="K326"/>
  <c r="J326"/>
  <c r="I326"/>
  <c r="H326"/>
  <c r="G326"/>
  <c r="F326"/>
  <c r="E326"/>
  <c r="D326"/>
  <c r="C326"/>
  <c r="B326"/>
  <c r="P325"/>
  <c r="O325"/>
  <c r="N325"/>
  <c r="M325"/>
  <c r="L325"/>
  <c r="K325"/>
  <c r="J325"/>
  <c r="I325"/>
  <c r="H325"/>
  <c r="G325"/>
  <c r="F325"/>
  <c r="E325"/>
  <c r="D325"/>
  <c r="C325"/>
  <c r="B325"/>
  <c r="P324"/>
  <c r="N324"/>
  <c r="L324"/>
  <c r="K324"/>
  <c r="J324"/>
  <c r="I324"/>
  <c r="H324"/>
  <c r="G324"/>
  <c r="F324"/>
  <c r="E324"/>
  <c r="D324"/>
  <c r="C324"/>
  <c r="B324"/>
  <c r="P323"/>
  <c r="O323"/>
  <c r="N323"/>
  <c r="L323"/>
  <c r="K323"/>
  <c r="J323"/>
  <c r="I323"/>
  <c r="H323"/>
  <c r="G323"/>
  <c r="F323"/>
  <c r="E323"/>
  <c r="D323"/>
  <c r="C323"/>
  <c r="B323"/>
  <c r="P322"/>
  <c r="N322"/>
  <c r="M322"/>
  <c r="L322"/>
  <c r="K322"/>
  <c r="J322"/>
  <c r="I322"/>
  <c r="H322"/>
  <c r="G322"/>
  <c r="F322"/>
  <c r="E322"/>
  <c r="D322"/>
  <c r="C322"/>
  <c r="B322"/>
  <c r="P321"/>
  <c r="O321"/>
  <c r="N321"/>
  <c r="M321"/>
  <c r="L321"/>
  <c r="K321"/>
  <c r="J321"/>
  <c r="I321"/>
  <c r="H321"/>
  <c r="G321"/>
  <c r="F321"/>
  <c r="E321"/>
  <c r="D321"/>
  <c r="C321"/>
  <c r="B321"/>
  <c r="P320"/>
  <c r="N320"/>
  <c r="L320"/>
  <c r="K320"/>
  <c r="J320"/>
  <c r="I320"/>
  <c r="H320"/>
  <c r="G320"/>
  <c r="F320"/>
  <c r="E320"/>
  <c r="D320"/>
  <c r="C320"/>
  <c r="B320"/>
  <c r="P319"/>
  <c r="N319"/>
  <c r="M319"/>
  <c r="L319"/>
  <c r="K319"/>
  <c r="J319"/>
  <c r="I319"/>
  <c r="H319"/>
  <c r="G319"/>
  <c r="F319"/>
  <c r="E319"/>
  <c r="D319"/>
  <c r="C319"/>
  <c r="B319"/>
  <c r="P318"/>
  <c r="N318"/>
  <c r="M318"/>
  <c r="L318"/>
  <c r="K318"/>
  <c r="J318"/>
  <c r="I318"/>
  <c r="H318"/>
  <c r="G318"/>
  <c r="F318"/>
  <c r="E318"/>
  <c r="D318"/>
  <c r="C318"/>
  <c r="B318"/>
  <c r="P317"/>
  <c r="O317"/>
  <c r="N317"/>
  <c r="M317"/>
  <c r="L317"/>
  <c r="K317"/>
  <c r="J317"/>
  <c r="I317"/>
  <c r="H317"/>
  <c r="G317"/>
  <c r="F317"/>
  <c r="E317"/>
  <c r="D317"/>
  <c r="C317"/>
  <c r="B317"/>
  <c r="P316"/>
  <c r="N316"/>
  <c r="L316"/>
  <c r="K316"/>
  <c r="J316"/>
  <c r="I316"/>
  <c r="H316"/>
  <c r="G316"/>
  <c r="F316"/>
  <c r="E316"/>
  <c r="D316"/>
  <c r="C316"/>
  <c r="B316"/>
  <c r="P315"/>
  <c r="O315"/>
  <c r="N315"/>
  <c r="L315"/>
  <c r="K315"/>
  <c r="J315"/>
  <c r="I315"/>
  <c r="H315"/>
  <c r="G315"/>
  <c r="F315"/>
  <c r="E315"/>
  <c r="D315"/>
  <c r="C315"/>
  <c r="B315"/>
  <c r="P314"/>
  <c r="N314"/>
  <c r="M314"/>
  <c r="L314"/>
  <c r="K314"/>
  <c r="J314"/>
  <c r="I314"/>
  <c r="H314"/>
  <c r="G314"/>
  <c r="F314"/>
  <c r="E314"/>
  <c r="D314"/>
  <c r="C314"/>
  <c r="B314"/>
  <c r="A314"/>
  <c r="R313"/>
  <c r="C313"/>
  <c r="A313"/>
  <c r="P312"/>
  <c r="N312"/>
  <c r="M312"/>
  <c r="L312"/>
  <c r="K312"/>
  <c r="J312"/>
  <c r="I312"/>
  <c r="H312"/>
  <c r="G312"/>
  <c r="F312"/>
  <c r="E312"/>
  <c r="D312"/>
  <c r="C312"/>
  <c r="B312"/>
  <c r="A312"/>
  <c r="R311"/>
  <c r="C311"/>
  <c r="A311"/>
  <c r="P310"/>
  <c r="N310"/>
  <c r="L310"/>
  <c r="K310"/>
  <c r="J310"/>
  <c r="I310"/>
  <c r="H310"/>
  <c r="G310"/>
  <c r="F310"/>
  <c r="E310"/>
  <c r="D310"/>
  <c r="C310"/>
  <c r="B310"/>
  <c r="P309"/>
  <c r="N309"/>
  <c r="L309"/>
  <c r="K309"/>
  <c r="J309"/>
  <c r="I309"/>
  <c r="H309"/>
  <c r="G309"/>
  <c r="F309"/>
  <c r="E309"/>
  <c r="D309"/>
  <c r="C309"/>
  <c r="B309"/>
  <c r="P308"/>
  <c r="N308"/>
  <c r="L308"/>
  <c r="K308"/>
  <c r="J308"/>
  <c r="I308"/>
  <c r="H308"/>
  <c r="G308"/>
  <c r="F308"/>
  <c r="E308"/>
  <c r="D308"/>
  <c r="C308"/>
  <c r="B308"/>
  <c r="P307"/>
  <c r="N307"/>
  <c r="L307"/>
  <c r="K307"/>
  <c r="J307"/>
  <c r="I307"/>
  <c r="H307"/>
  <c r="G307"/>
  <c r="F307"/>
  <c r="E307"/>
  <c r="D307"/>
  <c r="C307"/>
  <c r="B307"/>
  <c r="A307"/>
  <c r="P306"/>
  <c r="N306"/>
  <c r="M306"/>
  <c r="L306"/>
  <c r="K306"/>
  <c r="J306"/>
  <c r="I306"/>
  <c r="H306"/>
  <c r="G306"/>
  <c r="F306"/>
  <c r="E306"/>
  <c r="D306"/>
  <c r="C306"/>
  <c r="B306"/>
  <c r="P305"/>
  <c r="N305"/>
  <c r="L305"/>
  <c r="K305"/>
  <c r="J305"/>
  <c r="I305"/>
  <c r="H305"/>
  <c r="G305"/>
  <c r="F305"/>
  <c r="E305"/>
  <c r="D305"/>
  <c r="C305"/>
  <c r="B305"/>
  <c r="A305"/>
  <c r="R304"/>
  <c r="C304"/>
  <c r="A304"/>
  <c r="P303"/>
  <c r="N303"/>
  <c r="L303"/>
  <c r="K303"/>
  <c r="J303"/>
  <c r="I303"/>
  <c r="H303"/>
  <c r="G303"/>
  <c r="F303"/>
  <c r="E303"/>
  <c r="D303"/>
  <c r="C303"/>
  <c r="B303"/>
  <c r="A303"/>
  <c r="R302"/>
  <c r="C302"/>
  <c r="A302"/>
  <c r="P301"/>
  <c r="N301"/>
  <c r="L301"/>
  <c r="K301"/>
  <c r="J301"/>
  <c r="I301"/>
  <c r="H301"/>
  <c r="G301"/>
  <c r="F301"/>
  <c r="E301"/>
  <c r="D301"/>
  <c r="C301"/>
  <c r="B301"/>
  <c r="A301"/>
  <c r="P300"/>
  <c r="N300"/>
  <c r="L300"/>
  <c r="K300"/>
  <c r="J300"/>
  <c r="I300"/>
  <c r="H300"/>
  <c r="G300"/>
  <c r="F300"/>
  <c r="E300"/>
  <c r="D300"/>
  <c r="C300"/>
  <c r="B300"/>
  <c r="P299"/>
  <c r="N299"/>
  <c r="L299"/>
  <c r="K299"/>
  <c r="J299"/>
  <c r="I299"/>
  <c r="H299"/>
  <c r="G299"/>
  <c r="F299"/>
  <c r="E299"/>
  <c r="D299"/>
  <c r="C299"/>
  <c r="B299"/>
  <c r="A299"/>
  <c r="R298"/>
  <c r="C298"/>
  <c r="A298"/>
  <c r="P297"/>
  <c r="N297"/>
  <c r="L297"/>
  <c r="K297"/>
  <c r="J297"/>
  <c r="I297"/>
  <c r="H297"/>
  <c r="G297"/>
  <c r="F297"/>
  <c r="E297"/>
  <c r="D297"/>
  <c r="C297"/>
  <c r="B297"/>
  <c r="A297"/>
  <c r="P296"/>
  <c r="N296"/>
  <c r="L296"/>
  <c r="K296"/>
  <c r="J296"/>
  <c r="I296"/>
  <c r="H296"/>
  <c r="G296"/>
  <c r="F296"/>
  <c r="E296"/>
  <c r="D296"/>
  <c r="C296"/>
  <c r="B296"/>
  <c r="A296"/>
  <c r="P295"/>
  <c r="N295"/>
  <c r="L295"/>
  <c r="K295"/>
  <c r="J295"/>
  <c r="I295"/>
  <c r="H295"/>
  <c r="G295"/>
  <c r="F295"/>
  <c r="E295"/>
  <c r="D295"/>
  <c r="C295"/>
  <c r="B295"/>
  <c r="A295"/>
  <c r="R294"/>
  <c r="C294"/>
  <c r="B294"/>
  <c r="A294"/>
  <c r="P293"/>
  <c r="N293"/>
  <c r="L293"/>
  <c r="K293"/>
  <c r="J293"/>
  <c r="I293"/>
  <c r="H293"/>
  <c r="G293"/>
  <c r="F293"/>
  <c r="E293"/>
  <c r="D293"/>
  <c r="C293"/>
  <c r="B293"/>
  <c r="A293"/>
  <c r="P292"/>
  <c r="N292"/>
  <c r="L292"/>
  <c r="K292"/>
  <c r="J292"/>
  <c r="I292"/>
  <c r="H292"/>
  <c r="G292"/>
  <c r="F292"/>
  <c r="E292"/>
  <c r="D292"/>
  <c r="C292"/>
  <c r="B292"/>
  <c r="A292"/>
  <c r="P291"/>
  <c r="N291"/>
  <c r="L291"/>
  <c r="K291"/>
  <c r="J291"/>
  <c r="I291"/>
  <c r="H291"/>
  <c r="G291"/>
  <c r="F291"/>
  <c r="E291"/>
  <c r="D291"/>
  <c r="C291"/>
  <c r="B291"/>
  <c r="A291"/>
  <c r="P290"/>
  <c r="N290"/>
  <c r="L290"/>
  <c r="K290"/>
  <c r="J290"/>
  <c r="I290"/>
  <c r="H290"/>
  <c r="G290"/>
  <c r="F290"/>
  <c r="E290"/>
  <c r="D290"/>
  <c r="C290"/>
  <c r="B290"/>
  <c r="A290"/>
  <c r="R289"/>
  <c r="C289"/>
  <c r="B289"/>
  <c r="A289"/>
  <c r="P287"/>
  <c r="N287"/>
  <c r="L287"/>
  <c r="K287"/>
  <c r="J287"/>
  <c r="I287"/>
  <c r="H287"/>
  <c r="G287"/>
  <c r="F287"/>
  <c r="E287"/>
  <c r="D287"/>
  <c r="C287"/>
  <c r="B287"/>
  <c r="A287"/>
  <c r="P286"/>
  <c r="N286"/>
  <c r="L286"/>
  <c r="K286"/>
  <c r="J286"/>
  <c r="I286"/>
  <c r="H286"/>
  <c r="G286"/>
  <c r="F286"/>
  <c r="E286"/>
  <c r="D286"/>
  <c r="C286"/>
  <c r="B286"/>
  <c r="A286"/>
  <c r="R285"/>
  <c r="C285"/>
  <c r="A285"/>
  <c r="P284"/>
  <c r="N284"/>
  <c r="M284"/>
  <c r="L284"/>
  <c r="K284"/>
  <c r="J284"/>
  <c r="I284"/>
  <c r="H284"/>
  <c r="G284"/>
  <c r="F284"/>
  <c r="E284"/>
  <c r="D284"/>
  <c r="C284"/>
  <c r="B284"/>
  <c r="A284"/>
  <c r="R283"/>
  <c r="C283"/>
  <c r="A283"/>
  <c r="P282"/>
  <c r="N282"/>
  <c r="L282"/>
  <c r="K282"/>
  <c r="J282"/>
  <c r="I282"/>
  <c r="H282"/>
  <c r="G282"/>
  <c r="F282"/>
  <c r="E282"/>
  <c r="D282"/>
  <c r="C282"/>
  <c r="B282"/>
  <c r="P281"/>
  <c r="O281"/>
  <c r="N281"/>
  <c r="L281"/>
  <c r="K281"/>
  <c r="J281"/>
  <c r="I281"/>
  <c r="H281"/>
  <c r="G281"/>
  <c r="F281"/>
  <c r="E281"/>
  <c r="D281"/>
  <c r="C281"/>
  <c r="B281"/>
  <c r="P280"/>
  <c r="O280"/>
  <c r="N280"/>
  <c r="M280"/>
  <c r="L280"/>
  <c r="K280"/>
  <c r="J280"/>
  <c r="I280"/>
  <c r="H280"/>
  <c r="G280"/>
  <c r="F280"/>
  <c r="E280"/>
  <c r="D280"/>
  <c r="C280"/>
  <c r="B280"/>
  <c r="P279"/>
  <c r="O279"/>
  <c r="N279"/>
  <c r="M279"/>
  <c r="L279"/>
  <c r="K279"/>
  <c r="J279"/>
  <c r="I279"/>
  <c r="H279"/>
  <c r="G279"/>
  <c r="F279"/>
  <c r="E279"/>
  <c r="D279"/>
  <c r="C279"/>
  <c r="B279"/>
  <c r="P278"/>
  <c r="N278"/>
  <c r="L278"/>
  <c r="K278"/>
  <c r="J278"/>
  <c r="I278"/>
  <c r="H278"/>
  <c r="G278"/>
  <c r="F278"/>
  <c r="E278"/>
  <c r="D278"/>
  <c r="C278"/>
  <c r="B278"/>
  <c r="A278"/>
  <c r="R277"/>
  <c r="C277"/>
  <c r="A277"/>
  <c r="P276"/>
  <c r="N276"/>
  <c r="M276"/>
  <c r="L276"/>
  <c r="K276"/>
  <c r="J276"/>
  <c r="I276"/>
  <c r="H276"/>
  <c r="G276"/>
  <c r="F276"/>
  <c r="E276"/>
  <c r="D276"/>
  <c r="C276"/>
  <c r="B276"/>
  <c r="P275"/>
  <c r="N275"/>
  <c r="M275"/>
  <c r="L275"/>
  <c r="K275"/>
  <c r="J275"/>
  <c r="I275"/>
  <c r="H275"/>
  <c r="G275"/>
  <c r="F275"/>
  <c r="E275"/>
  <c r="D275"/>
  <c r="C275"/>
  <c r="B275"/>
  <c r="P274"/>
  <c r="N274"/>
  <c r="M274"/>
  <c r="L274"/>
  <c r="K274"/>
  <c r="J274"/>
  <c r="I274"/>
  <c r="H274"/>
  <c r="G274"/>
  <c r="F274"/>
  <c r="E274"/>
  <c r="D274"/>
  <c r="C274"/>
  <c r="B274"/>
  <c r="P273"/>
  <c r="N273"/>
  <c r="M273"/>
  <c r="L273"/>
  <c r="K273"/>
  <c r="J273"/>
  <c r="I273"/>
  <c r="H273"/>
  <c r="G273"/>
  <c r="F273"/>
  <c r="E273"/>
  <c r="D273"/>
  <c r="C273"/>
  <c r="B273"/>
  <c r="P272"/>
  <c r="N272"/>
  <c r="M272"/>
  <c r="L272"/>
  <c r="K272"/>
  <c r="J272"/>
  <c r="I272"/>
  <c r="H272"/>
  <c r="G272"/>
  <c r="F272"/>
  <c r="E272"/>
  <c r="D272"/>
  <c r="C272"/>
  <c r="B272"/>
  <c r="P271"/>
  <c r="N271"/>
  <c r="M271"/>
  <c r="L271"/>
  <c r="K271"/>
  <c r="J271"/>
  <c r="I271"/>
  <c r="H271"/>
  <c r="G271"/>
  <c r="F271"/>
  <c r="E271"/>
  <c r="D271"/>
  <c r="C271"/>
  <c r="B271"/>
  <c r="A271"/>
  <c r="R270"/>
  <c r="C270"/>
  <c r="A270"/>
  <c r="P269"/>
  <c r="N269"/>
  <c r="M269"/>
  <c r="L269"/>
  <c r="K269"/>
  <c r="J269"/>
  <c r="I269"/>
  <c r="H269"/>
  <c r="G269"/>
  <c r="F269"/>
  <c r="E269"/>
  <c r="D269"/>
  <c r="C269"/>
  <c r="B269"/>
  <c r="P268"/>
  <c r="N268"/>
  <c r="M268"/>
  <c r="L268"/>
  <c r="K268"/>
  <c r="J268"/>
  <c r="I268"/>
  <c r="H268"/>
  <c r="G268"/>
  <c r="F268"/>
  <c r="E268"/>
  <c r="D268"/>
  <c r="C268"/>
  <c r="B268"/>
  <c r="P267"/>
  <c r="N267"/>
  <c r="M267"/>
  <c r="L267"/>
  <c r="K267"/>
  <c r="J267"/>
  <c r="I267"/>
  <c r="H267"/>
  <c r="G267"/>
  <c r="F267"/>
  <c r="E267"/>
  <c r="D267"/>
  <c r="C267"/>
  <c r="B267"/>
  <c r="P266"/>
  <c r="N266"/>
  <c r="M266"/>
  <c r="L266"/>
  <c r="K266"/>
  <c r="J266"/>
  <c r="I266"/>
  <c r="H266"/>
  <c r="G266"/>
  <c r="F266"/>
  <c r="E266"/>
  <c r="D266"/>
  <c r="C266"/>
  <c r="B266"/>
  <c r="P265"/>
  <c r="N265"/>
  <c r="M265"/>
  <c r="L265"/>
  <c r="K265"/>
  <c r="J265"/>
  <c r="I265"/>
  <c r="H265"/>
  <c r="G265"/>
  <c r="F265"/>
  <c r="E265"/>
  <c r="D265"/>
  <c r="C265"/>
  <c r="B265"/>
  <c r="P264"/>
  <c r="N264"/>
  <c r="M264"/>
  <c r="L264"/>
  <c r="K264"/>
  <c r="J264"/>
  <c r="I264"/>
  <c r="H264"/>
  <c r="G264"/>
  <c r="F264"/>
  <c r="E264"/>
  <c r="D264"/>
  <c r="C264"/>
  <c r="B264"/>
  <c r="P263"/>
  <c r="N263"/>
  <c r="M263"/>
  <c r="L263"/>
  <c r="K263"/>
  <c r="J263"/>
  <c r="I263"/>
  <c r="H263"/>
  <c r="G263"/>
  <c r="F263"/>
  <c r="E263"/>
  <c r="D263"/>
  <c r="C263"/>
  <c r="B263"/>
  <c r="P262"/>
  <c r="N262"/>
  <c r="M262"/>
  <c r="L262"/>
  <c r="K262"/>
  <c r="J262"/>
  <c r="I262"/>
  <c r="H262"/>
  <c r="G262"/>
  <c r="F262"/>
  <c r="E262"/>
  <c r="D262"/>
  <c r="C262"/>
  <c r="B262"/>
  <c r="P261"/>
  <c r="N261"/>
  <c r="M261"/>
  <c r="L261"/>
  <c r="K261"/>
  <c r="J261"/>
  <c r="I261"/>
  <c r="H261"/>
  <c r="G261"/>
  <c r="F261"/>
  <c r="E261"/>
  <c r="D261"/>
  <c r="C261"/>
  <c r="B261"/>
  <c r="P260"/>
  <c r="N260"/>
  <c r="M260"/>
  <c r="L260"/>
  <c r="K260"/>
  <c r="J260"/>
  <c r="I260"/>
  <c r="H260"/>
  <c r="G260"/>
  <c r="F260"/>
  <c r="E260"/>
  <c r="D260"/>
  <c r="C260"/>
  <c r="B260"/>
  <c r="P259"/>
  <c r="N259"/>
  <c r="M259"/>
  <c r="L259"/>
  <c r="K259"/>
  <c r="J259"/>
  <c r="I259"/>
  <c r="H259"/>
  <c r="G259"/>
  <c r="F259"/>
  <c r="E259"/>
  <c r="D259"/>
  <c r="C259"/>
  <c r="B259"/>
  <c r="P258"/>
  <c r="N258"/>
  <c r="M258"/>
  <c r="L258"/>
  <c r="K258"/>
  <c r="J258"/>
  <c r="I258"/>
  <c r="H258"/>
  <c r="G258"/>
  <c r="F258"/>
  <c r="E258"/>
  <c r="D258"/>
  <c r="C258"/>
  <c r="B258"/>
  <c r="P257"/>
  <c r="N257"/>
  <c r="M257"/>
  <c r="L257"/>
  <c r="K257"/>
  <c r="J257"/>
  <c r="I257"/>
  <c r="H257"/>
  <c r="G257"/>
  <c r="F257"/>
  <c r="E257"/>
  <c r="D257"/>
  <c r="C257"/>
  <c r="B257"/>
  <c r="P256"/>
  <c r="N256"/>
  <c r="M256"/>
  <c r="L256"/>
  <c r="K256"/>
  <c r="J256"/>
  <c r="I256"/>
  <c r="H256"/>
  <c r="G256"/>
  <c r="F256"/>
  <c r="E256"/>
  <c r="D256"/>
  <c r="C256"/>
  <c r="B256"/>
  <c r="P255"/>
  <c r="N255"/>
  <c r="M255"/>
  <c r="L255"/>
  <c r="K255"/>
  <c r="J255"/>
  <c r="I255"/>
  <c r="H255"/>
  <c r="G255"/>
  <c r="F255"/>
  <c r="E255"/>
  <c r="D255"/>
  <c r="C255"/>
  <c r="B255"/>
  <c r="P254"/>
  <c r="N254"/>
  <c r="M254"/>
  <c r="L254"/>
  <c r="K254"/>
  <c r="J254"/>
  <c r="I254"/>
  <c r="H254"/>
  <c r="G254"/>
  <c r="F254"/>
  <c r="E254"/>
  <c r="D254"/>
  <c r="C254"/>
  <c r="B254"/>
  <c r="P253"/>
  <c r="N253"/>
  <c r="M253"/>
  <c r="L253"/>
  <c r="K253"/>
  <c r="J253"/>
  <c r="I253"/>
  <c r="H253"/>
  <c r="G253"/>
  <c r="F253"/>
  <c r="E253"/>
  <c r="D253"/>
  <c r="C253"/>
  <c r="B253"/>
  <c r="P252"/>
  <c r="N252"/>
  <c r="M252"/>
  <c r="L252"/>
  <c r="K252"/>
  <c r="J252"/>
  <c r="I252"/>
  <c r="H252"/>
  <c r="G252"/>
  <c r="F252"/>
  <c r="E252"/>
  <c r="D252"/>
  <c r="C252"/>
  <c r="B252"/>
  <c r="P251"/>
  <c r="N251"/>
  <c r="M251"/>
  <c r="L251"/>
  <c r="K251"/>
  <c r="J251"/>
  <c r="I251"/>
  <c r="H251"/>
  <c r="G251"/>
  <c r="F251"/>
  <c r="E251"/>
  <c r="D251"/>
  <c r="C251"/>
  <c r="B251"/>
  <c r="P250"/>
  <c r="N250"/>
  <c r="M250"/>
  <c r="L250"/>
  <c r="K250"/>
  <c r="J250"/>
  <c r="I250"/>
  <c r="H250"/>
  <c r="G250"/>
  <c r="F250"/>
  <c r="E250"/>
  <c r="D250"/>
  <c r="C250"/>
  <c r="B250"/>
  <c r="P249"/>
  <c r="N249"/>
  <c r="M249"/>
  <c r="L249"/>
  <c r="K249"/>
  <c r="J249"/>
  <c r="I249"/>
  <c r="H249"/>
  <c r="G249"/>
  <c r="F249"/>
  <c r="E249"/>
  <c r="D249"/>
  <c r="C249"/>
  <c r="B249"/>
  <c r="P248"/>
  <c r="N248"/>
  <c r="M248"/>
  <c r="L248"/>
  <c r="K248"/>
  <c r="J248"/>
  <c r="I248"/>
  <c r="H248"/>
  <c r="G248"/>
  <c r="F248"/>
  <c r="E248"/>
  <c r="D248"/>
  <c r="C248"/>
  <c r="B248"/>
  <c r="P247"/>
  <c r="N247"/>
  <c r="M247"/>
  <c r="L247"/>
  <c r="K247"/>
  <c r="J247"/>
  <c r="I247"/>
  <c r="H247"/>
  <c r="G247"/>
  <c r="F247"/>
  <c r="E247"/>
  <c r="D247"/>
  <c r="C247"/>
  <c r="B247"/>
  <c r="P246"/>
  <c r="N246"/>
  <c r="M246"/>
  <c r="L246"/>
  <c r="K246"/>
  <c r="J246"/>
  <c r="I246"/>
  <c r="H246"/>
  <c r="G246"/>
  <c r="F246"/>
  <c r="E246"/>
  <c r="D246"/>
  <c r="C246"/>
  <c r="B246"/>
  <c r="P245"/>
  <c r="N245"/>
  <c r="M245"/>
  <c r="L245"/>
  <c r="K245"/>
  <c r="J245"/>
  <c r="I245"/>
  <c r="H245"/>
  <c r="G245"/>
  <c r="F245"/>
  <c r="E245"/>
  <c r="D245"/>
  <c r="C245"/>
  <c r="B245"/>
  <c r="P244"/>
  <c r="N244"/>
  <c r="M244"/>
  <c r="L244"/>
  <c r="K244"/>
  <c r="J244"/>
  <c r="I244"/>
  <c r="H244"/>
  <c r="G244"/>
  <c r="F244"/>
  <c r="E244"/>
  <c r="D244"/>
  <c r="C244"/>
  <c r="B244"/>
  <c r="P243"/>
  <c r="N243"/>
  <c r="M243"/>
  <c r="L243"/>
  <c r="K243"/>
  <c r="J243"/>
  <c r="I243"/>
  <c r="H243"/>
  <c r="G243"/>
  <c r="F243"/>
  <c r="E243"/>
  <c r="D243"/>
  <c r="C243"/>
  <c r="B243"/>
  <c r="P242"/>
  <c r="N242"/>
  <c r="M242"/>
  <c r="L242"/>
  <c r="K242"/>
  <c r="J242"/>
  <c r="I242"/>
  <c r="H242"/>
  <c r="G242"/>
  <c r="F242"/>
  <c r="E242"/>
  <c r="D242"/>
  <c r="C242"/>
  <c r="B242"/>
  <c r="A242"/>
  <c r="R241"/>
  <c r="C241"/>
  <c r="A241"/>
  <c r="P240"/>
  <c r="N240"/>
  <c r="M240"/>
  <c r="L240"/>
  <c r="K240"/>
  <c r="J240"/>
  <c r="I240"/>
  <c r="H240"/>
  <c r="G240"/>
  <c r="F240"/>
  <c r="E240"/>
  <c r="D240"/>
  <c r="C240"/>
  <c r="B240"/>
  <c r="A240"/>
  <c r="P239"/>
  <c r="N239"/>
  <c r="M239"/>
  <c r="L239"/>
  <c r="K239"/>
  <c r="J239"/>
  <c r="I239"/>
  <c r="H239"/>
  <c r="G239"/>
  <c r="F239"/>
  <c r="E239"/>
  <c r="D239"/>
  <c r="C239"/>
  <c r="B239"/>
  <c r="A239"/>
  <c r="P238"/>
  <c r="N238"/>
  <c r="M238"/>
  <c r="L238"/>
  <c r="K238"/>
  <c r="J238"/>
  <c r="I238"/>
  <c r="H238"/>
  <c r="G238"/>
  <c r="F238"/>
  <c r="E238"/>
  <c r="D238"/>
  <c r="C238"/>
  <c r="B238"/>
  <c r="A238"/>
  <c r="P237"/>
  <c r="N237"/>
  <c r="M237"/>
  <c r="L237"/>
  <c r="K237"/>
  <c r="J237"/>
  <c r="I237"/>
  <c r="H237"/>
  <c r="G237"/>
  <c r="F237"/>
  <c r="E237"/>
  <c r="D237"/>
  <c r="C237"/>
  <c r="B237"/>
  <c r="A237"/>
  <c r="R236"/>
  <c r="C236"/>
  <c r="A236"/>
  <c r="P235"/>
  <c r="N235"/>
  <c r="L235"/>
  <c r="K235"/>
  <c r="J235"/>
  <c r="I235"/>
  <c r="H235"/>
  <c r="G235"/>
  <c r="F235"/>
  <c r="E235"/>
  <c r="D235"/>
  <c r="C235"/>
  <c r="B235"/>
  <c r="A235"/>
  <c r="R234"/>
  <c r="C234"/>
  <c r="A234"/>
  <c r="P233"/>
  <c r="N233"/>
  <c r="L233"/>
  <c r="K233"/>
  <c r="J233"/>
  <c r="I233"/>
  <c r="H233"/>
  <c r="G233"/>
  <c r="F233"/>
  <c r="E233"/>
  <c r="D233"/>
  <c r="C233"/>
  <c r="B233"/>
  <c r="P232"/>
  <c r="N232"/>
  <c r="L232"/>
  <c r="K232"/>
  <c r="J232"/>
  <c r="I232"/>
  <c r="H232"/>
  <c r="G232"/>
  <c r="F232"/>
  <c r="E232"/>
  <c r="D232"/>
  <c r="C232"/>
  <c r="B232"/>
  <c r="A232"/>
  <c r="P231"/>
  <c r="N231"/>
  <c r="L231"/>
  <c r="K231"/>
  <c r="J231"/>
  <c r="I231"/>
  <c r="H231"/>
  <c r="G231"/>
  <c r="F231"/>
  <c r="E231"/>
  <c r="D231"/>
  <c r="C231"/>
  <c r="B231"/>
  <c r="A231"/>
  <c r="P230"/>
  <c r="N230"/>
  <c r="L230"/>
  <c r="K230"/>
  <c r="J230"/>
  <c r="I230"/>
  <c r="H230"/>
  <c r="G230"/>
  <c r="F230"/>
  <c r="E230"/>
  <c r="D230"/>
  <c r="C230"/>
  <c r="B230"/>
  <c r="P229"/>
  <c r="N229"/>
  <c r="L229"/>
  <c r="K229"/>
  <c r="J229"/>
  <c r="I229"/>
  <c r="H229"/>
  <c r="G229"/>
  <c r="F229"/>
  <c r="E229"/>
  <c r="D229"/>
  <c r="C229"/>
  <c r="B229"/>
  <c r="P228"/>
  <c r="N228"/>
  <c r="L228"/>
  <c r="K228"/>
  <c r="J228"/>
  <c r="I228"/>
  <c r="H228"/>
  <c r="G228"/>
  <c r="F228"/>
  <c r="E228"/>
  <c r="D228"/>
  <c r="C228"/>
  <c r="B228"/>
  <c r="P227"/>
  <c r="N227"/>
  <c r="L227"/>
  <c r="K227"/>
  <c r="J227"/>
  <c r="I227"/>
  <c r="H227"/>
  <c r="G227"/>
  <c r="F227"/>
  <c r="E227"/>
  <c r="D227"/>
  <c r="C227"/>
  <c r="B227"/>
  <c r="P226"/>
  <c r="N226"/>
  <c r="L226"/>
  <c r="K226"/>
  <c r="J226"/>
  <c r="I226"/>
  <c r="H226"/>
  <c r="G226"/>
  <c r="F226"/>
  <c r="E226"/>
  <c r="D226"/>
  <c r="C226"/>
  <c r="B226"/>
  <c r="P225"/>
  <c r="N225"/>
  <c r="L225"/>
  <c r="K225"/>
  <c r="J225"/>
  <c r="I225"/>
  <c r="H225"/>
  <c r="G225"/>
  <c r="F225"/>
  <c r="E225"/>
  <c r="D225"/>
  <c r="C225"/>
  <c r="B225"/>
  <c r="A225"/>
  <c r="R224"/>
  <c r="C224"/>
  <c r="A224"/>
  <c r="P223"/>
  <c r="N223"/>
  <c r="L223"/>
  <c r="K223"/>
  <c r="J223"/>
  <c r="I223"/>
  <c r="H223"/>
  <c r="G223"/>
  <c r="F223"/>
  <c r="E223"/>
  <c r="D223"/>
  <c r="C223"/>
  <c r="B223"/>
  <c r="A223"/>
  <c r="P222"/>
  <c r="N222"/>
  <c r="L222"/>
  <c r="K222"/>
  <c r="J222"/>
  <c r="I222"/>
  <c r="H222"/>
  <c r="G222"/>
  <c r="F222"/>
  <c r="E222"/>
  <c r="D222"/>
  <c r="C222"/>
  <c r="B222"/>
  <c r="P221"/>
  <c r="N221"/>
  <c r="L221"/>
  <c r="K221"/>
  <c r="J221"/>
  <c r="I221"/>
  <c r="H221"/>
  <c r="G221"/>
  <c r="F221"/>
  <c r="E221"/>
  <c r="D221"/>
  <c r="C221"/>
  <c r="B221"/>
  <c r="P220"/>
  <c r="N220"/>
  <c r="L220"/>
  <c r="K220"/>
  <c r="J220"/>
  <c r="I220"/>
  <c r="H220"/>
  <c r="G220"/>
  <c r="F220"/>
  <c r="E220"/>
  <c r="D220"/>
  <c r="C220"/>
  <c r="B220"/>
  <c r="P219"/>
  <c r="N219"/>
  <c r="L219"/>
  <c r="K219"/>
  <c r="J219"/>
  <c r="I219"/>
  <c r="H219"/>
  <c r="G219"/>
  <c r="F219"/>
  <c r="E219"/>
  <c r="D219"/>
  <c r="C219"/>
  <c r="B219"/>
  <c r="P218"/>
  <c r="N218"/>
  <c r="L218"/>
  <c r="K218"/>
  <c r="J218"/>
  <c r="I218"/>
  <c r="H218"/>
  <c r="G218"/>
  <c r="F218"/>
  <c r="E218"/>
  <c r="D218"/>
  <c r="C218"/>
  <c r="B218"/>
  <c r="P217"/>
  <c r="N217"/>
  <c r="L217"/>
  <c r="K217"/>
  <c r="J217"/>
  <c r="I217"/>
  <c r="H217"/>
  <c r="G217"/>
  <c r="F217"/>
  <c r="E217"/>
  <c r="D217"/>
  <c r="C217"/>
  <c r="B217"/>
  <c r="P216"/>
  <c r="N216"/>
  <c r="L216"/>
  <c r="K216"/>
  <c r="J216"/>
  <c r="I216"/>
  <c r="H216"/>
  <c r="G216"/>
  <c r="F216"/>
  <c r="E216"/>
  <c r="D216"/>
  <c r="C216"/>
  <c r="B216"/>
  <c r="P215"/>
  <c r="N215"/>
  <c r="L215"/>
  <c r="K215"/>
  <c r="J215"/>
  <c r="I215"/>
  <c r="H215"/>
  <c r="G215"/>
  <c r="F215"/>
  <c r="E215"/>
  <c r="D215"/>
  <c r="C215"/>
  <c r="B215"/>
  <c r="P214"/>
  <c r="N214"/>
  <c r="L214"/>
  <c r="K214"/>
  <c r="J214"/>
  <c r="I214"/>
  <c r="H214"/>
  <c r="G214"/>
  <c r="F214"/>
  <c r="E214"/>
  <c r="D214"/>
  <c r="C214"/>
  <c r="B214"/>
  <c r="A214"/>
  <c r="R213"/>
  <c r="C213"/>
  <c r="A213"/>
  <c r="P212"/>
  <c r="N212"/>
  <c r="L212"/>
  <c r="K212"/>
  <c r="J212"/>
  <c r="I212"/>
  <c r="H212"/>
  <c r="G212"/>
  <c r="F212"/>
  <c r="E212"/>
  <c r="D212"/>
  <c r="C212"/>
  <c r="B212"/>
  <c r="A212"/>
  <c r="R211"/>
  <c r="C211"/>
  <c r="A211"/>
  <c r="P210"/>
  <c r="N210"/>
  <c r="L210"/>
  <c r="K210"/>
  <c r="J210"/>
  <c r="I210"/>
  <c r="H210"/>
  <c r="G210"/>
  <c r="F210"/>
  <c r="E210"/>
  <c r="D210"/>
  <c r="C210"/>
  <c r="B210"/>
  <c r="A210"/>
  <c r="P209"/>
  <c r="N209"/>
  <c r="L209"/>
  <c r="K209"/>
  <c r="J209"/>
  <c r="I209"/>
  <c r="H209"/>
  <c r="G209"/>
  <c r="F209"/>
  <c r="E209"/>
  <c r="D209"/>
  <c r="C209"/>
  <c r="B209"/>
  <c r="A209"/>
  <c r="P208"/>
  <c r="N208"/>
  <c r="L208"/>
  <c r="K208"/>
  <c r="J208"/>
  <c r="I208"/>
  <c r="H208"/>
  <c r="G208"/>
  <c r="F208"/>
  <c r="E208"/>
  <c r="D208"/>
  <c r="C208"/>
  <c r="B208"/>
  <c r="A208"/>
  <c r="P207"/>
  <c r="N207"/>
  <c r="L207"/>
  <c r="K207"/>
  <c r="J207"/>
  <c r="I207"/>
  <c r="H207"/>
  <c r="G207"/>
  <c r="F207"/>
  <c r="E207"/>
  <c r="D207"/>
  <c r="C207"/>
  <c r="B207"/>
  <c r="A207"/>
  <c r="P206"/>
  <c r="N206"/>
  <c r="L206"/>
  <c r="K206"/>
  <c r="J206"/>
  <c r="I206"/>
  <c r="H206"/>
  <c r="G206"/>
  <c r="F206"/>
  <c r="E206"/>
  <c r="D206"/>
  <c r="C206"/>
  <c r="B206"/>
  <c r="A206"/>
  <c r="P205"/>
  <c r="N205"/>
  <c r="L205"/>
  <c r="K205"/>
  <c r="J205"/>
  <c r="I205"/>
  <c r="H205"/>
  <c r="G205"/>
  <c r="F205"/>
  <c r="E205"/>
  <c r="D205"/>
  <c r="C205"/>
  <c r="B205"/>
  <c r="A205"/>
  <c r="P204"/>
  <c r="N204"/>
  <c r="L204"/>
  <c r="K204"/>
  <c r="J204"/>
  <c r="I204"/>
  <c r="H204"/>
  <c r="G204"/>
  <c r="F204"/>
  <c r="E204"/>
  <c r="D204"/>
  <c r="C204"/>
  <c r="B204"/>
  <c r="A204"/>
  <c r="P203"/>
  <c r="N203"/>
  <c r="L203"/>
  <c r="K203"/>
  <c r="J203"/>
  <c r="I203"/>
  <c r="H203"/>
  <c r="G203"/>
  <c r="F203"/>
  <c r="E203"/>
  <c r="D203"/>
  <c r="C203"/>
  <c r="B203"/>
  <c r="A203"/>
  <c r="P202"/>
  <c r="N202"/>
  <c r="L202"/>
  <c r="K202"/>
  <c r="J202"/>
  <c r="I202"/>
  <c r="H202"/>
  <c r="G202"/>
  <c r="F202"/>
  <c r="E202"/>
  <c r="D202"/>
  <c r="C202"/>
  <c r="B202"/>
  <c r="A202"/>
  <c r="P201"/>
  <c r="N201"/>
  <c r="L201"/>
  <c r="K201"/>
  <c r="J201"/>
  <c r="I201"/>
  <c r="H201"/>
  <c r="G201"/>
  <c r="F201"/>
  <c r="E201"/>
  <c r="D201"/>
  <c r="C201"/>
  <c r="B201"/>
  <c r="A201"/>
  <c r="P200"/>
  <c r="N200"/>
  <c r="L200"/>
  <c r="K200"/>
  <c r="J200"/>
  <c r="I200"/>
  <c r="H200"/>
  <c r="G200"/>
  <c r="F200"/>
  <c r="E200"/>
  <c r="D200"/>
  <c r="C200"/>
  <c r="B200"/>
  <c r="A200"/>
  <c r="P199"/>
  <c r="N199"/>
  <c r="L199"/>
  <c r="K199"/>
  <c r="J199"/>
  <c r="I199"/>
  <c r="H199"/>
  <c r="G199"/>
  <c r="F199"/>
  <c r="E199"/>
  <c r="D199"/>
  <c r="C199"/>
  <c r="B199"/>
  <c r="A199"/>
  <c r="P198"/>
  <c r="N198"/>
  <c r="L198"/>
  <c r="K198"/>
  <c r="J198"/>
  <c r="I198"/>
  <c r="H198"/>
  <c r="G198"/>
  <c r="F198"/>
  <c r="E198"/>
  <c r="D198"/>
  <c r="C198"/>
  <c r="B198"/>
  <c r="A198"/>
  <c r="R197"/>
  <c r="C197"/>
  <c r="B197"/>
  <c r="A197"/>
  <c r="P195"/>
  <c r="N195"/>
  <c r="M195"/>
  <c r="L195"/>
  <c r="K195"/>
  <c r="J195"/>
  <c r="I195"/>
  <c r="H195"/>
  <c r="G195"/>
  <c r="F195"/>
  <c r="E195"/>
  <c r="D195"/>
  <c r="C195"/>
  <c r="B195"/>
  <c r="P194"/>
  <c r="N194"/>
  <c r="M194"/>
  <c r="L194"/>
  <c r="K194"/>
  <c r="J194"/>
  <c r="I194"/>
  <c r="H194"/>
  <c r="G194"/>
  <c r="F194"/>
  <c r="E194"/>
  <c r="D194"/>
  <c r="C194"/>
  <c r="B194"/>
  <c r="P193"/>
  <c r="N193"/>
  <c r="M193"/>
  <c r="L193"/>
  <c r="K193"/>
  <c r="J193"/>
  <c r="I193"/>
  <c r="H193"/>
  <c r="G193"/>
  <c r="F193"/>
  <c r="E193"/>
  <c r="D193"/>
  <c r="C193"/>
  <c r="B193"/>
  <c r="P192"/>
  <c r="N192"/>
  <c r="M192"/>
  <c r="L192"/>
  <c r="K192"/>
  <c r="J192"/>
  <c r="I192"/>
  <c r="H192"/>
  <c r="G192"/>
  <c r="F192"/>
  <c r="E192"/>
  <c r="D192"/>
  <c r="C192"/>
  <c r="B192"/>
  <c r="P191"/>
  <c r="N191"/>
  <c r="M191"/>
  <c r="L191"/>
  <c r="K191"/>
  <c r="J191"/>
  <c r="I191"/>
  <c r="H191"/>
  <c r="G191"/>
  <c r="F191"/>
  <c r="E191"/>
  <c r="D191"/>
  <c r="C191"/>
  <c r="B191"/>
  <c r="P190"/>
  <c r="N190"/>
  <c r="M190"/>
  <c r="L190"/>
  <c r="K190"/>
  <c r="J190"/>
  <c r="I190"/>
  <c r="H190"/>
  <c r="G190"/>
  <c r="F190"/>
  <c r="E190"/>
  <c r="D190"/>
  <c r="C190"/>
  <c r="B190"/>
  <c r="P189"/>
  <c r="N189"/>
  <c r="M189"/>
  <c r="L189"/>
  <c r="K189"/>
  <c r="J189"/>
  <c r="I189"/>
  <c r="H189"/>
  <c r="G189"/>
  <c r="F189"/>
  <c r="E189"/>
  <c r="D189"/>
  <c r="C189"/>
  <c r="B189"/>
  <c r="P188"/>
  <c r="N188"/>
  <c r="M188"/>
  <c r="L188"/>
  <c r="K188"/>
  <c r="J188"/>
  <c r="I188"/>
  <c r="H188"/>
  <c r="G188"/>
  <c r="F188"/>
  <c r="E188"/>
  <c r="D188"/>
  <c r="C188"/>
  <c r="B188"/>
  <c r="P187"/>
  <c r="N187"/>
  <c r="M187"/>
  <c r="L187"/>
  <c r="K187"/>
  <c r="J187"/>
  <c r="I187"/>
  <c r="H187"/>
  <c r="G187"/>
  <c r="F187"/>
  <c r="E187"/>
  <c r="D187"/>
  <c r="C187"/>
  <c r="B187"/>
  <c r="P186"/>
  <c r="N186"/>
  <c r="M186"/>
  <c r="L186"/>
  <c r="K186"/>
  <c r="J186"/>
  <c r="I186"/>
  <c r="H186"/>
  <c r="G186"/>
  <c r="F186"/>
  <c r="E186"/>
  <c r="D186"/>
  <c r="C186"/>
  <c r="B186"/>
  <c r="P185"/>
  <c r="N185"/>
  <c r="M185"/>
  <c r="L185"/>
  <c r="K185"/>
  <c r="J185"/>
  <c r="I185"/>
  <c r="H185"/>
  <c r="G185"/>
  <c r="F185"/>
  <c r="E185"/>
  <c r="D185"/>
  <c r="C185"/>
  <c r="B185"/>
  <c r="P184"/>
  <c r="N184"/>
  <c r="M184"/>
  <c r="L184"/>
  <c r="K184"/>
  <c r="J184"/>
  <c r="I184"/>
  <c r="H184"/>
  <c r="G184"/>
  <c r="F184"/>
  <c r="E184"/>
  <c r="D184"/>
  <c r="C184"/>
  <c r="B184"/>
  <c r="P183"/>
  <c r="N183"/>
  <c r="M183"/>
  <c r="L183"/>
  <c r="K183"/>
  <c r="J183"/>
  <c r="I183"/>
  <c r="H183"/>
  <c r="G183"/>
  <c r="F183"/>
  <c r="E183"/>
  <c r="D183"/>
  <c r="C183"/>
  <c r="B183"/>
  <c r="P182"/>
  <c r="N182"/>
  <c r="M182"/>
  <c r="L182"/>
  <c r="K182"/>
  <c r="J182"/>
  <c r="I182"/>
  <c r="H182"/>
  <c r="G182"/>
  <c r="F182"/>
  <c r="E182"/>
  <c r="D182"/>
  <c r="C182"/>
  <c r="B182"/>
  <c r="P181"/>
  <c r="N181"/>
  <c r="M181"/>
  <c r="L181"/>
  <c r="K181"/>
  <c r="J181"/>
  <c r="I181"/>
  <c r="H181"/>
  <c r="G181"/>
  <c r="F181"/>
  <c r="E181"/>
  <c r="D181"/>
  <c r="C181"/>
  <c r="B181"/>
  <c r="A181"/>
  <c r="R180"/>
  <c r="C180"/>
  <c r="A180"/>
  <c r="P179"/>
  <c r="N179"/>
  <c r="L179"/>
  <c r="K179"/>
  <c r="J179"/>
  <c r="I179"/>
  <c r="H179"/>
  <c r="G179"/>
  <c r="F179"/>
  <c r="E179"/>
  <c r="D179"/>
  <c r="C179"/>
  <c r="B179"/>
  <c r="P178"/>
  <c r="N178"/>
  <c r="L178"/>
  <c r="K178"/>
  <c r="J178"/>
  <c r="I178"/>
  <c r="H178"/>
  <c r="G178"/>
  <c r="F178"/>
  <c r="E178"/>
  <c r="D178"/>
  <c r="C178"/>
  <c r="B178"/>
  <c r="P177"/>
  <c r="N177"/>
  <c r="L177"/>
  <c r="K177"/>
  <c r="J177"/>
  <c r="I177"/>
  <c r="H177"/>
  <c r="G177"/>
  <c r="F177"/>
  <c r="E177"/>
  <c r="D177"/>
  <c r="C177"/>
  <c r="B177"/>
  <c r="P176"/>
  <c r="N176"/>
  <c r="L176"/>
  <c r="K176"/>
  <c r="J176"/>
  <c r="I176"/>
  <c r="H176"/>
  <c r="G176"/>
  <c r="F176"/>
  <c r="E176"/>
  <c r="D176"/>
  <c r="C176"/>
  <c r="B176"/>
  <c r="A176"/>
  <c r="R175"/>
  <c r="C175"/>
  <c r="A175"/>
  <c r="P174"/>
  <c r="N174"/>
  <c r="L174"/>
  <c r="K174"/>
  <c r="J174"/>
  <c r="I174"/>
  <c r="H174"/>
  <c r="G174"/>
  <c r="F174"/>
  <c r="E174"/>
  <c r="D174"/>
  <c r="C174"/>
  <c r="B174"/>
  <c r="A174"/>
  <c r="R173"/>
  <c r="C173"/>
  <c r="A173"/>
  <c r="P172"/>
  <c r="N172"/>
  <c r="L172"/>
  <c r="K172"/>
  <c r="J172"/>
  <c r="I172"/>
  <c r="H172"/>
  <c r="G172"/>
  <c r="F172"/>
  <c r="E172"/>
  <c r="D172"/>
  <c r="C172"/>
  <c r="B172"/>
  <c r="P171"/>
  <c r="N171"/>
  <c r="L171"/>
  <c r="K171"/>
  <c r="J171"/>
  <c r="I171"/>
  <c r="H171"/>
  <c r="G171"/>
  <c r="F171"/>
  <c r="E171"/>
  <c r="D171"/>
  <c r="C171"/>
  <c r="B171"/>
  <c r="P170"/>
  <c r="N170"/>
  <c r="L170"/>
  <c r="K170"/>
  <c r="J170"/>
  <c r="I170"/>
  <c r="H170"/>
  <c r="G170"/>
  <c r="F170"/>
  <c r="E170"/>
  <c r="D170"/>
  <c r="C170"/>
  <c r="B170"/>
  <c r="P169"/>
  <c r="N169"/>
  <c r="L169"/>
  <c r="K169"/>
  <c r="J169"/>
  <c r="I169"/>
  <c r="H169"/>
  <c r="G169"/>
  <c r="F169"/>
  <c r="E169"/>
  <c r="D169"/>
  <c r="C169"/>
  <c r="B169"/>
  <c r="P168"/>
  <c r="N168"/>
  <c r="L168"/>
  <c r="K168"/>
  <c r="J168"/>
  <c r="I168"/>
  <c r="H168"/>
  <c r="G168"/>
  <c r="F168"/>
  <c r="E168"/>
  <c r="D168"/>
  <c r="C168"/>
  <c r="B168"/>
  <c r="P167"/>
  <c r="N167"/>
  <c r="M167"/>
  <c r="L167"/>
  <c r="K167"/>
  <c r="J167"/>
  <c r="I167"/>
  <c r="H167"/>
  <c r="G167"/>
  <c r="F167"/>
  <c r="E167"/>
  <c r="D167"/>
  <c r="C167"/>
  <c r="B167"/>
  <c r="P166"/>
  <c r="N166"/>
  <c r="L166"/>
  <c r="K166"/>
  <c r="J166"/>
  <c r="I166"/>
  <c r="H166"/>
  <c r="G166"/>
  <c r="F166"/>
  <c r="E166"/>
  <c r="D166"/>
  <c r="C166"/>
  <c r="B166"/>
  <c r="P165"/>
  <c r="N165"/>
  <c r="L165"/>
  <c r="K165"/>
  <c r="J165"/>
  <c r="I165"/>
  <c r="H165"/>
  <c r="G165"/>
  <c r="F165"/>
  <c r="E165"/>
  <c r="D165"/>
  <c r="C165"/>
  <c r="B165"/>
  <c r="P164"/>
  <c r="N164"/>
  <c r="L164"/>
  <c r="K164"/>
  <c r="J164"/>
  <c r="I164"/>
  <c r="H164"/>
  <c r="G164"/>
  <c r="F164"/>
  <c r="E164"/>
  <c r="D164"/>
  <c r="C164"/>
  <c r="B164"/>
  <c r="P163"/>
  <c r="N163"/>
  <c r="L163"/>
  <c r="K163"/>
  <c r="J163"/>
  <c r="I163"/>
  <c r="H163"/>
  <c r="G163"/>
  <c r="F163"/>
  <c r="E163"/>
  <c r="D163"/>
  <c r="C163"/>
  <c r="B163"/>
  <c r="P162"/>
  <c r="N162"/>
  <c r="L162"/>
  <c r="K162"/>
  <c r="J162"/>
  <c r="I162"/>
  <c r="H162"/>
  <c r="G162"/>
  <c r="F162"/>
  <c r="E162"/>
  <c r="D162"/>
  <c r="C162"/>
  <c r="B162"/>
  <c r="P161"/>
  <c r="N161"/>
  <c r="L161"/>
  <c r="K161"/>
  <c r="J161"/>
  <c r="I161"/>
  <c r="H161"/>
  <c r="G161"/>
  <c r="F161"/>
  <c r="E161"/>
  <c r="D161"/>
  <c r="C161"/>
  <c r="B161"/>
  <c r="P160"/>
  <c r="N160"/>
  <c r="L160"/>
  <c r="K160"/>
  <c r="J160"/>
  <c r="I160"/>
  <c r="H160"/>
  <c r="G160"/>
  <c r="F160"/>
  <c r="E160"/>
  <c r="D160"/>
  <c r="C160"/>
  <c r="B160"/>
  <c r="P159"/>
  <c r="N159"/>
  <c r="M159"/>
  <c r="L159"/>
  <c r="K159"/>
  <c r="J159"/>
  <c r="I159"/>
  <c r="H159"/>
  <c r="G159"/>
  <c r="F159"/>
  <c r="E159"/>
  <c r="D159"/>
  <c r="C159"/>
  <c r="B159"/>
  <c r="P158"/>
  <c r="N158"/>
  <c r="L158"/>
  <c r="K158"/>
  <c r="J158"/>
  <c r="I158"/>
  <c r="H158"/>
  <c r="G158"/>
  <c r="F158"/>
  <c r="E158"/>
  <c r="D158"/>
  <c r="C158"/>
  <c r="B158"/>
  <c r="P157"/>
  <c r="N157"/>
  <c r="L157"/>
  <c r="K157"/>
  <c r="J157"/>
  <c r="I157"/>
  <c r="H157"/>
  <c r="G157"/>
  <c r="F157"/>
  <c r="E157"/>
  <c r="D157"/>
  <c r="C157"/>
  <c r="B157"/>
  <c r="P156"/>
  <c r="N156"/>
  <c r="L156"/>
  <c r="K156"/>
  <c r="J156"/>
  <c r="I156"/>
  <c r="H156"/>
  <c r="G156"/>
  <c r="F156"/>
  <c r="E156"/>
  <c r="D156"/>
  <c r="C156"/>
  <c r="B156"/>
  <c r="P155"/>
  <c r="N155"/>
  <c r="L155"/>
  <c r="K155"/>
  <c r="J155"/>
  <c r="I155"/>
  <c r="H155"/>
  <c r="G155"/>
  <c r="F155"/>
  <c r="E155"/>
  <c r="D155"/>
  <c r="C155"/>
  <c r="B155"/>
  <c r="P154"/>
  <c r="N154"/>
  <c r="L154"/>
  <c r="K154"/>
  <c r="J154"/>
  <c r="I154"/>
  <c r="H154"/>
  <c r="G154"/>
  <c r="F154"/>
  <c r="E154"/>
  <c r="D154"/>
  <c r="C154"/>
  <c r="B154"/>
  <c r="P153"/>
  <c r="N153"/>
  <c r="L153"/>
  <c r="K153"/>
  <c r="J153"/>
  <c r="I153"/>
  <c r="H153"/>
  <c r="G153"/>
  <c r="F153"/>
  <c r="E153"/>
  <c r="D153"/>
  <c r="C153"/>
  <c r="B153"/>
  <c r="P152"/>
  <c r="N152"/>
  <c r="L152"/>
  <c r="K152"/>
  <c r="J152"/>
  <c r="I152"/>
  <c r="H152"/>
  <c r="G152"/>
  <c r="F152"/>
  <c r="E152"/>
  <c r="D152"/>
  <c r="C152"/>
  <c r="B152"/>
  <c r="P151"/>
  <c r="N151"/>
  <c r="M151"/>
  <c r="L151"/>
  <c r="K151"/>
  <c r="J151"/>
  <c r="I151"/>
  <c r="H151"/>
  <c r="G151"/>
  <c r="F151"/>
  <c r="E151"/>
  <c r="D151"/>
  <c r="C151"/>
  <c r="B151"/>
  <c r="P150"/>
  <c r="N150"/>
  <c r="L150"/>
  <c r="K150"/>
  <c r="J150"/>
  <c r="I150"/>
  <c r="H150"/>
  <c r="G150"/>
  <c r="F150"/>
  <c r="E150"/>
  <c r="D150"/>
  <c r="C150"/>
  <c r="B150"/>
  <c r="P149"/>
  <c r="N149"/>
  <c r="L149"/>
  <c r="K149"/>
  <c r="J149"/>
  <c r="I149"/>
  <c r="H149"/>
  <c r="G149"/>
  <c r="F149"/>
  <c r="E149"/>
  <c r="D149"/>
  <c r="C149"/>
  <c r="B149"/>
  <c r="P148"/>
  <c r="N148"/>
  <c r="L148"/>
  <c r="K148"/>
  <c r="J148"/>
  <c r="I148"/>
  <c r="H148"/>
  <c r="G148"/>
  <c r="F148"/>
  <c r="E148"/>
  <c r="D148"/>
  <c r="C148"/>
  <c r="B148"/>
  <c r="P147"/>
  <c r="N147"/>
  <c r="L147"/>
  <c r="K147"/>
  <c r="J147"/>
  <c r="I147"/>
  <c r="H147"/>
  <c r="G147"/>
  <c r="F147"/>
  <c r="E147"/>
  <c r="D147"/>
  <c r="C147"/>
  <c r="B147"/>
  <c r="A147"/>
  <c r="R146"/>
  <c r="C146"/>
  <c r="A146"/>
  <c r="P145"/>
  <c r="N145"/>
  <c r="L145"/>
  <c r="K145"/>
  <c r="J145"/>
  <c r="I145"/>
  <c r="H145"/>
  <c r="G145"/>
  <c r="F145"/>
  <c r="E145"/>
  <c r="D145"/>
  <c r="C145"/>
  <c r="B145"/>
  <c r="A145"/>
  <c r="R144"/>
  <c r="C144"/>
  <c r="A144"/>
  <c r="P143"/>
  <c r="N143"/>
  <c r="L143"/>
  <c r="K143"/>
  <c r="J143"/>
  <c r="I143"/>
  <c r="H143"/>
  <c r="G143"/>
  <c r="F143"/>
  <c r="E143"/>
  <c r="D143"/>
  <c r="C143"/>
  <c r="B143"/>
  <c r="P142"/>
  <c r="N142"/>
  <c r="L142"/>
  <c r="K142"/>
  <c r="J142"/>
  <c r="I142"/>
  <c r="H142"/>
  <c r="G142"/>
  <c r="F142"/>
  <c r="E142"/>
  <c r="D142"/>
  <c r="C142"/>
  <c r="B142"/>
  <c r="P141"/>
  <c r="N141"/>
  <c r="L141"/>
  <c r="K141"/>
  <c r="J141"/>
  <c r="I141"/>
  <c r="H141"/>
  <c r="G141"/>
  <c r="F141"/>
  <c r="E141"/>
  <c r="D141"/>
  <c r="C141"/>
  <c r="B141"/>
  <c r="P140"/>
  <c r="N140"/>
  <c r="M140"/>
  <c r="L140"/>
  <c r="K140"/>
  <c r="J140"/>
  <c r="I140"/>
  <c r="H140"/>
  <c r="G140"/>
  <c r="F140"/>
  <c r="E140"/>
  <c r="D140"/>
  <c r="C140"/>
  <c r="B140"/>
  <c r="P139"/>
  <c r="N139"/>
  <c r="L139"/>
  <c r="K139"/>
  <c r="J139"/>
  <c r="I139"/>
  <c r="H139"/>
  <c r="G139"/>
  <c r="F139"/>
  <c r="E139"/>
  <c r="D139"/>
  <c r="C139"/>
  <c r="B139"/>
  <c r="P138"/>
  <c r="N138"/>
  <c r="L138"/>
  <c r="K138"/>
  <c r="J138"/>
  <c r="I138"/>
  <c r="H138"/>
  <c r="G138"/>
  <c r="F138"/>
  <c r="E138"/>
  <c r="D138"/>
  <c r="C138"/>
  <c r="B138"/>
  <c r="P137"/>
  <c r="N137"/>
  <c r="L137"/>
  <c r="K137"/>
  <c r="J137"/>
  <c r="I137"/>
  <c r="H137"/>
  <c r="G137"/>
  <c r="F137"/>
  <c r="E137"/>
  <c r="D137"/>
  <c r="C137"/>
  <c r="B137"/>
  <c r="P136"/>
  <c r="N136"/>
  <c r="L136"/>
  <c r="K136"/>
  <c r="J136"/>
  <c r="I136"/>
  <c r="H136"/>
  <c r="G136"/>
  <c r="F136"/>
  <c r="E136"/>
  <c r="D136"/>
  <c r="C136"/>
  <c r="B136"/>
  <c r="P135"/>
  <c r="N135"/>
  <c r="L135"/>
  <c r="K135"/>
  <c r="J135"/>
  <c r="I135"/>
  <c r="H135"/>
  <c r="G135"/>
  <c r="F135"/>
  <c r="E135"/>
  <c r="D135"/>
  <c r="C135"/>
  <c r="B135"/>
  <c r="P134"/>
  <c r="N134"/>
  <c r="L134"/>
  <c r="K134"/>
  <c r="J134"/>
  <c r="I134"/>
  <c r="H134"/>
  <c r="G134"/>
  <c r="F134"/>
  <c r="E134"/>
  <c r="D134"/>
  <c r="C134"/>
  <c r="B134"/>
  <c r="P133"/>
  <c r="N133"/>
  <c r="L133"/>
  <c r="K133"/>
  <c r="J133"/>
  <c r="I133"/>
  <c r="H133"/>
  <c r="G133"/>
  <c r="F133"/>
  <c r="E133"/>
  <c r="D133"/>
  <c r="C133"/>
  <c r="B133"/>
  <c r="A133"/>
  <c r="P132"/>
  <c r="N132"/>
  <c r="L132"/>
  <c r="K132"/>
  <c r="J132"/>
  <c r="I132"/>
  <c r="H132"/>
  <c r="G132"/>
  <c r="F132"/>
  <c r="E132"/>
  <c r="D132"/>
  <c r="C132"/>
  <c r="B132"/>
  <c r="A132"/>
  <c r="P131"/>
  <c r="N131"/>
  <c r="L131"/>
  <c r="K131"/>
  <c r="J131"/>
  <c r="I131"/>
  <c r="H131"/>
  <c r="G131"/>
  <c r="F131"/>
  <c r="E131"/>
  <c r="D131"/>
  <c r="C131"/>
  <c r="B131"/>
  <c r="P130"/>
  <c r="N130"/>
  <c r="L130"/>
  <c r="K130"/>
  <c r="J130"/>
  <c r="I130"/>
  <c r="H130"/>
  <c r="G130"/>
  <c r="F130"/>
  <c r="E130"/>
  <c r="D130"/>
  <c r="C130"/>
  <c r="B130"/>
  <c r="P129"/>
  <c r="N129"/>
  <c r="L129"/>
  <c r="K129"/>
  <c r="J129"/>
  <c r="I129"/>
  <c r="H129"/>
  <c r="G129"/>
  <c r="F129"/>
  <c r="E129"/>
  <c r="D129"/>
  <c r="C129"/>
  <c r="B129"/>
  <c r="P128"/>
  <c r="N128"/>
  <c r="L128"/>
  <c r="K128"/>
  <c r="J128"/>
  <c r="I128"/>
  <c r="H128"/>
  <c r="G128"/>
  <c r="F128"/>
  <c r="E128"/>
  <c r="D128"/>
  <c r="C128"/>
  <c r="B128"/>
  <c r="P127"/>
  <c r="N127"/>
  <c r="L127"/>
  <c r="K127"/>
  <c r="J127"/>
  <c r="I127"/>
  <c r="H127"/>
  <c r="G127"/>
  <c r="F127"/>
  <c r="E127"/>
  <c r="D127"/>
  <c r="C127"/>
  <c r="B127"/>
  <c r="A127"/>
  <c r="R126"/>
  <c r="C126"/>
  <c r="A126"/>
  <c r="P125"/>
  <c r="N125"/>
  <c r="L125"/>
  <c r="K125"/>
  <c r="J125"/>
  <c r="I125"/>
  <c r="H125"/>
  <c r="G125"/>
  <c r="F125"/>
  <c r="E125"/>
  <c r="D125"/>
  <c r="C125"/>
  <c r="B125"/>
  <c r="A125"/>
  <c r="P124"/>
  <c r="N124"/>
  <c r="L124"/>
  <c r="K124"/>
  <c r="J124"/>
  <c r="I124"/>
  <c r="H124"/>
  <c r="G124"/>
  <c r="F124"/>
  <c r="E124"/>
  <c r="D124"/>
  <c r="C124"/>
  <c r="B124"/>
  <c r="A124"/>
  <c r="P123"/>
  <c r="N123"/>
  <c r="L123"/>
  <c r="K123"/>
  <c r="J123"/>
  <c r="I123"/>
  <c r="H123"/>
  <c r="G123"/>
  <c r="F123"/>
  <c r="E123"/>
  <c r="D123"/>
  <c r="C123"/>
  <c r="B123"/>
  <c r="A123"/>
  <c r="P122"/>
  <c r="N122"/>
  <c r="L122"/>
  <c r="K122"/>
  <c r="J122"/>
  <c r="I122"/>
  <c r="H122"/>
  <c r="G122"/>
  <c r="F122"/>
  <c r="E122"/>
  <c r="D122"/>
  <c r="C122"/>
  <c r="B122"/>
  <c r="A122"/>
  <c r="R121"/>
  <c r="C121"/>
  <c r="A121"/>
  <c r="P120"/>
  <c r="N120"/>
  <c r="L120"/>
  <c r="K120"/>
  <c r="J120"/>
  <c r="I120"/>
  <c r="H120"/>
  <c r="G120"/>
  <c r="F120"/>
  <c r="E120"/>
  <c r="D120"/>
  <c r="C120"/>
  <c r="B120"/>
  <c r="P119"/>
  <c r="N119"/>
  <c r="L119"/>
  <c r="K119"/>
  <c r="J119"/>
  <c r="I119"/>
  <c r="H119"/>
  <c r="G119"/>
  <c r="F119"/>
  <c r="E119"/>
  <c r="D119"/>
  <c r="C119"/>
  <c r="B119"/>
  <c r="P118"/>
  <c r="N118"/>
  <c r="L118"/>
  <c r="K118"/>
  <c r="J118"/>
  <c r="I118"/>
  <c r="H118"/>
  <c r="G118"/>
  <c r="F118"/>
  <c r="E118"/>
  <c r="D118"/>
  <c r="C118"/>
  <c r="B118"/>
  <c r="P117"/>
  <c r="N117"/>
  <c r="L117"/>
  <c r="K117"/>
  <c r="J117"/>
  <c r="I117"/>
  <c r="H117"/>
  <c r="G117"/>
  <c r="F117"/>
  <c r="E117"/>
  <c r="D117"/>
  <c r="C117"/>
  <c r="B117"/>
  <c r="P116"/>
  <c r="N116"/>
  <c r="L116"/>
  <c r="K116"/>
  <c r="J116"/>
  <c r="I116"/>
  <c r="H116"/>
  <c r="G116"/>
  <c r="F116"/>
  <c r="E116"/>
  <c r="D116"/>
  <c r="C116"/>
  <c r="B116"/>
  <c r="P115"/>
  <c r="N115"/>
  <c r="L115"/>
  <c r="K115"/>
  <c r="J115"/>
  <c r="I115"/>
  <c r="H115"/>
  <c r="G115"/>
  <c r="F115"/>
  <c r="E115"/>
  <c r="D115"/>
  <c r="C115"/>
  <c r="B115"/>
  <c r="P114"/>
  <c r="N114"/>
  <c r="L114"/>
  <c r="K114"/>
  <c r="J114"/>
  <c r="I114"/>
  <c r="H114"/>
  <c r="G114"/>
  <c r="F114"/>
  <c r="E114"/>
  <c r="D114"/>
  <c r="C114"/>
  <c r="B114"/>
  <c r="A114"/>
  <c r="R113"/>
  <c r="C113"/>
  <c r="A113"/>
  <c r="R112"/>
  <c r="R111" s="1"/>
  <c r="Q56" i="2"/>
  <c r="P112" i="38"/>
  <c r="N112"/>
  <c r="L112"/>
  <c r="K112"/>
  <c r="J112"/>
  <c r="I112"/>
  <c r="H112"/>
  <c r="G112"/>
  <c r="F112"/>
  <c r="E112"/>
  <c r="D112"/>
  <c r="C112"/>
  <c r="B112"/>
  <c r="A112"/>
  <c r="C111"/>
  <c r="B111"/>
  <c r="A111"/>
  <c r="P110"/>
  <c r="N110"/>
  <c r="L110"/>
  <c r="K110"/>
  <c r="J110"/>
  <c r="I110"/>
  <c r="H110"/>
  <c r="G110"/>
  <c r="F110"/>
  <c r="E110"/>
  <c r="D110"/>
  <c r="C110"/>
  <c r="B110"/>
  <c r="A110"/>
  <c r="P109"/>
  <c r="N109"/>
  <c r="L109"/>
  <c r="K109"/>
  <c r="J109"/>
  <c r="I109"/>
  <c r="H109"/>
  <c r="G109"/>
  <c r="F109"/>
  <c r="E109"/>
  <c r="D109"/>
  <c r="C109"/>
  <c r="B109"/>
  <c r="A109"/>
  <c r="P108"/>
  <c r="N108"/>
  <c r="L108"/>
  <c r="K108"/>
  <c r="J108"/>
  <c r="I108"/>
  <c r="H108"/>
  <c r="G108"/>
  <c r="F108"/>
  <c r="E108"/>
  <c r="D108"/>
  <c r="C108"/>
  <c r="B108"/>
  <c r="A108"/>
  <c r="P107"/>
  <c r="N107"/>
  <c r="L107"/>
  <c r="K107"/>
  <c r="J107"/>
  <c r="I107"/>
  <c r="H107"/>
  <c r="G107"/>
  <c r="F107"/>
  <c r="E107"/>
  <c r="D107"/>
  <c r="C107"/>
  <c r="B107"/>
  <c r="A107"/>
  <c r="P106"/>
  <c r="N106"/>
  <c r="L106"/>
  <c r="K106"/>
  <c r="J106"/>
  <c r="I106"/>
  <c r="H106"/>
  <c r="G106"/>
  <c r="F106"/>
  <c r="E106"/>
  <c r="D106"/>
  <c r="C106"/>
  <c r="B106"/>
  <c r="A106"/>
  <c r="P105"/>
  <c r="N105"/>
  <c r="L105"/>
  <c r="K105"/>
  <c r="J105"/>
  <c r="I105"/>
  <c r="H105"/>
  <c r="G105"/>
  <c r="F105"/>
  <c r="E105"/>
  <c r="D105"/>
  <c r="C105"/>
  <c r="B105"/>
  <c r="A105"/>
  <c r="P104"/>
  <c r="N104"/>
  <c r="L104"/>
  <c r="K104"/>
  <c r="J104"/>
  <c r="I104"/>
  <c r="H104"/>
  <c r="G104"/>
  <c r="F104"/>
  <c r="E104"/>
  <c r="D104"/>
  <c r="C104"/>
  <c r="B104"/>
  <c r="A104"/>
  <c r="P103"/>
  <c r="N103"/>
  <c r="L103"/>
  <c r="K103"/>
  <c r="J103"/>
  <c r="I103"/>
  <c r="H103"/>
  <c r="G103"/>
  <c r="F103"/>
  <c r="E103"/>
  <c r="D103"/>
  <c r="C103"/>
  <c r="B103"/>
  <c r="A103"/>
  <c r="R102"/>
  <c r="C102"/>
  <c r="B102"/>
  <c r="A102"/>
  <c r="A97"/>
  <c r="R96"/>
  <c r="C96"/>
  <c r="A96"/>
  <c r="A93"/>
  <c r="R92"/>
  <c r="C92"/>
  <c r="A92"/>
  <c r="P91"/>
  <c r="N91"/>
  <c r="L91"/>
  <c r="K91"/>
  <c r="J91"/>
  <c r="I91"/>
  <c r="H91"/>
  <c r="G91"/>
  <c r="F91"/>
  <c r="E91"/>
  <c r="D91"/>
  <c r="C91"/>
  <c r="B91"/>
  <c r="A91"/>
  <c r="R90"/>
  <c r="C90"/>
  <c r="A90"/>
  <c r="P89"/>
  <c r="N89"/>
  <c r="M89"/>
  <c r="L89"/>
  <c r="K89"/>
  <c r="J89"/>
  <c r="I89"/>
  <c r="H89"/>
  <c r="G89"/>
  <c r="F89"/>
  <c r="E89"/>
  <c r="D89"/>
  <c r="C89"/>
  <c r="B89"/>
  <c r="P88"/>
  <c r="N88"/>
  <c r="M88"/>
  <c r="L88"/>
  <c r="K88"/>
  <c r="J88"/>
  <c r="I88"/>
  <c r="H88"/>
  <c r="G88"/>
  <c r="F88"/>
  <c r="E88"/>
  <c r="D88"/>
  <c r="C88"/>
  <c r="B88"/>
  <c r="P87"/>
  <c r="N87"/>
  <c r="L87"/>
  <c r="K87"/>
  <c r="J87"/>
  <c r="I87"/>
  <c r="H87"/>
  <c r="G87"/>
  <c r="F87"/>
  <c r="E87"/>
  <c r="D87"/>
  <c r="C87"/>
  <c r="B87"/>
  <c r="P86"/>
  <c r="N86"/>
  <c r="M86"/>
  <c r="L86"/>
  <c r="K86"/>
  <c r="J86"/>
  <c r="I86"/>
  <c r="H86"/>
  <c r="G86"/>
  <c r="F86"/>
  <c r="E86"/>
  <c r="D86"/>
  <c r="C86"/>
  <c r="B86"/>
  <c r="P85"/>
  <c r="N85"/>
  <c r="L85"/>
  <c r="K85"/>
  <c r="J85"/>
  <c r="I85"/>
  <c r="H85"/>
  <c r="G85"/>
  <c r="F85"/>
  <c r="E85"/>
  <c r="D85"/>
  <c r="C85"/>
  <c r="B85"/>
  <c r="P84"/>
  <c r="N84"/>
  <c r="M84"/>
  <c r="L84"/>
  <c r="K84"/>
  <c r="J84"/>
  <c r="I84"/>
  <c r="H84"/>
  <c r="G84"/>
  <c r="F84"/>
  <c r="E84"/>
  <c r="D84"/>
  <c r="C84"/>
  <c r="B84"/>
  <c r="P83"/>
  <c r="N83"/>
  <c r="L83"/>
  <c r="K83"/>
  <c r="J83"/>
  <c r="I83"/>
  <c r="H83"/>
  <c r="G83"/>
  <c r="F83"/>
  <c r="E83"/>
  <c r="D83"/>
  <c r="C83"/>
  <c r="B83"/>
  <c r="P82"/>
  <c r="N82"/>
  <c r="L82"/>
  <c r="K82"/>
  <c r="J82"/>
  <c r="I82"/>
  <c r="H82"/>
  <c r="G82"/>
  <c r="F82"/>
  <c r="E82"/>
  <c r="D82"/>
  <c r="C82"/>
  <c r="B82"/>
  <c r="P81"/>
  <c r="N81"/>
  <c r="L81"/>
  <c r="K81"/>
  <c r="J81"/>
  <c r="I81"/>
  <c r="H81"/>
  <c r="G81"/>
  <c r="F81"/>
  <c r="E81"/>
  <c r="D81"/>
  <c r="C81"/>
  <c r="B81"/>
  <c r="P80"/>
  <c r="N80"/>
  <c r="L80"/>
  <c r="K80"/>
  <c r="J80"/>
  <c r="I80"/>
  <c r="H80"/>
  <c r="G80"/>
  <c r="F80"/>
  <c r="E80"/>
  <c r="D80"/>
  <c r="C80"/>
  <c r="B80"/>
  <c r="P79"/>
  <c r="N79"/>
  <c r="M79"/>
  <c r="L79"/>
  <c r="K79"/>
  <c r="J79"/>
  <c r="I79"/>
  <c r="H79"/>
  <c r="G79"/>
  <c r="F79"/>
  <c r="E79"/>
  <c r="D79"/>
  <c r="C79"/>
  <c r="B79"/>
  <c r="P78"/>
  <c r="N78"/>
  <c r="M78"/>
  <c r="L78"/>
  <c r="K78"/>
  <c r="J78"/>
  <c r="I78"/>
  <c r="H78"/>
  <c r="G78"/>
  <c r="F78"/>
  <c r="E78"/>
  <c r="D78"/>
  <c r="C78"/>
  <c r="B78"/>
  <c r="P77"/>
  <c r="N77"/>
  <c r="M77"/>
  <c r="L77"/>
  <c r="K77"/>
  <c r="J77"/>
  <c r="I77"/>
  <c r="H77"/>
  <c r="G77"/>
  <c r="F77"/>
  <c r="E77"/>
  <c r="D77"/>
  <c r="C77"/>
  <c r="B77"/>
  <c r="P76"/>
  <c r="N76"/>
  <c r="L76"/>
  <c r="K76"/>
  <c r="J76"/>
  <c r="I76"/>
  <c r="H76"/>
  <c r="G76"/>
  <c r="F76"/>
  <c r="E76"/>
  <c r="D76"/>
  <c r="C76"/>
  <c r="B76"/>
  <c r="P75"/>
  <c r="N75"/>
  <c r="L75"/>
  <c r="K75"/>
  <c r="J75"/>
  <c r="I75"/>
  <c r="H75"/>
  <c r="G75"/>
  <c r="F75"/>
  <c r="E75"/>
  <c r="D75"/>
  <c r="C75"/>
  <c r="B75"/>
  <c r="P74"/>
  <c r="N74"/>
  <c r="L74"/>
  <c r="K74"/>
  <c r="J74"/>
  <c r="I74"/>
  <c r="H74"/>
  <c r="G74"/>
  <c r="F74"/>
  <c r="E74"/>
  <c r="D74"/>
  <c r="C74"/>
  <c r="B74"/>
  <c r="P73"/>
  <c r="N73"/>
  <c r="L73"/>
  <c r="K73"/>
  <c r="J73"/>
  <c r="I73"/>
  <c r="H73"/>
  <c r="G73"/>
  <c r="F73"/>
  <c r="E73"/>
  <c r="D73"/>
  <c r="C73"/>
  <c r="B73"/>
  <c r="P72"/>
  <c r="N72"/>
  <c r="L72"/>
  <c r="K72"/>
  <c r="J72"/>
  <c r="I72"/>
  <c r="H72"/>
  <c r="G72"/>
  <c r="F72"/>
  <c r="E72"/>
  <c r="D72"/>
  <c r="C72"/>
  <c r="B72"/>
  <c r="P71"/>
  <c r="N71"/>
  <c r="L71"/>
  <c r="K71"/>
  <c r="J71"/>
  <c r="I71"/>
  <c r="H71"/>
  <c r="G71"/>
  <c r="F71"/>
  <c r="E71"/>
  <c r="D71"/>
  <c r="C71"/>
  <c r="B71"/>
  <c r="P70"/>
  <c r="N70"/>
  <c r="L70"/>
  <c r="K70"/>
  <c r="J70"/>
  <c r="I70"/>
  <c r="H70"/>
  <c r="G70"/>
  <c r="F70"/>
  <c r="E70"/>
  <c r="D70"/>
  <c r="C70"/>
  <c r="B70"/>
  <c r="P69"/>
  <c r="N69"/>
  <c r="M69"/>
  <c r="L69"/>
  <c r="K69"/>
  <c r="J69"/>
  <c r="I69"/>
  <c r="H69"/>
  <c r="G69"/>
  <c r="F69"/>
  <c r="E69"/>
  <c r="D69"/>
  <c r="C69"/>
  <c r="B69"/>
  <c r="P68"/>
  <c r="N68"/>
  <c r="M68"/>
  <c r="L68"/>
  <c r="K68"/>
  <c r="J68"/>
  <c r="I68"/>
  <c r="H68"/>
  <c r="G68"/>
  <c r="F68"/>
  <c r="E68"/>
  <c r="D68"/>
  <c r="C68"/>
  <c r="B68"/>
  <c r="P67"/>
  <c r="N67"/>
  <c r="M67"/>
  <c r="L67"/>
  <c r="K67"/>
  <c r="J67"/>
  <c r="I67"/>
  <c r="H67"/>
  <c r="G67"/>
  <c r="F67"/>
  <c r="E67"/>
  <c r="D67"/>
  <c r="C67"/>
  <c r="B67"/>
  <c r="P66"/>
  <c r="N66"/>
  <c r="M66"/>
  <c r="L66"/>
  <c r="K66"/>
  <c r="J66"/>
  <c r="I66"/>
  <c r="H66"/>
  <c r="G66"/>
  <c r="F66"/>
  <c r="E66"/>
  <c r="D66"/>
  <c r="C66"/>
  <c r="B66"/>
  <c r="P65"/>
  <c r="N65"/>
  <c r="M65"/>
  <c r="L65"/>
  <c r="K65"/>
  <c r="J65"/>
  <c r="I65"/>
  <c r="H65"/>
  <c r="G65"/>
  <c r="F65"/>
  <c r="E65"/>
  <c r="D65"/>
  <c r="C65"/>
  <c r="B65"/>
  <c r="P64"/>
  <c r="N64"/>
  <c r="M64"/>
  <c r="L64"/>
  <c r="K64"/>
  <c r="J64"/>
  <c r="I64"/>
  <c r="H64"/>
  <c r="G64"/>
  <c r="F64"/>
  <c r="E64"/>
  <c r="D64"/>
  <c r="C64"/>
  <c r="B64"/>
  <c r="P63"/>
  <c r="N63"/>
  <c r="M63"/>
  <c r="L63"/>
  <c r="K63"/>
  <c r="J63"/>
  <c r="I63"/>
  <c r="H63"/>
  <c r="G63"/>
  <c r="F63"/>
  <c r="E63"/>
  <c r="D63"/>
  <c r="C63"/>
  <c r="B63"/>
  <c r="A63"/>
  <c r="P62"/>
  <c r="N62"/>
  <c r="L62"/>
  <c r="K62"/>
  <c r="J62"/>
  <c r="I62"/>
  <c r="H62"/>
  <c r="G62"/>
  <c r="F62"/>
  <c r="E62"/>
  <c r="D62"/>
  <c r="C62"/>
  <c r="B62"/>
  <c r="A62"/>
  <c r="P61"/>
  <c r="O61"/>
  <c r="N61"/>
  <c r="M61"/>
  <c r="L61"/>
  <c r="K61"/>
  <c r="J61"/>
  <c r="I61"/>
  <c r="H61"/>
  <c r="G61"/>
  <c r="F61"/>
  <c r="E61"/>
  <c r="D61"/>
  <c r="C61"/>
  <c r="B61"/>
  <c r="A61"/>
  <c r="P60"/>
  <c r="O60"/>
  <c r="N60"/>
  <c r="M60"/>
  <c r="L60"/>
  <c r="K60"/>
  <c r="J60"/>
  <c r="I60"/>
  <c r="H60"/>
  <c r="G60"/>
  <c r="F60"/>
  <c r="E60"/>
  <c r="D60"/>
  <c r="C60"/>
  <c r="B60"/>
  <c r="P59"/>
  <c r="O59"/>
  <c r="N59"/>
  <c r="M59"/>
  <c r="L59"/>
  <c r="K59"/>
  <c r="J59"/>
  <c r="I59"/>
  <c r="H59"/>
  <c r="G59"/>
  <c r="F59"/>
  <c r="E59"/>
  <c r="D59"/>
  <c r="C59"/>
  <c r="B59"/>
  <c r="P58"/>
  <c r="N58"/>
  <c r="M58"/>
  <c r="L58"/>
  <c r="K58"/>
  <c r="J58"/>
  <c r="I58"/>
  <c r="H58"/>
  <c r="G58"/>
  <c r="F58"/>
  <c r="E58"/>
  <c r="D58"/>
  <c r="C58"/>
  <c r="B58"/>
  <c r="P57"/>
  <c r="N57"/>
  <c r="L57"/>
  <c r="K57"/>
  <c r="J57"/>
  <c r="I57"/>
  <c r="H57"/>
  <c r="G57"/>
  <c r="F57"/>
  <c r="E57"/>
  <c r="D57"/>
  <c r="C57"/>
  <c r="B57"/>
  <c r="A57"/>
  <c r="R56"/>
  <c r="C56"/>
  <c r="A56"/>
  <c r="P55"/>
  <c r="N55"/>
  <c r="M55"/>
  <c r="L55"/>
  <c r="K55"/>
  <c r="J55"/>
  <c r="I55"/>
  <c r="H55"/>
  <c r="G55"/>
  <c r="F55"/>
  <c r="E55"/>
  <c r="D55"/>
  <c r="C55"/>
  <c r="B55"/>
  <c r="A55"/>
  <c r="R54"/>
  <c r="C54"/>
  <c r="A54"/>
  <c r="P53"/>
  <c r="N53"/>
  <c r="L53"/>
  <c r="K53"/>
  <c r="J53"/>
  <c r="I53"/>
  <c r="H53"/>
  <c r="G53"/>
  <c r="F53"/>
  <c r="E53"/>
  <c r="D53"/>
  <c r="C53"/>
  <c r="B53"/>
  <c r="P52"/>
  <c r="N52"/>
  <c r="L52"/>
  <c r="K52"/>
  <c r="J52"/>
  <c r="I52"/>
  <c r="H52"/>
  <c r="G52"/>
  <c r="F52"/>
  <c r="E52"/>
  <c r="D52"/>
  <c r="C52"/>
  <c r="B52"/>
  <c r="P51"/>
  <c r="N51"/>
  <c r="L51"/>
  <c r="K51"/>
  <c r="J51"/>
  <c r="I51"/>
  <c r="H51"/>
  <c r="G51"/>
  <c r="F51"/>
  <c r="E51"/>
  <c r="D51"/>
  <c r="C51"/>
  <c r="B51"/>
  <c r="P50"/>
  <c r="N50"/>
  <c r="L50"/>
  <c r="K50"/>
  <c r="J50"/>
  <c r="I50"/>
  <c r="H50"/>
  <c r="G50"/>
  <c r="F50"/>
  <c r="E50"/>
  <c r="D50"/>
  <c r="C50"/>
  <c r="B50"/>
  <c r="P49"/>
  <c r="N49"/>
  <c r="L49"/>
  <c r="K49"/>
  <c r="J49"/>
  <c r="I49"/>
  <c r="H49"/>
  <c r="G49"/>
  <c r="F49"/>
  <c r="E49"/>
  <c r="D49"/>
  <c r="C49"/>
  <c r="B49"/>
  <c r="P48"/>
  <c r="N48"/>
  <c r="L48"/>
  <c r="K48"/>
  <c r="J48"/>
  <c r="I48"/>
  <c r="H48"/>
  <c r="G48"/>
  <c r="F48"/>
  <c r="E48"/>
  <c r="D48"/>
  <c r="C48"/>
  <c r="B48"/>
  <c r="P47"/>
  <c r="N47"/>
  <c r="L47"/>
  <c r="K47"/>
  <c r="J47"/>
  <c r="I47"/>
  <c r="H47"/>
  <c r="G47"/>
  <c r="F47"/>
  <c r="E47"/>
  <c r="D47"/>
  <c r="C47"/>
  <c r="B47"/>
  <c r="P46"/>
  <c r="N46"/>
  <c r="L46"/>
  <c r="K46"/>
  <c r="J46"/>
  <c r="I46"/>
  <c r="H46"/>
  <c r="G46"/>
  <c r="F46"/>
  <c r="E46"/>
  <c r="D46"/>
  <c r="C46"/>
  <c r="B46"/>
  <c r="P45"/>
  <c r="N45"/>
  <c r="L45"/>
  <c r="K45"/>
  <c r="J45"/>
  <c r="I45"/>
  <c r="H45"/>
  <c r="G45"/>
  <c r="F45"/>
  <c r="E45"/>
  <c r="D45"/>
  <c r="C45"/>
  <c r="B45"/>
  <c r="P44"/>
  <c r="N44"/>
  <c r="L44"/>
  <c r="K44"/>
  <c r="J44"/>
  <c r="I44"/>
  <c r="H44"/>
  <c r="G44"/>
  <c r="F44"/>
  <c r="E44"/>
  <c r="D44"/>
  <c r="C44"/>
  <c r="B44"/>
  <c r="P43"/>
  <c r="N43"/>
  <c r="L43"/>
  <c r="K43"/>
  <c r="J43"/>
  <c r="I43"/>
  <c r="H43"/>
  <c r="G43"/>
  <c r="F43"/>
  <c r="E43"/>
  <c r="D43"/>
  <c r="C43"/>
  <c r="B43"/>
  <c r="P42"/>
  <c r="N42"/>
  <c r="L42"/>
  <c r="K42"/>
  <c r="J42"/>
  <c r="I42"/>
  <c r="H42"/>
  <c r="G42"/>
  <c r="F42"/>
  <c r="E42"/>
  <c r="D42"/>
  <c r="C42"/>
  <c r="B42"/>
  <c r="A42"/>
  <c r="P41"/>
  <c r="N41"/>
  <c r="L41"/>
  <c r="K41"/>
  <c r="J41"/>
  <c r="I41"/>
  <c r="H41"/>
  <c r="G41"/>
  <c r="F41"/>
  <c r="E41"/>
  <c r="D41"/>
  <c r="C41"/>
  <c r="B41"/>
  <c r="A41"/>
  <c r="P40"/>
  <c r="N40"/>
  <c r="L40"/>
  <c r="K40"/>
  <c r="J40"/>
  <c r="I40"/>
  <c r="H40"/>
  <c r="G40"/>
  <c r="F40"/>
  <c r="E40"/>
  <c r="D40"/>
  <c r="C40"/>
  <c r="B40"/>
  <c r="P39"/>
  <c r="N39"/>
  <c r="L39"/>
  <c r="K39"/>
  <c r="J39"/>
  <c r="I39"/>
  <c r="H39"/>
  <c r="G39"/>
  <c r="F39"/>
  <c r="E39"/>
  <c r="D39"/>
  <c r="C39"/>
  <c r="B39"/>
  <c r="P38"/>
  <c r="N38"/>
  <c r="L38"/>
  <c r="K38"/>
  <c r="J38"/>
  <c r="I38"/>
  <c r="H38"/>
  <c r="G38"/>
  <c r="F38"/>
  <c r="E38"/>
  <c r="D38"/>
  <c r="C38"/>
  <c r="B38"/>
  <c r="P37"/>
  <c r="N37"/>
  <c r="L37"/>
  <c r="K37"/>
  <c r="J37"/>
  <c r="I37"/>
  <c r="H37"/>
  <c r="G37"/>
  <c r="F37"/>
  <c r="E37"/>
  <c r="D37"/>
  <c r="C37"/>
  <c r="B37"/>
  <c r="P36"/>
  <c r="N36"/>
  <c r="L36"/>
  <c r="K36"/>
  <c r="J36"/>
  <c r="I36"/>
  <c r="H36"/>
  <c r="G36"/>
  <c r="F36"/>
  <c r="E36"/>
  <c r="D36"/>
  <c r="C36"/>
  <c r="B36"/>
  <c r="A36"/>
  <c r="R35"/>
  <c r="C35"/>
  <c r="A35"/>
  <c r="P34"/>
  <c r="N34"/>
  <c r="L34"/>
  <c r="K34"/>
  <c r="J34"/>
  <c r="I34"/>
  <c r="H34"/>
  <c r="G34"/>
  <c r="F34"/>
  <c r="E34"/>
  <c r="D34"/>
  <c r="C34"/>
  <c r="B34"/>
  <c r="A34"/>
  <c r="P33"/>
  <c r="N33"/>
  <c r="L33"/>
  <c r="K33"/>
  <c r="J33"/>
  <c r="I33"/>
  <c r="H33"/>
  <c r="G33"/>
  <c r="F33"/>
  <c r="E33"/>
  <c r="D33"/>
  <c r="C33"/>
  <c r="B33"/>
  <c r="A33"/>
  <c r="P32"/>
  <c r="N32"/>
  <c r="L32"/>
  <c r="K32"/>
  <c r="J32"/>
  <c r="I32"/>
  <c r="H32"/>
  <c r="G32"/>
  <c r="F32"/>
  <c r="E32"/>
  <c r="D32"/>
  <c r="C32"/>
  <c r="B32"/>
  <c r="A32"/>
  <c r="R31"/>
  <c r="C31"/>
  <c r="A31"/>
  <c r="P30"/>
  <c r="N30"/>
  <c r="L30"/>
  <c r="K30"/>
  <c r="J30"/>
  <c r="I30"/>
  <c r="H30"/>
  <c r="G30"/>
  <c r="F30"/>
  <c r="E30"/>
  <c r="D30"/>
  <c r="C30"/>
  <c r="B30"/>
  <c r="P29"/>
  <c r="N29"/>
  <c r="L29"/>
  <c r="K29"/>
  <c r="J29"/>
  <c r="I29"/>
  <c r="H29"/>
  <c r="G29"/>
  <c r="F29"/>
  <c r="E29"/>
  <c r="D29"/>
  <c r="C29"/>
  <c r="B29"/>
  <c r="P28"/>
  <c r="N28"/>
  <c r="L28"/>
  <c r="K28"/>
  <c r="J28"/>
  <c r="I28"/>
  <c r="H28"/>
  <c r="G28"/>
  <c r="F28"/>
  <c r="E28"/>
  <c r="D28"/>
  <c r="C28"/>
  <c r="B28"/>
  <c r="P27"/>
  <c r="N27"/>
  <c r="L27"/>
  <c r="K27"/>
  <c r="J27"/>
  <c r="I27"/>
  <c r="H27"/>
  <c r="G27"/>
  <c r="F27"/>
  <c r="E27"/>
  <c r="D27"/>
  <c r="C27"/>
  <c r="B27"/>
  <c r="A27"/>
  <c r="R26"/>
  <c r="C26"/>
  <c r="A26"/>
  <c r="P25"/>
  <c r="N25"/>
  <c r="L25"/>
  <c r="K25"/>
  <c r="J25"/>
  <c r="I25"/>
  <c r="H25"/>
  <c r="G25"/>
  <c r="F25"/>
  <c r="E25"/>
  <c r="D25"/>
  <c r="C25"/>
  <c r="B25"/>
  <c r="A25"/>
  <c r="P24"/>
  <c r="N24"/>
  <c r="L24"/>
  <c r="K24"/>
  <c r="J24"/>
  <c r="I24"/>
  <c r="H24"/>
  <c r="G24"/>
  <c r="F24"/>
  <c r="E24"/>
  <c r="D24"/>
  <c r="C24"/>
  <c r="B24"/>
  <c r="A24"/>
  <c r="P23"/>
  <c r="N23"/>
  <c r="L23"/>
  <c r="K23"/>
  <c r="J23"/>
  <c r="I23"/>
  <c r="H23"/>
  <c r="G23"/>
  <c r="F23"/>
  <c r="E23"/>
  <c r="D23"/>
  <c r="C23"/>
  <c r="B23"/>
  <c r="A23"/>
  <c r="P22"/>
  <c r="N22"/>
  <c r="L22"/>
  <c r="K22"/>
  <c r="J22"/>
  <c r="I22"/>
  <c r="H22"/>
  <c r="G22"/>
  <c r="F22"/>
  <c r="E22"/>
  <c r="D22"/>
  <c r="C22"/>
  <c r="B22"/>
  <c r="A22"/>
  <c r="P21"/>
  <c r="N21"/>
  <c r="L21"/>
  <c r="K21"/>
  <c r="J21"/>
  <c r="I21"/>
  <c r="H21"/>
  <c r="G21"/>
  <c r="F21"/>
  <c r="E21"/>
  <c r="D21"/>
  <c r="C21"/>
  <c r="B21"/>
  <c r="A21"/>
  <c r="R20"/>
  <c r="C20"/>
  <c r="B20"/>
  <c r="A20"/>
  <c r="P19"/>
  <c r="N19"/>
  <c r="L19"/>
  <c r="K19"/>
  <c r="J19"/>
  <c r="I19"/>
  <c r="H19"/>
  <c r="G19"/>
  <c r="F19"/>
  <c r="E19"/>
  <c r="D19"/>
  <c r="C19"/>
  <c r="B19"/>
  <c r="A19"/>
  <c r="P18"/>
  <c r="N18"/>
  <c r="L18"/>
  <c r="K18"/>
  <c r="J18"/>
  <c r="I18"/>
  <c r="H18"/>
  <c r="G18"/>
  <c r="F18"/>
  <c r="E18"/>
  <c r="D18"/>
  <c r="C18"/>
  <c r="B18"/>
  <c r="A18"/>
  <c r="P17"/>
  <c r="N17"/>
  <c r="L17"/>
  <c r="K17"/>
  <c r="J17"/>
  <c r="I17"/>
  <c r="H17"/>
  <c r="G17"/>
  <c r="F17"/>
  <c r="E17"/>
  <c r="D17"/>
  <c r="C17"/>
  <c r="B17"/>
  <c r="A17"/>
  <c r="P16"/>
  <c r="N16"/>
  <c r="M16"/>
  <c r="L16"/>
  <c r="K16"/>
  <c r="J16"/>
  <c r="I16"/>
  <c r="H16"/>
  <c r="G16"/>
  <c r="F16"/>
  <c r="E16"/>
  <c r="D16"/>
  <c r="C16"/>
  <c r="B16"/>
  <c r="A16"/>
  <c r="P15"/>
  <c r="N15"/>
  <c r="L15"/>
  <c r="K15"/>
  <c r="J15"/>
  <c r="I15"/>
  <c r="H15"/>
  <c r="G15"/>
  <c r="F15"/>
  <c r="E15"/>
  <c r="D15"/>
  <c r="C15"/>
  <c r="B15"/>
  <c r="A15"/>
  <c r="P14"/>
  <c r="N14"/>
  <c r="M14"/>
  <c r="L14"/>
  <c r="K14"/>
  <c r="J14"/>
  <c r="I14"/>
  <c r="H14"/>
  <c r="G14"/>
  <c r="F14"/>
  <c r="E14"/>
  <c r="D14"/>
  <c r="C14"/>
  <c r="B14"/>
  <c r="A14"/>
  <c r="P13"/>
  <c r="N13"/>
  <c r="L13"/>
  <c r="K13"/>
  <c r="J13"/>
  <c r="I13"/>
  <c r="H13"/>
  <c r="G13"/>
  <c r="F13"/>
  <c r="E13"/>
  <c r="D13"/>
  <c r="C13"/>
  <c r="B13"/>
  <c r="A13"/>
  <c r="P12"/>
  <c r="N12"/>
  <c r="L12"/>
  <c r="K12"/>
  <c r="J12"/>
  <c r="I12"/>
  <c r="H12"/>
  <c r="G12"/>
  <c r="F12"/>
  <c r="E12"/>
  <c r="D12"/>
  <c r="C12"/>
  <c r="B12"/>
  <c r="A12"/>
  <c r="P11"/>
  <c r="N11"/>
  <c r="L11"/>
  <c r="K11"/>
  <c r="J11"/>
  <c r="I11"/>
  <c r="H11"/>
  <c r="G11"/>
  <c r="F11"/>
  <c r="E11"/>
  <c r="D11"/>
  <c r="C11"/>
  <c r="B11"/>
  <c r="A11"/>
  <c r="P10"/>
  <c r="N10"/>
  <c r="L10"/>
  <c r="K10"/>
  <c r="J10"/>
  <c r="I10"/>
  <c r="H10"/>
  <c r="G10"/>
  <c r="F10"/>
  <c r="E10"/>
  <c r="D10"/>
  <c r="C10"/>
  <c r="B10"/>
  <c r="A10"/>
  <c r="P9"/>
  <c r="N9"/>
  <c r="L9"/>
  <c r="K9"/>
  <c r="J9"/>
  <c r="I9"/>
  <c r="H9"/>
  <c r="G9"/>
  <c r="F9"/>
  <c r="E9"/>
  <c r="D9"/>
  <c r="C9"/>
  <c r="B9"/>
  <c r="A9"/>
  <c r="P8"/>
  <c r="N8"/>
  <c r="L8"/>
  <c r="K8"/>
  <c r="J8"/>
  <c r="I8"/>
  <c r="H8"/>
  <c r="G8"/>
  <c r="F8"/>
  <c r="E8"/>
  <c r="D8"/>
  <c r="C8"/>
  <c r="B8"/>
  <c r="A8"/>
  <c r="C7"/>
  <c r="B7"/>
  <c r="A7"/>
  <c r="C3"/>
  <c r="C2"/>
  <c r="A2"/>
  <c r="M98" i="4"/>
  <c r="K102" i="72" s="1"/>
  <c r="R97" i="4"/>
  <c r="Q97"/>
  <c r="M97"/>
  <c r="M16" i="24" s="1"/>
  <c r="R96" i="4"/>
  <c r="Q96"/>
  <c r="M96"/>
  <c r="K100" i="72" s="1"/>
  <c r="R95" i="4"/>
  <c r="Q95"/>
  <c r="M95"/>
  <c r="M11" i="23" s="1"/>
  <c r="R94" i="4"/>
  <c r="P98" i="72" s="1"/>
  <c r="Q94" i="4"/>
  <c r="O98" i="72" s="1"/>
  <c r="M94" i="4"/>
  <c r="M19" i="41" s="1"/>
  <c r="R93" i="4"/>
  <c r="P97" i="72" s="1"/>
  <c r="Q93" i="4"/>
  <c r="M93"/>
  <c r="K97" i="72" s="1"/>
  <c r="R92" i="4"/>
  <c r="P96" i="72" s="1"/>
  <c r="Q92" i="4"/>
  <c r="O96" i="72" s="1"/>
  <c r="M92" i="4"/>
  <c r="K96" i="72" s="1"/>
  <c r="R91" i="4"/>
  <c r="R82" s="1"/>
  <c r="L22" i="1" s="1"/>
  <c r="Q91" i="4"/>
  <c r="O95" i="72" s="1"/>
  <c r="M91" i="4"/>
  <c r="M33" i="30" s="1"/>
  <c r="R90" i="4"/>
  <c r="Q90"/>
  <c r="M90"/>
  <c r="M9" i="37" s="1"/>
  <c r="R89" i="4"/>
  <c r="P93" i="72" s="1"/>
  <c r="Q89" i="4"/>
  <c r="O93" i="72" s="1"/>
  <c r="M89" i="4"/>
  <c r="K93" i="72" s="1"/>
  <c r="R88" i="4"/>
  <c r="Q88"/>
  <c r="M88"/>
  <c r="K92" i="72" s="1"/>
  <c r="M87" i="4"/>
  <c r="K91" i="72" s="1"/>
  <c r="M86" i="4"/>
  <c r="K90" i="72" s="1"/>
  <c r="M85" i="4"/>
  <c r="K89" i="72" s="1"/>
  <c r="R84" i="4"/>
  <c r="Q84"/>
  <c r="M84"/>
  <c r="K88" i="72" s="1"/>
  <c r="M83" i="4"/>
  <c r="K87" i="72" s="1"/>
  <c r="M81" i="4"/>
  <c r="K85" i="72" s="1"/>
  <c r="M80" i="4"/>
  <c r="K84" i="72" s="1"/>
  <c r="M79" i="4"/>
  <c r="K83" i="72" s="1"/>
  <c r="R78" i="4"/>
  <c r="P82" i="72" s="1"/>
  <c r="Q78" i="4"/>
  <c r="O82" i="72" s="1"/>
  <c r="M78" i="4"/>
  <c r="M353" i="38" s="1"/>
  <c r="R77" i="4"/>
  <c r="Q77"/>
  <c r="O81" i="72" s="1"/>
  <c r="M77" i="4"/>
  <c r="K81" i="72" s="1"/>
  <c r="M76" i="4"/>
  <c r="K80" i="72" s="1"/>
  <c r="M75" i="4"/>
  <c r="K79" i="72" s="1"/>
  <c r="M74" i="4"/>
  <c r="K78" i="72" s="1"/>
  <c r="M73" i="4"/>
  <c r="K77" i="72" s="1"/>
  <c r="M72" i="4"/>
  <c r="K76" i="72" s="1"/>
  <c r="M70" i="4"/>
  <c r="M69"/>
  <c r="K73" i="72" s="1"/>
  <c r="M68" i="4"/>
  <c r="O68" s="1"/>
  <c r="M72" i="72" s="1"/>
  <c r="M67" i="4"/>
  <c r="K71" i="72" s="1"/>
  <c r="R66" i="4"/>
  <c r="Q66"/>
  <c r="O70" i="72" s="1"/>
  <c r="M66" i="4"/>
  <c r="O66" s="1"/>
  <c r="R65"/>
  <c r="Q65"/>
  <c r="O69" i="72" s="1"/>
  <c r="M65" i="4"/>
  <c r="M303" i="38" s="1"/>
  <c r="R64" i="4"/>
  <c r="P68" i="72" s="1"/>
  <c r="Q64" i="4"/>
  <c r="O68" i="72" s="1"/>
  <c r="M64" i="4"/>
  <c r="O64" s="1"/>
  <c r="R63"/>
  <c r="P67" i="72" s="1"/>
  <c r="Q63" i="4"/>
  <c r="O67" i="72" s="1"/>
  <c r="M63" i="4"/>
  <c r="O63" s="1"/>
  <c r="R62"/>
  <c r="Q62"/>
  <c r="O66" i="72" s="1"/>
  <c r="M62" i="4"/>
  <c r="O62" s="1"/>
  <c r="M61"/>
  <c r="K65" i="72" s="1"/>
  <c r="M60" i="4"/>
  <c r="K64" i="72" s="1"/>
  <c r="M59" i="4"/>
  <c r="K63" i="72" s="1"/>
  <c r="M58" i="4"/>
  <c r="K62" i="72" s="1"/>
  <c r="M57" i="4"/>
  <c r="K61" i="72" s="1"/>
  <c r="M54" i="4"/>
  <c r="O54" s="1"/>
  <c r="M58" i="72" s="1"/>
  <c r="M53" i="4"/>
  <c r="K57" i="72" s="1"/>
  <c r="M52" i="4"/>
  <c r="K56" i="72" s="1"/>
  <c r="M51" i="4"/>
  <c r="K55" i="72" s="1"/>
  <c r="M50" i="4"/>
  <c r="O50" s="1"/>
  <c r="M54" i="72" s="1"/>
  <c r="M49" i="4"/>
  <c r="K53" i="72" s="1"/>
  <c r="M48" i="4"/>
  <c r="K52" i="72" s="1"/>
  <c r="M47" i="4"/>
  <c r="K51" i="72" s="1"/>
  <c r="R46" i="4"/>
  <c r="M45"/>
  <c r="K49" i="72" s="1"/>
  <c r="M44" i="4"/>
  <c r="K48" i="72" s="1"/>
  <c r="R43" i="4"/>
  <c r="P47" i="72" s="1"/>
  <c r="Q43" i="4"/>
  <c r="O47" i="72" s="1"/>
  <c r="M43" i="4"/>
  <c r="R42"/>
  <c r="P46" i="72" s="1"/>
  <c r="Q42" i="4"/>
  <c r="O46" i="72" s="1"/>
  <c r="M42" i="4"/>
  <c r="M33" i="38" s="1"/>
  <c r="R41" i="4"/>
  <c r="Q41"/>
  <c r="M41"/>
  <c r="O41" s="1"/>
  <c r="M40"/>
  <c r="K44" i="72" s="1"/>
  <c r="M39" i="4"/>
  <c r="O39" s="1"/>
  <c r="M43" i="72" s="1"/>
  <c r="M38" i="4"/>
  <c r="K42" i="72" s="1"/>
  <c r="M37" i="4"/>
  <c r="O37" s="1"/>
  <c r="M41" i="72" s="1"/>
  <c r="R36" i="4"/>
  <c r="M35"/>
  <c r="O35" s="1"/>
  <c r="M39" i="72" s="1"/>
  <c r="R34" i="4"/>
  <c r="AV3" s="1"/>
  <c r="L52" i="76" s="1"/>
  <c r="Q34" i="4"/>
  <c r="M34"/>
  <c r="O34" s="1"/>
  <c r="AV4" s="1"/>
  <c r="K52" i="76" s="1"/>
  <c r="R33" i="4"/>
  <c r="Q33"/>
  <c r="O37" i="72" s="1"/>
  <c r="M33" i="4"/>
  <c r="M32"/>
  <c r="K36" i="72" s="1"/>
  <c r="M31" i="4"/>
  <c r="K35" i="72" s="1"/>
  <c r="R30" i="4"/>
  <c r="Q30"/>
  <c r="M30"/>
  <c r="O30" s="1"/>
  <c r="O11" i="54" s="1"/>
  <c r="R29" i="4"/>
  <c r="Q29"/>
  <c r="M29"/>
  <c r="K34" i="72" s="1"/>
  <c r="R28" i="4"/>
  <c r="Q28"/>
  <c r="M28"/>
  <c r="K33" i="72" s="1"/>
  <c r="M27" i="4"/>
  <c r="K32" i="72" s="1"/>
  <c r="M26" i="4"/>
  <c r="K31" i="72" s="1"/>
  <c r="M25" i="4"/>
  <c r="K30" i="72" s="1"/>
  <c r="R24" i="4"/>
  <c r="R21" s="1"/>
  <c r="Q24"/>
  <c r="O29" i="72" s="1"/>
  <c r="M24" i="4"/>
  <c r="O24" s="1"/>
  <c r="R23"/>
  <c r="Q23"/>
  <c r="M23"/>
  <c r="O23" s="1"/>
  <c r="M22"/>
  <c r="K27" i="72" s="1"/>
  <c r="M20" i="4"/>
  <c r="K25" i="72" s="1"/>
  <c r="M19" i="4"/>
  <c r="K24" i="72" s="1"/>
  <c r="R18" i="4"/>
  <c r="Q18"/>
  <c r="M18"/>
  <c r="K23" i="72" s="1"/>
  <c r="M17" i="4"/>
  <c r="O17" s="1"/>
  <c r="M22" i="72" s="1"/>
  <c r="M16" i="4"/>
  <c r="K21" i="72" s="1"/>
  <c r="M15" i="4"/>
  <c r="O15" s="1"/>
  <c r="M20" i="72" s="1"/>
  <c r="M14" i="4"/>
  <c r="K19" i="72" s="1"/>
  <c r="M13" i="4"/>
  <c r="O13" s="1"/>
  <c r="M18" i="72" s="1"/>
  <c r="M12" i="4"/>
  <c r="K17" i="72" s="1"/>
  <c r="M11" i="4"/>
  <c r="O11" s="1"/>
  <c r="M16" i="72" s="1"/>
  <c r="R10" i="4"/>
  <c r="B4"/>
  <c r="BA3"/>
  <c r="AW3"/>
  <c r="AT3"/>
  <c r="AR3"/>
  <c r="L48" i="76" s="1"/>
  <c r="AQ3" i="4"/>
  <c r="AP3"/>
  <c r="AL3"/>
  <c r="L41" i="76" s="1"/>
  <c r="AF3" i="4"/>
  <c r="O3"/>
  <c r="N3"/>
  <c r="L17" i="76" s="1"/>
  <c r="B3" i="4"/>
  <c r="A2"/>
  <c r="M15" i="60"/>
  <c r="O15" s="1"/>
  <c r="M14"/>
  <c r="O14" s="1"/>
  <c r="M13"/>
  <c r="O13" s="1"/>
  <c r="M12"/>
  <c r="O12" s="1"/>
  <c r="M11"/>
  <c r="O11" s="1"/>
  <c r="M10"/>
  <c r="O10" s="1"/>
  <c r="M9"/>
  <c r="O9" s="1"/>
  <c r="R8"/>
  <c r="R7"/>
  <c r="B4"/>
  <c r="W3"/>
  <c r="E3"/>
  <c r="B3"/>
  <c r="A2"/>
  <c r="N123" i="3"/>
  <c r="P123" s="1"/>
  <c r="N122"/>
  <c r="P122" s="1"/>
  <c r="N121"/>
  <c r="P121" s="1"/>
  <c r="N120"/>
  <c r="P120" s="1"/>
  <c r="S119"/>
  <c r="R47" i="81" s="1"/>
  <c r="T3" s="1"/>
  <c r="J23" i="76" s="1"/>
  <c r="S117" i="3"/>
  <c r="R117"/>
  <c r="N117"/>
  <c r="M9" i="23" s="1"/>
  <c r="S116" i="3"/>
  <c r="R46" i="81" s="1"/>
  <c r="R45" s="1"/>
  <c r="S114" i="3"/>
  <c r="R114"/>
  <c r="N114"/>
  <c r="P114" s="1"/>
  <c r="O16" i="68" s="1"/>
  <c r="S113" i="3"/>
  <c r="S112" s="1"/>
  <c r="R39" i="81" s="1"/>
  <c r="AM3" s="1"/>
  <c r="J42" i="76" s="1"/>
  <c r="R113" i="3"/>
  <c r="N113"/>
  <c r="M15" i="68" s="1"/>
  <c r="N111" i="3"/>
  <c r="P111" s="1"/>
  <c r="O17" i="41" s="1"/>
  <c r="N110" i="3"/>
  <c r="P110" s="1"/>
  <c r="O16" i="41" s="1"/>
  <c r="S109" i="3"/>
  <c r="R43" i="81" s="1"/>
  <c r="R109" i="3"/>
  <c r="N109"/>
  <c r="P109" s="1"/>
  <c r="O15" i="41" s="1"/>
  <c r="S108" i="3"/>
  <c r="R42" i="81" s="1"/>
  <c r="R108" i="3"/>
  <c r="N108"/>
  <c r="M14" i="41" s="1"/>
  <c r="S107" i="3"/>
  <c r="R41" i="81" s="1"/>
  <c r="R107" i="3"/>
  <c r="N107"/>
  <c r="M13" i="41" s="1"/>
  <c r="S105" i="3"/>
  <c r="R105"/>
  <c r="N105"/>
  <c r="M31" i="30" s="1"/>
  <c r="S104" i="3"/>
  <c r="R104"/>
  <c r="N104"/>
  <c r="P104" s="1"/>
  <c r="O30" i="30" s="1"/>
  <c r="S103" i="3"/>
  <c r="R103"/>
  <c r="N103"/>
  <c r="M29" i="30" s="1"/>
  <c r="S102" i="3"/>
  <c r="R102"/>
  <c r="N102"/>
  <c r="M28" i="30" s="1"/>
  <c r="S100" i="3"/>
  <c r="R100"/>
  <c r="N100"/>
  <c r="P100" s="1"/>
  <c r="O27" i="30" s="1"/>
  <c r="S99" i="3"/>
  <c r="R99"/>
  <c r="N99"/>
  <c r="M26" i="30" s="1"/>
  <c r="S98" i="3"/>
  <c r="R98"/>
  <c r="N98"/>
  <c r="M25" i="30" s="1"/>
  <c r="S97" i="3"/>
  <c r="R97"/>
  <c r="N97"/>
  <c r="M24" i="30" s="1"/>
  <c r="S96" i="3"/>
  <c r="R96"/>
  <c r="N96"/>
  <c r="M23" i="30" s="1"/>
  <c r="S95" i="3"/>
  <c r="R95"/>
  <c r="N95"/>
  <c r="M22" i="30" s="1"/>
  <c r="S91" i="3"/>
  <c r="S90" s="1"/>
  <c r="R36" i="81" s="1"/>
  <c r="R91" i="3"/>
  <c r="N91"/>
  <c r="P91" s="1"/>
  <c r="S89"/>
  <c r="S88" s="1"/>
  <c r="R35" i="81" s="1"/>
  <c r="R89" i="3"/>
  <c r="N89"/>
  <c r="P89" s="1"/>
  <c r="S85"/>
  <c r="R85"/>
  <c r="N85"/>
  <c r="M81" i="27" s="1"/>
  <c r="S84" i="3"/>
  <c r="R84"/>
  <c r="N84"/>
  <c r="M80" i="27" s="1"/>
  <c r="S83" i="3"/>
  <c r="R83"/>
  <c r="N83"/>
  <c r="M79" i="27" s="1"/>
  <c r="S82" i="3"/>
  <c r="R82"/>
  <c r="N82"/>
  <c r="M78" i="27" s="1"/>
  <c r="S81" i="3"/>
  <c r="R81"/>
  <c r="N81"/>
  <c r="M77" i="27" s="1"/>
  <c r="S80" i="3"/>
  <c r="R80"/>
  <c r="N80"/>
  <c r="M76" i="27" s="1"/>
  <c r="S79" i="3"/>
  <c r="R79"/>
  <c r="N79"/>
  <c r="M75" i="27" s="1"/>
  <c r="S78" i="3"/>
  <c r="R78"/>
  <c r="N78"/>
  <c r="M74" i="27" s="1"/>
  <c r="S75" i="3"/>
  <c r="R28" i="81" s="1"/>
  <c r="R75" i="3"/>
  <c r="N75"/>
  <c r="M72" i="27" s="1"/>
  <c r="S74" i="3"/>
  <c r="R74"/>
  <c r="N74"/>
  <c r="M71" i="27" s="1"/>
  <c r="S73" i="3"/>
  <c r="S72" s="1"/>
  <c r="R27" i="81" s="1"/>
  <c r="R73" i="3"/>
  <c r="N73"/>
  <c r="M70" i="27" s="1"/>
  <c r="S71" i="3"/>
  <c r="R71"/>
  <c r="N71"/>
  <c r="M68" i="27" s="1"/>
  <c r="S70" i="3"/>
  <c r="R70"/>
  <c r="N70"/>
  <c r="M67" i="27" s="1"/>
  <c r="S69" i="3"/>
  <c r="R69"/>
  <c r="N69"/>
  <c r="M66" i="27" s="1"/>
  <c r="S68" i="3"/>
  <c r="R68"/>
  <c r="N68"/>
  <c r="M65" i="27" s="1"/>
  <c r="N67" i="3"/>
  <c r="M64" i="27" s="1"/>
  <c r="S66" i="3"/>
  <c r="R66"/>
  <c r="N66"/>
  <c r="M63" i="27" s="1"/>
  <c r="S65" i="3"/>
  <c r="R65"/>
  <c r="N65"/>
  <c r="M62" i="27" s="1"/>
  <c r="S64" i="3"/>
  <c r="R64"/>
  <c r="N64"/>
  <c r="M61" i="27" s="1"/>
  <c r="S63" i="3"/>
  <c r="R63"/>
  <c r="N63"/>
  <c r="M60" i="27" s="1"/>
  <c r="S62" i="3"/>
  <c r="R62"/>
  <c r="N62"/>
  <c r="M59" i="27" s="1"/>
  <c r="S59" i="3"/>
  <c r="R24" i="81" s="1"/>
  <c r="R59" i="3"/>
  <c r="N59"/>
  <c r="P59" s="1"/>
  <c r="S58"/>
  <c r="R23" i="81" s="1"/>
  <c r="R58" i="3"/>
  <c r="N58"/>
  <c r="P58" s="1"/>
  <c r="S56"/>
  <c r="R56"/>
  <c r="N56"/>
  <c r="P56" s="1"/>
  <c r="O54" i="27" s="1"/>
  <c r="S55" i="3"/>
  <c r="R55"/>
  <c r="N55"/>
  <c r="P55" s="1"/>
  <c r="O53" i="27" s="1"/>
  <c r="S54" i="3"/>
  <c r="S53" s="1"/>
  <c r="R22" i="81" s="1"/>
  <c r="R54" i="3"/>
  <c r="N54"/>
  <c r="P54" s="1"/>
  <c r="S51"/>
  <c r="R51"/>
  <c r="N51"/>
  <c r="M50" i="27" s="1"/>
  <c r="N50" i="3"/>
  <c r="M49" i="27" s="1"/>
  <c r="R49" i="3"/>
  <c r="N49"/>
  <c r="M48" i="27" s="1"/>
  <c r="R48" i="3"/>
  <c r="N48"/>
  <c r="M13" i="20" s="1"/>
  <c r="N46" i="3"/>
  <c r="P46" s="1"/>
  <c r="R45"/>
  <c r="N45"/>
  <c r="P45" s="1"/>
  <c r="N44"/>
  <c r="M19" i="30" s="1"/>
  <c r="R43" i="3"/>
  <c r="N43"/>
  <c r="P43" s="1"/>
  <c r="N42"/>
  <c r="P42" s="1"/>
  <c r="N41"/>
  <c r="P41" s="1"/>
  <c r="N40"/>
  <c r="M15" i="30" s="1"/>
  <c r="S37" i="3"/>
  <c r="R17" i="81" s="1"/>
  <c r="N3" s="1"/>
  <c r="J17" i="76" s="1"/>
  <c r="N37" i="3"/>
  <c r="M37" i="27" s="1"/>
  <c r="S36" i="3"/>
  <c r="R16" i="81" s="1"/>
  <c r="R36" i="3"/>
  <c r="N36"/>
  <c r="M36" i="27" s="1"/>
  <c r="S35" i="3"/>
  <c r="N35"/>
  <c r="M300" i="38" s="1"/>
  <c r="S34" i="3"/>
  <c r="N34"/>
  <c r="P34" s="1"/>
  <c r="S32"/>
  <c r="N32"/>
  <c r="M32" i="27" s="1"/>
  <c r="R31" i="3"/>
  <c r="N31"/>
  <c r="M221" i="38" s="1"/>
  <c r="N30" i="3"/>
  <c r="M30" i="27" s="1"/>
  <c r="R29" i="3"/>
  <c r="N29"/>
  <c r="M29" i="27" s="1"/>
  <c r="N28" i="3"/>
  <c r="M28" i="27" s="1"/>
  <c r="R27" i="3"/>
  <c r="N27"/>
  <c r="M217" i="38" s="1"/>
  <c r="N26" i="3"/>
  <c r="M26" i="27" s="1"/>
  <c r="R25" i="3"/>
  <c r="N25"/>
  <c r="M25" i="27" s="1"/>
  <c r="S24" i="3"/>
  <c r="N24"/>
  <c r="M24" i="27" s="1"/>
  <c r="N22" i="3"/>
  <c r="P22" s="1"/>
  <c r="N21"/>
  <c r="M405" i="38" s="1"/>
  <c r="N19" i="3"/>
  <c r="M19" i="27" s="1"/>
  <c r="R18" i="3"/>
  <c r="N18"/>
  <c r="P18" s="1"/>
  <c r="N17"/>
  <c r="M17" i="27" s="1"/>
  <c r="R16" i="3"/>
  <c r="N16"/>
  <c r="P16" s="1"/>
  <c r="N15"/>
  <c r="M15" i="27" s="1"/>
  <c r="R14" i="3"/>
  <c r="N14"/>
  <c r="M115" i="38" s="1"/>
  <c r="N13" i="3"/>
  <c r="M13" i="27" s="1"/>
  <c r="N11" i="3"/>
  <c r="M30" i="38" s="1"/>
  <c r="N10" i="3"/>
  <c r="M10" i="27" s="1"/>
  <c r="N9" i="3"/>
  <c r="M9" i="27" s="1"/>
  <c r="R8" i="3"/>
  <c r="N8"/>
  <c r="P8" s="1"/>
  <c r="D2"/>
  <c r="C2"/>
  <c r="B2"/>
  <c r="A2"/>
  <c r="M56" i="81"/>
  <c r="O56" s="1"/>
  <c r="R55"/>
  <c r="AV3" s="1"/>
  <c r="J52" i="76" s="1"/>
  <c r="Q55" i="81"/>
  <c r="M55"/>
  <c r="O55" s="1"/>
  <c r="R54"/>
  <c r="Q54"/>
  <c r="M54"/>
  <c r="M10" i="32" s="1"/>
  <c r="R53" i="81"/>
  <c r="AI3" s="1"/>
  <c r="J38" i="76" s="1"/>
  <c r="Q53" i="81"/>
  <c r="M53"/>
  <c r="M7" i="40" s="1"/>
  <c r="M51" i="81"/>
  <c r="O51" s="1"/>
  <c r="M50"/>
  <c r="O50" s="1"/>
  <c r="M48"/>
  <c r="O48" s="1"/>
  <c r="R44"/>
  <c r="Q43"/>
  <c r="P43"/>
  <c r="N43"/>
  <c r="M43"/>
  <c r="L43"/>
  <c r="K43"/>
  <c r="Q42"/>
  <c r="P42"/>
  <c r="N42"/>
  <c r="L42"/>
  <c r="K42"/>
  <c r="Q41"/>
  <c r="P41"/>
  <c r="N41"/>
  <c r="L41"/>
  <c r="K41"/>
  <c r="R32"/>
  <c r="R31"/>
  <c r="R21"/>
  <c r="B4"/>
  <c r="AS3"/>
  <c r="J49" i="76" s="1"/>
  <c r="AH3" i="81"/>
  <c r="J37" i="76" s="1"/>
  <c r="B3" i="81"/>
  <c r="A2"/>
  <c r="M65" i="2"/>
  <c r="O65" s="1"/>
  <c r="R64"/>
  <c r="Q64"/>
  <c r="M64"/>
  <c r="R60"/>
  <c r="Q60"/>
  <c r="M60"/>
  <c r="R58"/>
  <c r="Q58"/>
  <c r="M58"/>
  <c r="M10" i="31" s="1"/>
  <c r="R57" i="2"/>
  <c r="Q57"/>
  <c r="M57"/>
  <c r="M9" i="31" s="1"/>
  <c r="M56" i="2"/>
  <c r="R54"/>
  <c r="AL3" s="1"/>
  <c r="H41" i="76" s="1"/>
  <c r="Q54" i="2"/>
  <c r="M54"/>
  <c r="M11" i="41" s="1"/>
  <c r="R53" i="2"/>
  <c r="Q53"/>
  <c r="M53"/>
  <c r="O53" s="1"/>
  <c r="O13" i="30" s="1"/>
  <c r="R52" i="2"/>
  <c r="AR3" s="1"/>
  <c r="H48" i="76" s="1"/>
  <c r="Q52" i="2"/>
  <c r="M52"/>
  <c r="M7" i="42" s="1"/>
  <c r="R50" i="2"/>
  <c r="Q50"/>
  <c r="M50"/>
  <c r="M8" i="31" s="1"/>
  <c r="R49" i="2"/>
  <c r="Q49"/>
  <c r="M49"/>
  <c r="M7" i="23" s="1"/>
  <c r="R48" i="2"/>
  <c r="AK3" s="1"/>
  <c r="H40" i="76" s="1"/>
  <c r="Q48" i="2"/>
  <c r="M48"/>
  <c r="M11" i="20" s="1"/>
  <c r="R47" i="2"/>
  <c r="AT3" s="1"/>
  <c r="H50" i="76" s="1"/>
  <c r="Q47" i="2"/>
  <c r="M47"/>
  <c r="M14" i="24" s="1"/>
  <c r="R45" i="2"/>
  <c r="AM3" s="1"/>
  <c r="H42" i="76" s="1"/>
  <c r="Q45" i="2"/>
  <c r="M45"/>
  <c r="O45" s="1"/>
  <c r="O13" i="68" s="1"/>
  <c r="O12" s="1"/>
  <c r="R44" i="2"/>
  <c r="Q44"/>
  <c r="M44"/>
  <c r="O44" s="1"/>
  <c r="O403" i="38" s="1"/>
  <c r="R43" i="2"/>
  <c r="Q43"/>
  <c r="M43"/>
  <c r="O43" s="1"/>
  <c r="O402" i="38" s="1"/>
  <c r="R42" i="2"/>
  <c r="Q42"/>
  <c r="M42"/>
  <c r="M439" i="38" s="1"/>
  <c r="R41" i="2"/>
  <c r="M3" s="1"/>
  <c r="H15" i="76" s="1"/>
  <c r="Q41" i="2"/>
  <c r="M41"/>
  <c r="M438" i="38" s="1"/>
  <c r="R40" i="2"/>
  <c r="Q40"/>
  <c r="M40"/>
  <c r="O40" s="1"/>
  <c r="O297" i="38" s="1"/>
  <c r="R39" i="2"/>
  <c r="Q39"/>
  <c r="M39"/>
  <c r="O39" s="1"/>
  <c r="O296" i="38" s="1"/>
  <c r="R38" i="2"/>
  <c r="Q38"/>
  <c r="M38"/>
  <c r="M25" i="38" s="1"/>
  <c r="R37" i="2"/>
  <c r="Q37"/>
  <c r="M37"/>
  <c r="M24" i="38" s="1"/>
  <c r="R36" i="2"/>
  <c r="Q36"/>
  <c r="M36"/>
  <c r="M23" i="38" s="1"/>
  <c r="Q35" i="2"/>
  <c r="M35"/>
  <c r="M22" i="38" s="1"/>
  <c r="R34" i="2"/>
  <c r="Q34"/>
  <c r="M34"/>
  <c r="M21" i="38" s="1"/>
  <c r="M30" i="2"/>
  <c r="O30" s="1"/>
  <c r="R29"/>
  <c r="Q29"/>
  <c r="M29"/>
  <c r="M12" i="30" s="1"/>
  <c r="R28" i="2"/>
  <c r="Q28"/>
  <c r="M28"/>
  <c r="M401" i="38" s="1"/>
  <c r="R27" i="2"/>
  <c r="Q27"/>
  <c r="M27"/>
  <c r="M400" i="38" s="1"/>
  <c r="R26" i="2"/>
  <c r="Q26"/>
  <c r="M26"/>
  <c r="M399" i="38" s="1"/>
  <c r="R25" i="2"/>
  <c r="Q25"/>
  <c r="M25"/>
  <c r="M398" i="38" s="1"/>
  <c r="M24" i="2"/>
  <c r="O24" s="1"/>
  <c r="R23"/>
  <c r="Q23"/>
  <c r="M23"/>
  <c r="O23" s="1"/>
  <c r="O350" i="38" s="1"/>
  <c r="R22" i="2"/>
  <c r="Q22"/>
  <c r="M22"/>
  <c r="O22" s="1"/>
  <c r="O349" i="38" s="1"/>
  <c r="R21" i="2"/>
  <c r="I3" s="1"/>
  <c r="H11" i="76" s="1"/>
  <c r="Q21" i="2"/>
  <c r="M21"/>
  <c r="O21" s="1"/>
  <c r="R20"/>
  <c r="H3" s="1"/>
  <c r="H10" i="76" s="1"/>
  <c r="Q20" i="2"/>
  <c r="M20"/>
  <c r="O20" s="1"/>
  <c r="O212" i="38" s="1"/>
  <c r="O211" s="1"/>
  <c r="M18" i="2"/>
  <c r="O18" s="1"/>
  <c r="R17"/>
  <c r="Q17"/>
  <c r="M17"/>
  <c r="M7" i="31" s="1"/>
  <c r="R16" i="2"/>
  <c r="Q16"/>
  <c r="M16"/>
  <c r="M10" i="45" s="1"/>
  <c r="M14" i="2"/>
  <c r="O14" s="1"/>
  <c r="M13"/>
  <c r="R12"/>
  <c r="M11"/>
  <c r="O11" s="1"/>
  <c r="M10"/>
  <c r="K9" i="72" s="1"/>
  <c r="R9" i="2"/>
  <c r="B4"/>
  <c r="AQ3"/>
  <c r="H47" i="76" s="1"/>
  <c r="AH3" i="2"/>
  <c r="H37" i="76" s="1"/>
  <c r="S3" i="2"/>
  <c r="H22" i="76" s="1"/>
  <c r="B3" i="2"/>
  <c r="A2"/>
  <c r="M114" i="16"/>
  <c r="O114" s="1"/>
  <c r="R113"/>
  <c r="AX3" s="1"/>
  <c r="F54" i="76" s="1"/>
  <c r="Q113" i="16"/>
  <c r="M113"/>
  <c r="O113" s="1"/>
  <c r="R112"/>
  <c r="L3" s="1"/>
  <c r="F14" i="76" s="1"/>
  <c r="Q112" i="16"/>
  <c r="M112"/>
  <c r="O112" s="1"/>
  <c r="O396" i="38" s="1"/>
  <c r="O395" s="1"/>
  <c r="R111" i="16"/>
  <c r="Q111"/>
  <c r="M111"/>
  <c r="O111" s="1"/>
  <c r="O10" i="44" s="1"/>
  <c r="R110" i="16"/>
  <c r="Q110"/>
  <c r="M110"/>
  <c r="O110" s="1"/>
  <c r="O9" i="44" s="1"/>
  <c r="M109" i="16"/>
  <c r="O109" s="1"/>
  <c r="M107"/>
  <c r="O107" s="1"/>
  <c r="R106"/>
  <c r="Q106"/>
  <c r="M106"/>
  <c r="O106" s="1"/>
  <c r="O293" i="38" s="1"/>
  <c r="R105" i="16"/>
  <c r="Q105"/>
  <c r="M105"/>
  <c r="O105" s="1"/>
  <c r="O11" i="68" s="1"/>
  <c r="R104" i="16"/>
  <c r="Q104"/>
  <c r="M104"/>
  <c r="O104" s="1"/>
  <c r="R102"/>
  <c r="Q102"/>
  <c r="M102"/>
  <c r="M9" i="68" s="1"/>
  <c r="R101" i="16"/>
  <c r="Q101"/>
  <c r="M101"/>
  <c r="M8" i="68" s="1"/>
  <c r="R99" i="16"/>
  <c r="Q99"/>
  <c r="M99"/>
  <c r="O99" s="1"/>
  <c r="O7" i="68" s="1"/>
  <c r="R98" i="16"/>
  <c r="Q98"/>
  <c r="M98"/>
  <c r="R97"/>
  <c r="Q97"/>
  <c r="M97"/>
  <c r="R96"/>
  <c r="Q96"/>
  <c r="M96"/>
  <c r="R95"/>
  <c r="Q95"/>
  <c r="M95"/>
  <c r="O95" s="1"/>
  <c r="O9" i="41" s="1"/>
  <c r="R94" i="16"/>
  <c r="Q94"/>
  <c r="M94"/>
  <c r="R93"/>
  <c r="Q93"/>
  <c r="M93"/>
  <c r="R92"/>
  <c r="Q92"/>
  <c r="M92"/>
  <c r="R91"/>
  <c r="Q91"/>
  <c r="M91"/>
  <c r="R90"/>
  <c r="Q90"/>
  <c r="M90"/>
  <c r="R89"/>
  <c r="Q89"/>
  <c r="M89"/>
  <c r="O89" s="1"/>
  <c r="O292" i="38" s="1"/>
  <c r="R88" i="16"/>
  <c r="Q88"/>
  <c r="M88"/>
  <c r="R87"/>
  <c r="Q87"/>
  <c r="M87"/>
  <c r="R86"/>
  <c r="Q86"/>
  <c r="M86"/>
  <c r="R85"/>
  <c r="Q85"/>
  <c r="M85"/>
  <c r="R84"/>
  <c r="Q84"/>
  <c r="M84"/>
  <c r="M81"/>
  <c r="O81" s="1"/>
  <c r="R80"/>
  <c r="Q80"/>
  <c r="M80"/>
  <c r="O80" s="1"/>
  <c r="O10" i="30" s="1"/>
  <c r="R79" i="16"/>
  <c r="Q79"/>
  <c r="M79"/>
  <c r="R78"/>
  <c r="Q78"/>
  <c r="M78"/>
  <c r="O78" s="1"/>
  <c r="R76"/>
  <c r="Q76"/>
  <c r="M76"/>
  <c r="M210" i="38" s="1"/>
  <c r="R75" i="16"/>
  <c r="Q75"/>
  <c r="M75"/>
  <c r="M209" i="38" s="1"/>
  <c r="R74" i="16"/>
  <c r="Q74"/>
  <c r="M74"/>
  <c r="M208" i="38" s="1"/>
  <c r="R73" i="16"/>
  <c r="Q73"/>
  <c r="M73"/>
  <c r="M207" i="38" s="1"/>
  <c r="R72" i="16"/>
  <c r="Q72"/>
  <c r="M72"/>
  <c r="M206" i="38" s="1"/>
  <c r="R71" i="16"/>
  <c r="Q71"/>
  <c r="M71"/>
  <c r="M205" i="38" s="1"/>
  <c r="R69" i="16"/>
  <c r="Q69"/>
  <c r="M69"/>
  <c r="R68"/>
  <c r="Q68"/>
  <c r="M68"/>
  <c r="R65"/>
  <c r="Q65"/>
  <c r="M65"/>
  <c r="M19" i="38" s="1"/>
  <c r="R64" i="16"/>
  <c r="Q64"/>
  <c r="M64"/>
  <c r="M18" i="38" s="1"/>
  <c r="R63" i="16"/>
  <c r="Q63"/>
  <c r="M63"/>
  <c r="M17" i="38" s="1"/>
  <c r="R61" i="16"/>
  <c r="Q61"/>
  <c r="M61"/>
  <c r="O61" s="1"/>
  <c r="M58"/>
  <c r="O58" s="1"/>
  <c r="R57"/>
  <c r="Q57"/>
  <c r="M57"/>
  <c r="O57" s="1"/>
  <c r="O8" i="45" s="1"/>
  <c r="R56" i="16"/>
  <c r="Q56"/>
  <c r="M56"/>
  <c r="O56" s="1"/>
  <c r="O436" i="38" s="1"/>
  <c r="R55" i="16"/>
  <c r="O3" s="1"/>
  <c r="F18" i="76" s="1"/>
  <c r="Q55" i="16"/>
  <c r="M55"/>
  <c r="O55" s="1"/>
  <c r="M54"/>
  <c r="O54" s="1"/>
  <c r="R53"/>
  <c r="Q53"/>
  <c r="M53"/>
  <c r="M7" i="45" s="1"/>
  <c r="R52" i="16"/>
  <c r="Q52"/>
  <c r="M52"/>
  <c r="O52" s="1"/>
  <c r="O435" i="38" s="1"/>
  <c r="R51" i="16"/>
  <c r="Q51"/>
  <c r="M51"/>
  <c r="M434" i="38" s="1"/>
  <c r="M49" i="16"/>
  <c r="O49" s="1"/>
  <c r="R48"/>
  <c r="Q48"/>
  <c r="M48"/>
  <c r="O48" s="1"/>
  <c r="O9" i="53" s="1"/>
  <c r="R47" i="16"/>
  <c r="Q47"/>
  <c r="M47"/>
  <c r="O47" s="1"/>
  <c r="O8" i="53" s="1"/>
  <c r="R46" i="16"/>
  <c r="Q46"/>
  <c r="M46"/>
  <c r="R44"/>
  <c r="Q44"/>
  <c r="M44"/>
  <c r="M8" i="44" s="1"/>
  <c r="R43" i="16"/>
  <c r="Q43"/>
  <c r="M43"/>
  <c r="M7" i="44" s="1"/>
  <c r="R42" i="16"/>
  <c r="Q42"/>
  <c r="M42"/>
  <c r="M8" i="24" s="1"/>
  <c r="R41" i="16"/>
  <c r="Q41"/>
  <c r="M41"/>
  <c r="M7" i="24" s="1"/>
  <c r="M39" i="16"/>
  <c r="O39" s="1"/>
  <c r="R38"/>
  <c r="Q38"/>
  <c r="M38"/>
  <c r="O38" s="1"/>
  <c r="O7" i="41" s="1"/>
  <c r="R37" i="16"/>
  <c r="Q37"/>
  <c r="M37"/>
  <c r="M8" i="20" s="1"/>
  <c r="R36" i="16"/>
  <c r="Q36"/>
  <c r="M36"/>
  <c r="M7" i="20" s="1"/>
  <c r="R35" i="16"/>
  <c r="Q35"/>
  <c r="M35"/>
  <c r="O35" s="1"/>
  <c r="O9" i="30" s="1"/>
  <c r="R34" i="16"/>
  <c r="Q34"/>
  <c r="M34"/>
  <c r="M8" i="30" s="1"/>
  <c r="R33" i="16"/>
  <c r="Q33"/>
  <c r="M33"/>
  <c r="O33" s="1"/>
  <c r="R31"/>
  <c r="Q31"/>
  <c r="M31"/>
  <c r="O31" s="1"/>
  <c r="O291" i="38" s="1"/>
  <c r="R30" i="16"/>
  <c r="Q30"/>
  <c r="M30"/>
  <c r="R28"/>
  <c r="Q28"/>
  <c r="M28"/>
  <c r="M202" i="38" s="1"/>
  <c r="R27" i="16"/>
  <c r="Q27"/>
  <c r="M27"/>
  <c r="M201" i="38" s="1"/>
  <c r="R26" i="16"/>
  <c r="Q26"/>
  <c r="M26"/>
  <c r="M200" i="38" s="1"/>
  <c r="R24" i="16"/>
  <c r="Q24"/>
  <c r="M24"/>
  <c r="M199" i="38" s="1"/>
  <c r="R23" i="16"/>
  <c r="Q23"/>
  <c r="M23"/>
  <c r="M198" i="38" s="1"/>
  <c r="R20" i="16"/>
  <c r="Q20"/>
  <c r="M20"/>
  <c r="R19"/>
  <c r="Q19"/>
  <c r="M19"/>
  <c r="R18"/>
  <c r="Q18"/>
  <c r="M18"/>
  <c r="R17"/>
  <c r="Q17"/>
  <c r="M17"/>
  <c r="R15"/>
  <c r="Q15"/>
  <c r="M15"/>
  <c r="M13" i="38" s="1"/>
  <c r="R14" i="16"/>
  <c r="Q14"/>
  <c r="M14"/>
  <c r="M12" i="38" s="1"/>
  <c r="R13" i="16"/>
  <c r="Q13"/>
  <c r="M13"/>
  <c r="M11" i="38" s="1"/>
  <c r="R12" i="16"/>
  <c r="Q12"/>
  <c r="M12"/>
  <c r="M10" i="38" s="1"/>
  <c r="R11" i="16"/>
  <c r="Q11"/>
  <c r="M11"/>
  <c r="M9" i="38" s="1"/>
  <c r="R10" i="16"/>
  <c r="Q10"/>
  <c r="M10"/>
  <c r="M8" i="38" s="1"/>
  <c r="B4" i="16"/>
  <c r="AH3"/>
  <c r="F37" i="76" s="1"/>
  <c r="B3" i="16"/>
  <c r="A2"/>
  <c r="H274" i="67"/>
  <c r="G274"/>
  <c r="F274"/>
  <c r="J274" s="1"/>
  <c r="H273"/>
  <c r="F273"/>
  <c r="AN59" i="76" s="1"/>
  <c r="R57" i="80" s="1"/>
  <c r="H272" i="67"/>
  <c r="G272"/>
  <c r="F272"/>
  <c r="J272" s="1"/>
  <c r="E272"/>
  <c r="H271"/>
  <c r="G271"/>
  <c r="F271"/>
  <c r="J271" s="1"/>
  <c r="H270"/>
  <c r="J269"/>
  <c r="H269"/>
  <c r="G269"/>
  <c r="F269"/>
  <c r="J268"/>
  <c r="H268"/>
  <c r="G268"/>
  <c r="F268"/>
  <c r="H267"/>
  <c r="F267"/>
  <c r="J267" s="1"/>
  <c r="H266"/>
  <c r="G266"/>
  <c r="F266"/>
  <c r="J266" s="1"/>
  <c r="J265"/>
  <c r="H265"/>
  <c r="F265"/>
  <c r="H264"/>
  <c r="G264"/>
  <c r="F264"/>
  <c r="J264" s="1"/>
  <c r="H263"/>
  <c r="G263"/>
  <c r="F263"/>
  <c r="J263" s="1"/>
  <c r="H262"/>
  <c r="G262"/>
  <c r="F262"/>
  <c r="J262" s="1"/>
  <c r="H261"/>
  <c r="G261"/>
  <c r="F261"/>
  <c r="J261" s="1"/>
  <c r="E261"/>
  <c r="I261" s="1"/>
  <c r="J260"/>
  <c r="H260"/>
  <c r="G260"/>
  <c r="F260"/>
  <c r="J259"/>
  <c r="H259"/>
  <c r="G259"/>
  <c r="F259"/>
  <c r="H258"/>
  <c r="G258"/>
  <c r="H257"/>
  <c r="H256"/>
  <c r="G256"/>
  <c r="F256"/>
  <c r="J256" s="1"/>
  <c r="M55" i="1" s="1"/>
  <c r="E256" i="67"/>
  <c r="I256" s="1"/>
  <c r="K55" i="1" s="1"/>
  <c r="H255" i="67"/>
  <c r="G255"/>
  <c r="F255"/>
  <c r="J255" s="1"/>
  <c r="M54" i="1" s="1"/>
  <c r="E255" i="67"/>
  <c r="I255" s="1"/>
  <c r="K54" i="1" s="1"/>
  <c r="H254" i="67"/>
  <c r="F254"/>
  <c r="J254" s="1"/>
  <c r="E254"/>
  <c r="H253"/>
  <c r="G253"/>
  <c r="F253"/>
  <c r="J253" s="1"/>
  <c r="H252"/>
  <c r="G252"/>
  <c r="F252"/>
  <c r="J252" s="1"/>
  <c r="H251"/>
  <c r="H250"/>
  <c r="J249"/>
  <c r="H249"/>
  <c r="F249"/>
  <c r="E249"/>
  <c r="I249" s="1"/>
  <c r="J248"/>
  <c r="H248"/>
  <c r="G248"/>
  <c r="F248"/>
  <c r="H247"/>
  <c r="G247"/>
  <c r="F247"/>
  <c r="J247" s="1"/>
  <c r="H246"/>
  <c r="G246"/>
  <c r="F246"/>
  <c r="J246" s="1"/>
  <c r="E246"/>
  <c r="H245"/>
  <c r="F245"/>
  <c r="J245" s="1"/>
  <c r="H244"/>
  <c r="F244"/>
  <c r="J244" s="1"/>
  <c r="H243"/>
  <c r="G243"/>
  <c r="F243"/>
  <c r="J243" s="1"/>
  <c r="H242"/>
  <c r="G242"/>
  <c r="F242"/>
  <c r="J242" s="1"/>
  <c r="E242"/>
  <c r="I242" s="1"/>
  <c r="J241"/>
  <c r="H241"/>
  <c r="G241"/>
  <c r="F241"/>
  <c r="E241"/>
  <c r="I241" s="1"/>
  <c r="H240"/>
  <c r="F240"/>
  <c r="J240" s="1"/>
  <c r="H239"/>
  <c r="F239"/>
  <c r="J239" s="1"/>
  <c r="H238"/>
  <c r="G238"/>
  <c r="F238"/>
  <c r="J238" s="1"/>
  <c r="E238"/>
  <c r="H237"/>
  <c r="G237"/>
  <c r="F237"/>
  <c r="J237" s="1"/>
  <c r="H236"/>
  <c r="F236"/>
  <c r="J236" s="1"/>
  <c r="E236"/>
  <c r="H235"/>
  <c r="H234"/>
  <c r="G234"/>
  <c r="F234"/>
  <c r="J234" s="1"/>
  <c r="H233"/>
  <c r="F233"/>
  <c r="J233" s="1"/>
  <c r="H232"/>
  <c r="G232"/>
  <c r="F232"/>
  <c r="J232" s="1"/>
  <c r="E232"/>
  <c r="H231"/>
  <c r="H230"/>
  <c r="J229"/>
  <c r="H229"/>
  <c r="G229"/>
  <c r="F229"/>
  <c r="J228"/>
  <c r="H228"/>
  <c r="G228"/>
  <c r="F228"/>
  <c r="H227"/>
  <c r="F227"/>
  <c r="J227" s="1"/>
  <c r="M51" i="1" s="1"/>
  <c r="H226" i="67"/>
  <c r="F226"/>
  <c r="J226" s="1"/>
  <c r="H225"/>
  <c r="F225"/>
  <c r="J225" s="1"/>
  <c r="M50" i="1" s="1"/>
  <c r="H224" i="67"/>
  <c r="G224"/>
  <c r="F224"/>
  <c r="J224" s="1"/>
  <c r="M49" i="1" s="1"/>
  <c r="E224" i="67"/>
  <c r="I224" s="1"/>
  <c r="K49" i="1" s="1"/>
  <c r="H223" i="67"/>
  <c r="F223"/>
  <c r="J223" s="1"/>
  <c r="M48" i="1" s="1"/>
  <c r="J222" i="67"/>
  <c r="M47" i="1" s="1"/>
  <c r="H222" i="67"/>
  <c r="G222"/>
  <c r="F222"/>
  <c r="E222"/>
  <c r="H221"/>
  <c r="F221"/>
  <c r="J221" s="1"/>
  <c r="E221"/>
  <c r="I221" s="1"/>
  <c r="J220"/>
  <c r="H220"/>
  <c r="G220"/>
  <c r="F220"/>
  <c r="E220"/>
  <c r="H219"/>
  <c r="F219"/>
  <c r="J219" s="1"/>
  <c r="J218"/>
  <c r="H218"/>
  <c r="F218"/>
  <c r="H217"/>
  <c r="F217"/>
  <c r="J217" s="1"/>
  <c r="H216"/>
  <c r="F216"/>
  <c r="J216" s="1"/>
  <c r="M46" i="1" s="1"/>
  <c r="H215" i="67"/>
  <c r="F215"/>
  <c r="J215" s="1"/>
  <c r="E215"/>
  <c r="H214"/>
  <c r="F214"/>
  <c r="J214" s="1"/>
  <c r="H213"/>
  <c r="G213"/>
  <c r="F213"/>
  <c r="J213" s="1"/>
  <c r="E213"/>
  <c r="J212"/>
  <c r="H212"/>
  <c r="G212"/>
  <c r="F212"/>
  <c r="H211"/>
  <c r="H210"/>
  <c r="F210"/>
  <c r="J210" s="1"/>
  <c r="M44" i="1" s="1"/>
  <c r="H209" i="67"/>
  <c r="G209"/>
  <c r="F209"/>
  <c r="J209" s="1"/>
  <c r="H208"/>
  <c r="F208"/>
  <c r="J208" s="1"/>
  <c r="E208"/>
  <c r="H207"/>
  <c r="F207"/>
  <c r="J207" s="1"/>
  <c r="M43" i="1" s="1"/>
  <c r="H206" i="67"/>
  <c r="G206"/>
  <c r="F206"/>
  <c r="J206" s="1"/>
  <c r="H205"/>
  <c r="F205"/>
  <c r="J205" s="1"/>
  <c r="H204"/>
  <c r="F204"/>
  <c r="H203"/>
  <c r="G203"/>
  <c r="F203"/>
  <c r="J203" s="1"/>
  <c r="M40" i="1" s="1"/>
  <c r="E203" i="67"/>
  <c r="I203" s="1"/>
  <c r="K40" i="1" s="1"/>
  <c r="H202" i="67"/>
  <c r="G202"/>
  <c r="F202"/>
  <c r="J202" s="1"/>
  <c r="M39" i="1" s="1"/>
  <c r="E202" i="67"/>
  <c r="I202" s="1"/>
  <c r="K39" i="1" s="1"/>
  <c r="H201" i="67"/>
  <c r="F201"/>
  <c r="J201" s="1"/>
  <c r="E201"/>
  <c r="H200"/>
  <c r="G200"/>
  <c r="F200"/>
  <c r="J200" s="1"/>
  <c r="H199"/>
  <c r="H198"/>
  <c r="F198"/>
  <c r="J198" s="1"/>
  <c r="E198"/>
  <c r="H197"/>
  <c r="F197"/>
  <c r="J197" s="1"/>
  <c r="E197"/>
  <c r="H196"/>
  <c r="F196"/>
  <c r="J196" s="1"/>
  <c r="M37" i="1" s="1"/>
  <c r="H195" i="67"/>
  <c r="H194"/>
  <c r="F194"/>
  <c r="J194" s="1"/>
  <c r="H193"/>
  <c r="F193"/>
  <c r="J193" s="1"/>
  <c r="H192"/>
  <c r="G192"/>
  <c r="F192"/>
  <c r="J192" s="1"/>
  <c r="E192"/>
  <c r="H191"/>
  <c r="F191"/>
  <c r="J191" s="1"/>
  <c r="J190"/>
  <c r="H190"/>
  <c r="F190"/>
  <c r="J189"/>
  <c r="H189"/>
  <c r="G189"/>
  <c r="F189"/>
  <c r="E189"/>
  <c r="H188"/>
  <c r="G188"/>
  <c r="F188"/>
  <c r="J188" s="1"/>
  <c r="E188"/>
  <c r="H187"/>
  <c r="G187"/>
  <c r="F187"/>
  <c r="J187" s="1"/>
  <c r="H186"/>
  <c r="G186"/>
  <c r="F186"/>
  <c r="J186" s="1"/>
  <c r="H185"/>
  <c r="J184"/>
  <c r="H184"/>
  <c r="G184"/>
  <c r="F184"/>
  <c r="E184"/>
  <c r="H183"/>
  <c r="G183"/>
  <c r="F183"/>
  <c r="J183" s="1"/>
  <c r="J182"/>
  <c r="H182"/>
  <c r="F182"/>
  <c r="H181"/>
  <c r="F181"/>
  <c r="J181" s="1"/>
  <c r="E181"/>
  <c r="H180"/>
  <c r="G180"/>
  <c r="F180"/>
  <c r="J180" s="1"/>
  <c r="E180"/>
  <c r="H179"/>
  <c r="G179"/>
  <c r="F179"/>
  <c r="J179" s="1"/>
  <c r="H178"/>
  <c r="H177"/>
  <c r="F177"/>
  <c r="J177" s="1"/>
  <c r="J176"/>
  <c r="H176"/>
  <c r="G176"/>
  <c r="F176"/>
  <c r="E176"/>
  <c r="J175"/>
  <c r="M34" i="1" s="1"/>
  <c r="H175" i="67"/>
  <c r="F175"/>
  <c r="H174"/>
  <c r="H173"/>
  <c r="F173"/>
  <c r="J173" s="1"/>
  <c r="H172"/>
  <c r="G172"/>
  <c r="F172"/>
  <c r="J172" s="1"/>
  <c r="J171"/>
  <c r="K32" i="1" s="1"/>
  <c r="H171" i="67"/>
  <c r="F171"/>
  <c r="J170"/>
  <c r="M31" i="1" s="1"/>
  <c r="H170" i="67"/>
  <c r="F170"/>
  <c r="J169"/>
  <c r="M30" i="1" s="1"/>
  <c r="H169" i="67"/>
  <c r="G169"/>
  <c r="F169"/>
  <c r="H168"/>
  <c r="G168"/>
  <c r="F168"/>
  <c r="J168" s="1"/>
  <c r="J167"/>
  <c r="H167"/>
  <c r="G167"/>
  <c r="F167"/>
  <c r="E167"/>
  <c r="H166"/>
  <c r="F166"/>
  <c r="J166" s="1"/>
  <c r="H165"/>
  <c r="G165"/>
  <c r="F165"/>
  <c r="J165" s="1"/>
  <c r="H164"/>
  <c r="G164"/>
  <c r="F164"/>
  <c r="J164" s="1"/>
  <c r="J163"/>
  <c r="H163"/>
  <c r="F163"/>
  <c r="J162"/>
  <c r="H162"/>
  <c r="F162"/>
  <c r="J161"/>
  <c r="H161"/>
  <c r="G161"/>
  <c r="F161"/>
  <c r="E161"/>
  <c r="J160"/>
  <c r="H160"/>
  <c r="G160"/>
  <c r="F160"/>
  <c r="H159"/>
  <c r="H158"/>
  <c r="G158"/>
  <c r="F158"/>
  <c r="J158" s="1"/>
  <c r="H157"/>
  <c r="G157"/>
  <c r="F157"/>
  <c r="J157" s="1"/>
  <c r="J156"/>
  <c r="H156"/>
  <c r="F156"/>
  <c r="J155"/>
  <c r="H155"/>
  <c r="G155"/>
  <c r="F155"/>
  <c r="J154"/>
  <c r="H154"/>
  <c r="G154"/>
  <c r="F154"/>
  <c r="E154"/>
  <c r="H153"/>
  <c r="F153"/>
  <c r="J153" s="1"/>
  <c r="H152"/>
  <c r="H151"/>
  <c r="G151"/>
  <c r="F151"/>
  <c r="J151" s="1"/>
  <c r="H150"/>
  <c r="G150"/>
  <c r="H149"/>
  <c r="F149"/>
  <c r="J149" s="1"/>
  <c r="E149"/>
  <c r="J148"/>
  <c r="H148"/>
  <c r="G148"/>
  <c r="F148"/>
  <c r="E148"/>
  <c r="H147"/>
  <c r="G147"/>
  <c r="F147"/>
  <c r="J147" s="1"/>
  <c r="H146"/>
  <c r="G146"/>
  <c r="F146"/>
  <c r="J146" s="1"/>
  <c r="H145"/>
  <c r="F145"/>
  <c r="J145" s="1"/>
  <c r="E145"/>
  <c r="H144"/>
  <c r="G144"/>
  <c r="F144"/>
  <c r="J144" s="1"/>
  <c r="H143"/>
  <c r="G143"/>
  <c r="F143"/>
  <c r="J143" s="1"/>
  <c r="H142"/>
  <c r="F142"/>
  <c r="J142" s="1"/>
  <c r="H141"/>
  <c r="F141"/>
  <c r="J141" s="1"/>
  <c r="E141"/>
  <c r="H140"/>
  <c r="G140"/>
  <c r="F140"/>
  <c r="J140" s="1"/>
  <c r="H139"/>
  <c r="G139"/>
  <c r="F139"/>
  <c r="J139" s="1"/>
  <c r="H138"/>
  <c r="G138"/>
  <c r="H137"/>
  <c r="G137"/>
  <c r="F137"/>
  <c r="J137" s="1"/>
  <c r="E137"/>
  <c r="I137" s="1"/>
  <c r="J136"/>
  <c r="H136"/>
  <c r="G136"/>
  <c r="I136" s="1"/>
  <c r="F136"/>
  <c r="J135"/>
  <c r="H135"/>
  <c r="G135"/>
  <c r="F135"/>
  <c r="H134"/>
  <c r="G134"/>
  <c r="H133"/>
  <c r="G133"/>
  <c r="F133"/>
  <c r="J133" s="1"/>
  <c r="H132"/>
  <c r="G132"/>
  <c r="F132"/>
  <c r="J132" s="1"/>
  <c r="E132"/>
  <c r="H131"/>
  <c r="F131"/>
  <c r="J131" s="1"/>
  <c r="E131"/>
  <c r="H130"/>
  <c r="H129"/>
  <c r="G129"/>
  <c r="F129"/>
  <c r="J129" s="1"/>
  <c r="E129"/>
  <c r="I129" s="1"/>
  <c r="J128"/>
  <c r="H128"/>
  <c r="G128"/>
  <c r="F128"/>
  <c r="E128"/>
  <c r="H127"/>
  <c r="F127"/>
  <c r="J127" s="1"/>
  <c r="E127"/>
  <c r="H126"/>
  <c r="H125"/>
  <c r="G125"/>
  <c r="F125"/>
  <c r="J125" s="1"/>
  <c r="E125"/>
  <c r="H124"/>
  <c r="G124"/>
  <c r="F124"/>
  <c r="J124" s="1"/>
  <c r="J123"/>
  <c r="H123"/>
  <c r="F123"/>
  <c r="H122"/>
  <c r="H121"/>
  <c r="H120"/>
  <c r="H119"/>
  <c r="F119"/>
  <c r="J119" s="1"/>
  <c r="E119"/>
  <c r="J118"/>
  <c r="M27" i="1" s="1"/>
  <c r="H118" i="67"/>
  <c r="F118"/>
  <c r="E118"/>
  <c r="M59" i="76" s="1"/>
  <c r="H117" i="67"/>
  <c r="G117"/>
  <c r="F117"/>
  <c r="J117" s="1"/>
  <c r="E117"/>
  <c r="H116"/>
  <c r="F116"/>
  <c r="J116" s="1"/>
  <c r="H115"/>
  <c r="F115"/>
  <c r="J115" s="1"/>
  <c r="M26" i="1" s="1"/>
  <c r="H114" i="67"/>
  <c r="G114"/>
  <c r="F114"/>
  <c r="J114" s="1"/>
  <c r="H113"/>
  <c r="G113"/>
  <c r="F113"/>
  <c r="J113" s="1"/>
  <c r="H112"/>
  <c r="F112"/>
  <c r="J112" s="1"/>
  <c r="H111"/>
  <c r="F111"/>
  <c r="J111" s="1"/>
  <c r="H110"/>
  <c r="F110"/>
  <c r="J110" s="1"/>
  <c r="H109"/>
  <c r="F109"/>
  <c r="J109" s="1"/>
  <c r="H108"/>
  <c r="F108"/>
  <c r="J108" s="1"/>
  <c r="H107"/>
  <c r="F107"/>
  <c r="J107" s="1"/>
  <c r="E107"/>
  <c r="H106"/>
  <c r="F106"/>
  <c r="J106" s="1"/>
  <c r="E106"/>
  <c r="H105"/>
  <c r="G105"/>
  <c r="F105"/>
  <c r="J105" s="1"/>
  <c r="H104"/>
  <c r="F104"/>
  <c r="J104" s="1"/>
  <c r="H103"/>
  <c r="H102"/>
  <c r="G102"/>
  <c r="I102" s="1"/>
  <c r="F102"/>
  <c r="J102" s="1"/>
  <c r="E102"/>
  <c r="H101"/>
  <c r="G101"/>
  <c r="F101"/>
  <c r="J101" s="1"/>
  <c r="J100"/>
  <c r="H100"/>
  <c r="G100"/>
  <c r="F100"/>
  <c r="H99"/>
  <c r="G99"/>
  <c r="F99"/>
  <c r="J99" s="1"/>
  <c r="H98"/>
  <c r="G98"/>
  <c r="F98"/>
  <c r="J98" s="1"/>
  <c r="E98"/>
  <c r="H97"/>
  <c r="G97"/>
  <c r="F97"/>
  <c r="J97" s="1"/>
  <c r="H96"/>
  <c r="F96"/>
  <c r="J96" s="1"/>
  <c r="E96"/>
  <c r="H95"/>
  <c r="G95"/>
  <c r="F95"/>
  <c r="J95" s="1"/>
  <c r="J94"/>
  <c r="H94"/>
  <c r="G94"/>
  <c r="F94"/>
  <c r="E94"/>
  <c r="H93"/>
  <c r="G93"/>
  <c r="F93"/>
  <c r="J93" s="1"/>
  <c r="E93"/>
  <c r="H92"/>
  <c r="H91"/>
  <c r="H90"/>
  <c r="G90"/>
  <c r="F90"/>
  <c r="J90" s="1"/>
  <c r="E90"/>
  <c r="H89"/>
  <c r="F89"/>
  <c r="J89" s="1"/>
  <c r="E89"/>
  <c r="H88"/>
  <c r="F88"/>
  <c r="J88" s="1"/>
  <c r="M22" i="1" s="1"/>
  <c r="H87" i="67"/>
  <c r="G87"/>
  <c r="F87"/>
  <c r="J87" s="1"/>
  <c r="H86"/>
  <c r="F86"/>
  <c r="J86" s="1"/>
  <c r="E86"/>
  <c r="J85"/>
  <c r="H85"/>
  <c r="G85"/>
  <c r="F85"/>
  <c r="E85"/>
  <c r="H84"/>
  <c r="H83"/>
  <c r="G83"/>
  <c r="F83"/>
  <c r="J83" s="1"/>
  <c r="H82"/>
  <c r="F82"/>
  <c r="J82" s="1"/>
  <c r="H81"/>
  <c r="G81"/>
  <c r="F81"/>
  <c r="J81" s="1"/>
  <c r="E81"/>
  <c r="I81" s="1"/>
  <c r="H80"/>
  <c r="G80"/>
  <c r="F80"/>
  <c r="J80" s="1"/>
  <c r="E80"/>
  <c r="H79"/>
  <c r="G79"/>
  <c r="F79"/>
  <c r="J79" s="1"/>
  <c r="H78"/>
  <c r="F78"/>
  <c r="J78" s="1"/>
  <c r="M20" i="1" s="1"/>
  <c r="H77" i="67"/>
  <c r="H76"/>
  <c r="G76"/>
  <c r="F76"/>
  <c r="J76" s="1"/>
  <c r="H75"/>
  <c r="G75"/>
  <c r="F75"/>
  <c r="J75" s="1"/>
  <c r="H74"/>
  <c r="F74"/>
  <c r="J74" s="1"/>
  <c r="E74"/>
  <c r="H73"/>
  <c r="F73"/>
  <c r="J73" s="1"/>
  <c r="J72"/>
  <c r="H72"/>
  <c r="G72"/>
  <c r="F72"/>
  <c r="E72"/>
  <c r="H71"/>
  <c r="H70"/>
  <c r="H69"/>
  <c r="G69"/>
  <c r="F69"/>
  <c r="J69" s="1"/>
  <c r="M17" i="1" s="1"/>
  <c r="E69" i="67"/>
  <c r="J68"/>
  <c r="H68"/>
  <c r="G68"/>
  <c r="F68"/>
  <c r="J67"/>
  <c r="H67"/>
  <c r="F67"/>
  <c r="E67"/>
  <c r="J66"/>
  <c r="H66"/>
  <c r="F66"/>
  <c r="E66"/>
  <c r="H65"/>
  <c r="F65"/>
  <c r="J65" s="1"/>
  <c r="J64"/>
  <c r="M16" i="1" s="1"/>
  <c r="H64" i="67"/>
  <c r="F64"/>
  <c r="H63"/>
  <c r="G63"/>
  <c r="F63"/>
  <c r="J63" s="1"/>
  <c r="E63"/>
  <c r="I63" s="1"/>
  <c r="J62"/>
  <c r="H62"/>
  <c r="G62"/>
  <c r="F62"/>
  <c r="E62"/>
  <c r="H61"/>
  <c r="F61"/>
  <c r="J61" s="1"/>
  <c r="H60"/>
  <c r="F60"/>
  <c r="J60" s="1"/>
  <c r="H59"/>
  <c r="G59"/>
  <c r="F59"/>
  <c r="J59" s="1"/>
  <c r="E59"/>
  <c r="H58"/>
  <c r="G58"/>
  <c r="F58"/>
  <c r="J58" s="1"/>
  <c r="H57"/>
  <c r="G57"/>
  <c r="H56"/>
  <c r="G56"/>
  <c r="F56"/>
  <c r="J56" s="1"/>
  <c r="E56"/>
  <c r="J55"/>
  <c r="H55"/>
  <c r="F55"/>
  <c r="H54"/>
  <c r="G54"/>
  <c r="F54"/>
  <c r="J54" s="1"/>
  <c r="H53"/>
  <c r="H52"/>
  <c r="F52"/>
  <c r="J52" s="1"/>
  <c r="M15" i="1" s="1"/>
  <c r="H51" i="67"/>
  <c r="J50"/>
  <c r="H50"/>
  <c r="F50"/>
  <c r="E50"/>
  <c r="H49"/>
  <c r="F49"/>
  <c r="J49" s="1"/>
  <c r="E49"/>
  <c r="H48"/>
  <c r="G48"/>
  <c r="F48"/>
  <c r="J48" s="1"/>
  <c r="H47"/>
  <c r="G47"/>
  <c r="F47"/>
  <c r="J47" s="1"/>
  <c r="H46"/>
  <c r="G46"/>
  <c r="F46"/>
  <c r="J46" s="1"/>
  <c r="E46"/>
  <c r="J45"/>
  <c r="M13" i="1" s="1"/>
  <c r="H45" i="67"/>
  <c r="F45"/>
  <c r="J44"/>
  <c r="H44"/>
  <c r="G44"/>
  <c r="F44"/>
  <c r="J43"/>
  <c r="H43"/>
  <c r="F43"/>
  <c r="J42"/>
  <c r="M12" i="1" s="1"/>
  <c r="H42" i="67"/>
  <c r="F42"/>
  <c r="J41"/>
  <c r="H41"/>
  <c r="G41"/>
  <c r="F41"/>
  <c r="J40"/>
  <c r="H40"/>
  <c r="G40"/>
  <c r="F40"/>
  <c r="H39"/>
  <c r="H38"/>
  <c r="F38"/>
  <c r="J38" s="1"/>
  <c r="M10" i="1" s="1"/>
  <c r="H37" i="67"/>
  <c r="F37"/>
  <c r="J37" s="1"/>
  <c r="E37"/>
  <c r="H36"/>
  <c r="G36"/>
  <c r="F36"/>
  <c r="J36" s="1"/>
  <c r="H35"/>
  <c r="G35"/>
  <c r="F35"/>
  <c r="J35" s="1"/>
  <c r="H34"/>
  <c r="G34"/>
  <c r="F34"/>
  <c r="J34" s="1"/>
  <c r="H33"/>
  <c r="F33"/>
  <c r="J33" s="1"/>
  <c r="M9" i="1" s="1"/>
  <c r="H32" i="67"/>
  <c r="G32"/>
  <c r="F32"/>
  <c r="J32" s="1"/>
  <c r="E32"/>
  <c r="H31"/>
  <c r="G31"/>
  <c r="F31"/>
  <c r="J31" s="1"/>
  <c r="H30"/>
  <c r="H29"/>
  <c r="G29"/>
  <c r="F29"/>
  <c r="J29" s="1"/>
  <c r="E29"/>
  <c r="H28"/>
  <c r="G28"/>
  <c r="F28"/>
  <c r="J28" s="1"/>
  <c r="E28"/>
  <c r="H27"/>
  <c r="G27"/>
  <c r="F27"/>
  <c r="J27" s="1"/>
  <c r="E27"/>
  <c r="J26"/>
  <c r="H26"/>
  <c r="G26"/>
  <c r="F26"/>
  <c r="E26"/>
  <c r="H25"/>
  <c r="F25"/>
  <c r="J25" s="1"/>
  <c r="H24"/>
  <c r="G24"/>
  <c r="F24"/>
  <c r="J24" s="1"/>
  <c r="H23"/>
  <c r="G23"/>
  <c r="F23"/>
  <c r="J23" s="1"/>
  <c r="H22"/>
  <c r="G22"/>
  <c r="F22"/>
  <c r="J22" s="1"/>
  <c r="H21"/>
  <c r="F21"/>
  <c r="J21" s="1"/>
  <c r="E21"/>
  <c r="H20"/>
  <c r="G20"/>
  <c r="F20"/>
  <c r="J20" s="1"/>
  <c r="H19"/>
  <c r="G19"/>
  <c r="F19"/>
  <c r="J19" s="1"/>
  <c r="H18"/>
  <c r="F18"/>
  <c r="J18" s="1"/>
  <c r="H17"/>
  <c r="G17"/>
  <c r="F17"/>
  <c r="H16"/>
  <c r="F16"/>
  <c r="E16"/>
  <c r="H15"/>
  <c r="G15"/>
  <c r="F15"/>
  <c r="J15" s="1"/>
  <c r="H14"/>
  <c r="G14"/>
  <c r="F14"/>
  <c r="H13"/>
  <c r="G13"/>
  <c r="F13"/>
  <c r="H12"/>
  <c r="F12"/>
  <c r="E12"/>
  <c r="H11"/>
  <c r="G11"/>
  <c r="F11"/>
  <c r="J11" s="1"/>
  <c r="H10"/>
  <c r="G5"/>
  <c r="E5"/>
  <c r="B4"/>
  <c r="M3"/>
  <c r="AH61" i="76" s="1"/>
  <c r="N59" i="80" s="1"/>
  <c r="L3" i="67"/>
  <c r="K3"/>
  <c r="R61" i="76" s="1"/>
  <c r="I3" i="67"/>
  <c r="AF61" i="76" s="1"/>
  <c r="H3" i="67"/>
  <c r="AD61" i="76" s="1"/>
  <c r="L59" i="80" s="1"/>
  <c r="G3" i="67"/>
  <c r="Z61" i="76" s="1"/>
  <c r="J59" i="80" s="1"/>
  <c r="E3" i="67"/>
  <c r="H61" i="76" s="1"/>
  <c r="B3" i="67"/>
  <c r="A2"/>
  <c r="I59" i="1"/>
  <c r="H59"/>
  <c r="G59"/>
  <c r="F59"/>
  <c r="E59"/>
  <c r="D59"/>
  <c r="C58"/>
  <c r="B58"/>
  <c r="A58"/>
  <c r="C57"/>
  <c r="B57"/>
  <c r="A57"/>
  <c r="C56"/>
  <c r="B56"/>
  <c r="A56"/>
  <c r="C55"/>
  <c r="B55"/>
  <c r="A55"/>
  <c r="C54"/>
  <c r="B54"/>
  <c r="A54"/>
  <c r="L53"/>
  <c r="C53"/>
  <c r="B53"/>
  <c r="A53"/>
  <c r="C52"/>
  <c r="B52"/>
  <c r="A52"/>
  <c r="C51"/>
  <c r="B51"/>
  <c r="A51"/>
  <c r="C50"/>
  <c r="B50"/>
  <c r="A50"/>
  <c r="C49"/>
  <c r="B49"/>
  <c r="A49"/>
  <c r="C48"/>
  <c r="B48"/>
  <c r="A48"/>
  <c r="C47"/>
  <c r="B47"/>
  <c r="A47"/>
  <c r="C46"/>
  <c r="B46"/>
  <c r="A46"/>
  <c r="C45"/>
  <c r="B45"/>
  <c r="A45"/>
  <c r="C44"/>
  <c r="B44"/>
  <c r="A44"/>
  <c r="C43"/>
  <c r="B43"/>
  <c r="A43"/>
  <c r="C42"/>
  <c r="B42"/>
  <c r="A42"/>
  <c r="C41"/>
  <c r="A41"/>
  <c r="C40"/>
  <c r="B40"/>
  <c r="A40"/>
  <c r="C39"/>
  <c r="B39"/>
  <c r="A39"/>
  <c r="C38"/>
  <c r="B38"/>
  <c r="A38"/>
  <c r="C37"/>
  <c r="B37"/>
  <c r="A37"/>
  <c r="C36"/>
  <c r="B36"/>
  <c r="A36"/>
  <c r="C35"/>
  <c r="B35"/>
  <c r="A35"/>
  <c r="C34"/>
  <c r="B34"/>
  <c r="A34"/>
  <c r="C33"/>
  <c r="B33"/>
  <c r="A33"/>
  <c r="M32"/>
  <c r="C32"/>
  <c r="B32"/>
  <c r="A32"/>
  <c r="L31"/>
  <c r="C31"/>
  <c r="B31"/>
  <c r="A31"/>
  <c r="L30"/>
  <c r="C30"/>
  <c r="B30"/>
  <c r="A30"/>
  <c r="C29"/>
  <c r="B29"/>
  <c r="A29"/>
  <c r="C28"/>
  <c r="B28"/>
  <c r="A28"/>
  <c r="C27"/>
  <c r="B27"/>
  <c r="A27"/>
  <c r="C26"/>
  <c r="B26"/>
  <c r="A26"/>
  <c r="C25"/>
  <c r="B25"/>
  <c r="A25"/>
  <c r="C24"/>
  <c r="B24"/>
  <c r="A24"/>
  <c r="C23"/>
  <c r="B23"/>
  <c r="A23"/>
  <c r="C22"/>
  <c r="B22"/>
  <c r="A22"/>
  <c r="C21"/>
  <c r="B21"/>
  <c r="A21"/>
  <c r="C20"/>
  <c r="B20"/>
  <c r="A20"/>
  <c r="C19"/>
  <c r="B19"/>
  <c r="A19"/>
  <c r="L18"/>
  <c r="C18"/>
  <c r="B18"/>
  <c r="A18"/>
  <c r="B17"/>
  <c r="A17"/>
  <c r="C16"/>
  <c r="B16"/>
  <c r="A16"/>
  <c r="C15"/>
  <c r="B15"/>
  <c r="A15"/>
  <c r="C14"/>
  <c r="B14"/>
  <c r="A14"/>
  <c r="C13"/>
  <c r="B13"/>
  <c r="A13"/>
  <c r="C12"/>
  <c r="B12"/>
  <c r="A12"/>
  <c r="C11"/>
  <c r="B11"/>
  <c r="A11"/>
  <c r="C10"/>
  <c r="B10"/>
  <c r="A10"/>
  <c r="C9"/>
  <c r="B9"/>
  <c r="A9"/>
  <c r="C8"/>
  <c r="B8"/>
  <c r="A8"/>
  <c r="C7"/>
  <c r="B7"/>
  <c r="A7"/>
  <c r="C6"/>
  <c r="B6"/>
  <c r="A6"/>
  <c r="C1"/>
  <c r="A1"/>
  <c r="X61" i="76"/>
  <c r="AN60"/>
  <c r="R58" i="80" s="1"/>
  <c r="AL60" i="76"/>
  <c r="AJ60"/>
  <c r="P58" i="80" s="1"/>
  <c r="AH60" i="76"/>
  <c r="N58" i="80" s="1"/>
  <c r="AF60" i="76"/>
  <c r="L58" i="80" s="1"/>
  <c r="AD60" i="76"/>
  <c r="AB60"/>
  <c r="Z60"/>
  <c r="X60"/>
  <c r="V60"/>
  <c r="T60"/>
  <c r="R60"/>
  <c r="P60"/>
  <c r="N60"/>
  <c r="L60"/>
  <c r="J60"/>
  <c r="H60"/>
  <c r="X59"/>
  <c r="T59"/>
  <c r="T7" s="1"/>
  <c r="N59"/>
  <c r="N7" s="1"/>
  <c r="AH58"/>
  <c r="N56" i="80" s="1"/>
  <c r="AN57" i="76"/>
  <c r="AM57"/>
  <c r="AL57"/>
  <c r="AK57"/>
  <c r="AJ57"/>
  <c r="AI57"/>
  <c r="AH57"/>
  <c r="AG57"/>
  <c r="M55" i="80" s="1"/>
  <c r="AF57" i="76"/>
  <c r="L55" i="80" s="1"/>
  <c r="AE57" i="76"/>
  <c r="AD57"/>
  <c r="AC57"/>
  <c r="AB57"/>
  <c r="AA57"/>
  <c r="X57"/>
  <c r="W57"/>
  <c r="V57"/>
  <c r="U57"/>
  <c r="T57"/>
  <c r="S57"/>
  <c r="P57"/>
  <c r="O57"/>
  <c r="N57"/>
  <c r="M57"/>
  <c r="L57"/>
  <c r="J57"/>
  <c r="I57"/>
  <c r="H57"/>
  <c r="G57"/>
  <c r="F57"/>
  <c r="E57"/>
  <c r="AN56"/>
  <c r="AM56"/>
  <c r="AL56"/>
  <c r="AK56"/>
  <c r="AJ56"/>
  <c r="AI56"/>
  <c r="AH56"/>
  <c r="AG56"/>
  <c r="M54" i="80" s="1"/>
  <c r="AD56" i="76"/>
  <c r="AC56"/>
  <c r="AB56"/>
  <c r="AA56"/>
  <c r="V56"/>
  <c r="U56"/>
  <c r="T56"/>
  <c r="S56"/>
  <c r="N56"/>
  <c r="M56"/>
  <c r="L56"/>
  <c r="K56"/>
  <c r="J56"/>
  <c r="I56"/>
  <c r="H56"/>
  <c r="G56"/>
  <c r="F56"/>
  <c r="E56"/>
  <c r="AN55"/>
  <c r="AM55"/>
  <c r="AL55"/>
  <c r="AK55"/>
  <c r="AJ55"/>
  <c r="AI55"/>
  <c r="AH55"/>
  <c r="AG55"/>
  <c r="M53" i="80" s="1"/>
  <c r="AD55" i="76"/>
  <c r="AC55"/>
  <c r="AB55"/>
  <c r="AA55"/>
  <c r="Z55"/>
  <c r="Y55"/>
  <c r="X55"/>
  <c r="W55"/>
  <c r="V55"/>
  <c r="U55"/>
  <c r="T55"/>
  <c r="S55"/>
  <c r="N55"/>
  <c r="M55"/>
  <c r="L55"/>
  <c r="K55"/>
  <c r="J55"/>
  <c r="I55"/>
  <c r="H55"/>
  <c r="G55"/>
  <c r="AN54"/>
  <c r="AM54"/>
  <c r="AL54"/>
  <c r="AK54"/>
  <c r="AJ54"/>
  <c r="AI54"/>
  <c r="AH54"/>
  <c r="N52" i="80" s="1"/>
  <c r="AG54" i="76"/>
  <c r="M52" i="80" s="1"/>
  <c r="AD54" i="76"/>
  <c r="AC54"/>
  <c r="AB54"/>
  <c r="AA54"/>
  <c r="X54"/>
  <c r="W54"/>
  <c r="V54"/>
  <c r="U54"/>
  <c r="T54"/>
  <c r="S54"/>
  <c r="R54"/>
  <c r="N54"/>
  <c r="M54"/>
  <c r="J54"/>
  <c r="I54"/>
  <c r="H54"/>
  <c r="G54"/>
  <c r="AN53"/>
  <c r="AM53"/>
  <c r="AL53"/>
  <c r="AK53"/>
  <c r="AJ53"/>
  <c r="AI53"/>
  <c r="AH53"/>
  <c r="AG53"/>
  <c r="AF53"/>
  <c r="L51" i="80" s="1"/>
  <c r="AE53" i="76"/>
  <c r="K51" i="80" s="1"/>
  <c r="AD53" i="76"/>
  <c r="AC53"/>
  <c r="AB53"/>
  <c r="AA53"/>
  <c r="X53"/>
  <c r="W53"/>
  <c r="V53"/>
  <c r="U53"/>
  <c r="T53"/>
  <c r="S53"/>
  <c r="N53"/>
  <c r="M53"/>
  <c r="L53"/>
  <c r="J53"/>
  <c r="I53"/>
  <c r="H53"/>
  <c r="G53"/>
  <c r="F53"/>
  <c r="E53"/>
  <c r="AN52"/>
  <c r="AM52"/>
  <c r="AL52"/>
  <c r="AK52"/>
  <c r="AJ52"/>
  <c r="P50" i="80" s="1"/>
  <c r="AH52" i="76"/>
  <c r="AG52"/>
  <c r="AD52"/>
  <c r="AC52"/>
  <c r="AB52"/>
  <c r="AA52"/>
  <c r="Z52"/>
  <c r="Y52"/>
  <c r="X52"/>
  <c r="W52"/>
  <c r="V52"/>
  <c r="U52"/>
  <c r="T52"/>
  <c r="S52"/>
  <c r="N52"/>
  <c r="M52"/>
  <c r="H52"/>
  <c r="G52"/>
  <c r="F52"/>
  <c r="E52"/>
  <c r="AN51"/>
  <c r="AM51"/>
  <c r="AL51"/>
  <c r="AK51"/>
  <c r="AJ51"/>
  <c r="AI51"/>
  <c r="AH51"/>
  <c r="AG51"/>
  <c r="AD51"/>
  <c r="AC51"/>
  <c r="AB51"/>
  <c r="AA51"/>
  <c r="X51"/>
  <c r="H49" i="80" s="1"/>
  <c r="V51" i="76"/>
  <c r="U51"/>
  <c r="T51"/>
  <c r="S51"/>
  <c r="N51"/>
  <c r="M51"/>
  <c r="L51"/>
  <c r="K51"/>
  <c r="J51"/>
  <c r="I51"/>
  <c r="H51"/>
  <c r="G51"/>
  <c r="AN50"/>
  <c r="AM50"/>
  <c r="AL50"/>
  <c r="AK50"/>
  <c r="AH50"/>
  <c r="N48" i="80" s="1"/>
  <c r="AG50" i="76"/>
  <c r="M48" i="80" s="1"/>
  <c r="AD50" i="76"/>
  <c r="AC50"/>
  <c r="AB50"/>
  <c r="AA50"/>
  <c r="V50"/>
  <c r="U50"/>
  <c r="T50"/>
  <c r="S50"/>
  <c r="P50"/>
  <c r="L50"/>
  <c r="J50"/>
  <c r="I50"/>
  <c r="AN49"/>
  <c r="AM49"/>
  <c r="AL49"/>
  <c r="AK49"/>
  <c r="AH49"/>
  <c r="AG49"/>
  <c r="M47" i="80" s="1"/>
  <c r="AD49" i="76"/>
  <c r="AC49"/>
  <c r="AB49"/>
  <c r="AA49"/>
  <c r="X49"/>
  <c r="W49"/>
  <c r="V49"/>
  <c r="U49"/>
  <c r="T49"/>
  <c r="S49"/>
  <c r="N49"/>
  <c r="M49"/>
  <c r="L49"/>
  <c r="K49"/>
  <c r="F49"/>
  <c r="E49"/>
  <c r="AN48"/>
  <c r="AM48"/>
  <c r="AL48"/>
  <c r="AK48"/>
  <c r="AJ48"/>
  <c r="P46" i="80" s="1"/>
  <c r="AH48" i="76"/>
  <c r="N46" i="80" s="1"/>
  <c r="AG48" i="76"/>
  <c r="AF48"/>
  <c r="L46" i="80" s="1"/>
  <c r="AD48" i="76"/>
  <c r="AC48"/>
  <c r="AB48"/>
  <c r="AA48"/>
  <c r="X48"/>
  <c r="W48"/>
  <c r="V48"/>
  <c r="U48"/>
  <c r="T48"/>
  <c r="S48"/>
  <c r="N48"/>
  <c r="M48"/>
  <c r="J48"/>
  <c r="I48"/>
  <c r="F48"/>
  <c r="E48"/>
  <c r="AN47"/>
  <c r="AM47"/>
  <c r="AL47"/>
  <c r="AK47"/>
  <c r="AJ47"/>
  <c r="AI47"/>
  <c r="AH47"/>
  <c r="N45" i="80" s="1"/>
  <c r="AG47" i="76"/>
  <c r="AD47"/>
  <c r="AC47"/>
  <c r="AB47"/>
  <c r="AA47"/>
  <c r="V47"/>
  <c r="U47"/>
  <c r="T47"/>
  <c r="S47"/>
  <c r="L47"/>
  <c r="F47"/>
  <c r="E47"/>
  <c r="AN46"/>
  <c r="AM46"/>
  <c r="AJ46"/>
  <c r="AH46"/>
  <c r="N44" i="80" s="1"/>
  <c r="AG46" i="76"/>
  <c r="M44" i="80" s="1"/>
  <c r="AD46" i="76"/>
  <c r="AC46"/>
  <c r="AB46"/>
  <c r="AA46"/>
  <c r="X46"/>
  <c r="H44" i="80" s="1"/>
  <c r="V46" i="76"/>
  <c r="U46"/>
  <c r="T46"/>
  <c r="S46"/>
  <c r="N46"/>
  <c r="M46"/>
  <c r="L46"/>
  <c r="J46"/>
  <c r="I46"/>
  <c r="F46"/>
  <c r="E46"/>
  <c r="AH45"/>
  <c r="N43" i="80" s="1"/>
  <c r="AN44" i="76"/>
  <c r="AM44"/>
  <c r="AL44"/>
  <c r="AK44"/>
  <c r="AJ44"/>
  <c r="AI44"/>
  <c r="AH44"/>
  <c r="N42" i="80" s="1"/>
  <c r="AG44" i="76"/>
  <c r="M42" i="80" s="1"/>
  <c r="AD44" i="76"/>
  <c r="AC44"/>
  <c r="AB44"/>
  <c r="AA44"/>
  <c r="X44"/>
  <c r="W44"/>
  <c r="V44"/>
  <c r="U44"/>
  <c r="T44"/>
  <c r="S44"/>
  <c r="N44"/>
  <c r="M44"/>
  <c r="L44"/>
  <c r="K44"/>
  <c r="J44"/>
  <c r="I44"/>
  <c r="H44"/>
  <c r="G44"/>
  <c r="F44"/>
  <c r="E44"/>
  <c r="AN43"/>
  <c r="AM43"/>
  <c r="AL43"/>
  <c r="AK43"/>
  <c r="AJ43"/>
  <c r="AI43"/>
  <c r="AH43"/>
  <c r="N41" i="80" s="1"/>
  <c r="AG43" i="76"/>
  <c r="M41" i="80" s="1"/>
  <c r="AD43" i="76"/>
  <c r="AC43"/>
  <c r="AB43"/>
  <c r="AA43"/>
  <c r="X43"/>
  <c r="W43"/>
  <c r="V43"/>
  <c r="U43"/>
  <c r="T43"/>
  <c r="S43"/>
  <c r="N43"/>
  <c r="M43"/>
  <c r="L43"/>
  <c r="K43"/>
  <c r="J43"/>
  <c r="I43"/>
  <c r="H43"/>
  <c r="G43"/>
  <c r="F43"/>
  <c r="E43"/>
  <c r="AN42"/>
  <c r="AM42"/>
  <c r="AL42"/>
  <c r="AK42"/>
  <c r="AJ42"/>
  <c r="AI42"/>
  <c r="AH42"/>
  <c r="N40" i="80" s="1"/>
  <c r="AG42" i="76"/>
  <c r="M40" i="80" s="1"/>
  <c r="AD42" i="76"/>
  <c r="AC42"/>
  <c r="AB42"/>
  <c r="V42"/>
  <c r="U42"/>
  <c r="T42"/>
  <c r="S42"/>
  <c r="N42"/>
  <c r="M42"/>
  <c r="L42"/>
  <c r="K42"/>
  <c r="AN41"/>
  <c r="AM41"/>
  <c r="AL41"/>
  <c r="AK41"/>
  <c r="AH41"/>
  <c r="N39" i="80" s="1"/>
  <c r="AG41" i="76"/>
  <c r="M39" i="80" s="1"/>
  <c r="AD41" i="76"/>
  <c r="AC41"/>
  <c r="V41"/>
  <c r="U41"/>
  <c r="T41"/>
  <c r="S41"/>
  <c r="AN40"/>
  <c r="AM40"/>
  <c r="AL40"/>
  <c r="AK40"/>
  <c r="AH40"/>
  <c r="N38" i="80" s="1"/>
  <c r="AG40" i="76"/>
  <c r="M38" i="80" s="1"/>
  <c r="AD40" i="76"/>
  <c r="AC40"/>
  <c r="AB40"/>
  <c r="AA40"/>
  <c r="X40"/>
  <c r="H38" i="80" s="1"/>
  <c r="V40" i="76"/>
  <c r="U40"/>
  <c r="T40"/>
  <c r="S40"/>
  <c r="N40"/>
  <c r="M40"/>
  <c r="L40"/>
  <c r="K40"/>
  <c r="AN39"/>
  <c r="AM39"/>
  <c r="AL39"/>
  <c r="AK39"/>
  <c r="AH39"/>
  <c r="N37" i="80" s="1"/>
  <c r="AG39" i="76"/>
  <c r="AD39"/>
  <c r="AC39"/>
  <c r="V39"/>
  <c r="U39"/>
  <c r="T39"/>
  <c r="S39"/>
  <c r="N39"/>
  <c r="M39"/>
  <c r="AN38"/>
  <c r="AM38"/>
  <c r="AL38"/>
  <c r="AK38"/>
  <c r="AH38"/>
  <c r="AG38"/>
  <c r="AD38"/>
  <c r="AC38"/>
  <c r="AB38"/>
  <c r="AA38"/>
  <c r="X38"/>
  <c r="W38"/>
  <c r="V38"/>
  <c r="U38"/>
  <c r="T38"/>
  <c r="S38"/>
  <c r="P38"/>
  <c r="O38"/>
  <c r="N38"/>
  <c r="M38"/>
  <c r="L38"/>
  <c r="K38"/>
  <c r="H38"/>
  <c r="G38"/>
  <c r="F38"/>
  <c r="E38"/>
  <c r="AN37"/>
  <c r="AM37"/>
  <c r="AD37"/>
  <c r="AC37"/>
  <c r="AB37"/>
  <c r="V37"/>
  <c r="U37"/>
  <c r="P37"/>
  <c r="O37"/>
  <c r="N37"/>
  <c r="M37"/>
  <c r="L37"/>
  <c r="K37"/>
  <c r="AN36"/>
  <c r="AM36"/>
  <c r="AL36"/>
  <c r="AK36"/>
  <c r="AJ36"/>
  <c r="AI36"/>
  <c r="AH36"/>
  <c r="AG36"/>
  <c r="AD36"/>
  <c r="AC36"/>
  <c r="AB36"/>
  <c r="AA36"/>
  <c r="X36"/>
  <c r="W36"/>
  <c r="V36"/>
  <c r="U36"/>
  <c r="T36"/>
  <c r="S36"/>
  <c r="R36"/>
  <c r="Q36"/>
  <c r="P36"/>
  <c r="O36"/>
  <c r="N36"/>
  <c r="M36"/>
  <c r="L36"/>
  <c r="K36"/>
  <c r="J36"/>
  <c r="I36"/>
  <c r="H36"/>
  <c r="G36"/>
  <c r="F36"/>
  <c r="E36"/>
  <c r="E34" i="80" s="1"/>
  <c r="AN35" i="76"/>
  <c r="AM35"/>
  <c r="AJ35"/>
  <c r="AI35"/>
  <c r="AH35"/>
  <c r="N33" i="80" s="1"/>
  <c r="AG35" i="76"/>
  <c r="M33" i="80" s="1"/>
  <c r="AD35" i="76"/>
  <c r="AC35"/>
  <c r="AB35"/>
  <c r="AA35"/>
  <c r="X35"/>
  <c r="W35"/>
  <c r="V35"/>
  <c r="U35"/>
  <c r="T35"/>
  <c r="S35"/>
  <c r="N35"/>
  <c r="M35"/>
  <c r="L35"/>
  <c r="J35"/>
  <c r="I35"/>
  <c r="AN34"/>
  <c r="AM34"/>
  <c r="AJ34"/>
  <c r="AI34"/>
  <c r="AD34"/>
  <c r="AC34"/>
  <c r="AB34"/>
  <c r="X34"/>
  <c r="W34"/>
  <c r="V34"/>
  <c r="U34"/>
  <c r="T34"/>
  <c r="S34"/>
  <c r="P34"/>
  <c r="O34"/>
  <c r="N34"/>
  <c r="M34"/>
  <c r="L34"/>
  <c r="K34"/>
  <c r="J34"/>
  <c r="I34"/>
  <c r="H34"/>
  <c r="G34"/>
  <c r="F34"/>
  <c r="E34"/>
  <c r="AL33"/>
  <c r="AK33"/>
  <c r="AJ33"/>
  <c r="AI33"/>
  <c r="AH33"/>
  <c r="N31" i="80" s="1"/>
  <c r="AG33" i="76"/>
  <c r="M31" i="80" s="1"/>
  <c r="AF33" i="76"/>
  <c r="AE33"/>
  <c r="K31" i="80" s="1"/>
  <c r="AD33" i="76"/>
  <c r="AC33"/>
  <c r="AB33"/>
  <c r="AA33"/>
  <c r="Z33"/>
  <c r="Y33"/>
  <c r="X33"/>
  <c r="W33"/>
  <c r="V33"/>
  <c r="U33"/>
  <c r="T33"/>
  <c r="S33"/>
  <c r="R33"/>
  <c r="Q33"/>
  <c r="P33"/>
  <c r="O33"/>
  <c r="N33"/>
  <c r="M33"/>
  <c r="L33"/>
  <c r="K33"/>
  <c r="J33"/>
  <c r="I33"/>
  <c r="H33"/>
  <c r="G33"/>
  <c r="F33"/>
  <c r="E33"/>
  <c r="AN32"/>
  <c r="AM32"/>
  <c r="AL32"/>
  <c r="AK32"/>
  <c r="AJ32"/>
  <c r="AI32"/>
  <c r="AF32"/>
  <c r="L30" i="80" s="1"/>
  <c r="AE32" i="76"/>
  <c r="AD32"/>
  <c r="AC32"/>
  <c r="AB32"/>
  <c r="AA32"/>
  <c r="Z32"/>
  <c r="Y32"/>
  <c r="X32"/>
  <c r="W32"/>
  <c r="V32"/>
  <c r="U32"/>
  <c r="T32"/>
  <c r="S32"/>
  <c r="R32"/>
  <c r="Q32"/>
  <c r="P32"/>
  <c r="O32"/>
  <c r="N32"/>
  <c r="M32"/>
  <c r="L32"/>
  <c r="K32"/>
  <c r="J32"/>
  <c r="I32"/>
  <c r="H32"/>
  <c r="G32"/>
  <c r="F32"/>
  <c r="F30" i="80" s="1"/>
  <c r="E32" i="76"/>
  <c r="E30" i="80" s="1"/>
  <c r="AN31" i="76"/>
  <c r="AM31"/>
  <c r="AL31"/>
  <c r="AK31"/>
  <c r="AJ31"/>
  <c r="AI31"/>
  <c r="AH31"/>
  <c r="N29" i="80" s="1"/>
  <c r="AG31" i="76"/>
  <c r="M29" i="80" s="1"/>
  <c r="AF31" i="76"/>
  <c r="AE31"/>
  <c r="K29" i="80" s="1"/>
  <c r="AD31" i="76"/>
  <c r="AC31"/>
  <c r="AB31"/>
  <c r="AA31"/>
  <c r="Z31"/>
  <c r="Y31"/>
  <c r="X31"/>
  <c r="W31"/>
  <c r="V31"/>
  <c r="U31"/>
  <c r="T31"/>
  <c r="S31"/>
  <c r="R31"/>
  <c r="Q31"/>
  <c r="P31"/>
  <c r="O31"/>
  <c r="N31"/>
  <c r="M31"/>
  <c r="L31"/>
  <c r="K31"/>
  <c r="J31"/>
  <c r="I31"/>
  <c r="H31"/>
  <c r="G31"/>
  <c r="F31"/>
  <c r="F29" i="80" s="1"/>
  <c r="E31" i="76"/>
  <c r="E29" i="80" s="1"/>
  <c r="AN30" i="76"/>
  <c r="AM30"/>
  <c r="AL30"/>
  <c r="P28" i="80" s="1"/>
  <c r="AJ30" i="76"/>
  <c r="AI30"/>
  <c r="AH30"/>
  <c r="AG30"/>
  <c r="Z30"/>
  <c r="Y30"/>
  <c r="X30"/>
  <c r="W30"/>
  <c r="V30"/>
  <c r="U30"/>
  <c r="T30"/>
  <c r="S30"/>
  <c r="R30"/>
  <c r="Q30"/>
  <c r="P30"/>
  <c r="O30"/>
  <c r="N30"/>
  <c r="M30"/>
  <c r="L30"/>
  <c r="K30"/>
  <c r="J30"/>
  <c r="I30"/>
  <c r="H30"/>
  <c r="G30"/>
  <c r="F30"/>
  <c r="F28" i="80" s="1"/>
  <c r="E30" i="76"/>
  <c r="AN29"/>
  <c r="AM29"/>
  <c r="AL29"/>
  <c r="AK29"/>
  <c r="AJ29"/>
  <c r="AI29"/>
  <c r="AH29"/>
  <c r="N27" i="80" s="1"/>
  <c r="AG29" i="76"/>
  <c r="M27" i="80" s="1"/>
  <c r="AF29" i="76"/>
  <c r="L27" i="80" s="1"/>
  <c r="AE29" i="76"/>
  <c r="AD29"/>
  <c r="AC29"/>
  <c r="AB29"/>
  <c r="AA29"/>
  <c r="X29"/>
  <c r="W29"/>
  <c r="V29"/>
  <c r="U29"/>
  <c r="T29"/>
  <c r="S29"/>
  <c r="R29"/>
  <c r="Q29"/>
  <c r="P29"/>
  <c r="N29"/>
  <c r="M29"/>
  <c r="L29"/>
  <c r="K29"/>
  <c r="J29"/>
  <c r="I29"/>
  <c r="H29"/>
  <c r="G29"/>
  <c r="F29"/>
  <c r="E29"/>
  <c r="AN28"/>
  <c r="AM28"/>
  <c r="AL28"/>
  <c r="AK28"/>
  <c r="AJ28"/>
  <c r="AI28"/>
  <c r="AH28"/>
  <c r="AG28"/>
  <c r="M26" i="80" s="1"/>
  <c r="AF28" i="76"/>
  <c r="L26" i="80" s="1"/>
  <c r="AE28" i="76"/>
  <c r="K26" i="80" s="1"/>
  <c r="AD28" i="76"/>
  <c r="AC28"/>
  <c r="AB28"/>
  <c r="AA28"/>
  <c r="X28"/>
  <c r="W28"/>
  <c r="V28"/>
  <c r="U28"/>
  <c r="T28"/>
  <c r="S28"/>
  <c r="R28"/>
  <c r="Q28"/>
  <c r="P28"/>
  <c r="O28"/>
  <c r="N28"/>
  <c r="M28"/>
  <c r="L28"/>
  <c r="K28"/>
  <c r="J28"/>
  <c r="I28"/>
  <c r="H28"/>
  <c r="G28"/>
  <c r="F28"/>
  <c r="F26" i="80" s="1"/>
  <c r="E28" i="76"/>
  <c r="AN27"/>
  <c r="AM27"/>
  <c r="AL27"/>
  <c r="AK27"/>
  <c r="AJ27"/>
  <c r="AI27"/>
  <c r="AH27"/>
  <c r="N25" i="80" s="1"/>
  <c r="AG27" i="76"/>
  <c r="AF27"/>
  <c r="AE27"/>
  <c r="K25" i="80" s="1"/>
  <c r="AD27" i="76"/>
  <c r="AC27"/>
  <c r="AB27"/>
  <c r="AA27"/>
  <c r="Z27"/>
  <c r="Y27"/>
  <c r="X27"/>
  <c r="W27"/>
  <c r="V27"/>
  <c r="U27"/>
  <c r="T27"/>
  <c r="S27"/>
  <c r="R27"/>
  <c r="Q27"/>
  <c r="P27"/>
  <c r="O27"/>
  <c r="N27"/>
  <c r="M27"/>
  <c r="L27"/>
  <c r="K27"/>
  <c r="J27"/>
  <c r="I27"/>
  <c r="H27"/>
  <c r="G27"/>
  <c r="F27"/>
  <c r="F25" i="80" s="1"/>
  <c r="E27" i="76"/>
  <c r="AN26"/>
  <c r="AM26"/>
  <c r="AL26"/>
  <c r="AK26"/>
  <c r="AJ26"/>
  <c r="AI26"/>
  <c r="AH26"/>
  <c r="AG26"/>
  <c r="AF26"/>
  <c r="AE26"/>
  <c r="K24" i="80" s="1"/>
  <c r="AD26" i="76"/>
  <c r="AC26"/>
  <c r="AB26"/>
  <c r="AA26"/>
  <c r="Z26"/>
  <c r="Y26"/>
  <c r="X26"/>
  <c r="W26"/>
  <c r="V26"/>
  <c r="T26"/>
  <c r="S26"/>
  <c r="R26"/>
  <c r="Q26"/>
  <c r="P26"/>
  <c r="O26"/>
  <c r="N26"/>
  <c r="M26"/>
  <c r="L26"/>
  <c r="K26"/>
  <c r="J26"/>
  <c r="I26"/>
  <c r="H26"/>
  <c r="G26"/>
  <c r="F26"/>
  <c r="F24" i="80" s="1"/>
  <c r="E26" i="76"/>
  <c r="AN25"/>
  <c r="AM25"/>
  <c r="AL25"/>
  <c r="AK25"/>
  <c r="AJ25"/>
  <c r="AI25"/>
  <c r="AH25"/>
  <c r="N23" i="80" s="1"/>
  <c r="AG25" i="76"/>
  <c r="AF25"/>
  <c r="L23" i="80" s="1"/>
  <c r="AE25" i="76"/>
  <c r="K23" i="80" s="1"/>
  <c r="AD25" i="76"/>
  <c r="AC25"/>
  <c r="AB25"/>
  <c r="AA25"/>
  <c r="Z25"/>
  <c r="Y25"/>
  <c r="X25"/>
  <c r="W25"/>
  <c r="V25"/>
  <c r="U25"/>
  <c r="T25"/>
  <c r="S25"/>
  <c r="R25"/>
  <c r="Q25"/>
  <c r="N25"/>
  <c r="M25"/>
  <c r="L25"/>
  <c r="K25"/>
  <c r="J25"/>
  <c r="I25"/>
  <c r="H25"/>
  <c r="G25"/>
  <c r="F25"/>
  <c r="E25"/>
  <c r="AN24"/>
  <c r="AM24"/>
  <c r="AJ24"/>
  <c r="AI24"/>
  <c r="AH24"/>
  <c r="N22" i="80" s="1"/>
  <c r="AG24" i="76"/>
  <c r="M22" i="80" s="1"/>
  <c r="AD24" i="76"/>
  <c r="AC24"/>
  <c r="AB24"/>
  <c r="AA24"/>
  <c r="Z24"/>
  <c r="Y24"/>
  <c r="X24"/>
  <c r="W24"/>
  <c r="V24"/>
  <c r="U24"/>
  <c r="T24"/>
  <c r="N24"/>
  <c r="M24"/>
  <c r="L24"/>
  <c r="K24"/>
  <c r="J24"/>
  <c r="I24"/>
  <c r="H24"/>
  <c r="G24"/>
  <c r="F24"/>
  <c r="E24"/>
  <c r="AN23"/>
  <c r="AM23"/>
  <c r="AL23"/>
  <c r="AK23"/>
  <c r="AJ23"/>
  <c r="AI23"/>
  <c r="AH23"/>
  <c r="AG23"/>
  <c r="AF23"/>
  <c r="L21" i="80" s="1"/>
  <c r="AE23" i="76"/>
  <c r="K21" i="80" s="1"/>
  <c r="AD23" i="76"/>
  <c r="AC23"/>
  <c r="AB23"/>
  <c r="AA23"/>
  <c r="Z23"/>
  <c r="Y23"/>
  <c r="X23"/>
  <c r="W23"/>
  <c r="V23"/>
  <c r="U23"/>
  <c r="T23"/>
  <c r="S23"/>
  <c r="R23"/>
  <c r="Q23"/>
  <c r="P23"/>
  <c r="O23"/>
  <c r="N23"/>
  <c r="M23"/>
  <c r="L23"/>
  <c r="K23"/>
  <c r="H23"/>
  <c r="G23"/>
  <c r="F23"/>
  <c r="E23"/>
  <c r="AN22"/>
  <c r="AM22"/>
  <c r="AL22"/>
  <c r="AK22"/>
  <c r="AJ22"/>
  <c r="AI22"/>
  <c r="AH22"/>
  <c r="N20" i="80" s="1"/>
  <c r="AG22" i="76"/>
  <c r="AF22"/>
  <c r="AE22"/>
  <c r="K20" i="80" s="1"/>
  <c r="AD22" i="76"/>
  <c r="AC22"/>
  <c r="AB22"/>
  <c r="AA22"/>
  <c r="Z22"/>
  <c r="Y22"/>
  <c r="X22"/>
  <c r="W22"/>
  <c r="V22"/>
  <c r="U22"/>
  <c r="T22"/>
  <c r="S22"/>
  <c r="R22"/>
  <c r="Q22"/>
  <c r="P22"/>
  <c r="O22"/>
  <c r="N22"/>
  <c r="M22"/>
  <c r="L22"/>
  <c r="K22"/>
  <c r="J22"/>
  <c r="I22"/>
  <c r="F22"/>
  <c r="E22"/>
  <c r="AN21"/>
  <c r="AM21"/>
  <c r="AL21"/>
  <c r="AK21"/>
  <c r="AJ21"/>
  <c r="AI21"/>
  <c r="AH21"/>
  <c r="N19" i="80" s="1"/>
  <c r="AG21" i="76"/>
  <c r="M19" i="80" s="1"/>
  <c r="AF21" i="76"/>
  <c r="L19" i="80" s="1"/>
  <c r="AE21" i="76"/>
  <c r="AD21"/>
  <c r="AC21"/>
  <c r="AB21"/>
  <c r="AA21"/>
  <c r="Z21"/>
  <c r="Y21"/>
  <c r="X21"/>
  <c r="W21"/>
  <c r="V21"/>
  <c r="U21"/>
  <c r="T21"/>
  <c r="S21"/>
  <c r="R21"/>
  <c r="Q21"/>
  <c r="P21"/>
  <c r="O21"/>
  <c r="L21"/>
  <c r="K21"/>
  <c r="J21"/>
  <c r="I21"/>
  <c r="H21"/>
  <c r="G21"/>
  <c r="F21"/>
  <c r="E21"/>
  <c r="AN20"/>
  <c r="AM20"/>
  <c r="AL20"/>
  <c r="AK20"/>
  <c r="AJ20"/>
  <c r="AI20"/>
  <c r="AH20"/>
  <c r="AG20"/>
  <c r="AF20"/>
  <c r="L18" i="80" s="1"/>
  <c r="AE20" i="76"/>
  <c r="K18" i="80" s="1"/>
  <c r="AD20" i="76"/>
  <c r="AC20"/>
  <c r="AB20"/>
  <c r="AA20"/>
  <c r="Z20"/>
  <c r="Y20"/>
  <c r="X20"/>
  <c r="W20"/>
  <c r="V20"/>
  <c r="U20"/>
  <c r="T20"/>
  <c r="S20"/>
  <c r="R20"/>
  <c r="Q20"/>
  <c r="P20"/>
  <c r="O20"/>
  <c r="N20"/>
  <c r="M20"/>
  <c r="J20"/>
  <c r="I20"/>
  <c r="H20"/>
  <c r="G20"/>
  <c r="F20"/>
  <c r="E20"/>
  <c r="AN19"/>
  <c r="AM19"/>
  <c r="AL19"/>
  <c r="AK19"/>
  <c r="AJ19"/>
  <c r="AI19"/>
  <c r="AH19"/>
  <c r="AG19"/>
  <c r="M17" i="80" s="1"/>
  <c r="AD19" i="76"/>
  <c r="AC19"/>
  <c r="AB19"/>
  <c r="AA19"/>
  <c r="X19"/>
  <c r="W19"/>
  <c r="V19"/>
  <c r="U19"/>
  <c r="T19"/>
  <c r="S19"/>
  <c r="N19"/>
  <c r="M19"/>
  <c r="L19"/>
  <c r="K19"/>
  <c r="H19"/>
  <c r="G19"/>
  <c r="F19"/>
  <c r="E19"/>
  <c r="AN18"/>
  <c r="AM18"/>
  <c r="AJ18"/>
  <c r="AI18"/>
  <c r="AH18"/>
  <c r="AG18"/>
  <c r="AD18"/>
  <c r="AB18"/>
  <c r="AA18"/>
  <c r="V18"/>
  <c r="U18"/>
  <c r="T18"/>
  <c r="S18"/>
  <c r="N18"/>
  <c r="M18"/>
  <c r="L18"/>
  <c r="J18"/>
  <c r="I18"/>
  <c r="H18"/>
  <c r="G18"/>
  <c r="AN17"/>
  <c r="AM17"/>
  <c r="AL17"/>
  <c r="AK17"/>
  <c r="AH17"/>
  <c r="AG17"/>
  <c r="AF17"/>
  <c r="L15" i="80" s="1"/>
  <c r="AE17" i="76"/>
  <c r="K15" i="80" s="1"/>
  <c r="AD17" i="76"/>
  <c r="AC17"/>
  <c r="AB17"/>
  <c r="AA17"/>
  <c r="X17"/>
  <c r="W17"/>
  <c r="V17"/>
  <c r="U17"/>
  <c r="T17"/>
  <c r="S17"/>
  <c r="R17"/>
  <c r="Q17"/>
  <c r="N17"/>
  <c r="M17"/>
  <c r="H17"/>
  <c r="G17"/>
  <c r="F17"/>
  <c r="E17"/>
  <c r="AH16"/>
  <c r="N14" i="80" s="1"/>
  <c r="AN15" i="76"/>
  <c r="AM15"/>
  <c r="AL15"/>
  <c r="AK15"/>
  <c r="AJ15"/>
  <c r="AI15"/>
  <c r="AH15"/>
  <c r="AG15"/>
  <c r="M13" i="80" s="1"/>
  <c r="AD15" i="76"/>
  <c r="AC15"/>
  <c r="AB15"/>
  <c r="AA15"/>
  <c r="Z15"/>
  <c r="Y15"/>
  <c r="X15"/>
  <c r="W15"/>
  <c r="V15"/>
  <c r="U15"/>
  <c r="T15"/>
  <c r="S15"/>
  <c r="R15"/>
  <c r="Q15"/>
  <c r="P15"/>
  <c r="O15"/>
  <c r="N15"/>
  <c r="M15"/>
  <c r="L15"/>
  <c r="K15"/>
  <c r="J15"/>
  <c r="I15"/>
  <c r="AN14"/>
  <c r="AM14"/>
  <c r="AL14"/>
  <c r="AK14"/>
  <c r="AJ14"/>
  <c r="AI14"/>
  <c r="AH14"/>
  <c r="N12" i="80" s="1"/>
  <c r="AG14" i="76"/>
  <c r="AD14"/>
  <c r="AC14"/>
  <c r="X14"/>
  <c r="W14"/>
  <c r="V14"/>
  <c r="U14"/>
  <c r="N14"/>
  <c r="M14"/>
  <c r="AN13"/>
  <c r="AM13"/>
  <c r="AL13"/>
  <c r="AK13"/>
  <c r="AJ13"/>
  <c r="AI13"/>
  <c r="AD13"/>
  <c r="AC13"/>
  <c r="AB13"/>
  <c r="AA13"/>
  <c r="Z13"/>
  <c r="Y13"/>
  <c r="X13"/>
  <c r="W13"/>
  <c r="V13"/>
  <c r="U13"/>
  <c r="T13"/>
  <c r="S13"/>
  <c r="N13"/>
  <c r="M13"/>
  <c r="L13"/>
  <c r="K13"/>
  <c r="J13"/>
  <c r="I13"/>
  <c r="H13"/>
  <c r="G13"/>
  <c r="F13"/>
  <c r="E13"/>
  <c r="AN12"/>
  <c r="AM12"/>
  <c r="AL12"/>
  <c r="AK12"/>
  <c r="AJ12"/>
  <c r="AI12"/>
  <c r="AH12"/>
  <c r="AG12"/>
  <c r="AB12"/>
  <c r="AA12"/>
  <c r="X12"/>
  <c r="W12"/>
  <c r="V12"/>
  <c r="U12"/>
  <c r="T12"/>
  <c r="S12"/>
  <c r="P12"/>
  <c r="O12"/>
  <c r="N12"/>
  <c r="M12"/>
  <c r="L12"/>
  <c r="K12"/>
  <c r="J12"/>
  <c r="I12"/>
  <c r="AN11"/>
  <c r="AM11"/>
  <c r="AL11"/>
  <c r="AK11"/>
  <c r="AJ11"/>
  <c r="AI11"/>
  <c r="AH11"/>
  <c r="AG11"/>
  <c r="AD11"/>
  <c r="AC11"/>
  <c r="AB11"/>
  <c r="AA11"/>
  <c r="X11"/>
  <c r="W11"/>
  <c r="V11"/>
  <c r="U11"/>
  <c r="T11"/>
  <c r="S11"/>
  <c r="N11"/>
  <c r="M11"/>
  <c r="AN10"/>
  <c r="AM10"/>
  <c r="AL10"/>
  <c r="AK10"/>
  <c r="AJ10"/>
  <c r="AI10"/>
  <c r="AH10"/>
  <c r="N8" i="80" s="1"/>
  <c r="AG10" i="76"/>
  <c r="M8" i="80" s="1"/>
  <c r="AD10" i="76"/>
  <c r="V10"/>
  <c r="U10"/>
  <c r="T10"/>
  <c r="S10"/>
  <c r="L10"/>
  <c r="K10"/>
  <c r="AN9"/>
  <c r="AM9"/>
  <c r="AL9"/>
  <c r="AK9"/>
  <c r="AH9"/>
  <c r="AG9"/>
  <c r="AD9"/>
  <c r="AC9"/>
  <c r="AB9"/>
  <c r="AA9"/>
  <c r="X9"/>
  <c r="W9"/>
  <c r="V9"/>
  <c r="U9"/>
  <c r="T9"/>
  <c r="S9"/>
  <c r="AN8"/>
  <c r="AM8"/>
  <c r="AL8"/>
  <c r="AK8"/>
  <c r="AH8"/>
  <c r="AG8"/>
  <c r="M6" i="80" s="1"/>
  <c r="AD8" i="76"/>
  <c r="AC8"/>
  <c r="AB8"/>
  <c r="AA8"/>
  <c r="X8"/>
  <c r="W8"/>
  <c r="V8"/>
  <c r="U8"/>
  <c r="T8"/>
  <c r="S8"/>
  <c r="L8"/>
  <c r="K8"/>
  <c r="V6"/>
  <c r="A3"/>
  <c r="A2"/>
  <c r="R59" i="80"/>
  <c r="Q59"/>
  <c r="H59"/>
  <c r="P56"/>
  <c r="O56"/>
  <c r="L56"/>
  <c r="K56"/>
  <c r="J56"/>
  <c r="I56"/>
  <c r="F56"/>
  <c r="E56"/>
  <c r="R55"/>
  <c r="Q55"/>
  <c r="P55"/>
  <c r="O55"/>
  <c r="N55"/>
  <c r="K55"/>
  <c r="H55"/>
  <c r="G55"/>
  <c r="R54"/>
  <c r="Q54"/>
  <c r="P54"/>
  <c r="O54"/>
  <c r="N54"/>
  <c r="R53"/>
  <c r="Q53"/>
  <c r="P53"/>
  <c r="O53"/>
  <c r="N53"/>
  <c r="J53"/>
  <c r="I53"/>
  <c r="H53"/>
  <c r="G53"/>
  <c r="R52"/>
  <c r="Q52"/>
  <c r="P52"/>
  <c r="O52"/>
  <c r="H52"/>
  <c r="G52"/>
  <c r="R51"/>
  <c r="Q51"/>
  <c r="P51"/>
  <c r="O51"/>
  <c r="N51"/>
  <c r="M51"/>
  <c r="H51"/>
  <c r="G51"/>
  <c r="R50"/>
  <c r="Q50"/>
  <c r="N50"/>
  <c r="M50"/>
  <c r="J50"/>
  <c r="I50"/>
  <c r="H50"/>
  <c r="G50"/>
  <c r="R49"/>
  <c r="Q49"/>
  <c r="P49"/>
  <c r="O49"/>
  <c r="N49"/>
  <c r="M49"/>
  <c r="R48"/>
  <c r="Q48"/>
  <c r="R47"/>
  <c r="Q47"/>
  <c r="N47"/>
  <c r="H47"/>
  <c r="G47"/>
  <c r="R46"/>
  <c r="Q46"/>
  <c r="M46"/>
  <c r="H46"/>
  <c r="G46"/>
  <c r="R45"/>
  <c r="Q45"/>
  <c r="P45"/>
  <c r="O45"/>
  <c r="M45"/>
  <c r="R44"/>
  <c r="Q44"/>
  <c r="P43"/>
  <c r="O43"/>
  <c r="J43"/>
  <c r="I43"/>
  <c r="F43"/>
  <c r="E43"/>
  <c r="R42"/>
  <c r="Q42"/>
  <c r="P42"/>
  <c r="O42"/>
  <c r="H42"/>
  <c r="G42"/>
  <c r="R41"/>
  <c r="Q41"/>
  <c r="P41"/>
  <c r="O41"/>
  <c r="H41"/>
  <c r="G41"/>
  <c r="R40"/>
  <c r="Q40"/>
  <c r="P40"/>
  <c r="O40"/>
  <c r="R39"/>
  <c r="Q39"/>
  <c r="R38"/>
  <c r="Q38"/>
  <c r="R37"/>
  <c r="Q37"/>
  <c r="M37"/>
  <c r="R36"/>
  <c r="Q36"/>
  <c r="N36"/>
  <c r="M36"/>
  <c r="H36"/>
  <c r="G36"/>
  <c r="R35"/>
  <c r="Q35"/>
  <c r="R34"/>
  <c r="Q34"/>
  <c r="P34"/>
  <c r="O34"/>
  <c r="N34"/>
  <c r="M34"/>
  <c r="H34"/>
  <c r="G34"/>
  <c r="F34"/>
  <c r="R33"/>
  <c r="Q33"/>
  <c r="H33"/>
  <c r="G33"/>
  <c r="R32"/>
  <c r="Q32"/>
  <c r="H32"/>
  <c r="G32"/>
  <c r="P31"/>
  <c r="O31"/>
  <c r="L31"/>
  <c r="J31"/>
  <c r="I31"/>
  <c r="H31"/>
  <c r="G31"/>
  <c r="F31"/>
  <c r="E31"/>
  <c r="R30"/>
  <c r="Q30"/>
  <c r="P30"/>
  <c r="O30"/>
  <c r="K30"/>
  <c r="J30"/>
  <c r="I30"/>
  <c r="H30"/>
  <c r="G30"/>
  <c r="R29"/>
  <c r="Q29"/>
  <c r="P29"/>
  <c r="O29"/>
  <c r="L29"/>
  <c r="J29"/>
  <c r="I29"/>
  <c r="H29"/>
  <c r="G29"/>
  <c r="R28"/>
  <c r="Q28"/>
  <c r="N28"/>
  <c r="M28"/>
  <c r="H28"/>
  <c r="G28"/>
  <c r="E28"/>
  <c r="R27"/>
  <c r="Q27"/>
  <c r="P27"/>
  <c r="O27"/>
  <c r="K27"/>
  <c r="H27"/>
  <c r="G27"/>
  <c r="R26"/>
  <c r="Q26"/>
  <c r="P26"/>
  <c r="O26"/>
  <c r="N26"/>
  <c r="H26"/>
  <c r="G26"/>
  <c r="E26"/>
  <c r="R25"/>
  <c r="Q25"/>
  <c r="P25"/>
  <c r="O25"/>
  <c r="L25"/>
  <c r="J25"/>
  <c r="I25"/>
  <c r="H25"/>
  <c r="G25"/>
  <c r="E25"/>
  <c r="R24"/>
  <c r="Q24"/>
  <c r="P24"/>
  <c r="O24"/>
  <c r="L24"/>
  <c r="J24"/>
  <c r="I24"/>
  <c r="H24"/>
  <c r="E24"/>
  <c r="R23"/>
  <c r="Q23"/>
  <c r="P23"/>
  <c r="O23"/>
  <c r="M23"/>
  <c r="J23"/>
  <c r="I23"/>
  <c r="H23"/>
  <c r="G23"/>
  <c r="R22"/>
  <c r="Q22"/>
  <c r="J22"/>
  <c r="I22"/>
  <c r="H22"/>
  <c r="G22"/>
  <c r="R21"/>
  <c r="Q21"/>
  <c r="P21"/>
  <c r="O21"/>
  <c r="N21"/>
  <c r="M21"/>
  <c r="J21"/>
  <c r="I21"/>
  <c r="H21"/>
  <c r="G21"/>
  <c r="R20"/>
  <c r="Q20"/>
  <c r="P20"/>
  <c r="O20"/>
  <c r="M20"/>
  <c r="L20"/>
  <c r="J20"/>
  <c r="I20"/>
  <c r="H20"/>
  <c r="G20"/>
  <c r="R19"/>
  <c r="Q19"/>
  <c r="P19"/>
  <c r="O19"/>
  <c r="K19"/>
  <c r="J19"/>
  <c r="I19"/>
  <c r="H19"/>
  <c r="G19"/>
  <c r="R18"/>
  <c r="Q18"/>
  <c r="P18"/>
  <c r="O18"/>
  <c r="N18"/>
  <c r="M18"/>
  <c r="J18"/>
  <c r="I18"/>
  <c r="H18"/>
  <c r="G18"/>
  <c r="R17"/>
  <c r="Q17"/>
  <c r="P17"/>
  <c r="O17"/>
  <c r="N17"/>
  <c r="H17"/>
  <c r="G17"/>
  <c r="R16"/>
  <c r="Q16"/>
  <c r="N16"/>
  <c r="M16"/>
  <c r="R15"/>
  <c r="Q15"/>
  <c r="N15"/>
  <c r="M15"/>
  <c r="H15"/>
  <c r="G15"/>
  <c r="P14"/>
  <c r="O14"/>
  <c r="L14"/>
  <c r="K14"/>
  <c r="J14"/>
  <c r="I14"/>
  <c r="F14"/>
  <c r="E14"/>
  <c r="R13"/>
  <c r="Q13"/>
  <c r="P13"/>
  <c r="O13"/>
  <c r="N13"/>
  <c r="J13"/>
  <c r="I13"/>
  <c r="H13"/>
  <c r="G13"/>
  <c r="R12"/>
  <c r="Q12"/>
  <c r="P12"/>
  <c r="O12"/>
  <c r="M12"/>
  <c r="H12"/>
  <c r="G12"/>
  <c r="R11"/>
  <c r="Q11"/>
  <c r="P11"/>
  <c r="O11"/>
  <c r="J11"/>
  <c r="I11"/>
  <c r="H11"/>
  <c r="G11"/>
  <c r="R10"/>
  <c r="Q10"/>
  <c r="P10"/>
  <c r="O10"/>
  <c r="N10"/>
  <c r="M10"/>
  <c r="H10"/>
  <c r="G10"/>
  <c r="R9"/>
  <c r="Q9"/>
  <c r="P9"/>
  <c r="O9"/>
  <c r="N9"/>
  <c r="M9"/>
  <c r="H9"/>
  <c r="G9"/>
  <c r="R8"/>
  <c r="Q8"/>
  <c r="P8"/>
  <c r="O8"/>
  <c r="R7"/>
  <c r="Q7"/>
  <c r="N7"/>
  <c r="M7"/>
  <c r="H7"/>
  <c r="G7"/>
  <c r="R6"/>
  <c r="Q6"/>
  <c r="N6"/>
  <c r="H6"/>
  <c r="G6"/>
  <c r="B2"/>
  <c r="A2"/>
  <c r="I79" i="78"/>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C1" i="77"/>
  <c r="B1"/>
  <c r="A1"/>
  <c r="H39" i="69"/>
  <c r="H38"/>
  <c r="H37"/>
  <c r="H36"/>
  <c r="H35"/>
  <c r="H34"/>
  <c r="H33"/>
  <c r="H32"/>
  <c r="H31"/>
  <c r="H30"/>
  <c r="H29"/>
  <c r="H28"/>
  <c r="H26"/>
  <c r="H25"/>
  <c r="H24"/>
  <c r="H23"/>
  <c r="H22"/>
  <c r="H21"/>
  <c r="H20"/>
  <c r="D25"/>
  <c r="D24"/>
  <c r="H18"/>
  <c r="D22"/>
  <c r="H16"/>
  <c r="D21"/>
  <c r="H15"/>
  <c r="D20"/>
  <c r="H14"/>
  <c r="D19"/>
  <c r="D17"/>
  <c r="H12"/>
  <c r="D15"/>
  <c r="D14"/>
  <c r="D12"/>
  <c r="D11"/>
  <c r="D10"/>
  <c r="B7"/>
  <c r="D8"/>
  <c r="D7"/>
  <c r="D6"/>
  <c r="H4"/>
  <c r="D4"/>
  <c r="B4"/>
  <c r="H3"/>
  <c r="F3"/>
  <c r="D3"/>
  <c r="B3"/>
  <c r="F2"/>
  <c r="D2"/>
  <c r="B2"/>
  <c r="E13" i="67" l="1"/>
  <c r="I13" s="1"/>
  <c r="O54" i="2"/>
  <c r="K8" i="6"/>
  <c r="K7" s="1"/>
  <c r="M8" i="43"/>
  <c r="N66" i="47"/>
  <c r="P60" i="6"/>
  <c r="P278" i="7"/>
  <c r="O63" i="83" s="1"/>
  <c r="AV4" s="1"/>
  <c r="AE52" i="76" s="1"/>
  <c r="K50" i="80" s="1"/>
  <c r="P89" i="13"/>
  <c r="O31" i="84" s="1"/>
  <c r="AN4" s="1"/>
  <c r="Q43" i="76" s="1"/>
  <c r="P72" i="12"/>
  <c r="O43" i="41" s="1"/>
  <c r="P93" i="12"/>
  <c r="O50" i="24" s="1"/>
  <c r="P27" i="13"/>
  <c r="O11" i="84" s="1"/>
  <c r="H4" s="1"/>
  <c r="Q10" i="76" s="1"/>
  <c r="P70" i="12"/>
  <c r="O41" i="41" s="1"/>
  <c r="P83" i="13"/>
  <c r="P94" i="12"/>
  <c r="P95"/>
  <c r="O16" i="71" s="1"/>
  <c r="O15" s="1"/>
  <c r="P96" i="12"/>
  <c r="O19" i="53" s="1"/>
  <c r="O18" s="1"/>
  <c r="P90" i="12"/>
  <c r="P91"/>
  <c r="O48" i="24" s="1"/>
  <c r="P92" i="12"/>
  <c r="O49" i="24" s="1"/>
  <c r="P73" i="12"/>
  <c r="O12" i="70" s="1"/>
  <c r="O11" s="1"/>
  <c r="P74" i="12"/>
  <c r="O12" i="75" s="1"/>
  <c r="O11" s="1"/>
  <c r="P71" i="12"/>
  <c r="O42" i="41" s="1"/>
  <c r="O40" s="1"/>
  <c r="P15" i="12"/>
  <c r="O11" i="85" s="1"/>
  <c r="H4" s="1"/>
  <c r="O10" i="76" s="1"/>
  <c r="M468" i="38"/>
  <c r="M470"/>
  <c r="M124" i="30"/>
  <c r="M41" i="20"/>
  <c r="M33" i="40"/>
  <c r="M33" i="32"/>
  <c r="M125" i="30"/>
  <c r="M42" i="20"/>
  <c r="O42"/>
  <c r="O36" s="1"/>
  <c r="M43"/>
  <c r="H4" i="6"/>
  <c r="AC10" i="76" s="1"/>
  <c r="L16" i="80"/>
  <c r="P153" i="6"/>
  <c r="O77" i="4"/>
  <c r="M81" i="72" s="1"/>
  <c r="M49" i="38"/>
  <c r="M134"/>
  <c r="M138"/>
  <c r="M141"/>
  <c r="P55" i="13"/>
  <c r="O17" i="84" s="1"/>
  <c r="AH4" s="1"/>
  <c r="Q37" i="76" s="1"/>
  <c r="M143" i="38"/>
  <c r="M232"/>
  <c r="O79" i="4"/>
  <c r="M83" i="72" s="1"/>
  <c r="G26"/>
  <c r="O26" i="32"/>
  <c r="P95" i="13"/>
  <c r="O37" i="84" s="1"/>
  <c r="AS4" s="1"/>
  <c r="Q49" i="76" s="1"/>
  <c r="P47" i="13"/>
  <c r="O421" i="38"/>
  <c r="O420" s="1"/>
  <c r="P8" i="13"/>
  <c r="O98" i="38" s="1"/>
  <c r="M98"/>
  <c r="J3" i="84"/>
  <c r="R12" i="76" s="1"/>
  <c r="P65" i="13"/>
  <c r="O27" i="45" s="1"/>
  <c r="P66" i="13"/>
  <c r="O28" i="45" s="1"/>
  <c r="M98" i="27"/>
  <c r="AO4" i="84"/>
  <c r="Q44" i="76" s="1"/>
  <c r="O14" i="75"/>
  <c r="O13" s="1"/>
  <c r="P7" i="13"/>
  <c r="O97" i="38" s="1"/>
  <c r="M97"/>
  <c r="P9" i="13"/>
  <c r="O99" i="38" s="1"/>
  <c r="M99"/>
  <c r="P11" i="13"/>
  <c r="O100" i="38" s="1"/>
  <c r="M100"/>
  <c r="P88" i="13"/>
  <c r="M28" i="40"/>
  <c r="P108" i="13"/>
  <c r="M21" i="26"/>
  <c r="P109" i="13"/>
  <c r="O45" i="84" s="1"/>
  <c r="BA4" s="1"/>
  <c r="Q57" i="76" s="1"/>
  <c r="M16" i="61"/>
  <c r="M102" i="27"/>
  <c r="P242" i="7"/>
  <c r="O31" i="68" s="1"/>
  <c r="Q144" i="49"/>
  <c r="O68" i="24" s="1"/>
  <c r="O19" i="71"/>
  <c r="O18" i="10"/>
  <c r="P174" i="7"/>
  <c r="O34" i="83" s="1"/>
  <c r="AG4" s="1"/>
  <c r="AE36" i="76" s="1"/>
  <c r="K34" i="80" s="1"/>
  <c r="O12" i="35"/>
  <c r="P147" i="7"/>
  <c r="O20" i="45" s="1"/>
  <c r="P148" i="7"/>
  <c r="O21" i="45" s="1"/>
  <c r="P149" i="7"/>
  <c r="O22" i="45" s="1"/>
  <c r="P253" i="7"/>
  <c r="O20" i="23" s="1"/>
  <c r="AH3" i="83"/>
  <c r="AF37" i="76" s="1"/>
  <c r="L35" i="80" s="1"/>
  <c r="P177" i="7"/>
  <c r="O35" i="83" s="1"/>
  <c r="U4" s="1"/>
  <c r="AE24" i="76" s="1"/>
  <c r="P229" i="7"/>
  <c r="P230"/>
  <c r="O25" i="20" s="1"/>
  <c r="M11" i="26"/>
  <c r="AU3" i="82"/>
  <c r="Z51" i="76" s="1"/>
  <c r="J49" i="80" s="1"/>
  <c r="F150" i="72"/>
  <c r="O10" i="43"/>
  <c r="O9" s="1"/>
  <c r="P267" i="7"/>
  <c r="O60" i="83" s="1"/>
  <c r="AZ4" s="1"/>
  <c r="AE56" i="76" s="1"/>
  <c r="K54" i="80" s="1"/>
  <c r="O11" i="35"/>
  <c r="P185" i="7"/>
  <c r="P186"/>
  <c r="O10" i="61" s="1"/>
  <c r="P187" i="7"/>
  <c r="O11" i="61" s="1"/>
  <c r="P188" i="7"/>
  <c r="O12" i="61" s="1"/>
  <c r="P282" i="7"/>
  <c r="P283"/>
  <c r="O17" i="53" s="1"/>
  <c r="M36" i="24"/>
  <c r="M37"/>
  <c r="M13" i="44"/>
  <c r="O14" i="26"/>
  <c r="O13" s="1"/>
  <c r="M89" i="27"/>
  <c r="M90"/>
  <c r="M93"/>
  <c r="F217" i="72"/>
  <c r="P166" i="7"/>
  <c r="O91" i="27" s="1"/>
  <c r="P167" i="7"/>
  <c r="O92" i="27" s="1"/>
  <c r="P246" i="7"/>
  <c r="P265"/>
  <c r="O38" i="24" s="1"/>
  <c r="P266" i="7"/>
  <c r="O39" i="24" s="1"/>
  <c r="P276" i="7"/>
  <c r="O24" i="20"/>
  <c r="M22" i="42"/>
  <c r="K221" i="72"/>
  <c r="G147"/>
  <c r="M129" i="38"/>
  <c r="M135"/>
  <c r="M233"/>
  <c r="M361"/>
  <c r="AQ3" i="82"/>
  <c r="Z47" i="76" s="1"/>
  <c r="J45" i="80" s="1"/>
  <c r="M53" i="82"/>
  <c r="N3"/>
  <c r="Z17" i="76" s="1"/>
  <c r="J15" i="80" s="1"/>
  <c r="P102" i="15"/>
  <c r="M174" i="72" s="1"/>
  <c r="P103" i="15"/>
  <c r="P104"/>
  <c r="O13" i="42" s="1"/>
  <c r="P105" i="15"/>
  <c r="M177" i="72" s="1"/>
  <c r="P106" i="15"/>
  <c r="M178" i="72" s="1"/>
  <c r="P107" i="15"/>
  <c r="P108"/>
  <c r="O17" i="42" s="1"/>
  <c r="P150" i="72"/>
  <c r="O78" i="4"/>
  <c r="M82" i="72" s="1"/>
  <c r="M83" i="38"/>
  <c r="M85"/>
  <c r="M87"/>
  <c r="M136"/>
  <c r="M66" i="30"/>
  <c r="M68"/>
  <c r="P220" i="7"/>
  <c r="P221"/>
  <c r="O63" i="30" s="1"/>
  <c r="P222" i="7"/>
  <c r="O64" i="30" s="1"/>
  <c r="P223" i="7"/>
  <c r="O65" i="30" s="1"/>
  <c r="P225" i="7"/>
  <c r="O67" i="30" s="1"/>
  <c r="P227" i="7"/>
  <c r="O69" i="30" s="1"/>
  <c r="P244" i="7"/>
  <c r="P210"/>
  <c r="P211"/>
  <c r="O14" i="40" s="1"/>
  <c r="P212" i="7"/>
  <c r="O15" i="40" s="1"/>
  <c r="P213" i="7"/>
  <c r="O16" i="40" s="1"/>
  <c r="P214" i="7"/>
  <c r="O17" i="40" s="1"/>
  <c r="P215" i="7"/>
  <c r="O18" i="40" s="1"/>
  <c r="P216" i="7"/>
  <c r="O19" i="40" s="1"/>
  <c r="P217" i="7"/>
  <c r="O20" i="40" s="1"/>
  <c r="P218" i="7"/>
  <c r="O21" i="40" s="1"/>
  <c r="Q137" i="49"/>
  <c r="O23" i="26" s="1"/>
  <c r="O22" s="1"/>
  <c r="P81" i="7"/>
  <c r="O23" i="83" s="1"/>
  <c r="H4" s="1"/>
  <c r="AE10" i="76" s="1"/>
  <c r="O243" i="38"/>
  <c r="O18" i="32"/>
  <c r="M18"/>
  <c r="P261" i="7"/>
  <c r="O19" i="32" s="1"/>
  <c r="P159" i="7"/>
  <c r="P155"/>
  <c r="P151"/>
  <c r="M70" i="38"/>
  <c r="M71"/>
  <c r="M72"/>
  <c r="M73"/>
  <c r="M74"/>
  <c r="M75"/>
  <c r="M76"/>
  <c r="M80"/>
  <c r="M81"/>
  <c r="M82"/>
  <c r="P25" i="7"/>
  <c r="O21" i="83" s="1"/>
  <c r="P195" i="7"/>
  <c r="O38" i="83" s="1"/>
  <c r="Q141" i="49"/>
  <c r="Q142"/>
  <c r="O33" i="23" s="1"/>
  <c r="P252" i="7"/>
  <c r="O19" i="23" s="1"/>
  <c r="O18" s="1"/>
  <c r="M26" i="54"/>
  <c r="M27"/>
  <c r="P172" i="6"/>
  <c r="O20" i="54" s="1"/>
  <c r="P173" i="6"/>
  <c r="O21" i="54" s="1"/>
  <c r="M19"/>
  <c r="M18"/>
  <c r="Q32" i="49"/>
  <c r="O20" i="44" s="1"/>
  <c r="P139" i="7"/>
  <c r="O27" i="83" s="1"/>
  <c r="L4" s="1"/>
  <c r="AE14" i="76" s="1"/>
  <c r="K12" i="80" s="1"/>
  <c r="O415" i="38"/>
  <c r="P119" i="3"/>
  <c r="O47" i="81" s="1"/>
  <c r="T4" s="1"/>
  <c r="I23" i="76" s="1"/>
  <c r="E21" i="80" s="1"/>
  <c r="C21" s="1"/>
  <c r="M403" i="38"/>
  <c r="O29" i="40"/>
  <c r="O28" i="32"/>
  <c r="Q149" i="49"/>
  <c r="O30" i="45" s="1"/>
  <c r="O29" s="1"/>
  <c r="Q158" i="49"/>
  <c r="Q159"/>
  <c r="O70" i="24" s="1"/>
  <c r="Q170" i="49"/>
  <c r="O41" i="31" s="1"/>
  <c r="O40" s="1"/>
  <c r="M66" i="24"/>
  <c r="M72"/>
  <c r="M31" i="23"/>
  <c r="Q29" i="49"/>
  <c r="O104" i="27" s="1"/>
  <c r="Q98" i="49"/>
  <c r="O106" i="27" s="1"/>
  <c r="Q99" i="49"/>
  <c r="O21" i="44" s="1"/>
  <c r="Q161" i="49"/>
  <c r="O131" i="30" s="1"/>
  <c r="Q176" i="49"/>
  <c r="O73" i="24" s="1"/>
  <c r="M67"/>
  <c r="M30" i="23"/>
  <c r="Q160" i="49"/>
  <c r="O44" i="68" s="1"/>
  <c r="G2" i="49"/>
  <c r="N9" i="47" s="1"/>
  <c r="BB4" s="1"/>
  <c r="AG16" i="76" s="1"/>
  <c r="M14" i="80" s="1"/>
  <c r="O465" i="38"/>
  <c r="O447" s="1"/>
  <c r="O446" s="1"/>
  <c r="O56" i="41"/>
  <c r="M62" i="24"/>
  <c r="Q64" i="49"/>
  <c r="O16" i="70" s="1"/>
  <c r="O15" s="1"/>
  <c r="Q87" i="49"/>
  <c r="O65" i="24" s="1"/>
  <c r="Q88" i="49"/>
  <c r="O17" i="75" s="1"/>
  <c r="Q45" i="49"/>
  <c r="Q46"/>
  <c r="O33" i="42" s="1"/>
  <c r="O32" s="1"/>
  <c r="Q47" i="49"/>
  <c r="O16" i="75" s="1"/>
  <c r="P75" i="12"/>
  <c r="M29" i="68"/>
  <c r="M30"/>
  <c r="P236" i="7"/>
  <c r="P237"/>
  <c r="O26" i="68" s="1"/>
  <c r="P238" i="7"/>
  <c r="O27" i="68" s="1"/>
  <c r="P239" i="7"/>
  <c r="O28" i="68" s="1"/>
  <c r="P36" i="3"/>
  <c r="O36" i="27" s="1"/>
  <c r="P37" i="3"/>
  <c r="O17" i="81" s="1"/>
  <c r="N4" s="1"/>
  <c r="I17" i="76" s="1"/>
  <c r="P117" i="3"/>
  <c r="O9" i="23" s="1"/>
  <c r="O8" s="1"/>
  <c r="Q7" i="49"/>
  <c r="Q6" s="1"/>
  <c r="M107" i="27"/>
  <c r="Q114" i="49"/>
  <c r="Q148"/>
  <c r="M32" i="32"/>
  <c r="M115" i="30"/>
  <c r="M121"/>
  <c r="M126"/>
  <c r="M127"/>
  <c r="Q85" i="49"/>
  <c r="Q90"/>
  <c r="Q133"/>
  <c r="O43" i="68" s="1"/>
  <c r="M43"/>
  <c r="M118" i="30"/>
  <c r="Q63" i="49"/>
  <c r="M105" i="27"/>
  <c r="Q72" i="49"/>
  <c r="O105" i="27" s="1"/>
  <c r="Q84" i="49"/>
  <c r="O42" i="68" s="1"/>
  <c r="M42"/>
  <c r="Q174" i="49"/>
  <c r="M64" i="24"/>
  <c r="M60" i="41"/>
  <c r="O30" i="23"/>
  <c r="M22" i="44"/>
  <c r="Q123" i="49"/>
  <c r="O22" i="44" s="1"/>
  <c r="O69" i="24"/>
  <c r="O71"/>
  <c r="Q172" i="49"/>
  <c r="M63" i="24"/>
  <c r="M71"/>
  <c r="U162" i="49"/>
  <c r="AJ3" i="8"/>
  <c r="AJ39" i="76" s="1"/>
  <c r="P37" i="80" s="1"/>
  <c r="R35" i="8"/>
  <c r="U152" i="49"/>
  <c r="S94" i="3"/>
  <c r="S214" i="15"/>
  <c r="R72" i="82" s="1"/>
  <c r="N103" i="47"/>
  <c r="N26"/>
  <c r="AH4" s="1"/>
  <c r="AG37" i="76" s="1"/>
  <c r="M35" i="80" s="1"/>
  <c r="K3" i="47"/>
  <c r="AH13" i="76" s="1"/>
  <c r="N11" i="80" s="1"/>
  <c r="N15" i="47"/>
  <c r="O392" i="38" s="1"/>
  <c r="Q66" i="47"/>
  <c r="Q23" s="1"/>
  <c r="L56" i="1" s="1"/>
  <c r="N14" i="47"/>
  <c r="O391" i="38" s="1"/>
  <c r="N16" i="47"/>
  <c r="O393" i="38" s="1"/>
  <c r="P37" i="13"/>
  <c r="P23" i="12"/>
  <c r="P24"/>
  <c r="O332" i="38" s="1"/>
  <c r="P62" i="12"/>
  <c r="O94" i="30" s="1"/>
  <c r="P63" i="12"/>
  <c r="O95" i="30" s="1"/>
  <c r="P64" i="12"/>
  <c r="O96" i="30" s="1"/>
  <c r="P65" i="12"/>
  <c r="O97" i="30" s="1"/>
  <c r="P78" i="12"/>
  <c r="P79"/>
  <c r="O29" i="31" s="1"/>
  <c r="O30" i="85"/>
  <c r="AM4" s="1"/>
  <c r="O42" i="76" s="1"/>
  <c r="O33" i="68"/>
  <c r="O32" s="1"/>
  <c r="P7" i="12"/>
  <c r="O93" i="38" s="1"/>
  <c r="P8" i="12"/>
  <c r="O94" i="38" s="1"/>
  <c r="P9" i="12"/>
  <c r="O95" i="38" s="1"/>
  <c r="P27" i="12"/>
  <c r="P26" s="1"/>
  <c r="O13" i="85" s="1"/>
  <c r="L4" s="1"/>
  <c r="O14" i="76" s="1"/>
  <c r="P58" i="12"/>
  <c r="O90" i="30" s="1"/>
  <c r="P59" i="12"/>
  <c r="O91" i="30" s="1"/>
  <c r="P60" i="12"/>
  <c r="O92" i="30" s="1"/>
  <c r="O39" i="85"/>
  <c r="AU4" s="1"/>
  <c r="O51" i="76" s="1"/>
  <c r="P50" i="12"/>
  <c r="P46" s="1"/>
  <c r="P88"/>
  <c r="O24" i="32" s="1"/>
  <c r="O23" s="1"/>
  <c r="P61" i="12"/>
  <c r="O93" i="30" s="1"/>
  <c r="M71"/>
  <c r="M26" i="42"/>
  <c r="O14" i="8"/>
  <c r="O16"/>
  <c r="O72" i="30" s="1"/>
  <c r="O17" i="8"/>
  <c r="O73" i="30" s="1"/>
  <c r="M91" i="38"/>
  <c r="O25" i="8"/>
  <c r="O37" i="41" s="1"/>
  <c r="O26" i="8"/>
  <c r="O38" i="41" s="1"/>
  <c r="R34" i="8"/>
  <c r="L39" i="1" s="1"/>
  <c r="O24" i="8"/>
  <c r="O78" i="30" s="1"/>
  <c r="O27" i="8"/>
  <c r="AS4" s="1"/>
  <c r="AI49" i="76" s="1"/>
  <c r="O47" i="80" s="1"/>
  <c r="P168" i="15"/>
  <c r="O140" i="38"/>
  <c r="P199" i="15"/>
  <c r="O18" i="45" s="1"/>
  <c r="M25" i="24"/>
  <c r="M53" i="38"/>
  <c r="M142"/>
  <c r="O231"/>
  <c r="M307"/>
  <c r="P91" i="15"/>
  <c r="O7" i="70" s="1"/>
  <c r="O6" s="1"/>
  <c r="P130" i="15"/>
  <c r="P131"/>
  <c r="O12" i="26" s="1"/>
  <c r="P182" i="15"/>
  <c r="P181" s="1"/>
  <c r="O60" i="82" s="1"/>
  <c r="P183" i="72"/>
  <c r="F189"/>
  <c r="P189"/>
  <c r="M44" i="38"/>
  <c r="R25" i="82"/>
  <c r="M139" i="38"/>
  <c r="M308"/>
  <c r="J3" i="82"/>
  <c r="Z12" i="76" s="1"/>
  <c r="J10" i="80" s="1"/>
  <c r="P198" i="15"/>
  <c r="O17" i="45" s="1"/>
  <c r="G135" i="72"/>
  <c r="H153"/>
  <c r="F207"/>
  <c r="W4" i="60"/>
  <c r="U26" i="76" s="1"/>
  <c r="O8" i="60"/>
  <c r="O7" s="1"/>
  <c r="M42" i="81"/>
  <c r="P21" i="3"/>
  <c r="O405" i="38" s="1"/>
  <c r="M406"/>
  <c r="M27" i="30"/>
  <c r="M30"/>
  <c r="M16" i="41"/>
  <c r="M21" i="27"/>
  <c r="M47"/>
  <c r="M41" i="81"/>
  <c r="AL3"/>
  <c r="J41" i="76" s="1"/>
  <c r="M16" i="68"/>
  <c r="J58" i="80"/>
  <c r="H58"/>
  <c r="V7" i="76"/>
  <c r="I269" i="67"/>
  <c r="I75"/>
  <c r="G74"/>
  <c r="P95" i="72"/>
  <c r="AJ3" i="2"/>
  <c r="H39" i="76" s="1"/>
  <c r="AJ3" i="4"/>
  <c r="L39" i="76" s="1"/>
  <c r="S76" i="15"/>
  <c r="R31" i="82" s="1"/>
  <c r="AJ3" s="1"/>
  <c r="Z39" i="76" s="1"/>
  <c r="J37" i="80" s="1"/>
  <c r="S136" i="15"/>
  <c r="U135" i="49"/>
  <c r="AK3" i="82"/>
  <c r="Z40" i="76" s="1"/>
  <c r="J38" i="80" s="1"/>
  <c r="R45" i="16"/>
  <c r="R62"/>
  <c r="AT3"/>
  <c r="F50" i="76" s="1"/>
  <c r="AF3" i="16"/>
  <c r="F35" i="76" s="1"/>
  <c r="O63" i="16"/>
  <c r="O64"/>
  <c r="O18" i="38" s="1"/>
  <c r="R103" i="16"/>
  <c r="F20" i="80"/>
  <c r="D20" s="1"/>
  <c r="C27" i="76"/>
  <c r="F27" i="80"/>
  <c r="E27"/>
  <c r="F32"/>
  <c r="D26" i="76"/>
  <c r="P38" i="72"/>
  <c r="D45" i="76"/>
  <c r="R43" i="80"/>
  <c r="M477" i="38"/>
  <c r="M481"/>
  <c r="K227" i="72"/>
  <c r="M15" i="20"/>
  <c r="P10" i="3"/>
  <c r="O29" i="38" s="1"/>
  <c r="P28" i="3"/>
  <c r="O28" i="27" s="1"/>
  <c r="P30" i="3"/>
  <c r="O220" i="38" s="1"/>
  <c r="P35" i="3"/>
  <c r="O300" i="38" s="1"/>
  <c r="P50" i="3"/>
  <c r="O49" i="27" s="1"/>
  <c r="M29" i="38"/>
  <c r="M220"/>
  <c r="M15" i="41"/>
  <c r="O16" i="81"/>
  <c r="P14" i="3"/>
  <c r="O14" i="27" s="1"/>
  <c r="P25" i="3"/>
  <c r="O25" i="27" s="1"/>
  <c r="P27" i="3"/>
  <c r="O27" i="27" s="1"/>
  <c r="P49" i="3"/>
  <c r="O14" i="20" s="1"/>
  <c r="P95" i="3"/>
  <c r="O22" i="30" s="1"/>
  <c r="P96" i="3"/>
  <c r="O23" i="30" s="1"/>
  <c r="P97" i="3"/>
  <c r="O24" i="30" s="1"/>
  <c r="P98" i="3"/>
  <c r="O25" i="30" s="1"/>
  <c r="P99" i="3"/>
  <c r="O26" i="30" s="1"/>
  <c r="P102" i="3"/>
  <c r="P103"/>
  <c r="O29" i="30" s="1"/>
  <c r="P105" i="3"/>
  <c r="O31" i="30" s="1"/>
  <c r="P107" i="3"/>
  <c r="O13" i="41" s="1"/>
  <c r="P108" i="3"/>
  <c r="O14" i="41" s="1"/>
  <c r="M117" i="38"/>
  <c r="M215"/>
  <c r="M17" i="41"/>
  <c r="M57" i="27"/>
  <c r="M216" i="38"/>
  <c r="P11" i="3"/>
  <c r="O30" i="38" s="1"/>
  <c r="P24" i="3"/>
  <c r="O214" i="38" s="1"/>
  <c r="P48" i="3"/>
  <c r="O47" i="27" s="1"/>
  <c r="P51" i="3"/>
  <c r="M301" i="38"/>
  <c r="M56" i="27"/>
  <c r="O348" i="38"/>
  <c r="AH4" i="2"/>
  <c r="G37" i="76" s="1"/>
  <c r="R25" i="16"/>
  <c r="O101"/>
  <c r="O8" i="68" s="1"/>
  <c r="M436" i="38"/>
  <c r="O65" i="16"/>
  <c r="O19" i="38" s="1"/>
  <c r="P97" i="12"/>
  <c r="O40" i="85" s="1"/>
  <c r="AZ4" s="1"/>
  <c r="O56" i="76" s="1"/>
  <c r="E54" i="80" s="1"/>
  <c r="O15" i="43"/>
  <c r="O14" s="1"/>
  <c r="M22" i="23"/>
  <c r="M177" i="38"/>
  <c r="M179"/>
  <c r="M15" i="43"/>
  <c r="P11" i="12"/>
  <c r="P13"/>
  <c r="O178" i="38" s="1"/>
  <c r="P31" i="12"/>
  <c r="O385" i="38" s="1"/>
  <c r="P38" i="12"/>
  <c r="P39"/>
  <c r="O25" i="45" s="1"/>
  <c r="V3" i="85"/>
  <c r="P25" i="76" s="1"/>
  <c r="D25" s="1"/>
  <c r="P67" i="12"/>
  <c r="P68"/>
  <c r="O30" i="20" s="1"/>
  <c r="P82" i="12"/>
  <c r="O23" i="23" s="1"/>
  <c r="P83" i="12"/>
  <c r="O24" i="23" s="1"/>
  <c r="M16" i="44"/>
  <c r="O29" i="85"/>
  <c r="AO4" s="1"/>
  <c r="O44" i="76" s="1"/>
  <c r="O38" i="85"/>
  <c r="AV4" s="1"/>
  <c r="O52" i="76" s="1"/>
  <c r="P6" i="12"/>
  <c r="O9" i="85" s="1"/>
  <c r="F4" s="1"/>
  <c r="O8" i="76" s="1"/>
  <c r="P33" i="12"/>
  <c r="P34"/>
  <c r="O20" i="37" s="1"/>
  <c r="P41" i="12"/>
  <c r="O95" i="27" s="1"/>
  <c r="P42" i="12"/>
  <c r="O96" i="27" s="1"/>
  <c r="P43" i="12"/>
  <c r="O20" i="85" s="1"/>
  <c r="O4" s="1"/>
  <c r="O18" i="76" s="1"/>
  <c r="P85" i="12"/>
  <c r="P86"/>
  <c r="O29" i="42" s="1"/>
  <c r="P101" i="12"/>
  <c r="O17" i="26" s="1"/>
  <c r="P102" i="12"/>
  <c r="O18" i="26" s="1"/>
  <c r="P103" i="12"/>
  <c r="O19" i="26" s="1"/>
  <c r="R16" i="85"/>
  <c r="O23"/>
  <c r="V4" s="1"/>
  <c r="O25" i="76" s="1"/>
  <c r="C25" s="1"/>
  <c r="P105" i="12"/>
  <c r="O15" i="44" s="1"/>
  <c r="O14" s="1"/>
  <c r="F2" i="23"/>
  <c r="AP3" i="2"/>
  <c r="H46" i="76" s="1"/>
  <c r="AP3" i="58"/>
  <c r="AL46" i="76" s="1"/>
  <c r="AY3" i="16"/>
  <c r="F55" i="76" s="1"/>
  <c r="F53" i="80" s="1"/>
  <c r="AU3" i="16"/>
  <c r="F51" i="76" s="1"/>
  <c r="AM3" i="16"/>
  <c r="F42" i="76" s="1"/>
  <c r="S106" i="3"/>
  <c r="S47"/>
  <c r="R20" i="81" s="1"/>
  <c r="AK3" s="1"/>
  <c r="J40" i="76" s="1"/>
  <c r="F2" i="20"/>
  <c r="F40" i="76"/>
  <c r="S101" i="3"/>
  <c r="S39"/>
  <c r="S38" s="1"/>
  <c r="AJ3" i="16"/>
  <c r="F39" i="76" s="1"/>
  <c r="R77" i="16"/>
  <c r="R16"/>
  <c r="R70"/>
  <c r="G3"/>
  <c r="F9" i="76" s="1"/>
  <c r="R33" i="2"/>
  <c r="F3"/>
  <c r="S77" i="3"/>
  <c r="R30" i="81" s="1"/>
  <c r="R29" s="1"/>
  <c r="S67" i="3"/>
  <c r="S61" s="1"/>
  <c r="R26" i="81" s="1"/>
  <c r="I167" i="67"/>
  <c r="Q60" i="76"/>
  <c r="N166" i="66"/>
  <c r="G166" i="67" s="1"/>
  <c r="G111"/>
  <c r="N108" i="66"/>
  <c r="G108" i="67" s="1"/>
  <c r="N171" i="66"/>
  <c r="G171" i="67" s="1"/>
  <c r="G119"/>
  <c r="I119" s="1"/>
  <c r="G153"/>
  <c r="N104" i="66"/>
  <c r="G104" i="67" s="1"/>
  <c r="N211" i="66"/>
  <c r="L4"/>
  <c r="W60" i="76" s="1"/>
  <c r="L4" i="67"/>
  <c r="W61" i="76" s="1"/>
  <c r="G59" i="80" s="1"/>
  <c r="N233" i="66"/>
  <c r="G233" i="67" s="1"/>
  <c r="G236"/>
  <c r="N239" i="66"/>
  <c r="G239" i="67" s="1"/>
  <c r="N4" i="66"/>
  <c r="AK60" i="76" s="1"/>
  <c r="I273" i="67"/>
  <c r="K58" i="1" s="1"/>
  <c r="I267" i="67"/>
  <c r="N265" i="66"/>
  <c r="G265" i="67" s="1"/>
  <c r="N250" i="66"/>
  <c r="G250" i="67" s="1"/>
  <c r="G251"/>
  <c r="G254"/>
  <c r="I254" s="1"/>
  <c r="I253"/>
  <c r="I243"/>
  <c r="N225" i="66"/>
  <c r="G225" i="67" s="1"/>
  <c r="I229"/>
  <c r="I215"/>
  <c r="I207"/>
  <c r="K43" i="1" s="1"/>
  <c r="G208" i="67"/>
  <c r="I213"/>
  <c r="I219"/>
  <c r="I149"/>
  <c r="I145"/>
  <c r="I201"/>
  <c r="I135"/>
  <c r="I143"/>
  <c r="I147"/>
  <c r="I165"/>
  <c r="I169"/>
  <c r="K30" i="1" s="1"/>
  <c r="I173" i="67"/>
  <c r="I179"/>
  <c r="I183"/>
  <c r="I187"/>
  <c r="N185" i="66"/>
  <c r="G185" i="67" s="1"/>
  <c r="I155"/>
  <c r="I177"/>
  <c r="G123"/>
  <c r="I123" s="1"/>
  <c r="G131"/>
  <c r="I189"/>
  <c r="I157"/>
  <c r="N142" i="66"/>
  <c r="G142" i="67" s="1"/>
  <c r="N163" i="66"/>
  <c r="I127" i="67"/>
  <c r="I141"/>
  <c r="I131"/>
  <c r="I161"/>
  <c r="I181"/>
  <c r="I133"/>
  <c r="I193"/>
  <c r="N199" i="66"/>
  <c r="G199" i="67" s="1"/>
  <c r="I125"/>
  <c r="I117"/>
  <c r="I113"/>
  <c r="G109"/>
  <c r="I111"/>
  <c r="G106"/>
  <c r="I106" s="1"/>
  <c r="I107"/>
  <c r="G96"/>
  <c r="I93"/>
  <c r="I97"/>
  <c r="I101"/>
  <c r="I95"/>
  <c r="G89"/>
  <c r="I89" s="1"/>
  <c r="I85"/>
  <c r="N78" i="66"/>
  <c r="G78" i="67" s="1"/>
  <c r="M274" i="72"/>
  <c r="M273" s="1"/>
  <c r="G73" i="67"/>
  <c r="I73" s="1"/>
  <c r="M266" i="72"/>
  <c r="I69" i="67"/>
  <c r="K17" i="1" s="1"/>
  <c r="G61" i="67"/>
  <c r="I59"/>
  <c r="E4"/>
  <c r="G61" i="76" s="1"/>
  <c r="G49" i="67"/>
  <c r="N45" i="66"/>
  <c r="G45" i="67" s="1"/>
  <c r="I49"/>
  <c r="I47"/>
  <c r="N42" i="66"/>
  <c r="G42" i="67" s="1"/>
  <c r="N39" i="66"/>
  <c r="N33"/>
  <c r="G33" i="67" s="1"/>
  <c r="I37"/>
  <c r="I35"/>
  <c r="N30" i="66"/>
  <c r="G30" i="67" s="1"/>
  <c r="I31"/>
  <c r="I24"/>
  <c r="G12"/>
  <c r="I26"/>
  <c r="G16"/>
  <c r="I16" s="1"/>
  <c r="I22"/>
  <c r="R7" i="56"/>
  <c r="E3" s="1"/>
  <c r="O26"/>
  <c r="BD4" s="1"/>
  <c r="AM58" i="76" s="1"/>
  <c r="Q56" i="80" s="1"/>
  <c r="O20" i="56"/>
  <c r="BC4" s="1"/>
  <c r="AM45" i="76" s="1"/>
  <c r="O14" i="56"/>
  <c r="AD4" s="1"/>
  <c r="AM33" i="76" s="1"/>
  <c r="Q31" i="80" s="1"/>
  <c r="C31" s="1"/>
  <c r="O8" i="56"/>
  <c r="O477" i="38"/>
  <c r="O476" s="1"/>
  <c r="F2" i="45"/>
  <c r="R9" i="58"/>
  <c r="O3"/>
  <c r="AL18" i="76" s="1"/>
  <c r="F2" i="54"/>
  <c r="AQ3" i="81"/>
  <c r="J47" i="76" s="1"/>
  <c r="F2" i="68"/>
  <c r="R40" i="81"/>
  <c r="F2" i="41"/>
  <c r="S57" i="3"/>
  <c r="R19" i="81"/>
  <c r="F2" i="30"/>
  <c r="O7" i="37"/>
  <c r="O6" s="1"/>
  <c r="P116" i="3"/>
  <c r="O46" i="81" s="1"/>
  <c r="P113" i="3"/>
  <c r="O42" i="81"/>
  <c r="O44"/>
  <c r="O43"/>
  <c r="O28" i="30"/>
  <c r="O301" i="38"/>
  <c r="P90" i="3"/>
  <c r="O36" i="81" s="1"/>
  <c r="O223" i="38"/>
  <c r="P88" i="3"/>
  <c r="O35" i="81" s="1"/>
  <c r="M223" i="38"/>
  <c r="P78" i="3"/>
  <c r="P79"/>
  <c r="O75" i="27" s="1"/>
  <c r="P80" i="3"/>
  <c r="O76" i="27" s="1"/>
  <c r="P81" i="3"/>
  <c r="O77" i="27" s="1"/>
  <c r="P82" i="3"/>
  <c r="O78" i="27" s="1"/>
  <c r="P83" i="3"/>
  <c r="O79" i="27" s="1"/>
  <c r="P84" i="3"/>
  <c r="P85"/>
  <c r="P73"/>
  <c r="P74"/>
  <c r="O71" i="27" s="1"/>
  <c r="P75" i="3"/>
  <c r="P62"/>
  <c r="P63"/>
  <c r="O60" i="27" s="1"/>
  <c r="P64" i="3"/>
  <c r="O61" i="27" s="1"/>
  <c r="P65" i="3"/>
  <c r="O62" i="27" s="1"/>
  <c r="P66" i="3"/>
  <c r="O63" i="27" s="1"/>
  <c r="P68" i="3"/>
  <c r="P69"/>
  <c r="O66" i="27" s="1"/>
  <c r="P70" i="3"/>
  <c r="O67" i="27" s="1"/>
  <c r="P71" i="3"/>
  <c r="O68" i="27" s="1"/>
  <c r="O57"/>
  <c r="O24" i="81"/>
  <c r="P57" i="3"/>
  <c r="O56" i="27"/>
  <c r="O23" i="81"/>
  <c r="O52" i="27"/>
  <c r="P53" i="3"/>
  <c r="M52" i="27"/>
  <c r="M53"/>
  <c r="M54"/>
  <c r="O13" i="20"/>
  <c r="M14"/>
  <c r="P47" i="3"/>
  <c r="O20" i="81" s="1"/>
  <c r="AK4" s="1"/>
  <c r="I40" i="76" s="1"/>
  <c r="O21" i="30"/>
  <c r="O45" i="27"/>
  <c r="O42"/>
  <c r="O18" i="30"/>
  <c r="O17"/>
  <c r="O41" i="27"/>
  <c r="O40"/>
  <c r="O16" i="30"/>
  <c r="O44" i="27"/>
  <c r="O20" i="30"/>
  <c r="P44" i="3"/>
  <c r="M17" i="30"/>
  <c r="M21"/>
  <c r="M16"/>
  <c r="M20"/>
  <c r="M40" i="27"/>
  <c r="M42"/>
  <c r="M44"/>
  <c r="M18" i="30"/>
  <c r="M39" i="27"/>
  <c r="M41"/>
  <c r="M43"/>
  <c r="M45"/>
  <c r="P40" i="3"/>
  <c r="P33"/>
  <c r="O15" i="81" s="1"/>
  <c r="O34" i="27"/>
  <c r="O299" i="38"/>
  <c r="M299"/>
  <c r="M34" i="27"/>
  <c r="M7" i="37"/>
  <c r="M35" i="27"/>
  <c r="P29" i="3"/>
  <c r="P32"/>
  <c r="O217" i="38"/>
  <c r="M219"/>
  <c r="M27" i="27"/>
  <c r="O30"/>
  <c r="M31"/>
  <c r="P26" i="3"/>
  <c r="P31"/>
  <c r="M214" i="38"/>
  <c r="M218"/>
  <c r="M222"/>
  <c r="O215"/>
  <c r="O406"/>
  <c r="O22" i="27"/>
  <c r="M22"/>
  <c r="O16"/>
  <c r="O117" i="38"/>
  <c r="O18" i="27"/>
  <c r="O119" i="38"/>
  <c r="P17" i="3"/>
  <c r="M116" i="38"/>
  <c r="M120"/>
  <c r="M14" i="27"/>
  <c r="M16"/>
  <c r="M18"/>
  <c r="P13" i="3"/>
  <c r="P19"/>
  <c r="M119" i="38"/>
  <c r="P15" i="3"/>
  <c r="M114" i="38"/>
  <c r="M118"/>
  <c r="O11" i="27"/>
  <c r="P9" i="3"/>
  <c r="P7" s="1"/>
  <c r="M28" i="38"/>
  <c r="M11" i="27"/>
  <c r="O8"/>
  <c r="O27" i="38"/>
  <c r="M27"/>
  <c r="M8" i="27"/>
  <c r="R59" i="2"/>
  <c r="AS3"/>
  <c r="H49" i="76" s="1"/>
  <c r="J3" i="2"/>
  <c r="H12" i="76" s="1"/>
  <c r="R15" i="2"/>
  <c r="R8" s="1"/>
  <c r="L11" i="1" s="1"/>
  <c r="R100" i="16"/>
  <c r="AF3" i="2"/>
  <c r="H35" i="76" s="1"/>
  <c r="R46" i="2"/>
  <c r="R40" i="16"/>
  <c r="R32"/>
  <c r="H4" i="2"/>
  <c r="G10" i="76" s="1"/>
  <c r="R394" i="38"/>
  <c r="R288"/>
  <c r="R22" i="16"/>
  <c r="R21" s="1"/>
  <c r="R196" i="38"/>
  <c r="R101"/>
  <c r="R9" i="16"/>
  <c r="O108"/>
  <c r="M7" i="26"/>
  <c r="M11" i="68"/>
  <c r="O102" i="16"/>
  <c r="O9" i="68" s="1"/>
  <c r="O71" i="16"/>
  <c r="O205" i="38" s="1"/>
  <c r="O72" i="16"/>
  <c r="O206" i="38" s="1"/>
  <c r="O73" i="16"/>
  <c r="O207" i="38" s="1"/>
  <c r="O74" i="16"/>
  <c r="O208" i="38" s="1"/>
  <c r="O75" i="16"/>
  <c r="O209" i="38" s="1"/>
  <c r="O76" i="16"/>
  <c r="O210" i="38" s="1"/>
  <c r="O53" i="16"/>
  <c r="M435" i="38"/>
  <c r="O51" i="16"/>
  <c r="O50" s="1"/>
  <c r="M8" i="53"/>
  <c r="O41" i="16"/>
  <c r="O42"/>
  <c r="O8" i="24" s="1"/>
  <c r="O43" i="16"/>
  <c r="O44"/>
  <c r="O8" i="44" s="1"/>
  <c r="O34" i="16"/>
  <c r="O8" i="30" s="1"/>
  <c r="O36" i="16"/>
  <c r="O37"/>
  <c r="O8" i="20" s="1"/>
  <c r="AH4" i="16"/>
  <c r="E37" i="76" s="1"/>
  <c r="M9" i="30"/>
  <c r="M7" i="41"/>
  <c r="M7" i="30"/>
  <c r="O26" i="16"/>
  <c r="O27"/>
  <c r="O201" i="38" s="1"/>
  <c r="O28" i="16"/>
  <c r="O202" i="38" s="1"/>
  <c r="O23" i="16"/>
  <c r="O24"/>
  <c r="O199" i="38" s="1"/>
  <c r="O11" i="16"/>
  <c r="O9" i="38" s="1"/>
  <c r="O12" i="16"/>
  <c r="O10" i="38" s="1"/>
  <c r="O13" i="16"/>
  <c r="O11" i="38" s="1"/>
  <c r="O14" i="16"/>
  <c r="O12" i="38" s="1"/>
  <c r="O15" i="16"/>
  <c r="O13" i="38" s="1"/>
  <c r="O10" i="16"/>
  <c r="O8" i="38" s="1"/>
  <c r="J270" i="67"/>
  <c r="M57" i="1" s="1"/>
  <c r="AL59" i="76"/>
  <c r="AL7" s="1"/>
  <c r="J77" i="67"/>
  <c r="M19" i="1" s="1"/>
  <c r="L59" i="76"/>
  <c r="L7" s="1"/>
  <c r="D61"/>
  <c r="E253" i="72"/>
  <c r="E116" i="67"/>
  <c r="E209"/>
  <c r="I209" s="1"/>
  <c r="E228"/>
  <c r="F235"/>
  <c r="J235" s="1"/>
  <c r="N88" i="65"/>
  <c r="E88" i="67" s="1"/>
  <c r="Q195" i="65"/>
  <c r="F195" i="67" s="1"/>
  <c r="F239" i="72"/>
  <c r="F59" i="80"/>
  <c r="J70" i="67"/>
  <c r="M18" i="1" s="1"/>
  <c r="F84" i="67"/>
  <c r="J84" s="1"/>
  <c r="M21" i="1" s="1"/>
  <c r="E87" i="67"/>
  <c r="I87" s="1"/>
  <c r="E172"/>
  <c r="E252"/>
  <c r="I252" s="1"/>
  <c r="N130" i="65"/>
  <c r="E130" i="67" s="1"/>
  <c r="I130" s="1"/>
  <c r="Q152" i="65"/>
  <c r="F152" i="67" s="1"/>
  <c r="J152" s="1"/>
  <c r="I253" i="72"/>
  <c r="I58" i="67"/>
  <c r="AB59" i="76"/>
  <c r="AB7" s="1"/>
  <c r="F39" i="67"/>
  <c r="J39" s="1"/>
  <c r="M11" i="1" s="1"/>
  <c r="I74" i="67"/>
  <c r="E79"/>
  <c r="I79" s="1"/>
  <c r="E105"/>
  <c r="I105" s="1"/>
  <c r="F122"/>
  <c r="J122" s="1"/>
  <c r="F211"/>
  <c r="J211" s="1"/>
  <c r="M45" i="1" s="1"/>
  <c r="F258" i="67"/>
  <c r="J258" s="1"/>
  <c r="H59" i="76"/>
  <c r="H7" s="1"/>
  <c r="M249" i="72"/>
  <c r="Q103" i="65"/>
  <c r="F103" i="67" s="1"/>
  <c r="J103" s="1"/>
  <c r="M25" i="1" s="1"/>
  <c r="N196" i="65"/>
  <c r="G239" i="72"/>
  <c r="P239"/>
  <c r="H239"/>
  <c r="H238" s="1"/>
  <c r="H237" s="1"/>
  <c r="M239"/>
  <c r="G245"/>
  <c r="P245"/>
  <c r="L253"/>
  <c r="I194" i="67"/>
  <c r="I110"/>
  <c r="K4" i="65"/>
  <c r="N175"/>
  <c r="E175" i="67" s="1"/>
  <c r="N185" i="65"/>
  <c r="E185" i="67" s="1"/>
  <c r="N204" i="65"/>
  <c r="E204" i="67" s="1"/>
  <c r="O59" i="76" s="1"/>
  <c r="E151" i="67"/>
  <c r="I151" s="1"/>
  <c r="I154"/>
  <c r="I168"/>
  <c r="I184"/>
  <c r="I188"/>
  <c r="E206"/>
  <c r="I206" s="1"/>
  <c r="I208"/>
  <c r="I272"/>
  <c r="N166" i="65"/>
  <c r="E166" i="67" s="1"/>
  <c r="N199" i="65"/>
  <c r="E199" i="67" s="1"/>
  <c r="I199" s="1"/>
  <c r="K38" i="1" s="1"/>
  <c r="J4" i="67"/>
  <c r="O61" i="76" s="1"/>
  <c r="I144" i="67"/>
  <c r="I218"/>
  <c r="E274"/>
  <c r="I274" s="1"/>
  <c r="N108" i="65"/>
  <c r="N126"/>
  <c r="E126" i="67" s="1"/>
  <c r="I4" i="65"/>
  <c r="N195"/>
  <c r="E195" i="67" s="1"/>
  <c r="AI59" i="76" s="1"/>
  <c r="N216" i="65"/>
  <c r="E216" i="67" s="1"/>
  <c r="D59" i="80"/>
  <c r="J204" i="67"/>
  <c r="M42" i="1" s="1"/>
  <c r="P59" i="76"/>
  <c r="P7" s="1"/>
  <c r="J51" i="67"/>
  <c r="M14" i="1" s="1"/>
  <c r="J59" i="76"/>
  <c r="J7" s="1"/>
  <c r="J195" i="67"/>
  <c r="M36" i="1" s="1"/>
  <c r="AJ59" i="76"/>
  <c r="Q174" i="65"/>
  <c r="F174" i="67" s="1"/>
  <c r="F178"/>
  <c r="J178" s="1"/>
  <c r="M35" i="1" s="1"/>
  <c r="R5" i="80"/>
  <c r="F53" i="67"/>
  <c r="J53" s="1"/>
  <c r="E83"/>
  <c r="I83" s="1"/>
  <c r="F92"/>
  <c r="J92" s="1"/>
  <c r="M24" i="1" s="1"/>
  <c r="I124" i="67"/>
  <c r="F185"/>
  <c r="J185" s="1"/>
  <c r="E196"/>
  <c r="J273"/>
  <c r="M58" i="1" s="1"/>
  <c r="M247" i="72"/>
  <c r="N84" i="65"/>
  <c r="E84" i="67" s="1"/>
  <c r="N163" i="65"/>
  <c r="E164" i="67"/>
  <c r="I164" s="1"/>
  <c r="N258" i="65"/>
  <c r="N270"/>
  <c r="E270" i="67" s="1"/>
  <c r="I270" s="1"/>
  <c r="K57" i="1" s="1"/>
  <c r="N4" i="65"/>
  <c r="N4" i="67" s="1"/>
  <c r="AK61" i="76" s="1"/>
  <c r="O59" i="80" s="1"/>
  <c r="E271" i="67"/>
  <c r="I271" s="1"/>
  <c r="N253" i="72"/>
  <c r="R59" i="76"/>
  <c r="R7" s="1"/>
  <c r="AM59"/>
  <c r="Q57" i="80" s="1"/>
  <c r="X7" i="76"/>
  <c r="I25" i="67"/>
  <c r="I29"/>
  <c r="F71"/>
  <c r="J71" s="1"/>
  <c r="I90"/>
  <c r="I220"/>
  <c r="N115" i="65"/>
  <c r="N178"/>
  <c r="E178" i="67" s="1"/>
  <c r="Q250" i="65"/>
  <c r="F251" i="67"/>
  <c r="J251" s="1"/>
  <c r="E14"/>
  <c r="I14" s="1"/>
  <c r="I76"/>
  <c r="I94"/>
  <c r="I128"/>
  <c r="I160"/>
  <c r="I200"/>
  <c r="N112" i="65"/>
  <c r="E112" i="67" s="1"/>
  <c r="F238" i="72"/>
  <c r="F252"/>
  <c r="I190" i="67"/>
  <c r="I228"/>
  <c r="N53" i="65"/>
  <c r="E53" i="67" s="1"/>
  <c r="N57" i="65"/>
  <c r="E57" i="67" s="1"/>
  <c r="I57" s="1"/>
  <c r="N99" i="65"/>
  <c r="E99" i="67" s="1"/>
  <c r="I99" s="1"/>
  <c r="N134" i="65"/>
  <c r="E134" i="67" s="1"/>
  <c r="I134" s="1"/>
  <c r="N153" i="65"/>
  <c r="E153" i="67" s="1"/>
  <c r="I153" s="1"/>
  <c r="N171" i="65"/>
  <c r="E171" i="67" s="1"/>
  <c r="I171" s="1"/>
  <c r="I185"/>
  <c r="N71" i="65"/>
  <c r="E71" i="67" s="1"/>
  <c r="M245" i="72"/>
  <c r="M238" s="1"/>
  <c r="N122" i="65"/>
  <c r="E122" i="67" s="1"/>
  <c r="I122" s="1"/>
  <c r="N245" i="65"/>
  <c r="E245" i="67" s="1"/>
  <c r="I245" s="1"/>
  <c r="N262" i="65"/>
  <c r="E262" i="67" s="1"/>
  <c r="I262" s="1"/>
  <c r="K253" i="72"/>
  <c r="I96" i="67"/>
  <c r="I80"/>
  <c r="E82"/>
  <c r="I82" s="1"/>
  <c r="N78" i="65"/>
  <c r="N65"/>
  <c r="E61" i="67"/>
  <c r="I61" s="1"/>
  <c r="I60"/>
  <c r="N52" i="65"/>
  <c r="E54" i="67"/>
  <c r="I54" s="1"/>
  <c r="I50"/>
  <c r="N42" i="65"/>
  <c r="E42" i="67" s="1"/>
  <c r="I42" s="1"/>
  <c r="K12" i="1" s="1"/>
  <c r="N39" i="65"/>
  <c r="E39" i="67" s="1"/>
  <c r="I32"/>
  <c r="E41"/>
  <c r="I41" s="1"/>
  <c r="I48"/>
  <c r="N30" i="65"/>
  <c r="E30" i="67" s="1"/>
  <c r="I30" s="1"/>
  <c r="K8" i="1" s="1"/>
  <c r="N33" i="65"/>
  <c r="E33" i="67" s="1"/>
  <c r="I33" s="1"/>
  <c r="K9" i="1" s="1"/>
  <c r="N45" i="65"/>
  <c r="E45" i="67" s="1"/>
  <c r="I45" s="1"/>
  <c r="K13" i="1" s="1"/>
  <c r="E11" i="67"/>
  <c r="I11" s="1"/>
  <c r="E15"/>
  <c r="I15" s="1"/>
  <c r="I23"/>
  <c r="E17"/>
  <c r="I17" s="1"/>
  <c r="O21" i="75"/>
  <c r="I27" i="67"/>
  <c r="I28"/>
  <c r="J17"/>
  <c r="J16"/>
  <c r="AN3" i="82"/>
  <c r="Z43" i="76" s="1"/>
  <c r="R32" i="2"/>
  <c r="N10" i="65"/>
  <c r="E226" i="67"/>
  <c r="I226" s="1"/>
  <c r="N225" i="65"/>
  <c r="I21" i="67"/>
  <c r="I36"/>
  <c r="I46"/>
  <c r="I56"/>
  <c r="I66"/>
  <c r="I72"/>
  <c r="I100"/>
  <c r="E109"/>
  <c r="I109" s="1"/>
  <c r="N211" i="65"/>
  <c r="E212" i="67"/>
  <c r="I212" s="1"/>
  <c r="N92" i="65"/>
  <c r="G4"/>
  <c r="E139" i="67"/>
  <c r="I139" s="1"/>
  <c r="N138" i="65"/>
  <c r="E138" i="67" s="1"/>
  <c r="I138" s="1"/>
  <c r="E234"/>
  <c r="I234" s="1"/>
  <c r="I12"/>
  <c r="I19"/>
  <c r="I34"/>
  <c r="I40"/>
  <c r="I44"/>
  <c r="I62"/>
  <c r="I68"/>
  <c r="I98"/>
  <c r="N159" i="65"/>
  <c r="E159" i="67" s="1"/>
  <c r="I159" s="1"/>
  <c r="N227" i="65"/>
  <c r="E227" i="67" s="1"/>
  <c r="N235" i="65"/>
  <c r="E235" i="67" s="1"/>
  <c r="I235" s="1"/>
  <c r="N239" i="65"/>
  <c r="E239" i="67" s="1"/>
  <c r="I239" s="1"/>
  <c r="E240"/>
  <c r="I240" s="1"/>
  <c r="E258"/>
  <c r="I258" s="1"/>
  <c r="N142" i="65"/>
  <c r="E142" i="67" s="1"/>
  <c r="E146"/>
  <c r="I146" s="1"/>
  <c r="N156" i="65"/>
  <c r="E156" i="67" s="1"/>
  <c r="I156" s="1"/>
  <c r="M4" i="65"/>
  <c r="M4" i="67" s="1"/>
  <c r="AG61" i="76" s="1"/>
  <c r="M59" i="80" s="1"/>
  <c r="E237" i="67"/>
  <c r="I237" s="1"/>
  <c r="N265" i="65"/>
  <c r="E265" i="67" s="1"/>
  <c r="I265" s="1"/>
  <c r="N18" i="65"/>
  <c r="E18" i="67" s="1"/>
  <c r="N104" i="65"/>
  <c r="N251"/>
  <c r="I114" i="67"/>
  <c r="I118"/>
  <c r="K27" i="1" s="1"/>
  <c r="I150" i="67"/>
  <c r="I158"/>
  <c r="I176"/>
  <c r="I182"/>
  <c r="I186"/>
  <c r="I192"/>
  <c r="I198"/>
  <c r="I222"/>
  <c r="K47" i="1" s="1"/>
  <c r="I238" i="67"/>
  <c r="I268"/>
  <c r="I55"/>
  <c r="I67"/>
  <c r="I116"/>
  <c r="I132"/>
  <c r="I140"/>
  <c r="I148"/>
  <c r="I172"/>
  <c r="I180"/>
  <c r="I232"/>
  <c r="I236"/>
  <c r="I246"/>
  <c r="I266"/>
  <c r="I4"/>
  <c r="AE61" i="76" s="1"/>
  <c r="K59" i="80" s="1"/>
  <c r="I214" i="67"/>
  <c r="G244"/>
  <c r="I244" s="1"/>
  <c r="N178" i="66"/>
  <c r="G178" i="67" s="1"/>
  <c r="G211"/>
  <c r="M60" i="76"/>
  <c r="M7" s="1"/>
  <c r="G43" i="67"/>
  <c r="I43" s="1"/>
  <c r="N115" i="66"/>
  <c r="G115" i="67" s="1"/>
  <c r="N175" i="66"/>
  <c r="N204"/>
  <c r="G204" i="67" s="1"/>
  <c r="G205"/>
  <c r="I205" s="1"/>
  <c r="N257" i="66"/>
  <c r="N196"/>
  <c r="G197" i="67"/>
  <c r="I197" s="1"/>
  <c r="AM7" i="76"/>
  <c r="N53" i="66"/>
  <c r="N65"/>
  <c r="N84"/>
  <c r="N88"/>
  <c r="F4"/>
  <c r="F4" i="67" s="1"/>
  <c r="K61" i="76" s="1"/>
  <c r="G4" i="66"/>
  <c r="G4" i="67" s="1"/>
  <c r="Y61" i="76" s="1"/>
  <c r="I59" i="80" s="1"/>
  <c r="N126" i="66"/>
  <c r="G126" i="67" s="1"/>
  <c r="N216" i="66"/>
  <c r="G216" i="67" s="1"/>
  <c r="G217"/>
  <c r="I217" s="1"/>
  <c r="N71" i="66"/>
  <c r="N112"/>
  <c r="G112" i="67" s="1"/>
  <c r="N10" i="66"/>
  <c r="N18"/>
  <c r="G18" i="67" s="1"/>
  <c r="J14"/>
  <c r="F10"/>
  <c r="J10" s="1"/>
  <c r="AL3" i="10"/>
  <c r="AB41" i="76" s="1"/>
  <c r="AL3" i="5"/>
  <c r="N41" i="76" s="1"/>
  <c r="S88" i="15"/>
  <c r="R33" i="82" s="1"/>
  <c r="AL3" i="8"/>
  <c r="AJ41" i="76" s="1"/>
  <c r="P39" i="80" s="1"/>
  <c r="R26" i="11"/>
  <c r="AL3" i="16"/>
  <c r="F41" i="76" s="1"/>
  <c r="R22" i="5"/>
  <c r="AL3" i="11"/>
  <c r="X41" i="76" s="1"/>
  <c r="H39" i="80" s="1"/>
  <c r="H9" i="67"/>
  <c r="J13"/>
  <c r="J12"/>
  <c r="Q7" i="66"/>
  <c r="H8" i="67"/>
  <c r="F60" i="76" s="1"/>
  <c r="D60" s="1"/>
  <c r="F9" i="67"/>
  <c r="Q8" i="65"/>
  <c r="R48" i="82"/>
  <c r="R46" s="1"/>
  <c r="M43" i="31"/>
  <c r="F228" i="72"/>
  <c r="P228"/>
  <c r="H228"/>
  <c r="H226" s="1"/>
  <c r="O16" i="58"/>
  <c r="M235" i="72" s="1"/>
  <c r="P44" i="80"/>
  <c r="G228" i="72"/>
  <c r="G226" s="1"/>
  <c r="O15" i="58"/>
  <c r="M234" i="72" s="1"/>
  <c r="AP4" i="58"/>
  <c r="AK46" i="76" s="1"/>
  <c r="P232" i="72"/>
  <c r="AF3" i="58"/>
  <c r="AL35" i="76" s="1"/>
  <c r="P33" i="80" s="1"/>
  <c r="F226" i="72"/>
  <c r="P234"/>
  <c r="AH3" i="58"/>
  <c r="AL37" i="76" s="1"/>
  <c r="P16" i="80"/>
  <c r="R7" i="58"/>
  <c r="M36" i="54"/>
  <c r="O10" i="58"/>
  <c r="O11"/>
  <c r="O12"/>
  <c r="O13"/>
  <c r="O14"/>
  <c r="O17"/>
  <c r="M35" i="54"/>
  <c r="O43" i="31"/>
  <c r="O42" s="1"/>
  <c r="K231" i="72"/>
  <c r="K232"/>
  <c r="K236"/>
  <c r="D32" i="76"/>
  <c r="N30" i="80"/>
  <c r="D30" s="1"/>
  <c r="N24"/>
  <c r="D24" s="1"/>
  <c r="M25"/>
  <c r="C25"/>
  <c r="N18" i="47"/>
  <c r="N19"/>
  <c r="O22" i="61" s="1"/>
  <c r="N20" i="47"/>
  <c r="O23" i="61" s="1"/>
  <c r="N21" i="47"/>
  <c r="N22"/>
  <c r="O25" i="61" s="1"/>
  <c r="M24"/>
  <c r="D25" i="80"/>
  <c r="C26" i="76"/>
  <c r="C29" i="80"/>
  <c r="D29"/>
  <c r="D31"/>
  <c r="N13" i="47"/>
  <c r="Q17"/>
  <c r="L55" i="1" s="1"/>
  <c r="M24" i="80"/>
  <c r="D43"/>
  <c r="D27" i="76"/>
  <c r="C31"/>
  <c r="C33"/>
  <c r="D31"/>
  <c r="D33"/>
  <c r="D21"/>
  <c r="M21" i="43"/>
  <c r="M59" i="24"/>
  <c r="R19" i="11"/>
  <c r="M58" i="24"/>
  <c r="M23" i="53"/>
  <c r="M57" i="24"/>
  <c r="M36" i="31"/>
  <c r="G43" i="80"/>
  <c r="H56"/>
  <c r="D56" s="1"/>
  <c r="D58" i="76"/>
  <c r="O11" i="11"/>
  <c r="M445" i="38"/>
  <c r="M39" i="31"/>
  <c r="O45" i="11"/>
  <c r="O39" i="31" s="1"/>
  <c r="M287" i="38"/>
  <c r="O10" i="11"/>
  <c r="O287" i="38" s="1"/>
  <c r="O29" i="11"/>
  <c r="O54" i="41" s="1"/>
  <c r="M54"/>
  <c r="M286" i="38"/>
  <c r="O9" i="11"/>
  <c r="O28"/>
  <c r="O53" i="41" s="1"/>
  <c r="M53"/>
  <c r="O21" i="43"/>
  <c r="AZ4" i="11"/>
  <c r="W56" i="76" s="1"/>
  <c r="G54" i="80" s="1"/>
  <c r="M37" i="31"/>
  <c r="O41" i="11"/>
  <c r="O37" i="31" s="1"/>
  <c r="O23" i="53"/>
  <c r="O22" s="1"/>
  <c r="AU4" i="11"/>
  <c r="W51" i="76" s="1"/>
  <c r="G49" i="80" s="1"/>
  <c r="O39" i="68"/>
  <c r="O38" s="1"/>
  <c r="M106" i="30"/>
  <c r="O21" i="11"/>
  <c r="O30"/>
  <c r="O55" i="41" s="1"/>
  <c r="M55"/>
  <c r="M35" i="31"/>
  <c r="O39" i="11"/>
  <c r="O35" i="31" s="1"/>
  <c r="AH4" i="11"/>
  <c r="W37" i="76" s="1"/>
  <c r="G35" i="80" s="1"/>
  <c r="O38" i="11"/>
  <c r="M34" i="31"/>
  <c r="O42" i="11"/>
  <c r="O38" i="31" s="1"/>
  <c r="M38"/>
  <c r="M107" i="30"/>
  <c r="O22" i="11"/>
  <c r="O107" i="30" s="1"/>
  <c r="M52" i="41"/>
  <c r="O27" i="11"/>
  <c r="AL4" s="1"/>
  <c r="O31"/>
  <c r="M28" i="23"/>
  <c r="O46" i="11"/>
  <c r="M35" i="20"/>
  <c r="M39" i="68"/>
  <c r="O17" i="11"/>
  <c r="O24"/>
  <c r="O36"/>
  <c r="O51"/>
  <c r="O20" i="10"/>
  <c r="L4"/>
  <c r="AA14" i="76" s="1"/>
  <c r="O426" i="38"/>
  <c r="O425" s="1"/>
  <c r="AH4" i="10"/>
  <c r="AA37" i="76" s="1"/>
  <c r="O104" i="30"/>
  <c r="O103" s="1"/>
  <c r="AJ4" i="10"/>
  <c r="AA39" i="76" s="1"/>
  <c r="H4" i="10"/>
  <c r="AA10" i="76" s="1"/>
  <c r="O11" i="10"/>
  <c r="O48" i="41" s="1"/>
  <c r="M104" i="30"/>
  <c r="O29" i="10"/>
  <c r="O30"/>
  <c r="O50" i="41" s="1"/>
  <c r="O31" i="10"/>
  <c r="J40" i="80"/>
  <c r="O21" i="9"/>
  <c r="J46" i="1" s="1"/>
  <c r="AH4" i="9"/>
  <c r="S37" i="76" s="1"/>
  <c r="O9" i="9"/>
  <c r="O8" s="1"/>
  <c r="U4"/>
  <c r="S24" i="76" s="1"/>
  <c r="E22" i="80" s="1"/>
  <c r="O34" i="9"/>
  <c r="R7"/>
  <c r="E3" s="1"/>
  <c r="P29" i="72"/>
  <c r="AX3" i="4"/>
  <c r="L54" i="76" s="1"/>
  <c r="R108" i="16"/>
  <c r="R54" i="83"/>
  <c r="R25" i="84"/>
  <c r="AI3" i="8"/>
  <c r="AJ38" i="76" s="1"/>
  <c r="P36" i="80" s="1"/>
  <c r="U119" i="49"/>
  <c r="P156" i="72"/>
  <c r="R52" i="81"/>
  <c r="R49" s="1"/>
  <c r="L17" i="1" s="1"/>
  <c r="S73" i="15"/>
  <c r="R30" i="82" s="1"/>
  <c r="R47" i="8"/>
  <c r="L40" i="1" s="1"/>
  <c r="U68" i="49"/>
  <c r="U67" s="1"/>
  <c r="R46" i="83"/>
  <c r="O21" i="84"/>
  <c r="O4" s="1"/>
  <c r="Q18" i="76" s="1"/>
  <c r="O31" i="54"/>
  <c r="O30" s="1"/>
  <c r="M278" i="38"/>
  <c r="M282"/>
  <c r="P6" i="13"/>
  <c r="O9" i="84" s="1"/>
  <c r="M99" i="27"/>
  <c r="P60" i="13"/>
  <c r="O99" i="27" s="1"/>
  <c r="P64" i="13"/>
  <c r="O19" i="84" s="1"/>
  <c r="AF4" s="1"/>
  <c r="Q35" i="76" s="1"/>
  <c r="M17" i="61"/>
  <c r="P71" i="13"/>
  <c r="O17" i="61" s="1"/>
  <c r="M102" i="30"/>
  <c r="P81" i="13"/>
  <c r="O102" i="30" s="1"/>
  <c r="M35" i="68"/>
  <c r="P87" i="13"/>
  <c r="M31" i="42"/>
  <c r="P94" i="13"/>
  <c r="M54" i="24"/>
  <c r="P101" i="13"/>
  <c r="O54" i="24" s="1"/>
  <c r="M55"/>
  <c r="M18" i="44"/>
  <c r="M281" i="38"/>
  <c r="R16" i="84"/>
  <c r="O42"/>
  <c r="AY4" s="1"/>
  <c r="Q55" i="76" s="1"/>
  <c r="P40" i="13"/>
  <c r="O13" i="84" s="1"/>
  <c r="J4" s="1"/>
  <c r="Q12" i="76" s="1"/>
  <c r="O98" i="27"/>
  <c r="M46" i="41"/>
  <c r="P86" i="13"/>
  <c r="O46" i="41" s="1"/>
  <c r="O14" i="70"/>
  <c r="O13" s="1"/>
  <c r="O26" i="23"/>
  <c r="O25" s="1"/>
  <c r="O35" i="84"/>
  <c r="AQ4" s="1"/>
  <c r="Q47" i="76" s="1"/>
  <c r="M53" i="24"/>
  <c r="P100" i="13"/>
  <c r="O53" i="24" s="1"/>
  <c r="O12" i="34"/>
  <c r="O11" s="1"/>
  <c r="M15" i="61"/>
  <c r="M100" i="27"/>
  <c r="M31" i="54"/>
  <c r="M26" i="23"/>
  <c r="P12" i="13"/>
  <c r="O10" i="84" s="1"/>
  <c r="G4" s="1"/>
  <c r="Q9" i="76" s="1"/>
  <c r="O14" i="84"/>
  <c r="L4" s="1"/>
  <c r="Q14" i="76" s="1"/>
  <c r="M14" i="61"/>
  <c r="P68" i="13"/>
  <c r="M99" i="30"/>
  <c r="P78" i="13"/>
  <c r="O278" i="38"/>
  <c r="O18" i="43"/>
  <c r="O17" s="1"/>
  <c r="P50" i="13"/>
  <c r="O15" i="84" s="1"/>
  <c r="K4" s="1"/>
  <c r="Q13" i="76" s="1"/>
  <c r="M101" i="27"/>
  <c r="P62" i="13"/>
  <c r="O101" i="27" s="1"/>
  <c r="M100" i="30"/>
  <c r="P79" i="13"/>
  <c r="O100" i="30" s="1"/>
  <c r="M45" i="41"/>
  <c r="P85" i="13"/>
  <c r="M31" i="31"/>
  <c r="P92" i="13"/>
  <c r="O25" i="32"/>
  <c r="O52" i="24"/>
  <c r="M21" i="53"/>
  <c r="P103" i="13"/>
  <c r="M15" i="33"/>
  <c r="P107" i="13"/>
  <c r="M101" i="30"/>
  <c r="M52" i="24"/>
  <c r="F42" i="80"/>
  <c r="F51"/>
  <c r="F55"/>
  <c r="D55" s="1"/>
  <c r="E42"/>
  <c r="F22"/>
  <c r="F41"/>
  <c r="F54"/>
  <c r="D54" s="1"/>
  <c r="AF3" i="85"/>
  <c r="P35" i="76" s="1"/>
  <c r="F33" i="80" s="1"/>
  <c r="AP3" i="85"/>
  <c r="P46" i="76" s="1"/>
  <c r="F44" i="80" s="1"/>
  <c r="R31" i="85"/>
  <c r="R24"/>
  <c r="AJ3"/>
  <c r="P39" i="76" s="1"/>
  <c r="O29" i="54"/>
  <c r="O28" s="1"/>
  <c r="O271" i="38"/>
  <c r="O270" s="1"/>
  <c r="O384"/>
  <c r="O383" s="1"/>
  <c r="P69" i="12"/>
  <c r="O27" i="85" s="1"/>
  <c r="AL4" s="1"/>
  <c r="O41" i="76" s="1"/>
  <c r="P80" i="12"/>
  <c r="O33" i="85" s="1"/>
  <c r="AQ4" s="1"/>
  <c r="O47" i="76" s="1"/>
  <c r="P104" i="12"/>
  <c r="O42" i="85" s="1"/>
  <c r="AY4" s="1"/>
  <c r="O55" i="76" s="1"/>
  <c r="O28" i="42"/>
  <c r="O47" i="24"/>
  <c r="O46" s="1"/>
  <c r="O24" i="45"/>
  <c r="O28" i="31"/>
  <c r="O28" i="85"/>
  <c r="AN4" s="1"/>
  <c r="O43" i="76" s="1"/>
  <c r="O418" i="38"/>
  <c r="O417" s="1"/>
  <c r="D29" i="76"/>
  <c r="F15" i="80"/>
  <c r="D15" s="1"/>
  <c r="O43" i="24"/>
  <c r="O14" i="71"/>
  <c r="O13" s="1"/>
  <c r="AV4" i="8"/>
  <c r="AI52" i="76" s="1"/>
  <c r="O50" i="80" s="1"/>
  <c r="M43" i="24"/>
  <c r="O21" i="8"/>
  <c r="O44"/>
  <c r="O44" i="24" s="1"/>
  <c r="O45" i="8"/>
  <c r="O45" i="24" s="1"/>
  <c r="O48" i="8"/>
  <c r="O49"/>
  <c r="O50"/>
  <c r="O24" i="40" s="1"/>
  <c r="O51" i="8"/>
  <c r="O25" i="40" s="1"/>
  <c r="O52" i="8"/>
  <c r="O26" i="40" s="1"/>
  <c r="O53" i="8"/>
  <c r="O85" i="30" s="1"/>
  <c r="O56" i="8"/>
  <c r="AL4" s="1"/>
  <c r="AI41" i="76" s="1"/>
  <c r="O39" i="80" s="1"/>
  <c r="O57" i="8"/>
  <c r="O27" i="20" s="1"/>
  <c r="O26" s="1"/>
  <c r="O58" i="8"/>
  <c r="O86" i="30" s="1"/>
  <c r="O59" i="8"/>
  <c r="O87" i="30" s="1"/>
  <c r="O60" i="8"/>
  <c r="O88" i="30" s="1"/>
  <c r="O61" i="8"/>
  <c r="M42" i="24"/>
  <c r="O29" i="8"/>
  <c r="AH4"/>
  <c r="AI37" i="76" s="1"/>
  <c r="O91" i="38"/>
  <c r="O90" s="1"/>
  <c r="F4" i="8"/>
  <c r="AI8" i="76" s="1"/>
  <c r="R12" i="8"/>
  <c r="L38" i="1" s="1"/>
  <c r="AS3" i="8"/>
  <c r="AJ49" i="76" s="1"/>
  <c r="P47" i="80" s="1"/>
  <c r="AR4" i="8"/>
  <c r="AI48" i="76" s="1"/>
  <c r="O46" i="80" s="1"/>
  <c r="O10" i="8"/>
  <c r="O19"/>
  <c r="O20"/>
  <c r="O75" i="30" s="1"/>
  <c r="O36" i="8"/>
  <c r="O37"/>
  <c r="O80" i="30" s="1"/>
  <c r="O38" i="8"/>
  <c r="O81" i="30" s="1"/>
  <c r="O39" i="8"/>
  <c r="O82" i="30" s="1"/>
  <c r="O40" i="8"/>
  <c r="O83" i="30" s="1"/>
  <c r="O41" i="8"/>
  <c r="O84" i="30" s="1"/>
  <c r="O16" i="37"/>
  <c r="AK4" i="8"/>
  <c r="AI40" i="76" s="1"/>
  <c r="O38" i="80" s="1"/>
  <c r="P169" i="7"/>
  <c r="O33" i="83" s="1"/>
  <c r="K22" i="80"/>
  <c r="O33" i="41"/>
  <c r="P117" i="7"/>
  <c r="O320" i="38" s="1"/>
  <c r="M320"/>
  <c r="M21" i="42"/>
  <c r="P255" i="7"/>
  <c r="P262"/>
  <c r="O59" i="83" s="1"/>
  <c r="AT4" s="1"/>
  <c r="AE50" i="76" s="1"/>
  <c r="K48" i="80" s="1"/>
  <c r="O36" i="24"/>
  <c r="O35" s="1"/>
  <c r="O16" i="53"/>
  <c r="O15" s="1"/>
  <c r="P281" i="7"/>
  <c r="O64" i="83" s="1"/>
  <c r="AU4" s="1"/>
  <c r="AE51" i="76" s="1"/>
  <c r="K49" i="80" s="1"/>
  <c r="P20" i="7"/>
  <c r="O16" i="83" s="1"/>
  <c r="M16"/>
  <c r="P113" i="7"/>
  <c r="O316" i="38" s="1"/>
  <c r="M316"/>
  <c r="P121" i="7"/>
  <c r="O324" i="38" s="1"/>
  <c r="M324"/>
  <c r="P131" i="7"/>
  <c r="M367" i="38"/>
  <c r="P138" i="7"/>
  <c r="M382" i="38"/>
  <c r="M25" i="54"/>
  <c r="P192" i="7"/>
  <c r="O25" i="54" s="1"/>
  <c r="K218" i="72"/>
  <c r="O57" i="38"/>
  <c r="M148"/>
  <c r="M153"/>
  <c r="M156"/>
  <c r="M161"/>
  <c r="M164"/>
  <c r="M169"/>
  <c r="M172"/>
  <c r="O10" i="83"/>
  <c r="R29"/>
  <c r="AF3"/>
  <c r="AF35" i="76" s="1"/>
  <c r="L33" i="80" s="1"/>
  <c r="P19" i="7"/>
  <c r="M62" i="38"/>
  <c r="P55" i="7"/>
  <c r="P57"/>
  <c r="O149" i="38" s="1"/>
  <c r="P58" i="7"/>
  <c r="O150" i="38" s="1"/>
  <c r="P60" i="7"/>
  <c r="O152" i="38" s="1"/>
  <c r="P62" i="7"/>
  <c r="O154" i="38" s="1"/>
  <c r="P63" i="7"/>
  <c r="O155" i="38" s="1"/>
  <c r="P65" i="7"/>
  <c r="O157" i="38" s="1"/>
  <c r="P66" i="7"/>
  <c r="O158" i="38" s="1"/>
  <c r="P68" i="7"/>
  <c r="O160" i="38" s="1"/>
  <c r="P70" i="7"/>
  <c r="O162" i="38" s="1"/>
  <c r="P71" i="7"/>
  <c r="O163" i="38" s="1"/>
  <c r="P73" i="7"/>
  <c r="O165" i="38" s="1"/>
  <c r="P74" i="7"/>
  <c r="O166" i="38" s="1"/>
  <c r="P76" i="7"/>
  <c r="O168" i="38" s="1"/>
  <c r="P78" i="7"/>
  <c r="O170" i="38" s="1"/>
  <c r="P79" i="7"/>
  <c r="O171" i="38" s="1"/>
  <c r="P142" i="7"/>
  <c r="O28" i="83" s="1"/>
  <c r="M4" s="1"/>
  <c r="AE15" i="76" s="1"/>
  <c r="K13" i="80" s="1"/>
  <c r="O441" i="38"/>
  <c r="P251" i="7"/>
  <c r="O56" i="83" s="1"/>
  <c r="AQ4" s="1"/>
  <c r="AE47" i="76" s="1"/>
  <c r="K45" i="80" s="1"/>
  <c r="O62" i="30"/>
  <c r="O61" s="1"/>
  <c r="K222" i="72"/>
  <c r="M315" i="38"/>
  <c r="M323"/>
  <c r="M326"/>
  <c r="M366"/>
  <c r="M442"/>
  <c r="O11" i="71"/>
  <c r="O10" s="1"/>
  <c r="AK3" i="83"/>
  <c r="AF40" i="76" s="1"/>
  <c r="L38" i="80" s="1"/>
  <c r="P217" i="72"/>
  <c r="P12" i="7"/>
  <c r="O11" i="83" s="1"/>
  <c r="P18" i="7"/>
  <c r="M14" i="83"/>
  <c r="P21" i="7"/>
  <c r="O17" i="83" s="1"/>
  <c r="P126" i="7"/>
  <c r="O328" i="38" s="1"/>
  <c r="M328"/>
  <c r="O19" i="45"/>
  <c r="P163" i="7"/>
  <c r="O32" i="83" s="1"/>
  <c r="P4" s="1"/>
  <c r="AE19" i="76" s="1"/>
  <c r="K17" i="80" s="1"/>
  <c r="P190" i="7"/>
  <c r="M23" i="54"/>
  <c r="M24" i="31"/>
  <c r="P250" i="7"/>
  <c r="O24" i="31" s="1"/>
  <c r="M23" i="42"/>
  <c r="P257" i="7"/>
  <c r="O23" i="42" s="1"/>
  <c r="M33" i="41"/>
  <c r="M24" i="54"/>
  <c r="K220" i="72"/>
  <c r="M57" i="38"/>
  <c r="O329"/>
  <c r="M15" i="83"/>
  <c r="P8" i="7"/>
  <c r="K219" i="72"/>
  <c r="P146" i="7"/>
  <c r="O30" i="83" s="1"/>
  <c r="P233" i="7"/>
  <c r="O34" i="41" s="1"/>
  <c r="P234" i="7"/>
  <c r="O35" i="41" s="1"/>
  <c r="O10" i="75"/>
  <c r="O9" s="1"/>
  <c r="P245" i="7"/>
  <c r="O53" i="83" s="1"/>
  <c r="AO4" s="1"/>
  <c r="AE44" i="76" s="1"/>
  <c r="K42" i="80" s="1"/>
  <c r="P249" i="7"/>
  <c r="M23" i="31"/>
  <c r="O17" i="32"/>
  <c r="M24" i="42"/>
  <c r="O9" i="61"/>
  <c r="O8" s="1"/>
  <c r="D55" i="76"/>
  <c r="L53" i="80"/>
  <c r="D24" i="76"/>
  <c r="L22" i="80"/>
  <c r="D43" i="76"/>
  <c r="AA4" i="6"/>
  <c r="AC30" i="76" s="1"/>
  <c r="P9" i="6"/>
  <c r="P137"/>
  <c r="K8" i="80"/>
  <c r="O18" i="54"/>
  <c r="O17" s="1"/>
  <c r="P105" i="6"/>
  <c r="O4"/>
  <c r="AC18" i="76" s="1"/>
  <c r="P163" i="6"/>
  <c r="J32" i="1" s="1"/>
  <c r="O237" i="38"/>
  <c r="O236" s="1"/>
  <c r="O363"/>
  <c r="O362" s="1"/>
  <c r="S7" i="6"/>
  <c r="E3" s="1"/>
  <c r="O14" i="5"/>
  <c r="F19" i="80"/>
  <c r="D19" s="1"/>
  <c r="O55" i="38"/>
  <c r="O54" s="1"/>
  <c r="F4" i="5"/>
  <c r="M8" i="76" s="1"/>
  <c r="H4" i="5"/>
  <c r="M10" i="76" s="1"/>
  <c r="O235" i="38"/>
  <c r="O234" s="1"/>
  <c r="O12" i="5"/>
  <c r="O11" s="1"/>
  <c r="R4"/>
  <c r="M21" i="76" s="1"/>
  <c r="O33" i="24"/>
  <c r="O32" s="1"/>
  <c r="O25" i="5"/>
  <c r="K216" i="72"/>
  <c r="M235" i="38"/>
  <c r="AQ4" i="5"/>
  <c r="M47" i="76" s="1"/>
  <c r="O9" i="5"/>
  <c r="O23"/>
  <c r="O24"/>
  <c r="O31" i="41" s="1"/>
  <c r="F45" i="80"/>
  <c r="R7" i="5"/>
  <c r="E3" s="1"/>
  <c r="P65" i="15"/>
  <c r="O26" i="82" s="1"/>
  <c r="R78"/>
  <c r="M127" i="38"/>
  <c r="M137"/>
  <c r="M305"/>
  <c r="P119" i="72"/>
  <c r="P70" i="15"/>
  <c r="P71"/>
  <c r="P77"/>
  <c r="M160" i="72" s="1"/>
  <c r="M159" s="1"/>
  <c r="P78" i="15"/>
  <c r="P79"/>
  <c r="M198" i="72" s="1"/>
  <c r="P80" i="15"/>
  <c r="O40" i="30" s="1"/>
  <c r="P81" i="15"/>
  <c r="O41" i="30" s="1"/>
  <c r="P82" i="15"/>
  <c r="M201" i="72" s="1"/>
  <c r="AT3" i="82"/>
  <c r="Z50" i="76" s="1"/>
  <c r="J48" i="80" s="1"/>
  <c r="G173" i="72"/>
  <c r="K174"/>
  <c r="AH3" i="82"/>
  <c r="Z37" i="76" s="1"/>
  <c r="J35" i="80" s="1"/>
  <c r="M45" i="38"/>
  <c r="M133"/>
  <c r="M310"/>
  <c r="M412"/>
  <c r="AP3" i="82"/>
  <c r="Z46" i="76" s="1"/>
  <c r="J44" i="80" s="1"/>
  <c r="M7" i="43"/>
  <c r="P203" i="15"/>
  <c r="O9" i="35" s="1"/>
  <c r="P204" i="15"/>
  <c r="O10" i="35" s="1"/>
  <c r="P205" i="15"/>
  <c r="O68" i="82" s="1"/>
  <c r="Y4" s="1"/>
  <c r="Y28" i="76" s="1"/>
  <c r="C28" s="1"/>
  <c r="P257" i="15"/>
  <c r="P258"/>
  <c r="O19" i="42" s="1"/>
  <c r="P263" i="15"/>
  <c r="O24" i="24" s="1"/>
  <c r="P265" i="15"/>
  <c r="O26" i="24" s="1"/>
  <c r="P266" i="15"/>
  <c r="O27" i="24" s="1"/>
  <c r="P267" i="15"/>
  <c r="O28" i="24" s="1"/>
  <c r="P268" i="15"/>
  <c r="O29" i="24" s="1"/>
  <c r="P269" i="15"/>
  <c r="O30" i="24" s="1"/>
  <c r="P270" i="15"/>
  <c r="O31" i="24" s="1"/>
  <c r="M37" i="30"/>
  <c r="M45"/>
  <c r="M12" i="42"/>
  <c r="H135" i="72"/>
  <c r="F144"/>
  <c r="P144"/>
  <c r="G150"/>
  <c r="H156"/>
  <c r="F165"/>
  <c r="P165"/>
  <c r="F179"/>
  <c r="P207"/>
  <c r="M309" i="38"/>
  <c r="M411"/>
  <c r="M52" i="82"/>
  <c r="AG3"/>
  <c r="Z36" i="76" s="1"/>
  <c r="D36" s="1"/>
  <c r="M13" i="32"/>
  <c r="M14" i="54"/>
  <c r="G126" i="72"/>
  <c r="H138"/>
  <c r="F138"/>
  <c r="H150"/>
  <c r="F153"/>
  <c r="P153"/>
  <c r="R71" i="82"/>
  <c r="J17" i="80"/>
  <c r="M47" i="82"/>
  <c r="R63"/>
  <c r="AW3"/>
  <c r="Z53" i="76" s="1"/>
  <c r="J51" i="80" s="1"/>
  <c r="P14" i="15"/>
  <c r="M110" i="72" s="1"/>
  <c r="P15" i="15"/>
  <c r="O128" i="38" s="1"/>
  <c r="P52" i="15"/>
  <c r="M140" i="72" s="1"/>
  <c r="K140"/>
  <c r="K211"/>
  <c r="P63" i="15"/>
  <c r="M211" i="72" s="1"/>
  <c r="K167"/>
  <c r="P95" i="15"/>
  <c r="M43" i="30"/>
  <c r="P140" i="15"/>
  <c r="P176"/>
  <c r="O59" i="82" s="1"/>
  <c r="M85" i="27"/>
  <c r="P194" i="15"/>
  <c r="O85" i="27" s="1"/>
  <c r="P209" i="15"/>
  <c r="M15" i="54"/>
  <c r="M49" i="30"/>
  <c r="P220" i="15"/>
  <c r="O49" i="30" s="1"/>
  <c r="M53"/>
  <c r="P224" i="15"/>
  <c r="O53" i="30" s="1"/>
  <c r="M19" i="68"/>
  <c r="P241" i="15"/>
  <c r="O19" i="68" s="1"/>
  <c r="M57" i="30"/>
  <c r="H173" i="72"/>
  <c r="AL3" i="82"/>
  <c r="Z41" i="76" s="1"/>
  <c r="J39" i="80" s="1"/>
  <c r="M50" i="30"/>
  <c r="P221" i="15"/>
  <c r="O50" i="30" s="1"/>
  <c r="M20" i="68"/>
  <c r="P242" i="15"/>
  <c r="O20" i="68" s="1"/>
  <c r="M231" i="38"/>
  <c r="O3" i="82"/>
  <c r="Z18" i="76" s="1"/>
  <c r="J16" i="80" s="1"/>
  <c r="AR3" i="82"/>
  <c r="Z48" i="76" s="1"/>
  <c r="J46" i="80" s="1"/>
  <c r="M50" i="82"/>
  <c r="P104" i="72"/>
  <c r="P54" i="15"/>
  <c r="P53" s="1"/>
  <c r="O21" i="82" s="1"/>
  <c r="P60" i="15"/>
  <c r="P59" s="1"/>
  <c r="O23" i="82" s="1"/>
  <c r="K209" i="72"/>
  <c r="M7" i="61"/>
  <c r="P62" i="15"/>
  <c r="M209" i="72" s="1"/>
  <c r="K166"/>
  <c r="P94" i="15"/>
  <c r="O14" i="31" s="1"/>
  <c r="K170" i="72"/>
  <c r="P98" i="15"/>
  <c r="M170" i="72" s="1"/>
  <c r="M22" i="41"/>
  <c r="P139" i="15"/>
  <c r="P173"/>
  <c r="O58" i="82" s="1"/>
  <c r="M84" i="27"/>
  <c r="P193" i="15"/>
  <c r="O84" i="27" s="1"/>
  <c r="M44" i="30"/>
  <c r="P215" i="15"/>
  <c r="M48" i="30"/>
  <c r="P219" i="15"/>
  <c r="O48" i="30" s="1"/>
  <c r="M52"/>
  <c r="P223" i="15"/>
  <c r="O52" i="30" s="1"/>
  <c r="M56"/>
  <c r="P227" i="15"/>
  <c r="O56" i="30" s="1"/>
  <c r="M60"/>
  <c r="P231" i="15"/>
  <c r="O60" i="30" s="1"/>
  <c r="P236" i="15"/>
  <c r="P237"/>
  <c r="O24" i="41" s="1"/>
  <c r="P238" i="15"/>
  <c r="O25" i="41" s="1"/>
  <c r="M18" i="68"/>
  <c r="P240" i="15"/>
  <c r="P279"/>
  <c r="O27" i="41" s="1"/>
  <c r="M27"/>
  <c r="M17" i="31"/>
  <c r="G153" i="72"/>
  <c r="H165"/>
  <c r="G183"/>
  <c r="K194"/>
  <c r="P17" i="15"/>
  <c r="M194" i="72" s="1"/>
  <c r="M16" i="31"/>
  <c r="K168" i="72"/>
  <c r="P96" i="15"/>
  <c r="M168" i="72" s="1"/>
  <c r="M19" i="31"/>
  <c r="P141" i="15"/>
  <c r="M86" i="27"/>
  <c r="P195" i="15"/>
  <c r="O86" i="27" s="1"/>
  <c r="M46" i="30"/>
  <c r="P217" i="15"/>
  <c r="O46" i="30" s="1"/>
  <c r="M54"/>
  <c r="P225" i="15"/>
  <c r="O54" i="30" s="1"/>
  <c r="M58"/>
  <c r="P229" i="15"/>
  <c r="O58" i="30" s="1"/>
  <c r="J27" i="80"/>
  <c r="M48" i="38"/>
  <c r="M52"/>
  <c r="P109" i="72"/>
  <c r="K111"/>
  <c r="P18" i="15"/>
  <c r="K131" i="72"/>
  <c r="P44" i="15"/>
  <c r="M131" i="72" s="1"/>
  <c r="K157"/>
  <c r="M9" i="40"/>
  <c r="M176" i="72"/>
  <c r="M11" i="40"/>
  <c r="P138" i="15"/>
  <c r="P188"/>
  <c r="P189"/>
  <c r="O14" i="37" s="1"/>
  <c r="M83" i="27"/>
  <c r="P192" i="15"/>
  <c r="O83" i="27" s="1"/>
  <c r="M87"/>
  <c r="P196" i="15"/>
  <c r="O87" i="27" s="1"/>
  <c r="M47" i="30"/>
  <c r="P218" i="15"/>
  <c r="O47" i="30" s="1"/>
  <c r="M51"/>
  <c r="P222" i="15"/>
  <c r="O51" i="30" s="1"/>
  <c r="M55"/>
  <c r="P226" i="15"/>
  <c r="O55" i="30" s="1"/>
  <c r="M59"/>
  <c r="P230" i="15"/>
  <c r="O59" i="30" s="1"/>
  <c r="M21" i="68"/>
  <c r="P243" i="15"/>
  <c r="O21" i="68" s="1"/>
  <c r="P272" i="15"/>
  <c r="O13" i="53" s="1"/>
  <c r="P273" i="15"/>
  <c r="O14" i="53" s="1"/>
  <c r="M11" i="33"/>
  <c r="P275" i="15"/>
  <c r="O11" i="33" s="1"/>
  <c r="H141" i="72"/>
  <c r="K169"/>
  <c r="H207"/>
  <c r="M16" i="32"/>
  <c r="M41" i="30"/>
  <c r="M15" i="42"/>
  <c r="M21" i="24"/>
  <c r="M8" i="70"/>
  <c r="F104" i="72"/>
  <c r="H122"/>
  <c r="G144"/>
  <c r="K145"/>
  <c r="G165"/>
  <c r="K187"/>
  <c r="P27" i="15"/>
  <c r="O305" i="38" s="1"/>
  <c r="P28" i="15"/>
  <c r="R17" i="82"/>
  <c r="P89" i="15"/>
  <c r="M164" i="72" s="1"/>
  <c r="M163" s="1"/>
  <c r="AS3" i="82"/>
  <c r="Z49" i="76" s="1"/>
  <c r="J47" i="80" s="1"/>
  <c r="P114" i="15"/>
  <c r="P115"/>
  <c r="P116"/>
  <c r="M186" i="72" s="1"/>
  <c r="P118" i="15"/>
  <c r="M210" i="72" s="1"/>
  <c r="P119" i="15"/>
  <c r="O22" i="24" s="1"/>
  <c r="P125" i="15"/>
  <c r="M146" i="72" s="1"/>
  <c r="P233" i="15"/>
  <c r="O21" i="20" s="1"/>
  <c r="P234" i="15"/>
  <c r="O22" i="20" s="1"/>
  <c r="P251" i="15"/>
  <c r="O20" i="31" s="1"/>
  <c r="P252" i="15"/>
  <c r="O21" i="31" s="1"/>
  <c r="M38" i="30"/>
  <c r="M12" i="26"/>
  <c r="H129" i="72"/>
  <c r="F135"/>
  <c r="H147"/>
  <c r="F173"/>
  <c r="K186"/>
  <c r="H189"/>
  <c r="M21" i="41"/>
  <c r="M16" i="42"/>
  <c r="M23" i="24"/>
  <c r="G112" i="72"/>
  <c r="K177"/>
  <c r="M127"/>
  <c r="O11" i="37"/>
  <c r="O9" i="33"/>
  <c r="M148" i="72"/>
  <c r="J32" i="80"/>
  <c r="K107" i="72"/>
  <c r="P10" i="15"/>
  <c r="K113" i="72"/>
  <c r="P20" i="15"/>
  <c r="K117" i="72"/>
  <c r="P24" i="15"/>
  <c r="K124" i="72"/>
  <c r="M356" i="38"/>
  <c r="P31" i="15"/>
  <c r="K128" i="72"/>
  <c r="M12" i="37"/>
  <c r="P76" i="15"/>
  <c r="O31" i="82" s="1"/>
  <c r="P90" i="15"/>
  <c r="O34" i="82" s="1"/>
  <c r="P132" i="15"/>
  <c r="O45" i="82" s="1"/>
  <c r="BA4" s="1"/>
  <c r="Y57" i="76" s="1"/>
  <c r="I55" i="80" s="1"/>
  <c r="M154" i="72"/>
  <c r="M153" s="1"/>
  <c r="O9" i="34"/>
  <c r="M42" i="38"/>
  <c r="P147" i="15"/>
  <c r="O42" i="38" s="1"/>
  <c r="O7" i="75"/>
  <c r="M14" i="23"/>
  <c r="P254" i="15"/>
  <c r="O18" i="42"/>
  <c r="M15" i="32"/>
  <c r="P260" i="15"/>
  <c r="M10" i="33"/>
  <c r="K106" i="72"/>
  <c r="P9" i="15"/>
  <c r="M37" i="38"/>
  <c r="K116" i="72"/>
  <c r="P23" i="15"/>
  <c r="M228" i="38"/>
  <c r="M120" i="72"/>
  <c r="K123"/>
  <c r="P30" i="15"/>
  <c r="K125" i="72"/>
  <c r="P34" i="15"/>
  <c r="P40"/>
  <c r="K136" i="72"/>
  <c r="M7" i="35"/>
  <c r="K137" i="72"/>
  <c r="M8" i="35"/>
  <c r="O14" i="54"/>
  <c r="K204" i="72"/>
  <c r="M20" i="20"/>
  <c r="P87" i="15"/>
  <c r="P128"/>
  <c r="P126" s="1"/>
  <c r="O43" i="82" s="1"/>
  <c r="P157" i="15"/>
  <c r="O51" i="38" s="1"/>
  <c r="M51"/>
  <c r="O360"/>
  <c r="P184" i="15"/>
  <c r="O61" i="82" s="1"/>
  <c r="O412" i="38"/>
  <c r="M16" i="54"/>
  <c r="P210" i="15"/>
  <c r="O16" i="54" s="1"/>
  <c r="O39" i="30"/>
  <c r="R35" i="82"/>
  <c r="M197" i="72"/>
  <c r="O38" i="30"/>
  <c r="M145" i="72"/>
  <c r="M144" s="1"/>
  <c r="O7" i="43"/>
  <c r="K148" i="72"/>
  <c r="M9" i="33"/>
  <c r="M46" i="38"/>
  <c r="P151" i="15"/>
  <c r="O46" i="38" s="1"/>
  <c r="M38"/>
  <c r="K105" i="72"/>
  <c r="M36" i="38"/>
  <c r="P8" i="15"/>
  <c r="K108" i="72"/>
  <c r="M40" i="38"/>
  <c r="P12" i="15"/>
  <c r="P112" i="72"/>
  <c r="K115"/>
  <c r="M227" i="38"/>
  <c r="P22" i="15"/>
  <c r="P26"/>
  <c r="O13" i="82" s="1"/>
  <c r="P33" i="15"/>
  <c r="K196" i="72"/>
  <c r="P48" i="15"/>
  <c r="P49"/>
  <c r="AF3" i="82"/>
  <c r="Z35" i="76" s="1"/>
  <c r="J33" i="80" s="1"/>
  <c r="O16" i="45"/>
  <c r="P56" i="15"/>
  <c r="K203" i="72"/>
  <c r="P86" i="15"/>
  <c r="M19" i="20"/>
  <c r="K191" i="72"/>
  <c r="M12" i="53"/>
  <c r="P122" i="15"/>
  <c r="P156"/>
  <c r="M50" i="38"/>
  <c r="P160" i="15"/>
  <c r="O57" i="82" s="1"/>
  <c r="O15" i="54"/>
  <c r="O10" i="34"/>
  <c r="K127" i="72"/>
  <c r="M11" i="37"/>
  <c r="M17" i="20"/>
  <c r="K162" i="72"/>
  <c r="P84" i="15"/>
  <c r="O42" i="30"/>
  <c r="M225" i="38"/>
  <c r="M229"/>
  <c r="M355"/>
  <c r="M359"/>
  <c r="M413"/>
  <c r="K132" i="72"/>
  <c r="P11" i="15"/>
  <c r="K114" i="72"/>
  <c r="P21" i="15"/>
  <c r="K118" i="72"/>
  <c r="P25" i="15"/>
  <c r="P122" i="72"/>
  <c r="K195"/>
  <c r="P32" i="15"/>
  <c r="M357" i="38"/>
  <c r="P46" i="15"/>
  <c r="M134" i="72" s="1"/>
  <c r="K202"/>
  <c r="M18" i="20"/>
  <c r="P85" i="15"/>
  <c r="P99"/>
  <c r="O37" i="82" s="1"/>
  <c r="O13" i="23"/>
  <c r="O18" i="24"/>
  <c r="M187" i="72"/>
  <c r="O21" i="24"/>
  <c r="K190" i="72"/>
  <c r="M11" i="53"/>
  <c r="P121" i="15"/>
  <c r="P148"/>
  <c r="O43" i="38" s="1"/>
  <c r="M43"/>
  <c r="P152" i="15"/>
  <c r="O47" i="38" s="1"/>
  <c r="M47"/>
  <c r="O18" i="68"/>
  <c r="O17" s="1"/>
  <c r="P255" i="15"/>
  <c r="O15" i="23" s="1"/>
  <c r="M15"/>
  <c r="K139" i="72"/>
  <c r="M15" i="45"/>
  <c r="O11" i="42"/>
  <c r="M175" i="72"/>
  <c r="O12" i="42"/>
  <c r="O15"/>
  <c r="M205" i="72"/>
  <c r="O16" i="42"/>
  <c r="K180" i="72"/>
  <c r="M12" i="32"/>
  <c r="M26" i="41"/>
  <c r="M16" i="45"/>
  <c r="M7" i="75"/>
  <c r="F126" i="72"/>
  <c r="P138"/>
  <c r="K158"/>
  <c r="P179"/>
  <c r="H179"/>
  <c r="F183"/>
  <c r="P36" i="15"/>
  <c r="P43"/>
  <c r="P45"/>
  <c r="M133" i="72" s="1"/>
  <c r="P51" i="15"/>
  <c r="P74"/>
  <c r="P75"/>
  <c r="M169" i="72"/>
  <c r="O17" i="31"/>
  <c r="K172" i="72"/>
  <c r="M13" i="23"/>
  <c r="P101" i="15"/>
  <c r="O38" i="82" s="1"/>
  <c r="P110" i="15"/>
  <c r="P111"/>
  <c r="P112"/>
  <c r="M151" i="72"/>
  <c r="O11" i="26"/>
  <c r="M152" i="72"/>
  <c r="K154"/>
  <c r="M9" i="34"/>
  <c r="K155" i="72"/>
  <c r="M10" i="34"/>
  <c r="P244" i="15"/>
  <c r="O76" i="82" s="1"/>
  <c r="P248" i="15"/>
  <c r="O8" i="75" s="1"/>
  <c r="P278" i="15"/>
  <c r="P280"/>
  <c r="O28" i="41" s="1"/>
  <c r="M14" i="32"/>
  <c r="O14" i="42"/>
  <c r="G104" i="72"/>
  <c r="G138"/>
  <c r="F156"/>
  <c r="M40" i="30"/>
  <c r="M42"/>
  <c r="M19" i="24"/>
  <c r="M22"/>
  <c r="M15" i="31"/>
  <c r="K176" i="72"/>
  <c r="M39" i="30"/>
  <c r="M17" i="42"/>
  <c r="M18" i="24"/>
  <c r="M14" i="31"/>
  <c r="M18"/>
  <c r="G109" i="72"/>
  <c r="G122"/>
  <c r="F129"/>
  <c r="G129"/>
  <c r="J41" i="80"/>
  <c r="D28" i="76"/>
  <c r="J26" i="80"/>
  <c r="D26" s="1"/>
  <c r="D44" i="76"/>
  <c r="J42" i="80"/>
  <c r="D56" i="76"/>
  <c r="O88" i="4"/>
  <c r="M92" i="72" s="1"/>
  <c r="O90" i="4"/>
  <c r="M94" i="72" s="1"/>
  <c r="O92" i="4"/>
  <c r="M96" i="72" s="1"/>
  <c r="O94" i="4"/>
  <c r="O19" i="41" s="1"/>
  <c r="O18" s="1"/>
  <c r="O96" i="4"/>
  <c r="M100" i="72" s="1"/>
  <c r="O98" i="4"/>
  <c r="M102" i="72" s="1"/>
  <c r="D57" i="76"/>
  <c r="O81" i="4"/>
  <c r="M85" i="72" s="1"/>
  <c r="O86" i="4"/>
  <c r="M90" i="72" s="1"/>
  <c r="E50"/>
  <c r="O89" i="4"/>
  <c r="M93" i="72" s="1"/>
  <c r="O91" i="4"/>
  <c r="M95" i="72" s="1"/>
  <c r="O93" i="4"/>
  <c r="M97" i="72" s="1"/>
  <c r="O95" i="4"/>
  <c r="AQ4" s="1"/>
  <c r="K47" i="76" s="1"/>
  <c r="O97" i="4"/>
  <c r="O25"/>
  <c r="M30" i="72" s="1"/>
  <c r="O75" i="4"/>
  <c r="M79" i="72" s="1"/>
  <c r="K39"/>
  <c r="D17" i="76"/>
  <c r="L4" i="4"/>
  <c r="K14" i="76" s="1"/>
  <c r="BA4" i="4"/>
  <c r="K57" i="76" s="1"/>
  <c r="O12" i="4"/>
  <c r="M17" i="72" s="1"/>
  <c r="R9" i="4"/>
  <c r="R8" s="1"/>
  <c r="L20" i="1" s="1"/>
  <c r="O69" i="4"/>
  <c r="M73" i="72" s="1"/>
  <c r="O73" i="4"/>
  <c r="M77" i="72" s="1"/>
  <c r="O83" i="4"/>
  <c r="M87" i="72" s="1"/>
  <c r="O408" i="38"/>
  <c r="O407" s="1"/>
  <c r="K95" i="72"/>
  <c r="F75"/>
  <c r="O14" i="4"/>
  <c r="M19" i="72" s="1"/>
  <c r="D50"/>
  <c r="H50"/>
  <c r="F50"/>
  <c r="K99"/>
  <c r="O49" i="4"/>
  <c r="M53" i="72" s="1"/>
  <c r="O58" i="4"/>
  <c r="M62" i="72" s="1"/>
  <c r="O84" i="4"/>
  <c r="AF4" s="1"/>
  <c r="K35" i="76" s="1"/>
  <c r="O85" i="4"/>
  <c r="M89" i="72" s="1"/>
  <c r="O87" i="4"/>
  <c r="M91" i="72" s="1"/>
  <c r="O125" i="38"/>
  <c r="M35" i="30"/>
  <c r="G40" i="72"/>
  <c r="K43"/>
  <c r="K94"/>
  <c r="K98"/>
  <c r="O47" i="4"/>
  <c r="M51" i="72" s="1"/>
  <c r="O72" i="4"/>
  <c r="M76" i="72" s="1"/>
  <c r="O74" i="4"/>
  <c r="M78" i="72" s="1"/>
  <c r="O76" i="4"/>
  <c r="M80" i="72" s="1"/>
  <c r="O80" i="4"/>
  <c r="M84" i="72" s="1"/>
  <c r="M9" i="71"/>
  <c r="M34" i="30"/>
  <c r="M9" i="42"/>
  <c r="O7" i="34"/>
  <c r="O6" s="1"/>
  <c r="M9" i="54"/>
  <c r="K16" i="72"/>
  <c r="P50"/>
  <c r="G75"/>
  <c r="K82"/>
  <c r="K101"/>
  <c r="M408" i="38"/>
  <c r="K20" i="72"/>
  <c r="D26"/>
  <c r="G50"/>
  <c r="G60"/>
  <c r="M66"/>
  <c r="O34" i="38"/>
  <c r="M70" i="72"/>
  <c r="O124" i="38"/>
  <c r="G4" i="4"/>
  <c r="K9" i="76" s="1"/>
  <c r="M67" i="72"/>
  <c r="O123" i="38"/>
  <c r="O352"/>
  <c r="M68" i="72"/>
  <c r="O19" i="4"/>
  <c r="M24" i="72" s="1"/>
  <c r="O40" i="4"/>
  <c r="M44" i="72" s="1"/>
  <c r="O45" i="4"/>
  <c r="M49" i="72" s="1"/>
  <c r="O53" i="4"/>
  <c r="M57" i="72" s="1"/>
  <c r="O65" i="4"/>
  <c r="O67"/>
  <c r="M71" i="72" s="1"/>
  <c r="O70" i="4"/>
  <c r="M74" i="72" s="1"/>
  <c r="K74"/>
  <c r="F60"/>
  <c r="G86"/>
  <c r="G59" s="1"/>
  <c r="M34" i="38"/>
  <c r="K66" i="72"/>
  <c r="M123" i="38"/>
  <c r="K67" i="72"/>
  <c r="K68"/>
  <c r="M352" i="38"/>
  <c r="M124"/>
  <c r="K70" i="72"/>
  <c r="M12" i="31"/>
  <c r="O18" i="4"/>
  <c r="O16"/>
  <c r="K28" i="72"/>
  <c r="M7" i="33"/>
  <c r="K29" i="72"/>
  <c r="M9" i="26"/>
  <c r="O27" i="4"/>
  <c r="M32" i="72" s="1"/>
  <c r="O32" i="4"/>
  <c r="M36" i="72" s="1"/>
  <c r="M38"/>
  <c r="O9" i="71"/>
  <c r="O8" s="1"/>
  <c r="O38" i="4"/>
  <c r="M42" i="72" s="1"/>
  <c r="M45"/>
  <c r="O12" i="54"/>
  <c r="O51" i="4"/>
  <c r="M55" i="72" s="1"/>
  <c r="O60" i="4"/>
  <c r="M64" i="72" s="1"/>
  <c r="O13" i="45"/>
  <c r="O12" s="1"/>
  <c r="M88" i="72"/>
  <c r="P86"/>
  <c r="G15"/>
  <c r="P15"/>
  <c r="H26"/>
  <c r="E40"/>
  <c r="K69"/>
  <c r="H75"/>
  <c r="O7" i="33"/>
  <c r="O6" s="1"/>
  <c r="AW4" i="4"/>
  <c r="K53" i="76" s="1"/>
  <c r="M28" i="72"/>
  <c r="O9" i="26"/>
  <c r="O8" s="1"/>
  <c r="AX4" i="4"/>
  <c r="K54" i="76" s="1"/>
  <c r="M29" i="72"/>
  <c r="P40"/>
  <c r="F86"/>
  <c r="O35" i="30"/>
  <c r="O9" i="42"/>
  <c r="O8" s="1"/>
  <c r="M12" i="54"/>
  <c r="H15" i="72"/>
  <c r="F26"/>
  <c r="F14" s="1"/>
  <c r="F13" s="1"/>
  <c r="K38"/>
  <c r="K46"/>
  <c r="K54"/>
  <c r="K58"/>
  <c r="K72"/>
  <c r="K37"/>
  <c r="M32" i="38"/>
  <c r="M122"/>
  <c r="K47" i="72"/>
  <c r="O353" i="38"/>
  <c r="M99" i="72"/>
  <c r="O11" i="23"/>
  <c r="O10" s="1"/>
  <c r="M13" i="45"/>
  <c r="M11" i="54"/>
  <c r="K18" i="72"/>
  <c r="K22"/>
  <c r="K41"/>
  <c r="K45"/>
  <c r="H86"/>
  <c r="D54" i="76"/>
  <c r="N4" i="4"/>
  <c r="K17" i="76" s="1"/>
  <c r="AJ4" i="4"/>
  <c r="K39" i="76" s="1"/>
  <c r="AR4" i="4"/>
  <c r="K48" i="76" s="1"/>
  <c r="O20" i="4"/>
  <c r="M25" i="72" s="1"/>
  <c r="O22" i="4"/>
  <c r="O26"/>
  <c r="M31" i="72" s="1"/>
  <c r="O28" i="4"/>
  <c r="O29"/>
  <c r="O31"/>
  <c r="M35" i="72" s="1"/>
  <c r="O33" i="4"/>
  <c r="O42"/>
  <c r="O43"/>
  <c r="O44"/>
  <c r="M48" i="72" s="1"/>
  <c r="O48" i="4"/>
  <c r="M52" i="72" s="1"/>
  <c r="O52" i="4"/>
  <c r="M56" i="72" s="1"/>
  <c r="O57" i="4"/>
  <c r="O59"/>
  <c r="M63" i="72" s="1"/>
  <c r="O61" i="4"/>
  <c r="M65" i="72" s="1"/>
  <c r="O9" i="37"/>
  <c r="O8" s="1"/>
  <c r="M10" i="54"/>
  <c r="D40" i="72"/>
  <c r="H40"/>
  <c r="H60"/>
  <c r="M7" i="34"/>
  <c r="M125" i="38"/>
  <c r="AH4" i="81"/>
  <c r="I37" i="76" s="1"/>
  <c r="D23"/>
  <c r="F21" i="80"/>
  <c r="D21" s="1"/>
  <c r="D52" i="76"/>
  <c r="F50" i="80"/>
  <c r="D50" s="1"/>
  <c r="O7" i="71"/>
  <c r="O6" s="1"/>
  <c r="AV4" i="81"/>
  <c r="I52" i="76" s="1"/>
  <c r="M7" i="71"/>
  <c r="D42" i="76"/>
  <c r="O53" i="81"/>
  <c r="O54"/>
  <c r="F36" i="80"/>
  <c r="C23" i="76"/>
  <c r="F47" i="80"/>
  <c r="O58" i="2"/>
  <c r="O10" i="31" s="1"/>
  <c r="M13" i="30"/>
  <c r="O57" i="2"/>
  <c r="O9" i="31" s="1"/>
  <c r="M13" i="68"/>
  <c r="AM4" i="2"/>
  <c r="G42" i="76" s="1"/>
  <c r="F46" i="80"/>
  <c r="F7" i="72"/>
  <c r="F6" s="1"/>
  <c r="O10" i="2"/>
  <c r="O9" s="1"/>
  <c r="M402" i="38"/>
  <c r="O16" i="2"/>
  <c r="AF4" s="1"/>
  <c r="G35" i="76" s="1"/>
  <c r="O17" i="2"/>
  <c r="O7" i="31" s="1"/>
  <c r="I4" i="2"/>
  <c r="G11" i="76" s="1"/>
  <c r="O47" i="2"/>
  <c r="AT4" s="1"/>
  <c r="G50" i="76" s="1"/>
  <c r="O48" i="2"/>
  <c r="AK4" s="1"/>
  <c r="G40" i="76" s="1"/>
  <c r="O49" i="2"/>
  <c r="O7" i="23" s="1"/>
  <c r="O6" s="1"/>
  <c r="O50" i="2"/>
  <c r="O8" i="31" s="1"/>
  <c r="O52" i="2"/>
  <c r="O7" i="42" s="1"/>
  <c r="O6" s="1"/>
  <c r="M212" i="38"/>
  <c r="P7" i="72"/>
  <c r="P6" s="1"/>
  <c r="K11"/>
  <c r="O13" i="2"/>
  <c r="M8" i="32"/>
  <c r="O64" i="2"/>
  <c r="O8" i="32" s="1"/>
  <c r="O295" i="38"/>
  <c r="O294" s="1"/>
  <c r="O14" i="24"/>
  <c r="O13" s="1"/>
  <c r="O11" i="41"/>
  <c r="O10" s="1"/>
  <c r="AL4" i="2"/>
  <c r="G41" i="76" s="1"/>
  <c r="M11" i="45"/>
  <c r="M112" i="38"/>
  <c r="O56" i="2"/>
  <c r="M7" i="32"/>
  <c r="O60" i="2"/>
  <c r="D22" i="76"/>
  <c r="J4" i="2"/>
  <c r="G12" i="76" s="1"/>
  <c r="O25" i="2"/>
  <c r="O26"/>
  <c r="O399" i="38" s="1"/>
  <c r="O27" i="2"/>
  <c r="O400" i="38" s="1"/>
  <c r="O28" i="2"/>
  <c r="O401" i="38" s="1"/>
  <c r="O29" i="2"/>
  <c r="F40" i="80"/>
  <c r="M295" i="38"/>
  <c r="M296"/>
  <c r="M297"/>
  <c r="M349"/>
  <c r="M350"/>
  <c r="O34" i="2"/>
  <c r="O35"/>
  <c r="O22" i="38" s="1"/>
  <c r="O36" i="2"/>
  <c r="O23" i="38" s="1"/>
  <c r="O37" i="2"/>
  <c r="O24" i="38" s="1"/>
  <c r="O38" i="2"/>
  <c r="O25" i="38" s="1"/>
  <c r="O41" i="2"/>
  <c r="O42"/>
  <c r="O439" i="38" s="1"/>
  <c r="O22" i="16"/>
  <c r="O198" i="38"/>
  <c r="O25" i="16"/>
  <c r="O200" i="38"/>
  <c r="M103"/>
  <c r="O84" i="16"/>
  <c r="M10" i="24"/>
  <c r="O92" i="16"/>
  <c r="O10" i="24" s="1"/>
  <c r="M108" i="38"/>
  <c r="O96" i="16"/>
  <c r="O108" i="38" s="1"/>
  <c r="F16" i="80"/>
  <c r="D18" i="76"/>
  <c r="M345" i="38"/>
  <c r="O19" i="16"/>
  <c r="O345" i="38" s="1"/>
  <c r="O7" i="24"/>
  <c r="O7" i="44"/>
  <c r="O46" i="16"/>
  <c r="M7" i="53"/>
  <c r="O7" i="54"/>
  <c r="O6" s="1"/>
  <c r="O4" i="16"/>
  <c r="E18" i="76" s="1"/>
  <c r="O79" i="16"/>
  <c r="O8" i="41" s="1"/>
  <c r="O6" s="1"/>
  <c r="M8"/>
  <c r="M344" i="38"/>
  <c r="O18" i="16"/>
  <c r="O344" i="38" s="1"/>
  <c r="M203"/>
  <c r="O68" i="16"/>
  <c r="M107" i="38"/>
  <c r="O88" i="16"/>
  <c r="O107" i="38" s="1"/>
  <c r="M343"/>
  <c r="O17" i="16"/>
  <c r="O30"/>
  <c r="M290" i="38"/>
  <c r="O15"/>
  <c r="O62" i="16"/>
  <c r="O16" i="38" s="1"/>
  <c r="O17"/>
  <c r="O7" i="26"/>
  <c r="O6" s="1"/>
  <c r="AX4" i="16"/>
  <c r="E54" i="76" s="1"/>
  <c r="O7" i="30"/>
  <c r="O6" s="1"/>
  <c r="AJ4" i="16"/>
  <c r="E39" i="76" s="1"/>
  <c r="O9" i="20"/>
  <c r="M9" i="24"/>
  <c r="O91" i="16"/>
  <c r="O9" i="24" s="1"/>
  <c r="M293" i="38"/>
  <c r="M7" i="68"/>
  <c r="F39" i="80"/>
  <c r="F52"/>
  <c r="D52" s="1"/>
  <c r="L4" i="16"/>
  <c r="E14" i="76" s="1"/>
  <c r="M105" i="38"/>
  <c r="O86" i="16"/>
  <c r="O105" i="38" s="1"/>
  <c r="M347"/>
  <c r="O90" i="16"/>
  <c r="O347" i="38" s="1"/>
  <c r="M12" i="24"/>
  <c r="O94" i="16"/>
  <c r="O12" i="24" s="1"/>
  <c r="M110" i="38"/>
  <c r="O98" i="16"/>
  <c r="O110" i="38" s="1"/>
  <c r="M292"/>
  <c r="M9" i="20"/>
  <c r="M10" i="68"/>
  <c r="M106" i="38"/>
  <c r="O87" i="16"/>
  <c r="O106" i="38" s="1"/>
  <c r="F35" i="80"/>
  <c r="M346" i="38"/>
  <c r="O20" i="16"/>
  <c r="O346" i="38" s="1"/>
  <c r="O434"/>
  <c r="O433" s="1"/>
  <c r="M204"/>
  <c r="O69" i="16"/>
  <c r="O204" i="38" s="1"/>
  <c r="M104"/>
  <c r="O85" i="16"/>
  <c r="O104" i="38" s="1"/>
  <c r="M11" i="24"/>
  <c r="O93" i="16"/>
  <c r="O11" i="24" s="1"/>
  <c r="M109" i="38"/>
  <c r="O97" i="16"/>
  <c r="O109" i="38" s="1"/>
  <c r="O103" i="16"/>
  <c r="O10" i="68"/>
  <c r="M291" i="38"/>
  <c r="M10" i="30"/>
  <c r="M9" i="41"/>
  <c r="M9" i="53"/>
  <c r="M15" i="38"/>
  <c r="M396"/>
  <c r="M9" i="44"/>
  <c r="M10"/>
  <c r="M8" i="45"/>
  <c r="M7" i="54"/>
  <c r="AN7" i="76"/>
  <c r="H57" i="80"/>
  <c r="H5" s="1"/>
  <c r="Q5"/>
  <c r="S7" i="3"/>
  <c r="R11" i="81" s="1"/>
  <c r="R67" i="16"/>
  <c r="R66" s="1"/>
  <c r="R56" i="2"/>
  <c r="G3" s="1"/>
  <c r="H9" i="76" s="1"/>
  <c r="S20" i="3"/>
  <c r="R13" i="81" s="1"/>
  <c r="L3" s="1"/>
  <c r="J14" i="76" s="1"/>
  <c r="S33" i="3"/>
  <c r="R15" i="81" s="1"/>
  <c r="I3" s="1"/>
  <c r="J11" i="76" s="1"/>
  <c r="S160" i="15"/>
  <c r="R57" i="82" s="1"/>
  <c r="G3" s="1"/>
  <c r="Z9" i="76" s="1"/>
  <c r="J7" i="80" s="1"/>
  <c r="L3" i="9"/>
  <c r="T14" i="76" s="1"/>
  <c r="T6" s="1"/>
  <c r="R8" i="11"/>
  <c r="O298" i="38"/>
  <c r="U20" i="49"/>
  <c r="U19" s="1"/>
  <c r="L3" i="10"/>
  <c r="AB14" i="76" s="1"/>
  <c r="H3" i="16"/>
  <c r="F10" i="76" s="1"/>
  <c r="R50" i="16"/>
  <c r="S146" i="15"/>
  <c r="R56" i="82" s="1"/>
  <c r="F3" s="1"/>
  <c r="Z8" i="76" s="1"/>
  <c r="R16" i="10"/>
  <c r="R7" s="1"/>
  <c r="L48" i="1" s="1"/>
  <c r="J3" i="16"/>
  <c r="F12" i="76" s="1"/>
  <c r="D12" s="1"/>
  <c r="R34" i="81"/>
  <c r="S35" i="15"/>
  <c r="R15" i="82" s="1"/>
  <c r="R9" s="1"/>
  <c r="L37" i="1"/>
  <c r="L58"/>
  <c r="H3" i="82"/>
  <c r="Z10" i="76" s="1"/>
  <c r="H3" i="10"/>
  <c r="AB10" i="76" s="1"/>
  <c r="M3" i="16"/>
  <c r="F15" i="76" s="1"/>
  <c r="D15" s="1"/>
  <c r="F3" i="16"/>
  <c r="F8" i="76" s="1"/>
  <c r="R14" i="84"/>
  <c r="L3" s="1"/>
  <c r="R14" i="76" s="1"/>
  <c r="R6" s="1"/>
  <c r="H8" i="80"/>
  <c r="F11"/>
  <c r="L47" i="1"/>
  <c r="L54"/>
  <c r="O241" i="38"/>
  <c r="F3" i="5"/>
  <c r="N8" i="76" s="1"/>
  <c r="N6" s="1"/>
  <c r="R60" i="16"/>
  <c r="O414" i="38"/>
  <c r="O440"/>
  <c r="I3" i="82"/>
  <c r="Z11" i="76" s="1"/>
  <c r="J9" i="80" s="1"/>
  <c r="R29" i="16"/>
  <c r="O277" i="38"/>
  <c r="O370"/>
  <c r="I3" i="16"/>
  <c r="F11" i="76" s="1"/>
  <c r="R19" i="2"/>
  <c r="L3"/>
  <c r="H14" i="76" s="1"/>
  <c r="R71" i="4"/>
  <c r="P81" i="72"/>
  <c r="P75" s="1"/>
  <c r="L8" i="80"/>
  <c r="P70" i="72"/>
  <c r="G3" i="4"/>
  <c r="L9" i="76" s="1"/>
  <c r="AD6"/>
  <c r="S23" i="3"/>
  <c r="R14" i="81" s="1"/>
  <c r="H3" s="1"/>
  <c r="J10" i="76" s="1"/>
  <c r="R56" i="4"/>
  <c r="P66" i="72"/>
  <c r="I3" i="4"/>
  <c r="L11" i="76" s="1"/>
  <c r="P69" i="72"/>
  <c r="F3" i="83"/>
  <c r="AF8" i="76" s="1"/>
  <c r="D13"/>
  <c r="S12" i="3"/>
  <c r="R12" i="81" s="1"/>
  <c r="G3" s="1"/>
  <c r="J9" i="76" s="1"/>
  <c r="L3" i="4"/>
  <c r="L14" i="76" s="1"/>
  <c r="L27" i="1"/>
  <c r="L10" i="80"/>
  <c r="R7" i="38"/>
  <c r="R6" s="1"/>
  <c r="F2" s="1"/>
  <c r="O180"/>
  <c r="R12" i="83"/>
  <c r="R8" s="1"/>
  <c r="AA3"/>
  <c r="AF30" i="76" s="1"/>
  <c r="S110" i="7"/>
  <c r="R24" i="83" s="1"/>
  <c r="I3" s="1"/>
  <c r="AF11" i="76" s="1"/>
  <c r="L9" i="80" s="1"/>
  <c r="R8" i="85"/>
  <c r="F3"/>
  <c r="P8" i="76" s="1"/>
  <c r="Q3" i="4"/>
  <c r="L20" i="76" s="1"/>
  <c r="O386" i="38"/>
  <c r="BB3" i="56"/>
  <c r="AN16" i="76" s="1"/>
  <c r="P37" i="72"/>
  <c r="P26" s="1"/>
  <c r="O27" i="42" l="1"/>
  <c r="I142" i="67"/>
  <c r="I178"/>
  <c r="K35" i="1" s="1"/>
  <c r="E41" i="80"/>
  <c r="P98" i="13"/>
  <c r="O38" i="84" s="1"/>
  <c r="AT4" s="1"/>
  <c r="Q50" i="76" s="1"/>
  <c r="O51" i="24"/>
  <c r="M188" i="72"/>
  <c r="M206"/>
  <c r="O32" i="20"/>
  <c r="O31" s="1"/>
  <c r="P82" i="13"/>
  <c r="O27" i="84" s="1"/>
  <c r="AK4" s="1"/>
  <c r="Q40" i="76" s="1"/>
  <c r="O13" i="33"/>
  <c r="O12" s="1"/>
  <c r="O37" i="85"/>
  <c r="AW4" s="1"/>
  <c r="O53" i="76" s="1"/>
  <c r="P89" i="12"/>
  <c r="O36" i="85" s="1"/>
  <c r="AT4" s="1"/>
  <c r="O50" i="76" s="1"/>
  <c r="O15" i="75"/>
  <c r="Q157" i="49"/>
  <c r="Q152" s="1"/>
  <c r="O21" i="26"/>
  <c r="O44" i="84"/>
  <c r="AX4" s="1"/>
  <c r="Q54" i="76" s="1"/>
  <c r="O30" i="84"/>
  <c r="AI4" s="1"/>
  <c r="Q38" i="76" s="1"/>
  <c r="O28" i="40"/>
  <c r="O27" s="1"/>
  <c r="O96" i="38"/>
  <c r="O20" i="26"/>
  <c r="O26" i="45"/>
  <c r="O16" i="26"/>
  <c r="O89" i="30"/>
  <c r="O23" i="20"/>
  <c r="D48" i="76"/>
  <c r="O23" i="24"/>
  <c r="O8" i="43"/>
  <c r="M200" i="72"/>
  <c r="O127" i="38"/>
  <c r="AI3" i="82"/>
  <c r="Z38" i="76" s="1"/>
  <c r="J36" i="80" s="1"/>
  <c r="D36" s="1"/>
  <c r="P13" i="15"/>
  <c r="O11" i="82" s="1"/>
  <c r="P197" i="15"/>
  <c r="O65" i="82" s="1"/>
  <c r="D51" i="76"/>
  <c r="I26" i="80"/>
  <c r="C26" s="1"/>
  <c r="N4" i="8"/>
  <c r="AI17" i="76" s="1"/>
  <c r="O15" i="80" s="1"/>
  <c r="O19" i="44"/>
  <c r="Q93" i="49"/>
  <c r="O19" i="61"/>
  <c r="O18" s="1"/>
  <c r="AE4" i="10"/>
  <c r="AA34" i="76" s="1"/>
  <c r="P228" i="7"/>
  <c r="O49" i="83" s="1"/>
  <c r="AK4" s="1"/>
  <c r="AE40" i="76" s="1"/>
  <c r="K38" i="80" s="1"/>
  <c r="P275" i="7"/>
  <c r="O62" i="83" s="1"/>
  <c r="AY4" s="1"/>
  <c r="AE55" i="76" s="1"/>
  <c r="K53" i="80" s="1"/>
  <c r="O12" i="44"/>
  <c r="O11" s="1"/>
  <c r="P184" i="7"/>
  <c r="O36" i="83" s="1"/>
  <c r="AE4" s="1"/>
  <c r="AE34" i="76" s="1"/>
  <c r="K32" i="80" s="1"/>
  <c r="R29" i="82"/>
  <c r="R8" s="1"/>
  <c r="L24" i="1" s="1"/>
  <c r="P208" i="15"/>
  <c r="O69" i="82" s="1"/>
  <c r="O35" i="27"/>
  <c r="O37"/>
  <c r="P219" i="7"/>
  <c r="O48" i="83" s="1"/>
  <c r="AJ4" s="1"/>
  <c r="AE39" i="76" s="1"/>
  <c r="K37" i="80" s="1"/>
  <c r="P243" i="7"/>
  <c r="O52" i="83" s="1"/>
  <c r="AN4" s="1"/>
  <c r="AE43" i="76" s="1"/>
  <c r="K41" i="80" s="1"/>
  <c r="O10" i="70"/>
  <c r="O9" s="1"/>
  <c r="F3" s="1"/>
  <c r="O13" i="40"/>
  <c r="O12" s="1"/>
  <c r="P209" i="7"/>
  <c r="O47" i="83" s="1"/>
  <c r="AI4" s="1"/>
  <c r="AE38" i="76" s="1"/>
  <c r="K36" i="80" s="1"/>
  <c r="P259" i="7"/>
  <c r="O58" i="83" s="1"/>
  <c r="AS4" s="1"/>
  <c r="AE49" i="76" s="1"/>
  <c r="K47" i="80" s="1"/>
  <c r="P150" i="7"/>
  <c r="O31" i="83" s="1"/>
  <c r="O32" i="23"/>
  <c r="Q135" i="49"/>
  <c r="O29" i="23"/>
  <c r="O21" i="27"/>
  <c r="O404" i="38"/>
  <c r="O313"/>
  <c r="U147" i="49"/>
  <c r="Q68"/>
  <c r="O41" i="68"/>
  <c r="O40" s="1"/>
  <c r="Q20" i="49"/>
  <c r="O25" i="68"/>
  <c r="P235" i="7"/>
  <c r="O51" i="83" s="1"/>
  <c r="AM4" s="1"/>
  <c r="AE42" i="76" s="1"/>
  <c r="K40" i="80" s="1"/>
  <c r="O24" i="68"/>
  <c r="O7" i="20"/>
  <c r="AK4" i="16"/>
  <c r="E40" i="76" s="1"/>
  <c r="O12" i="41"/>
  <c r="O107" i="27"/>
  <c r="Q110" i="49"/>
  <c r="I2"/>
  <c r="N11" i="47" s="1"/>
  <c r="BC4" s="1"/>
  <c r="AG45" i="76" s="1"/>
  <c r="M43" i="80" s="1"/>
  <c r="O118" i="30"/>
  <c r="O108" s="1"/>
  <c r="O64" i="24"/>
  <c r="O61" s="1"/>
  <c r="Q49" i="49"/>
  <c r="Q19" s="1"/>
  <c r="U118"/>
  <c r="Q162"/>
  <c r="Q147" s="1"/>
  <c r="H2"/>
  <c r="N10" i="47" s="1"/>
  <c r="J2" i="49"/>
  <c r="N12" i="47" s="1"/>
  <c r="BD4" s="1"/>
  <c r="AG58" i="76" s="1"/>
  <c r="M56" i="80" s="1"/>
  <c r="C56" s="1"/>
  <c r="Q119" i="49"/>
  <c r="S93" i="3"/>
  <c r="D11" i="80"/>
  <c r="N24" i="47"/>
  <c r="O390" i="38"/>
  <c r="Q7" i="47"/>
  <c r="O338" i="38"/>
  <c r="O334" s="1"/>
  <c r="P33" i="13"/>
  <c r="O12" i="84" s="1"/>
  <c r="I4" s="1"/>
  <c r="Q11" i="76" s="1"/>
  <c r="O27" i="31"/>
  <c r="O21" i="23"/>
  <c r="O92" i="38"/>
  <c r="P77" i="12"/>
  <c r="O32" i="85" s="1"/>
  <c r="AP4" s="1"/>
  <c r="O46" i="76" s="1"/>
  <c r="D46"/>
  <c r="O23" i="45"/>
  <c r="P40" i="12"/>
  <c r="O19" i="85" s="1"/>
  <c r="P4" s="1"/>
  <c r="O19" i="76" s="1"/>
  <c r="P84" i="12"/>
  <c r="O34" i="85" s="1"/>
  <c r="AR4" s="1"/>
  <c r="O48" i="76" s="1"/>
  <c r="P37" i="12"/>
  <c r="O18" i="85" s="1"/>
  <c r="AF4" s="1"/>
  <c r="O35" i="76" s="1"/>
  <c r="P87" i="12"/>
  <c r="O35" i="85" s="1"/>
  <c r="AS4" s="1"/>
  <c r="O49" i="76" s="1"/>
  <c r="P22" i="12"/>
  <c r="O12" i="85" s="1"/>
  <c r="I4" s="1"/>
  <c r="O11" i="76" s="1"/>
  <c r="O331" i="38"/>
  <c r="O330" s="1"/>
  <c r="P57" i="12"/>
  <c r="O25" i="85" s="1"/>
  <c r="AJ4" s="1"/>
  <c r="O39" i="76" s="1"/>
  <c r="D41" i="80"/>
  <c r="P6" i="76"/>
  <c r="F3" i="71"/>
  <c r="D39" i="80"/>
  <c r="O21" i="32"/>
  <c r="O20" s="1"/>
  <c r="M143" i="72"/>
  <c r="O37" i="30"/>
  <c r="Z4" i="82"/>
  <c r="Y29" i="76" s="1"/>
  <c r="P256" i="15"/>
  <c r="O81" i="82" s="1"/>
  <c r="P61" i="15"/>
  <c r="O24" i="82" s="1"/>
  <c r="AE4" s="1"/>
  <c r="Y34" i="76" s="1"/>
  <c r="O7" i="61"/>
  <c r="O6" s="1"/>
  <c r="I4" i="82"/>
  <c r="Y11" i="76" s="1"/>
  <c r="I9" i="80" s="1"/>
  <c r="P136" i="15"/>
  <c r="P129"/>
  <c r="O44" i="82" s="1"/>
  <c r="AX4" s="1"/>
  <c r="Y54" i="76" s="1"/>
  <c r="I52" i="80" s="1"/>
  <c r="O16" i="31"/>
  <c r="O6" i="43"/>
  <c r="P250" i="15"/>
  <c r="O79" i="82" s="1"/>
  <c r="J34" i="80"/>
  <c r="D34" s="1"/>
  <c r="D50" i="76"/>
  <c r="J18" i="1"/>
  <c r="E4" i="60"/>
  <c r="G24" i="80"/>
  <c r="C24" s="1"/>
  <c r="U6" i="76"/>
  <c r="O41" i="81"/>
  <c r="O115" i="38"/>
  <c r="P20" i="3"/>
  <c r="O13" i="81" s="1"/>
  <c r="L4" s="1"/>
  <c r="I14" i="76" s="1"/>
  <c r="P23" i="3"/>
  <c r="O14" i="81" s="1"/>
  <c r="H4" s="1"/>
  <c r="I10" i="76" s="1"/>
  <c r="O24" i="27"/>
  <c r="O48"/>
  <c r="P106" i="3"/>
  <c r="O10" i="27"/>
  <c r="O15" i="20"/>
  <c r="P94" i="3"/>
  <c r="O218" i="38"/>
  <c r="F23" i="80"/>
  <c r="D23" s="1"/>
  <c r="F38"/>
  <c r="D38" s="1"/>
  <c r="F49"/>
  <c r="D49" s="1"/>
  <c r="O6" i="68"/>
  <c r="F48" i="80"/>
  <c r="D48" s="1"/>
  <c r="AL4" i="16"/>
  <c r="E41" i="76" s="1"/>
  <c r="R83" i="16"/>
  <c r="M4"/>
  <c r="E15" i="76" s="1"/>
  <c r="O70" i="16"/>
  <c r="D51" i="80"/>
  <c r="O77" i="16"/>
  <c r="D27" i="80"/>
  <c r="Q43"/>
  <c r="P101" i="3"/>
  <c r="AL4" i="81"/>
  <c r="I41" i="76" s="1"/>
  <c r="O50" i="27"/>
  <c r="O21" i="81"/>
  <c r="O16" i="85"/>
  <c r="P32" i="12"/>
  <c r="O15" i="85" s="1"/>
  <c r="N4" s="1"/>
  <c r="O17" i="76" s="1"/>
  <c r="O19" i="37"/>
  <c r="O18" s="1"/>
  <c r="P66" i="12"/>
  <c r="O26" i="85" s="1"/>
  <c r="AK4" s="1"/>
  <c r="O40" i="76" s="1"/>
  <c r="O29" i="20"/>
  <c r="O28" s="1"/>
  <c r="P100" i="12"/>
  <c r="O41" i="85" s="1"/>
  <c r="AX4" s="1"/>
  <c r="O54" i="76" s="1"/>
  <c r="P10" i="12"/>
  <c r="O10" i="85" s="1"/>
  <c r="O176" i="38"/>
  <c r="O175" s="1"/>
  <c r="P29" i="12"/>
  <c r="O14" i="85" s="1"/>
  <c r="K4" s="1"/>
  <c r="O13" i="76" s="1"/>
  <c r="E11" i="80" s="1"/>
  <c r="R38" i="81"/>
  <c r="R37" s="1"/>
  <c r="R33" s="1"/>
  <c r="L16" i="1" s="1"/>
  <c r="S86" i="3"/>
  <c r="F13" i="80"/>
  <c r="D13" s="1"/>
  <c r="R25" i="81"/>
  <c r="P3"/>
  <c r="J19" i="76" s="1"/>
  <c r="D19" s="1"/>
  <c r="I166" i="67"/>
  <c r="N223" i="66"/>
  <c r="G223" i="67" s="1"/>
  <c r="N231" i="66"/>
  <c r="N162"/>
  <c r="G162" i="67" s="1"/>
  <c r="G163"/>
  <c r="N38" i="66"/>
  <c r="G38" i="67" s="1"/>
  <c r="G60" i="76" s="1"/>
  <c r="G39" i="67"/>
  <c r="I39" s="1"/>
  <c r="K11" i="1" s="1"/>
  <c r="D44" i="80"/>
  <c r="D35" i="76"/>
  <c r="O7" i="56"/>
  <c r="BB4"/>
  <c r="AM16" i="76" s="1"/>
  <c r="AA4" i="58"/>
  <c r="AK30" i="76" s="1"/>
  <c r="O28" i="80" s="1"/>
  <c r="E35"/>
  <c r="R18" i="81"/>
  <c r="AJ3"/>
  <c r="J39" i="76" s="1"/>
  <c r="F37" i="80" s="1"/>
  <c r="D37" s="1"/>
  <c r="I4" i="81"/>
  <c r="I11" i="76" s="1"/>
  <c r="O34" i="81"/>
  <c r="AQ4"/>
  <c r="I47" i="76" s="1"/>
  <c r="O45" i="81"/>
  <c r="P112" i="3"/>
  <c r="O39" i="81" s="1"/>
  <c r="AM4" s="1"/>
  <c r="I42" i="76" s="1"/>
  <c r="O15" i="68"/>
  <c r="O14" s="1"/>
  <c r="O40" i="81"/>
  <c r="O80" i="27"/>
  <c r="O31" i="81"/>
  <c r="O81" i="27"/>
  <c r="O32" i="81"/>
  <c r="O74" i="27"/>
  <c r="P77" i="3"/>
  <c r="O30" i="81" s="1"/>
  <c r="O28"/>
  <c r="O72" i="27"/>
  <c r="P72" i="3"/>
  <c r="O27" i="81" s="1"/>
  <c r="O70" i="27"/>
  <c r="P67" i="3"/>
  <c r="O64" i="27" s="1"/>
  <c r="O65"/>
  <c r="O59"/>
  <c r="P52" i="3"/>
  <c r="O22" i="81"/>
  <c r="O12" i="20"/>
  <c r="O39" i="27"/>
  <c r="P39" i="3"/>
  <c r="O15" i="30"/>
  <c r="O43" i="27"/>
  <c r="O19" i="30"/>
  <c r="O31" i="27"/>
  <c r="O221" i="38"/>
  <c r="O216"/>
  <c r="O26" i="27"/>
  <c r="O222" i="38"/>
  <c r="O32" i="27"/>
  <c r="O29"/>
  <c r="O219" i="38"/>
  <c r="O120"/>
  <c r="O19" i="27"/>
  <c r="O116" i="38"/>
  <c r="O15" i="27"/>
  <c r="P12" i="3"/>
  <c r="O12" i="81" s="1"/>
  <c r="G4" s="1"/>
  <c r="I9" i="76" s="1"/>
  <c r="O13" i="27"/>
  <c r="O114" i="38"/>
  <c r="O17" i="27"/>
  <c r="O118" i="38"/>
  <c r="O28"/>
  <c r="O26" s="1"/>
  <c r="O9" i="27"/>
  <c r="O11" i="81"/>
  <c r="R82" i="16"/>
  <c r="L9" i="1" s="1"/>
  <c r="R55" i="2"/>
  <c r="R31" s="1"/>
  <c r="L13" i="1" s="1"/>
  <c r="O10" i="45"/>
  <c r="O15" i="2"/>
  <c r="AP4"/>
  <c r="G46" i="76" s="1"/>
  <c r="O6" i="31"/>
  <c r="O46" i="2"/>
  <c r="AQ4"/>
  <c r="G47" i="76" s="1"/>
  <c r="S4" i="2"/>
  <c r="G22" i="76" s="1"/>
  <c r="C22" s="1"/>
  <c r="M9" i="72"/>
  <c r="M8" s="1"/>
  <c r="F10" i="80"/>
  <c r="D10" s="1"/>
  <c r="AM4" i="16"/>
  <c r="E42" i="76" s="1"/>
  <c r="O100" i="16"/>
  <c r="O83" s="1"/>
  <c r="O82" s="1"/>
  <c r="J9" i="1" s="1"/>
  <c r="O6" i="20"/>
  <c r="AF4" i="16"/>
  <c r="E35" i="76" s="1"/>
  <c r="E33" i="80" s="1"/>
  <c r="O7" i="45"/>
  <c r="O6" s="1"/>
  <c r="O6" i="44"/>
  <c r="AY4" i="16"/>
  <c r="E55" i="76" s="1"/>
  <c r="C55" s="1"/>
  <c r="O32" i="16"/>
  <c r="O9"/>
  <c r="F4"/>
  <c r="E8" i="76" s="1"/>
  <c r="P238" i="72"/>
  <c r="P237" s="1"/>
  <c r="Q91" i="65"/>
  <c r="F91" i="67" s="1"/>
  <c r="I216"/>
  <c r="K46" i="1" s="1"/>
  <c r="G238" i="72"/>
  <c r="G237" s="1"/>
  <c r="Q121" i="65"/>
  <c r="I126" i="67"/>
  <c r="N70" i="65"/>
  <c r="E70" i="67" s="1"/>
  <c r="U59" i="76" s="1"/>
  <c r="M257" i="72"/>
  <c r="E108" i="67"/>
  <c r="I108" s="1"/>
  <c r="Q59" i="76"/>
  <c r="K4" i="67"/>
  <c r="Q61" i="76" s="1"/>
  <c r="E59" i="80" s="1"/>
  <c r="C59" s="1"/>
  <c r="N174" i="65"/>
  <c r="E174" i="67" s="1"/>
  <c r="AE59" i="76" s="1"/>
  <c r="I112" i="67"/>
  <c r="N162" i="65"/>
  <c r="E162" i="67" s="1"/>
  <c r="E163"/>
  <c r="I163" s="1"/>
  <c r="P57" i="80"/>
  <c r="P5" s="1"/>
  <c r="AJ7" i="76"/>
  <c r="F237" i="72"/>
  <c r="M258"/>
  <c r="E115" i="67"/>
  <c r="I115" s="1"/>
  <c r="K26" i="1" s="1"/>
  <c r="AK59" i="76"/>
  <c r="F250" i="67"/>
  <c r="J250" s="1"/>
  <c r="Q231" i="65"/>
  <c r="J174" i="67"/>
  <c r="M33" i="1" s="1"/>
  <c r="AF59" i="76"/>
  <c r="N77" i="65"/>
  <c r="E77" i="67" s="1"/>
  <c r="K59" i="76" s="1"/>
  <c r="E78" i="67"/>
  <c r="I78" s="1"/>
  <c r="K20" i="1" s="1"/>
  <c r="N64" i="65"/>
  <c r="E64" i="67" s="1"/>
  <c r="E65"/>
  <c r="E52"/>
  <c r="N38" i="65"/>
  <c r="E38" i="67" s="1"/>
  <c r="I18"/>
  <c r="N103" i="65"/>
  <c r="E103" i="67" s="1"/>
  <c r="M254" i="72"/>
  <c r="E104" i="67"/>
  <c r="I104" s="1"/>
  <c r="E225"/>
  <c r="I225" s="1"/>
  <c r="K50" i="1" s="1"/>
  <c r="N223" i="65"/>
  <c r="E223" i="67" s="1"/>
  <c r="AA59" i="76" s="1"/>
  <c r="N257" i="65"/>
  <c r="E257" i="67" s="1"/>
  <c r="I227"/>
  <c r="K51" i="1" s="1"/>
  <c r="W59" i="76"/>
  <c r="N233" i="65"/>
  <c r="E92" i="67"/>
  <c r="I92" s="1"/>
  <c r="K24" i="1" s="1"/>
  <c r="N152" i="65"/>
  <c r="E152" i="67" s="1"/>
  <c r="I152" s="1"/>
  <c r="N250" i="65"/>
  <c r="E250" i="67" s="1"/>
  <c r="I250" s="1"/>
  <c r="E251"/>
  <c r="I251" s="1"/>
  <c r="E211"/>
  <c r="I211" s="1"/>
  <c r="K45" i="1" s="1"/>
  <c r="N210" i="65"/>
  <c r="E210" i="67" s="1"/>
  <c r="S59" i="76" s="1"/>
  <c r="N9" i="65"/>
  <c r="E10" i="67"/>
  <c r="N52" i="66"/>
  <c r="G53" i="67"/>
  <c r="I53" s="1"/>
  <c r="G257"/>
  <c r="M290" i="72"/>
  <c r="I204" i="67"/>
  <c r="K42" i="1" s="1"/>
  <c r="O60" i="76"/>
  <c r="O7" s="1"/>
  <c r="N103" i="66"/>
  <c r="G88" i="67"/>
  <c r="I88" s="1"/>
  <c r="K22" i="1" s="1"/>
  <c r="M283" i="72"/>
  <c r="M281" s="1"/>
  <c r="M280" s="1"/>
  <c r="N174" i="66"/>
  <c r="G174" i="67" s="1"/>
  <c r="G175"/>
  <c r="I175" s="1"/>
  <c r="K34" i="1" s="1"/>
  <c r="N70" i="66"/>
  <c r="G70" i="67" s="1"/>
  <c r="G71"/>
  <c r="I71" s="1"/>
  <c r="M279" i="72"/>
  <c r="M277" s="1"/>
  <c r="M265" s="1"/>
  <c r="G84" i="67"/>
  <c r="I84" s="1"/>
  <c r="K21" i="1" s="1"/>
  <c r="AA60" i="76"/>
  <c r="AA7" s="1"/>
  <c r="N77" i="66"/>
  <c r="N230"/>
  <c r="G230" i="67" s="1"/>
  <c r="G231"/>
  <c r="N64" i="66"/>
  <c r="G64" i="67" s="1"/>
  <c r="G65"/>
  <c r="I65" s="1"/>
  <c r="G196"/>
  <c r="I196" s="1"/>
  <c r="K37" i="1" s="1"/>
  <c r="N195" i="66"/>
  <c r="G195" i="67" s="1"/>
  <c r="N210" i="66"/>
  <c r="G210" i="67" s="1"/>
  <c r="C61" i="76"/>
  <c r="N9" i="66"/>
  <c r="G10" i="67"/>
  <c r="J9"/>
  <c r="M7" i="1" s="1"/>
  <c r="F58" i="80"/>
  <c r="D58" s="1"/>
  <c r="D3" i="66"/>
  <c r="H7" i="67"/>
  <c r="F8"/>
  <c r="AL6" i="76"/>
  <c r="D33" i="80"/>
  <c r="P35"/>
  <c r="P4" s="1"/>
  <c r="D37" i="76"/>
  <c r="AH4" i="58"/>
  <c r="AK37" i="76" s="1"/>
  <c r="O35" i="80" s="1"/>
  <c r="M231" i="72"/>
  <c r="O27" i="61"/>
  <c r="AE4" i="58"/>
  <c r="AK34" i="76" s="1"/>
  <c r="O32" i="80" s="1"/>
  <c r="M236" i="72"/>
  <c r="O28" i="61"/>
  <c r="M230" i="72"/>
  <c r="O36" i="54"/>
  <c r="M232" i="72"/>
  <c r="AF4" i="58"/>
  <c r="AK35" i="76" s="1"/>
  <c r="O33" i="80" s="1"/>
  <c r="O32" i="45"/>
  <c r="O31" s="1"/>
  <c r="D16" i="80"/>
  <c r="M233" i="72"/>
  <c r="U4" i="58"/>
  <c r="AK24" i="76" s="1"/>
  <c r="O35" i="54"/>
  <c r="M229" i="72"/>
  <c r="O9" i="58"/>
  <c r="O7" s="1"/>
  <c r="O4"/>
  <c r="AK18" i="76" s="1"/>
  <c r="E3" i="58"/>
  <c r="L57" i="1"/>
  <c r="P226" i="72"/>
  <c r="K4" i="47"/>
  <c r="AG13" i="76" s="1"/>
  <c r="J54" i="1"/>
  <c r="AE3" i="47"/>
  <c r="AH34" i="76" s="1"/>
  <c r="N17" i="47"/>
  <c r="O21" i="61"/>
  <c r="M225" i="72"/>
  <c r="M224" s="1"/>
  <c r="M223" s="1"/>
  <c r="O24" i="61"/>
  <c r="O33" i="54"/>
  <c r="O32" s="1"/>
  <c r="O4" i="11"/>
  <c r="W18" i="76" s="1"/>
  <c r="G16" i="80" s="1"/>
  <c r="AQ3" i="11"/>
  <c r="X47" i="76" s="1"/>
  <c r="X6" s="1"/>
  <c r="R34" i="11"/>
  <c r="R7" s="1"/>
  <c r="O20"/>
  <c r="AJ4"/>
  <c r="W39" i="76" s="1"/>
  <c r="G37" i="80" s="1"/>
  <c r="O106" i="30"/>
  <c r="O105" s="1"/>
  <c r="O8" i="11"/>
  <c r="H4"/>
  <c r="W10" i="76" s="1"/>
  <c r="O286" i="38"/>
  <c r="O285" s="1"/>
  <c r="AK4" i="11"/>
  <c r="W40" i="76" s="1"/>
  <c r="G38" i="80" s="1"/>
  <c r="O34" i="20"/>
  <c r="O33" s="1"/>
  <c r="O23" i="11"/>
  <c r="O28" i="23"/>
  <c r="O27" s="1"/>
  <c r="AQ4" i="11"/>
  <c r="W47" i="76" s="1"/>
  <c r="G45" i="80" s="1"/>
  <c r="O60" i="24"/>
  <c r="O56" s="1"/>
  <c r="AT4" i="11"/>
  <c r="W50" i="76" s="1"/>
  <c r="G48" i="80" s="1"/>
  <c r="O33" i="31"/>
  <c r="AP4" i="11"/>
  <c r="W46" i="76" s="1"/>
  <c r="G44" i="80" s="1"/>
  <c r="O52" i="41"/>
  <c r="O51" s="1"/>
  <c r="O26" i="11"/>
  <c r="W41" i="76"/>
  <c r="G39" i="80" s="1"/>
  <c r="O12" i="11"/>
  <c r="O37"/>
  <c r="O34" i="31"/>
  <c r="O47" i="11"/>
  <c r="BB4"/>
  <c r="W16" i="76" s="1"/>
  <c r="O445" i="38"/>
  <c r="O444" s="1"/>
  <c r="AB6" i="76"/>
  <c r="O37" i="68"/>
  <c r="O36" s="1"/>
  <c r="AM4" i="10"/>
  <c r="AA42" i="76" s="1"/>
  <c r="O16" i="10"/>
  <c r="J50" i="1" s="1"/>
  <c r="D40" i="80"/>
  <c r="O9" i="10"/>
  <c r="O8" s="1"/>
  <c r="AL4"/>
  <c r="AA41" i="76" s="1"/>
  <c r="O49" i="41"/>
  <c r="O47" s="1"/>
  <c r="AA4" i="10"/>
  <c r="AA30" i="76" s="1"/>
  <c r="I28" i="80" s="1"/>
  <c r="L44" i="1"/>
  <c r="D22" i="80"/>
  <c r="O32" i="9"/>
  <c r="J47" i="1" s="1"/>
  <c r="L4" i="9"/>
  <c r="S14" i="76" s="1"/>
  <c r="S6" s="1"/>
  <c r="O424" i="38"/>
  <c r="O423" s="1"/>
  <c r="J45" i="1"/>
  <c r="O6" i="75"/>
  <c r="F3" s="1"/>
  <c r="O39" i="84"/>
  <c r="AU4" s="1"/>
  <c r="Q51" i="76" s="1"/>
  <c r="O21" i="53"/>
  <c r="O20" s="1"/>
  <c r="P77" i="13"/>
  <c r="O26" i="84" s="1"/>
  <c r="O99" i="30"/>
  <c r="O98" s="1"/>
  <c r="O29" i="84"/>
  <c r="AM4" s="1"/>
  <c r="Q42" i="76" s="1"/>
  <c r="O35" i="68"/>
  <c r="O34" s="1"/>
  <c r="F3" s="1"/>
  <c r="P84" i="13"/>
  <c r="O28" i="84" s="1"/>
  <c r="AL4" s="1"/>
  <c r="Q41" i="76" s="1"/>
  <c r="O45" i="41"/>
  <c r="O44" s="1"/>
  <c r="R8" i="84"/>
  <c r="R7" s="1"/>
  <c r="E3" s="1"/>
  <c r="D42" i="80"/>
  <c r="O31" i="31"/>
  <c r="O30" s="1"/>
  <c r="O34" i="84"/>
  <c r="P58" i="13"/>
  <c r="O18" i="84" s="1"/>
  <c r="O8"/>
  <c r="F4"/>
  <c r="Q8" i="76" s="1"/>
  <c r="O43" i="84"/>
  <c r="AW4" s="1"/>
  <c r="Q53" i="76" s="1"/>
  <c r="O15" i="33"/>
  <c r="O14" s="1"/>
  <c r="P67" i="13"/>
  <c r="O20" i="84" s="1"/>
  <c r="AE4" s="1"/>
  <c r="Q34" i="76" s="1"/>
  <c r="E32" i="80" s="1"/>
  <c r="O14" i="61"/>
  <c r="O13" s="1"/>
  <c r="O36" i="84"/>
  <c r="AR4" s="1"/>
  <c r="Q48" i="76" s="1"/>
  <c r="O31" i="42"/>
  <c r="O30" s="1"/>
  <c r="R7" i="85"/>
  <c r="L42" i="1" s="1"/>
  <c r="E23" i="80"/>
  <c r="C23" s="1"/>
  <c r="D53"/>
  <c r="AJ6" i="76"/>
  <c r="O41" i="24"/>
  <c r="O40" s="1"/>
  <c r="AT4" i="8"/>
  <c r="AI50" i="76" s="1"/>
  <c r="O48" i="80" s="1"/>
  <c r="O23" i="40"/>
  <c r="O22" s="1"/>
  <c r="AI4" i="8"/>
  <c r="AI38" i="76" s="1"/>
  <c r="O36" i="80" s="1"/>
  <c r="O17" i="37"/>
  <c r="O15" s="1"/>
  <c r="O47" i="8"/>
  <c r="J40" i="1" s="1"/>
  <c r="O26" i="31"/>
  <c r="O25" s="1"/>
  <c r="AP4" i="8"/>
  <c r="AI46" i="76" s="1"/>
  <c r="O44" i="80" s="1"/>
  <c r="O42" i="8"/>
  <c r="O39" i="41"/>
  <c r="O36" s="1"/>
  <c r="O55" i="8"/>
  <c r="J41" i="1" s="1"/>
  <c r="O18" i="8"/>
  <c r="O12" s="1"/>
  <c r="J38" i="1" s="1"/>
  <c r="O74" i="30"/>
  <c r="O6" i="80"/>
  <c r="G4" i="8"/>
  <c r="AI9" i="76" s="1"/>
  <c r="O7" i="80" s="1"/>
  <c r="O174" i="38"/>
  <c r="O173" s="1"/>
  <c r="AJ4" i="8"/>
  <c r="AI39" i="76" s="1"/>
  <c r="O37" i="80" s="1"/>
  <c r="R7" i="8"/>
  <c r="O35"/>
  <c r="O79" i="30"/>
  <c r="O8" i="8"/>
  <c r="O58" i="38"/>
  <c r="M219" i="72"/>
  <c r="M217" s="1"/>
  <c r="O23" i="54"/>
  <c r="O22" s="1"/>
  <c r="P189" i="7"/>
  <c r="O37" i="83" s="1"/>
  <c r="O4" s="1"/>
  <c r="AE18" i="76" s="1"/>
  <c r="K16" i="80" s="1"/>
  <c r="O14" i="83"/>
  <c r="P16" i="7"/>
  <c r="O443" i="38"/>
  <c r="O367"/>
  <c r="O364" s="1"/>
  <c r="P128" i="7"/>
  <c r="O25" i="83" s="1"/>
  <c r="J4" s="1"/>
  <c r="AE12" i="76" s="1"/>
  <c r="K10" i="80" s="1"/>
  <c r="O23" i="31"/>
  <c r="O22" s="1"/>
  <c r="P248" i="7"/>
  <c r="O55" i="83" s="1"/>
  <c r="P123" i="7"/>
  <c r="P110" s="1"/>
  <c r="O24" i="83" s="1"/>
  <c r="I4" s="1"/>
  <c r="AE11" i="76" s="1"/>
  <c r="K9" i="80" s="1"/>
  <c r="AH4" i="83"/>
  <c r="AE37" i="76" s="1"/>
  <c r="K35" i="80" s="1"/>
  <c r="O15" i="83"/>
  <c r="O62" i="38"/>
  <c r="P134" i="7"/>
  <c r="O26" i="83" s="1"/>
  <c r="K4" s="1"/>
  <c r="AE13" i="76" s="1"/>
  <c r="O382" i="38"/>
  <c r="O378" s="1"/>
  <c r="P54" i="7"/>
  <c r="O22" i="83" s="1"/>
  <c r="O147" i="38"/>
  <c r="O146" s="1"/>
  <c r="P231" i="7"/>
  <c r="O50" i="83" s="1"/>
  <c r="AF4"/>
  <c r="AE35" i="76" s="1"/>
  <c r="K33" i="80" s="1"/>
  <c r="D40" i="76"/>
  <c r="P6" i="7"/>
  <c r="O9" i="83" s="1"/>
  <c r="F4" s="1"/>
  <c r="AE8" i="76" s="1"/>
  <c r="O21" i="42"/>
  <c r="O20" s="1"/>
  <c r="P254" i="7"/>
  <c r="O57" i="83" s="1"/>
  <c r="AR4" s="1"/>
  <c r="AE48" i="76" s="1"/>
  <c r="K46" i="80" s="1"/>
  <c r="O32" i="41"/>
  <c r="L28" i="1"/>
  <c r="AC6" i="76"/>
  <c r="P8" i="6"/>
  <c r="E19" i="80"/>
  <c r="C19" s="1"/>
  <c r="C21" i="76"/>
  <c r="O22" i="5"/>
  <c r="O7" s="1"/>
  <c r="AL4"/>
  <c r="M41" i="76" s="1"/>
  <c r="O30" i="41"/>
  <c r="O29" s="1"/>
  <c r="O145" i="38"/>
  <c r="O144" s="1"/>
  <c r="G4" i="5"/>
  <c r="M9" i="76" s="1"/>
  <c r="AR4" i="82"/>
  <c r="Y48" i="76" s="1"/>
  <c r="I46" i="80" s="1"/>
  <c r="O132" i="38"/>
  <c r="O28" i="82"/>
  <c r="G4" s="1"/>
  <c r="Y9" i="76" s="1"/>
  <c r="I7" i="80" s="1"/>
  <c r="P232" i="15"/>
  <c r="O73" i="82" s="1"/>
  <c r="P239" i="15"/>
  <c r="O75" i="82" s="1"/>
  <c r="AM4" s="1"/>
  <c r="Y42" i="76" s="1"/>
  <c r="P69" i="15"/>
  <c r="O27" i="82"/>
  <c r="O25" s="1"/>
  <c r="O41" i="38"/>
  <c r="P113" i="15"/>
  <c r="O40" i="82" s="1"/>
  <c r="P262" i="15"/>
  <c r="O83" i="82" s="1"/>
  <c r="O20" i="24"/>
  <c r="M199" i="72"/>
  <c r="P202" i="15"/>
  <c r="O67" i="82" s="1"/>
  <c r="M184" i="72"/>
  <c r="O44" i="30"/>
  <c r="P214" i="15"/>
  <c r="O72" i="82" s="1"/>
  <c r="M121" i="72"/>
  <c r="M119" s="1"/>
  <c r="O306" i="38"/>
  <c r="O304" s="1"/>
  <c r="D53" i="76"/>
  <c r="O11" i="40"/>
  <c r="O48" i="82"/>
  <c r="P274" i="15"/>
  <c r="O85" i="82" s="1"/>
  <c r="AW4" s="1"/>
  <c r="Y53" i="76" s="1"/>
  <c r="I51" i="80" s="1"/>
  <c r="P191" i="15"/>
  <c r="O64" i="82" s="1"/>
  <c r="P4" s="1"/>
  <c r="Y19" i="76" s="1"/>
  <c r="O130" i="38"/>
  <c r="O21" i="41"/>
  <c r="P88" i="15"/>
  <c r="O33" i="82" s="1"/>
  <c r="O19" i="31"/>
  <c r="O51" i="82"/>
  <c r="O43" i="30"/>
  <c r="O50" i="82"/>
  <c r="AJ4" s="1"/>
  <c r="Y39" i="76" s="1"/>
  <c r="I37" i="80" s="1"/>
  <c r="M173" i="72"/>
  <c r="O13" i="37"/>
  <c r="P187" i="15"/>
  <c r="O62" i="82" s="1"/>
  <c r="M111" i="72"/>
  <c r="M109" s="1"/>
  <c r="O131" i="38"/>
  <c r="P235" i="15"/>
  <c r="O74" i="82" s="1"/>
  <c r="O23" i="41"/>
  <c r="M167" i="72"/>
  <c r="O15" i="31"/>
  <c r="M208" i="72"/>
  <c r="D49" i="76"/>
  <c r="D41"/>
  <c r="D46" i="80"/>
  <c r="D47"/>
  <c r="O18" i="31"/>
  <c r="O10" i="26"/>
  <c r="F3" s="1"/>
  <c r="P271" i="15"/>
  <c r="O84" i="82" s="1"/>
  <c r="M185" i="72"/>
  <c r="O19" i="24"/>
  <c r="P123" i="15"/>
  <c r="O42" i="82" s="1"/>
  <c r="AZ4" s="1"/>
  <c r="Y56" i="76" s="1"/>
  <c r="O22" i="41"/>
  <c r="O49" i="82"/>
  <c r="M166" i="72"/>
  <c r="P93" i="15"/>
  <c r="O36" i="82" s="1"/>
  <c r="AP4" s="1"/>
  <c r="Y46" i="76" s="1"/>
  <c r="I44" i="80" s="1"/>
  <c r="M107" i="72"/>
  <c r="O38" i="38"/>
  <c r="M139" i="72"/>
  <c r="M138" s="1"/>
  <c r="O15" i="45"/>
  <c r="O14" s="1"/>
  <c r="P50" i="15"/>
  <c r="O20" i="82" s="1"/>
  <c r="AF4" s="1"/>
  <c r="Y35" i="76" s="1"/>
  <c r="I33" i="80" s="1"/>
  <c r="M202" i="72"/>
  <c r="O18" i="20"/>
  <c r="M114" i="72"/>
  <c r="O226" i="38"/>
  <c r="M196" i="72"/>
  <c r="O358" i="38"/>
  <c r="O10" i="33"/>
  <c r="O8" s="1"/>
  <c r="M149" i="72"/>
  <c r="M147" s="1"/>
  <c r="O4" i="82"/>
  <c r="Y18" i="76" s="1"/>
  <c r="I16" i="80" s="1"/>
  <c r="M125" i="72"/>
  <c r="O359" i="38"/>
  <c r="M124" i="72"/>
  <c r="O356" i="38"/>
  <c r="M181" i="72"/>
  <c r="O13" i="32"/>
  <c r="M142" i="72"/>
  <c r="M141" s="1"/>
  <c r="O410" i="38"/>
  <c r="O409" s="1"/>
  <c r="P35" i="15"/>
  <c r="O15" i="82" s="1"/>
  <c r="L4" s="1"/>
  <c r="Y14" i="76" s="1"/>
  <c r="I12" i="80" s="1"/>
  <c r="M128" i="72"/>
  <c r="M126" s="1"/>
  <c r="O12" i="37"/>
  <c r="M116" i="72"/>
  <c r="O228" i="38"/>
  <c r="M150" i="72"/>
  <c r="M158"/>
  <c r="O10" i="40"/>
  <c r="O50" i="38"/>
  <c r="P153" i="15"/>
  <c r="P146" s="1"/>
  <c r="O56" i="82" s="1"/>
  <c r="M193" i="72"/>
  <c r="M192" s="1"/>
  <c r="P55" i="15"/>
  <c r="O22" i="82" s="1"/>
  <c r="M137" i="72"/>
  <c r="O8" i="35"/>
  <c r="M105" i="72"/>
  <c r="P7" i="15"/>
  <c r="O10" i="82" s="1"/>
  <c r="O36" i="38"/>
  <c r="M204" i="72"/>
  <c r="O20" i="20"/>
  <c r="O13" i="54"/>
  <c r="AN4" i="82"/>
  <c r="Y43" i="76" s="1"/>
  <c r="M113" i="72"/>
  <c r="P19" i="15"/>
  <c r="O12" i="82" s="1"/>
  <c r="H4" s="1"/>
  <c r="Y10" i="76" s="1"/>
  <c r="I8" i="80" s="1"/>
  <c r="O225" i="38"/>
  <c r="P38" i="15"/>
  <c r="O16" i="82" s="1"/>
  <c r="P120" i="15"/>
  <c r="O41" i="82" s="1"/>
  <c r="M190" i="72"/>
  <c r="O11" i="53"/>
  <c r="M195" i="72"/>
  <c r="O357" i="38"/>
  <c r="M106" i="72"/>
  <c r="O37" i="38"/>
  <c r="M117" i="72"/>
  <c r="O229" i="38"/>
  <c r="P109" i="15"/>
  <c r="O39" i="82" s="1"/>
  <c r="M180" i="72"/>
  <c r="O12" i="32"/>
  <c r="M213" i="72"/>
  <c r="M212" s="1"/>
  <c r="O26" i="41"/>
  <c r="P277" i="15"/>
  <c r="O87" i="82" s="1"/>
  <c r="O14" i="32"/>
  <c r="M182" i="72"/>
  <c r="M157"/>
  <c r="P73" i="15"/>
  <c r="O30" i="82" s="1"/>
  <c r="O9" i="40"/>
  <c r="M130" i="72"/>
  <c r="P42" i="15"/>
  <c r="O18" i="82" s="1"/>
  <c r="O10" i="42"/>
  <c r="F3" s="1"/>
  <c r="M118" i="72"/>
  <c r="O230" i="38"/>
  <c r="M132" i="72"/>
  <c r="O39" i="38"/>
  <c r="M162" i="72"/>
  <c r="M161" s="1"/>
  <c r="P83" i="15"/>
  <c r="O32" i="82" s="1"/>
  <c r="O17" i="20"/>
  <c r="O12" i="53"/>
  <c r="M191" i="72"/>
  <c r="O19" i="20"/>
  <c r="M203" i="72"/>
  <c r="O7" i="35"/>
  <c r="P47" i="15"/>
  <c r="O19" i="82" s="1"/>
  <c r="M136" i="72"/>
  <c r="M115"/>
  <c r="O227" i="38"/>
  <c r="M108" i="72"/>
  <c r="O40" i="38"/>
  <c r="M207" i="72"/>
  <c r="M123"/>
  <c r="P29" i="15"/>
  <c r="O14" i="82" s="1"/>
  <c r="J4" s="1"/>
  <c r="Y12" i="76" s="1"/>
  <c r="I10" i="80" s="1"/>
  <c r="O355" i="38"/>
  <c r="O15" i="32"/>
  <c r="P259" i="15"/>
  <c r="O82" i="82" s="1"/>
  <c r="O14" i="23"/>
  <c r="O12" s="1"/>
  <c r="F3" s="1"/>
  <c r="P253" i="15"/>
  <c r="O80" i="82" s="1"/>
  <c r="P246" i="15"/>
  <c r="O77" i="82" s="1"/>
  <c r="AO4" s="1"/>
  <c r="Y44" i="76" s="1"/>
  <c r="O8" i="34"/>
  <c r="F3" s="1"/>
  <c r="M101" i="72"/>
  <c r="AT4" i="4"/>
  <c r="K50" i="76" s="1"/>
  <c r="E15" i="80"/>
  <c r="O34" i="30"/>
  <c r="G14" i="72"/>
  <c r="G13" s="1"/>
  <c r="G12" s="1"/>
  <c r="G5" s="1"/>
  <c r="M98"/>
  <c r="M86" s="1"/>
  <c r="AL4" i="4"/>
  <c r="K41" i="76" s="1"/>
  <c r="O16" i="24"/>
  <c r="O15" s="1"/>
  <c r="O33" i="30"/>
  <c r="O82" i="4"/>
  <c r="J22" i="1" s="1"/>
  <c r="E55" i="80"/>
  <c r="C55" s="1"/>
  <c r="C57" i="76"/>
  <c r="O71" i="4"/>
  <c r="O9" i="54"/>
  <c r="M33" i="72"/>
  <c r="O4" i="4"/>
  <c r="K18" i="76" s="1"/>
  <c r="E16" i="80" s="1"/>
  <c r="M21" i="72"/>
  <c r="O10" i="4"/>
  <c r="Q4"/>
  <c r="K20" i="76" s="1"/>
  <c r="O12" i="31"/>
  <c r="O11" s="1"/>
  <c r="M23" i="72"/>
  <c r="AP4" i="4"/>
  <c r="K46" i="76" s="1"/>
  <c r="H59" i="72"/>
  <c r="M27"/>
  <c r="O21" i="4"/>
  <c r="H14" i="72"/>
  <c r="H13" s="1"/>
  <c r="M75"/>
  <c r="O46" i="4"/>
  <c r="F59" i="72"/>
  <c r="F12" s="1"/>
  <c r="F5" s="1"/>
  <c r="M69"/>
  <c r="O303" i="38"/>
  <c r="O302" s="1"/>
  <c r="I4" i="4"/>
  <c r="K11" i="76" s="1"/>
  <c r="M46" i="72"/>
  <c r="O33" i="38"/>
  <c r="E51" i="80"/>
  <c r="O32" i="38"/>
  <c r="O31" s="1"/>
  <c r="M37" i="72"/>
  <c r="O32" i="30"/>
  <c r="P14" i="72"/>
  <c r="P13" s="1"/>
  <c r="M61"/>
  <c r="O56" i="4"/>
  <c r="O55" s="1"/>
  <c r="J21" i="1" s="1"/>
  <c r="M47" i="72"/>
  <c r="O122" i="38"/>
  <c r="O121" s="1"/>
  <c r="O10" i="54"/>
  <c r="M34" i="72"/>
  <c r="O36" i="4"/>
  <c r="M50" i="72"/>
  <c r="O351" i="38"/>
  <c r="O52" i="81"/>
  <c r="O49" s="1"/>
  <c r="J17" i="1" s="1"/>
  <c r="O7" i="40"/>
  <c r="O6" s="1"/>
  <c r="AI4" i="81"/>
  <c r="I38" i="76" s="1"/>
  <c r="C52"/>
  <c r="E50" i="80"/>
  <c r="C50" s="1"/>
  <c r="O10" i="32"/>
  <c r="O9" s="1"/>
  <c r="AS4" i="81"/>
  <c r="I49" i="76" s="1"/>
  <c r="AR4" i="2"/>
  <c r="G48" i="76" s="1"/>
  <c r="O11" i="20"/>
  <c r="O10" s="1"/>
  <c r="O12" i="30"/>
  <c r="O11" s="1"/>
  <c r="AJ4" i="2"/>
  <c r="G39" i="76" s="1"/>
  <c r="O398" i="38"/>
  <c r="O397" s="1"/>
  <c r="L4" i="2"/>
  <c r="G14" i="76" s="1"/>
  <c r="O19" i="2"/>
  <c r="J12" i="1" s="1"/>
  <c r="H8" i="76"/>
  <c r="H6" s="1"/>
  <c r="E20" i="80"/>
  <c r="C20" s="1"/>
  <c r="O11" i="45"/>
  <c r="O112" i="38"/>
  <c r="O111" s="1"/>
  <c r="G4" i="2"/>
  <c r="G9" i="76" s="1"/>
  <c r="O59" i="2"/>
  <c r="O55" s="1"/>
  <c r="O7" i="32"/>
  <c r="O6" s="1"/>
  <c r="AS4" i="2"/>
  <c r="G49" i="76" s="1"/>
  <c r="O12" i="2"/>
  <c r="O8" s="1"/>
  <c r="M11" i="72"/>
  <c r="M10" s="1"/>
  <c r="M7" s="1"/>
  <c r="M6" s="1"/>
  <c r="O438" i="38"/>
  <c r="O437" s="1"/>
  <c r="O432" s="1"/>
  <c r="M4" i="2"/>
  <c r="G15" i="76" s="1"/>
  <c r="E45" i="80"/>
  <c r="F4" i="2"/>
  <c r="G8" i="76" s="1"/>
  <c r="O21" i="38"/>
  <c r="O20" s="1"/>
  <c r="O33" i="2"/>
  <c r="O32" s="1"/>
  <c r="O9" i="45"/>
  <c r="O290" i="38"/>
  <c r="O289" s="1"/>
  <c r="O29" i="16"/>
  <c r="I4"/>
  <c r="E11" i="76" s="1"/>
  <c r="E52" i="80"/>
  <c r="C52" s="1"/>
  <c r="O16" i="16"/>
  <c r="J4"/>
  <c r="E12" i="76" s="1"/>
  <c r="O343" i="38"/>
  <c r="O342" s="1"/>
  <c r="O6" i="24"/>
  <c r="O21" i="16"/>
  <c r="G4"/>
  <c r="E9" i="76" s="1"/>
  <c r="O103" i="38"/>
  <c r="O102" s="1"/>
  <c r="O60" i="16"/>
  <c r="O67"/>
  <c r="O66" s="1"/>
  <c r="O203" i="38"/>
  <c r="O197" s="1"/>
  <c r="O7" i="53"/>
  <c r="O6" s="1"/>
  <c r="O45" i="16"/>
  <c r="O40" s="1"/>
  <c r="AU4"/>
  <c r="E51" i="76" s="1"/>
  <c r="AT4" i="16"/>
  <c r="E50" i="76" s="1"/>
  <c r="H4" i="16"/>
  <c r="E10" i="76" s="1"/>
  <c r="L3" i="82"/>
  <c r="Z14" i="76" s="1"/>
  <c r="J12" i="80" s="1"/>
  <c r="L50" i="1"/>
  <c r="R59" i="16"/>
  <c r="L8" i="1" s="1"/>
  <c r="U5" i="49"/>
  <c r="R8" i="16"/>
  <c r="L7" i="1" s="1"/>
  <c r="R55" i="82"/>
  <c r="R54" s="1"/>
  <c r="L25" i="1" s="1"/>
  <c r="J8" i="80"/>
  <c r="P60" i="72"/>
  <c r="P59" s="1"/>
  <c r="F6" i="76"/>
  <c r="E3" i="10"/>
  <c r="D9" i="76"/>
  <c r="R55" i="4"/>
  <c r="O377" i="38"/>
  <c r="S6" i="3"/>
  <c r="L34" i="1"/>
  <c r="D20" i="76"/>
  <c r="F18" i="80"/>
  <c r="D18" s="1"/>
  <c r="L6" i="76"/>
  <c r="F7" i="80"/>
  <c r="D7" s="1"/>
  <c r="L28"/>
  <c r="D28" s="1"/>
  <c r="D30" i="76"/>
  <c r="L6" i="80"/>
  <c r="AF6" i="76"/>
  <c r="E3" i="85"/>
  <c r="D10" i="76"/>
  <c r="F8" i="80"/>
  <c r="F12"/>
  <c r="J6"/>
  <c r="D11" i="76"/>
  <c r="F9" i="80"/>
  <c r="D9" s="1"/>
  <c r="R14"/>
  <c r="AN6" i="76"/>
  <c r="D16"/>
  <c r="R10" i="81"/>
  <c r="F3"/>
  <c r="J8" i="76" s="1"/>
  <c r="R20" i="83"/>
  <c r="R19" s="1"/>
  <c r="L35" i="1" s="1"/>
  <c r="L12"/>
  <c r="O10" i="37" l="1"/>
  <c r="O20" i="61"/>
  <c r="Q67" i="49"/>
  <c r="Q118"/>
  <c r="E53" i="80"/>
  <c r="C53" s="1"/>
  <c r="O63" i="82"/>
  <c r="C54" i="76"/>
  <c r="O78" i="82"/>
  <c r="M135" i="72"/>
  <c r="D38" i="76"/>
  <c r="AG4" i="82"/>
  <c r="Y36" i="76" s="1"/>
  <c r="C36" s="1"/>
  <c r="M156" i="72"/>
  <c r="I32" i="80"/>
  <c r="C43"/>
  <c r="C53" i="76"/>
  <c r="M165" i="72"/>
  <c r="C58" i="76"/>
  <c r="AC4" i="47"/>
  <c r="AG32" i="76" s="1"/>
  <c r="N8" i="47"/>
  <c r="J53" i="1" s="1"/>
  <c r="C45" i="76"/>
  <c r="L43" i="1"/>
  <c r="N23" i="47"/>
  <c r="E3"/>
  <c r="L52" i="1"/>
  <c r="O34" i="11"/>
  <c r="O394" i="38"/>
  <c r="O31" i="85"/>
  <c r="O24"/>
  <c r="E46" i="80"/>
  <c r="C46" s="1"/>
  <c r="E39"/>
  <c r="E38"/>
  <c r="O34" i="8"/>
  <c r="J39" i="1" s="1"/>
  <c r="C29" i="76"/>
  <c r="I27" i="80"/>
  <c r="C27" s="1"/>
  <c r="AT4" i="82"/>
  <c r="Y50" i="76" s="1"/>
  <c r="I48" i="80" s="1"/>
  <c r="C51"/>
  <c r="E12"/>
  <c r="C12" s="1"/>
  <c r="P6" i="3"/>
  <c r="P93"/>
  <c r="O38" i="81" s="1"/>
  <c r="O37" s="1"/>
  <c r="O33" s="1"/>
  <c r="J16" i="1" s="1"/>
  <c r="O8" i="16"/>
  <c r="J7" i="1" s="1"/>
  <c r="C15" i="76"/>
  <c r="P12" i="72"/>
  <c r="P5" s="1"/>
  <c r="O34" i="54"/>
  <c r="O26" i="61"/>
  <c r="F3" s="1"/>
  <c r="F3" i="45"/>
  <c r="G4" i="85"/>
  <c r="O9" i="76" s="1"/>
  <c r="O6" s="1"/>
  <c r="O8" i="85"/>
  <c r="R7" i="2"/>
  <c r="L10" i="1" s="1"/>
  <c r="D39" i="76"/>
  <c r="F17" i="80"/>
  <c r="D17" s="1"/>
  <c r="C42" i="76"/>
  <c r="N121" i="66"/>
  <c r="N120" s="1"/>
  <c r="G120" i="67" s="1"/>
  <c r="I162"/>
  <c r="M264" i="72"/>
  <c r="E40" i="80"/>
  <c r="Q14"/>
  <c r="Q4" s="1"/>
  <c r="AM6" i="76"/>
  <c r="J58" i="1"/>
  <c r="E4" i="56"/>
  <c r="D35" i="80"/>
  <c r="M228" i="72"/>
  <c r="M226" s="1"/>
  <c r="R9" i="81"/>
  <c r="R8" s="1"/>
  <c r="R7" s="1"/>
  <c r="O113" i="38"/>
  <c r="P61" i="3"/>
  <c r="O26" i="81" s="1"/>
  <c r="O25" s="1"/>
  <c r="O29"/>
  <c r="O14" i="30"/>
  <c r="P38" i="3"/>
  <c r="O19" i="81"/>
  <c r="O213" i="38"/>
  <c r="F4" i="81"/>
  <c r="I8" i="76" s="1"/>
  <c r="E6" i="80" s="1"/>
  <c r="O10" i="81"/>
  <c r="C33" i="80"/>
  <c r="M253" i="72"/>
  <c r="M252" s="1"/>
  <c r="M237" s="1"/>
  <c r="J91" i="67"/>
  <c r="M23" i="1" s="1"/>
  <c r="Z59" i="76"/>
  <c r="I257" i="67"/>
  <c r="K56" i="1" s="1"/>
  <c r="Q120" i="65"/>
  <c r="F120" i="67" s="1"/>
  <c r="F121"/>
  <c r="J121" s="1"/>
  <c r="M29" i="1" s="1"/>
  <c r="Q7" i="76"/>
  <c r="AK7"/>
  <c r="O57" i="80"/>
  <c r="I10" i="67"/>
  <c r="I64"/>
  <c r="K16" i="1" s="1"/>
  <c r="I223" i="67"/>
  <c r="K48" i="1" s="1"/>
  <c r="N121" i="65"/>
  <c r="N120" s="1"/>
  <c r="E120" i="67" s="1"/>
  <c r="AC59" i="76" s="1"/>
  <c r="K57" i="80" s="1"/>
  <c r="Q230" i="65"/>
  <c r="F231" i="67"/>
  <c r="J231" s="1"/>
  <c r="M53" i="1" s="1"/>
  <c r="AF7" i="76"/>
  <c r="N91" i="65"/>
  <c r="E91" i="67" s="1"/>
  <c r="Y59" i="76" s="1"/>
  <c r="I57" i="80" s="1"/>
  <c r="N51" i="65"/>
  <c r="E51" i="67" s="1"/>
  <c r="I59" i="76" s="1"/>
  <c r="G59"/>
  <c r="G7" s="1"/>
  <c r="I38" i="67"/>
  <c r="K10" i="1" s="1"/>
  <c r="N231" i="65"/>
  <c r="E233" i="67"/>
  <c r="I233" s="1"/>
  <c r="W7" i="76"/>
  <c r="G57" i="80"/>
  <c r="E121" i="67"/>
  <c r="N8" i="65"/>
  <c r="E9" i="67"/>
  <c r="G121"/>
  <c r="G77"/>
  <c r="M272" i="72"/>
  <c r="I210" i="67"/>
  <c r="K44" i="1" s="1"/>
  <c r="S60" i="76"/>
  <c r="S7" s="1"/>
  <c r="AE60"/>
  <c r="AE7" s="1"/>
  <c r="I174" i="67"/>
  <c r="K33" i="1" s="1"/>
  <c r="G103" i="67"/>
  <c r="I103" s="1"/>
  <c r="K25" i="1" s="1"/>
  <c r="N91" i="66"/>
  <c r="G91" i="67" s="1"/>
  <c r="AI60" i="76"/>
  <c r="I195" i="67"/>
  <c r="K36" i="1" s="1"/>
  <c r="I70" i="67"/>
  <c r="K18" i="1" s="1"/>
  <c r="U60" i="76"/>
  <c r="AG60"/>
  <c r="N51" i="66"/>
  <c r="G51" i="67" s="1"/>
  <c r="G52"/>
  <c r="I52" s="1"/>
  <c r="K15" i="1" s="1"/>
  <c r="N8" i="66"/>
  <c r="G9" i="67"/>
  <c r="J8"/>
  <c r="M6" i="1" s="1"/>
  <c r="F59" i="76"/>
  <c r="O16" i="80"/>
  <c r="AK6" i="76"/>
  <c r="O22" i="80"/>
  <c r="C22" s="1"/>
  <c r="C24" i="76"/>
  <c r="J57" i="1"/>
  <c r="E4" i="58"/>
  <c r="N32" i="80"/>
  <c r="D34" i="76"/>
  <c r="AH6"/>
  <c r="M11" i="80"/>
  <c r="AE4" i="47"/>
  <c r="AG34" i="76" s="1"/>
  <c r="M32" i="80" s="1"/>
  <c r="J55" i="1"/>
  <c r="E3" i="11"/>
  <c r="L51" i="1"/>
  <c r="H45" i="80"/>
  <c r="D47" i="76"/>
  <c r="G14" i="80"/>
  <c r="C16" i="76"/>
  <c r="O32" i="31"/>
  <c r="W6" i="76"/>
  <c r="G8" i="80"/>
  <c r="O19" i="11"/>
  <c r="O7" s="1"/>
  <c r="I40" i="80"/>
  <c r="AA6" i="76"/>
  <c r="J49" i="1"/>
  <c r="O7" i="10"/>
  <c r="O7" i="9"/>
  <c r="O25" i="84"/>
  <c r="AJ4"/>
  <c r="Q39" i="76" s="1"/>
  <c r="P4" i="84"/>
  <c r="Q19" i="76" s="1"/>
  <c r="O16" i="84"/>
  <c r="F3" i="33"/>
  <c r="C34" i="76"/>
  <c r="O33" i="84"/>
  <c r="AP4"/>
  <c r="Q46" i="76" s="1"/>
  <c r="E44" i="80" s="1"/>
  <c r="O7" i="85"/>
  <c r="AI6" i="76"/>
  <c r="F3" i="37"/>
  <c r="O70" i="30"/>
  <c r="E3" i="8"/>
  <c r="L36" i="1"/>
  <c r="J37"/>
  <c r="AP4" i="83"/>
  <c r="AE46" i="76" s="1"/>
  <c r="K44" i="80" s="1"/>
  <c r="O54" i="83"/>
  <c r="O29"/>
  <c r="G4"/>
  <c r="AE9" i="76" s="1"/>
  <c r="K7" i="80" s="1"/>
  <c r="O20" i="83"/>
  <c r="C48" i="76"/>
  <c r="K6" i="80"/>
  <c r="AL4" i="83"/>
  <c r="AE41" i="76" s="1"/>
  <c r="K39" i="80" s="1"/>
  <c r="O46" i="83"/>
  <c r="C13" i="76"/>
  <c r="K11" i="80"/>
  <c r="C11" s="1"/>
  <c r="AA4" i="83"/>
  <c r="AE30" i="76" s="1"/>
  <c r="O12" i="83"/>
  <c r="O8" s="1"/>
  <c r="O56" i="38"/>
  <c r="P7" i="6"/>
  <c r="J29" i="1"/>
  <c r="M6" i="76"/>
  <c r="J27" i="1"/>
  <c r="E4" i="5"/>
  <c r="O55" i="82"/>
  <c r="O13" i="31"/>
  <c r="O36" i="30"/>
  <c r="M183" i="72"/>
  <c r="AK4" i="82"/>
  <c r="Y40" i="76" s="1"/>
  <c r="N4" i="82"/>
  <c r="Y17" i="76" s="1"/>
  <c r="I15" i="80" s="1"/>
  <c r="C15" s="1"/>
  <c r="O17" i="24"/>
  <c r="F3" s="1"/>
  <c r="O8" i="40"/>
  <c r="F3" s="1"/>
  <c r="AU4" i="82"/>
  <c r="Y51" i="76" s="1"/>
  <c r="I49" i="80" s="1"/>
  <c r="O126" i="38"/>
  <c r="O46" i="82"/>
  <c r="O288" i="38"/>
  <c r="D14" i="76"/>
  <c r="M122" i="72"/>
  <c r="I54" i="80"/>
  <c r="C54" s="1"/>
  <c r="C56" i="76"/>
  <c r="O16" i="20"/>
  <c r="F3" s="1"/>
  <c r="O20" i="41"/>
  <c r="F3" s="1"/>
  <c r="M179" i="72"/>
  <c r="O86" i="82"/>
  <c r="J26" i="1" s="1"/>
  <c r="AL4" i="82"/>
  <c r="Y41" i="76" s="1"/>
  <c r="O354" i="38"/>
  <c r="O341" s="1"/>
  <c r="AH4" i="82"/>
  <c r="Y37" i="76" s="1"/>
  <c r="O17" i="82"/>
  <c r="O10" i="53"/>
  <c r="F3" s="1"/>
  <c r="M112" i="72"/>
  <c r="O35" i="38"/>
  <c r="R7" i="82"/>
  <c r="L23" i="1" s="1"/>
  <c r="O29" i="82"/>
  <c r="AI4"/>
  <c r="Y38" i="76" s="1"/>
  <c r="I36" i="80" s="1"/>
  <c r="I34"/>
  <c r="C34" s="1"/>
  <c r="M129" i="72"/>
  <c r="AS4" i="82"/>
  <c r="Y49" i="76" s="1"/>
  <c r="I47" i="80" s="1"/>
  <c r="M189" i="72"/>
  <c r="C43" i="76"/>
  <c r="I41" i="80"/>
  <c r="C41" s="1"/>
  <c r="O9" i="82"/>
  <c r="F4"/>
  <c r="Y8" i="76" s="1"/>
  <c r="O71" i="82"/>
  <c r="C44" i="76"/>
  <c r="I42" i="80"/>
  <c r="C42" s="1"/>
  <c r="O11" i="32"/>
  <c r="C35" i="76"/>
  <c r="O6" i="35"/>
  <c r="F3" s="1"/>
  <c r="AQ4" i="82"/>
  <c r="Y47" i="76" s="1"/>
  <c r="O224" i="38"/>
  <c r="M104" i="72"/>
  <c r="I17" i="80"/>
  <c r="O35" i="82"/>
  <c r="J4" i="80"/>
  <c r="D8"/>
  <c r="Z6" i="76"/>
  <c r="D12" i="80"/>
  <c r="C46" i="76"/>
  <c r="M60" i="72"/>
  <c r="M59" s="1"/>
  <c r="K6" i="76"/>
  <c r="M26" i="72"/>
  <c r="M15"/>
  <c r="C18" i="76"/>
  <c r="H12" i="72"/>
  <c r="H5" s="1"/>
  <c r="C20" i="76"/>
  <c r="E18" i="80"/>
  <c r="C18" s="1"/>
  <c r="M40" i="72"/>
  <c r="O9" i="4"/>
  <c r="O8" s="1"/>
  <c r="O8" i="54"/>
  <c r="F3" s="1"/>
  <c r="E36" i="80"/>
  <c r="J11" i="1"/>
  <c r="C14" i="76"/>
  <c r="O31" i="2"/>
  <c r="J13" i="1" s="1"/>
  <c r="E13" i="80"/>
  <c r="C13" s="1"/>
  <c r="G6" i="76"/>
  <c r="E47" i="80"/>
  <c r="O14" i="38"/>
  <c r="O7" s="1"/>
  <c r="O59" i="16"/>
  <c r="J8" i="1" s="1"/>
  <c r="C12" i="76"/>
  <c r="E10" i="80"/>
  <c r="C10" s="1"/>
  <c r="E49"/>
  <c r="E6" i="76"/>
  <c r="E8" i="80"/>
  <c r="C8" s="1"/>
  <c r="C10" i="76"/>
  <c r="E48" i="80"/>
  <c r="E7"/>
  <c r="C11" i="76"/>
  <c r="E9" i="80"/>
  <c r="C9" s="1"/>
  <c r="R7" i="16"/>
  <c r="E3" s="1"/>
  <c r="L21" i="1"/>
  <c r="R7" i="4"/>
  <c r="L4" i="80"/>
  <c r="J6" i="76"/>
  <c r="F6" i="80"/>
  <c r="D8" i="76"/>
  <c r="R4" i="80"/>
  <c r="D14"/>
  <c r="E3" i="2"/>
  <c r="R7" i="83"/>
  <c r="C17" i="76" l="1"/>
  <c r="Q5" i="49"/>
  <c r="C32" i="80"/>
  <c r="C48"/>
  <c r="O101" i="38"/>
  <c r="C36" i="80"/>
  <c r="C50" i="76"/>
  <c r="C38"/>
  <c r="P86" i="3"/>
  <c r="N7" i="47"/>
  <c r="E4" s="1"/>
  <c r="C32" i="76"/>
  <c r="M30" i="80"/>
  <c r="C30" s="1"/>
  <c r="J56" i="1"/>
  <c r="F3" i="31"/>
  <c r="O7" i="84"/>
  <c r="J43" i="1" s="1"/>
  <c r="C40" i="80"/>
  <c r="O7" i="8"/>
  <c r="E4" s="1"/>
  <c r="C47" i="80"/>
  <c r="P4" i="81"/>
  <c r="I19" i="76" s="1"/>
  <c r="C19" s="1"/>
  <c r="F3" i="30"/>
  <c r="C44" i="80"/>
  <c r="L15" i="1"/>
  <c r="C14" i="80"/>
  <c r="D6" i="76"/>
  <c r="O4" i="80"/>
  <c r="C16"/>
  <c r="O18" i="81"/>
  <c r="O9" s="1"/>
  <c r="O8" s="1"/>
  <c r="AJ4"/>
  <c r="I39" i="76" s="1"/>
  <c r="O196" i="38"/>
  <c r="AD59" i="76"/>
  <c r="J120" i="67"/>
  <c r="M28" i="1" s="1"/>
  <c r="J57" i="80"/>
  <c r="J5" s="1"/>
  <c r="Z7" i="76"/>
  <c r="I121" i="67"/>
  <c r="K29" i="1" s="1"/>
  <c r="F230" i="67"/>
  <c r="Q7" i="65"/>
  <c r="I9" i="67"/>
  <c r="K7" i="1" s="1"/>
  <c r="L6"/>
  <c r="E8" i="67"/>
  <c r="E59" i="76" s="1"/>
  <c r="N230" i="65"/>
  <c r="E230" i="67" s="1"/>
  <c r="E231"/>
  <c r="I231" s="1"/>
  <c r="K53" i="1" s="1"/>
  <c r="M58" i="80"/>
  <c r="O58"/>
  <c r="O5" s="1"/>
  <c r="AI7" i="76"/>
  <c r="I77" i="67"/>
  <c r="K19" i="1" s="1"/>
  <c r="K60" i="76"/>
  <c r="K7" s="1"/>
  <c r="G58" i="80"/>
  <c r="G5" s="1"/>
  <c r="U7" i="76"/>
  <c r="Y60"/>
  <c r="I91" i="67"/>
  <c r="K23" i="1" s="1"/>
  <c r="I60" i="76"/>
  <c r="I7" s="1"/>
  <c r="I51" i="67"/>
  <c r="K14" i="1" s="1"/>
  <c r="I120" i="67"/>
  <c r="K28" i="1" s="1"/>
  <c r="AC60" i="76"/>
  <c r="N7" i="66"/>
  <c r="G8" i="67"/>
  <c r="F7" i="76"/>
  <c r="F57" i="80"/>
  <c r="D45"/>
  <c r="H4"/>
  <c r="G4"/>
  <c r="AG6" i="76"/>
  <c r="D32" i="80"/>
  <c r="N4"/>
  <c r="C7"/>
  <c r="E4" i="11"/>
  <c r="J51" i="1"/>
  <c r="E4" i="10"/>
  <c r="J48" i="1"/>
  <c r="J44"/>
  <c r="E4" i="9"/>
  <c r="Q6" i="76"/>
  <c r="J42" i="1"/>
  <c r="E4" i="85"/>
  <c r="J34" i="1"/>
  <c r="AE6" i="76"/>
  <c r="C9"/>
  <c r="K28" i="80"/>
  <c r="C30" i="76"/>
  <c r="O19" i="83"/>
  <c r="J35" i="1" s="1"/>
  <c r="E4" i="6"/>
  <c r="J28" i="1"/>
  <c r="I38" i="80"/>
  <c r="C38" s="1"/>
  <c r="C40" i="76"/>
  <c r="C49"/>
  <c r="O54" i="82"/>
  <c r="J25" i="1" s="1"/>
  <c r="O6" i="38"/>
  <c r="C51" i="76"/>
  <c r="E3" i="82"/>
  <c r="C49" i="80"/>
  <c r="I6"/>
  <c r="Y6" i="76"/>
  <c r="C8"/>
  <c r="I45" i="80"/>
  <c r="C45" s="1"/>
  <c r="C47" i="76"/>
  <c r="O8" i="82"/>
  <c r="I39" i="80"/>
  <c r="C39" s="1"/>
  <c r="C41" i="76"/>
  <c r="I35" i="80"/>
  <c r="C35" s="1"/>
  <c r="C37" i="76"/>
  <c r="M14" i="72"/>
  <c r="M13" s="1"/>
  <c r="M12" s="1"/>
  <c r="M5" s="1"/>
  <c r="J20" i="1"/>
  <c r="O7" i="4"/>
  <c r="O7" i="2"/>
  <c r="O7" i="16"/>
  <c r="E3" i="4"/>
  <c r="L19" i="1"/>
  <c r="E3" i="83"/>
  <c r="L33" i="1"/>
  <c r="E3" i="81"/>
  <c r="L14" i="1"/>
  <c r="D6" i="80"/>
  <c r="F4"/>
  <c r="E4" i="84" l="1"/>
  <c r="I6" i="76"/>
  <c r="E17" i="80"/>
  <c r="C17" s="1"/>
  <c r="M4"/>
  <c r="J52" i="1"/>
  <c r="J36"/>
  <c r="D4" i="80"/>
  <c r="C39" i="76"/>
  <c r="C6" s="1"/>
  <c r="E37" i="80"/>
  <c r="F3" i="38"/>
  <c r="J15" i="1"/>
  <c r="O7" i="81"/>
  <c r="E4" s="1"/>
  <c r="AD7" i="76"/>
  <c r="L57" i="80"/>
  <c r="L5" s="1"/>
  <c r="F7" i="67"/>
  <c r="J7" s="1"/>
  <c r="D3" s="1"/>
  <c r="D3" i="65"/>
  <c r="AH59" i="76"/>
  <c r="J230" i="67"/>
  <c r="M52" i="1" s="1"/>
  <c r="M59" s="1"/>
  <c r="AG59" i="76"/>
  <c r="C59" s="1"/>
  <c r="I230" i="67"/>
  <c r="K52" i="1" s="1"/>
  <c r="E57" i="80"/>
  <c r="N7" i="65"/>
  <c r="K58" i="80"/>
  <c r="K5" s="1"/>
  <c r="AC7" i="76"/>
  <c r="I58" i="80"/>
  <c r="I5" s="1"/>
  <c r="Y7" i="76"/>
  <c r="I8" i="67"/>
  <c r="K6" i="1" s="1"/>
  <c r="E60" i="76"/>
  <c r="D4" i="66"/>
  <c r="G7" i="67"/>
  <c r="F5" i="80"/>
  <c r="C28"/>
  <c r="K4"/>
  <c r="O7" i="83"/>
  <c r="J24" i="1"/>
  <c r="O7" i="82"/>
  <c r="I4" i="80"/>
  <c r="C6"/>
  <c r="E4" i="4"/>
  <c r="J19" i="1"/>
  <c r="E4" i="2"/>
  <c r="J10" i="1"/>
  <c r="J6"/>
  <c r="E4" i="16"/>
  <c r="L59" i="1"/>
  <c r="K59" l="1"/>
  <c r="C37" i="80"/>
  <c r="C4" s="1"/>
  <c r="E4"/>
  <c r="J14" i="1"/>
  <c r="N57" i="80"/>
  <c r="AH7" i="76"/>
  <c r="D59"/>
  <c r="D7" s="1"/>
  <c r="D4" i="65"/>
  <c r="E7" i="67"/>
  <c r="I7" s="1"/>
  <c r="D4" s="1"/>
  <c r="M57" i="80"/>
  <c r="M5" s="1"/>
  <c r="AG7" i="76"/>
  <c r="E58" i="80"/>
  <c r="C60" i="76"/>
  <c r="C7" s="1"/>
  <c r="E7"/>
  <c r="E4" i="83"/>
  <c r="J33" i="1"/>
  <c r="E4" i="82"/>
  <c r="J23" i="1"/>
  <c r="C57" i="80" l="1"/>
  <c r="J59" i="1"/>
  <c r="N5" i="80"/>
  <c r="D57"/>
  <c r="D5" s="1"/>
  <c r="E5"/>
  <c r="C58"/>
  <c r="F3" i="43"/>
  <c r="F2"/>
  <c r="C5" i="80" l="1"/>
</calcChain>
</file>

<file path=xl/sharedStrings.xml><?xml version="1.0" encoding="utf-8"?>
<sst xmlns="http://schemas.openxmlformats.org/spreadsheetml/2006/main" count="16154" uniqueCount="6963">
  <si>
    <t>Budget Summary:</t>
  </si>
  <si>
    <t>Budget Head</t>
  </si>
  <si>
    <t>Committed unspent  balance 
(projected for ________)</t>
  </si>
  <si>
    <t xml:space="preserve">Total Budget
 (Rs. In Lakhs) </t>
  </si>
  <si>
    <t>Service Delivery - Facility Based</t>
  </si>
  <si>
    <t>Service Delivery</t>
  </si>
  <si>
    <t>Service Delivery - Community Based</t>
  </si>
  <si>
    <t>Mobile Units</t>
  </si>
  <si>
    <t>Recurring/ Operational cost</t>
  </si>
  <si>
    <t xml:space="preserve">Outreach activities </t>
  </si>
  <si>
    <t>Community Interventions</t>
  </si>
  <si>
    <t>ASHA Activities</t>
  </si>
  <si>
    <t>Other Community Interventions</t>
  </si>
  <si>
    <t>Panchayati Raj Institutions (PRIs)</t>
  </si>
  <si>
    <t>Infrastructure</t>
  </si>
  <si>
    <t>Upgradation of existing facilities</t>
  </si>
  <si>
    <t xml:space="preserve">New Constructions </t>
  </si>
  <si>
    <t>Other construction/ Civil works</t>
  </si>
  <si>
    <t>Procurement</t>
  </si>
  <si>
    <t>Procurement of Drugs</t>
  </si>
  <si>
    <t>Referral Transport</t>
  </si>
  <si>
    <t>Service Delivery - Human Resource</t>
  </si>
  <si>
    <t>Setting Up &amp; Strengthening of Skill Lab/ Other Training Centres</t>
  </si>
  <si>
    <t>Review, Research, Surveillance &amp; Surveys</t>
  </si>
  <si>
    <t>Reviews</t>
  </si>
  <si>
    <t>Research &amp; Surveys</t>
  </si>
  <si>
    <t>Surveillance</t>
  </si>
  <si>
    <t xml:space="preserve">Other Recurring cost </t>
  </si>
  <si>
    <t>IEC/ BCC</t>
  </si>
  <si>
    <t>Printing</t>
  </si>
  <si>
    <t>Quality Assurance</t>
  </si>
  <si>
    <t>Kayakalp</t>
  </si>
  <si>
    <t>Other Logistics</t>
  </si>
  <si>
    <t>PPP</t>
  </si>
  <si>
    <t>Programme Management</t>
  </si>
  <si>
    <t>Planning Activities</t>
  </si>
  <si>
    <t>Mobility Support</t>
  </si>
  <si>
    <t>Monitoring &amp; Data Management</t>
  </si>
  <si>
    <t>PM HR Increment</t>
  </si>
  <si>
    <t>PM HR EPF</t>
  </si>
  <si>
    <t>Grand Total</t>
  </si>
  <si>
    <t>Human Resources</t>
  </si>
  <si>
    <t>Beneficiary Compensation</t>
  </si>
  <si>
    <t>Procurement (Others)</t>
  </si>
  <si>
    <t>Others (including PMSMA, any other)</t>
  </si>
  <si>
    <t>Operating Expenses</t>
  </si>
  <si>
    <t>3.1.1</t>
  </si>
  <si>
    <t>3.1.2</t>
  </si>
  <si>
    <t>3.1.3</t>
  </si>
  <si>
    <t>1.2.1</t>
  </si>
  <si>
    <t>1.2.2</t>
  </si>
  <si>
    <t>1.2.3</t>
  </si>
  <si>
    <t>Training &amp; Capacity Building</t>
  </si>
  <si>
    <t>New FMR</t>
  </si>
  <si>
    <t>Old FMR</t>
  </si>
  <si>
    <t>Particulars</t>
  </si>
  <si>
    <t>Pool</t>
  </si>
  <si>
    <t>Programme Division</t>
  </si>
  <si>
    <t>Unit of Measure</t>
  </si>
  <si>
    <t xml:space="preserve">Unit Cost 
(Rs)  </t>
  </si>
  <si>
    <t xml:space="preserve">Unit Cost
(Rs. Lakhs) </t>
  </si>
  <si>
    <t>Quantity/ Target</t>
  </si>
  <si>
    <t>Budget 
(Rs. Lakhs)</t>
  </si>
  <si>
    <t>State Remarks</t>
  </si>
  <si>
    <t>2.1.1</t>
  </si>
  <si>
    <t>B11</t>
  </si>
  <si>
    <t>National Mobile Medical Units (MMU)</t>
  </si>
  <si>
    <t>2.1.1.1</t>
  </si>
  <si>
    <t>B11.1.1</t>
  </si>
  <si>
    <t>Capex</t>
  </si>
  <si>
    <t>HSS</t>
  </si>
  <si>
    <t>2.1.1.2</t>
  </si>
  <si>
    <t>B11.1.2</t>
  </si>
  <si>
    <t>Opex</t>
  </si>
  <si>
    <t>2.1.2</t>
  </si>
  <si>
    <t>B11.2</t>
  </si>
  <si>
    <t>National Mobile Medical Vans (smaller vehicles) and specialised Mobile Medical Units</t>
  </si>
  <si>
    <t>2.1.2.1</t>
  </si>
  <si>
    <t>B11.2.1</t>
  </si>
  <si>
    <t>2.1.2.2</t>
  </si>
  <si>
    <t>B11.2.2</t>
  </si>
  <si>
    <t>2.1.3</t>
  </si>
  <si>
    <t>B11.2.4</t>
  </si>
  <si>
    <t>I.2.8</t>
  </si>
  <si>
    <t xml:space="preserve">Grant in aid for Mobile Ophthalmic Units </t>
  </si>
  <si>
    <t>NCD</t>
  </si>
  <si>
    <t>NPCB</t>
  </si>
  <si>
    <t>2.2.1</t>
  </si>
  <si>
    <t>A.3.3</t>
  </si>
  <si>
    <t>POL for Family Planning/ Others (including additional mobility support to surgeon's team if req)</t>
  </si>
  <si>
    <t>RCH</t>
  </si>
  <si>
    <t>FP</t>
  </si>
  <si>
    <t>2.2.2</t>
  </si>
  <si>
    <t>A.4.1.4</t>
  </si>
  <si>
    <t>2.2.3</t>
  </si>
  <si>
    <t>A.5.1.3</t>
  </si>
  <si>
    <t>RBSK</t>
  </si>
  <si>
    <t>2.2.4</t>
  </si>
  <si>
    <t>B11.2.5</t>
  </si>
  <si>
    <t>2.2.5</t>
  </si>
  <si>
    <t>C.1.r</t>
  </si>
  <si>
    <t xml:space="preserve">Teeka Express Operational Cost </t>
  </si>
  <si>
    <t>2.2.6</t>
  </si>
  <si>
    <t>C.1.t</t>
  </si>
  <si>
    <t xml:space="preserve">JE Campaign Operational Cost </t>
  </si>
  <si>
    <t>2.2.7</t>
  </si>
  <si>
    <t>C.6</t>
  </si>
  <si>
    <t>Pulse Polio operating costs</t>
  </si>
  <si>
    <t>2.2.8</t>
  </si>
  <si>
    <t>C.1.s</t>
  </si>
  <si>
    <t>Measles Rubella SIA operational Cost</t>
  </si>
  <si>
    <t>2.2.9</t>
  </si>
  <si>
    <t>F.1.5.c</t>
  </si>
  <si>
    <t>DCP</t>
  </si>
  <si>
    <t>NVBDCP</t>
  </si>
  <si>
    <t>2.3.1</t>
  </si>
  <si>
    <t>A.1.2</t>
  </si>
  <si>
    <t>Integrated outreach RCH services (state should focus on facility based services and outreach camps to be restricted only to areas without functional health facilities)</t>
  </si>
  <si>
    <t>MH</t>
  </si>
  <si>
    <t>2.3.2</t>
  </si>
  <si>
    <t>A.1.2.1</t>
  </si>
  <si>
    <t>Outreach camps</t>
  </si>
  <si>
    <t>2.3.3</t>
  </si>
  <si>
    <t>A.1.2.2</t>
  </si>
  <si>
    <t>Monthly Village Health and Nutrition Days</t>
  </si>
  <si>
    <t>2.3.4</t>
  </si>
  <si>
    <t>A.1.5.1</t>
  </si>
  <si>
    <t>Line listing and follow-up of severely anaemic women</t>
  </si>
  <si>
    <t>A.1.5.2</t>
  </si>
  <si>
    <t>Line listing of the women with blood disorders</t>
  </si>
  <si>
    <t>A.1.5.3</t>
  </si>
  <si>
    <t>CH</t>
  </si>
  <si>
    <t>A.2.7</t>
  </si>
  <si>
    <t>A.2.10.1</t>
  </si>
  <si>
    <t>A.4.2.2</t>
  </si>
  <si>
    <t>Organizing Adolescent Health day</t>
  </si>
  <si>
    <t>A.5.1.5</t>
  </si>
  <si>
    <t>New born screening-  Inborn error of metabolism (please give details per unit cost of screening, number of children to be screened and the delivery points Add details)</t>
  </si>
  <si>
    <t>A.5.1.6</t>
  </si>
  <si>
    <t>A.6.2</t>
  </si>
  <si>
    <t>A.11.2</t>
  </si>
  <si>
    <t>Services for Vulnerable groups</t>
  </si>
  <si>
    <t>B18.2</t>
  </si>
  <si>
    <t>C.1.f</t>
  </si>
  <si>
    <t>Focus on slum &amp; underserved areas in urban areas/alternative vaccinator for slums (only where regular ANM under NUHM not engaged)</t>
  </si>
  <si>
    <t>G.2.5</t>
  </si>
  <si>
    <t>NLEP</t>
  </si>
  <si>
    <t>I.1.3</t>
  </si>
  <si>
    <t>I.1.4</t>
  </si>
  <si>
    <t>J.1.3</t>
  </si>
  <si>
    <t>NMHP</t>
  </si>
  <si>
    <t>M.1.2</t>
  </si>
  <si>
    <t>NTCP</t>
  </si>
  <si>
    <t>M.1.2.1</t>
  </si>
  <si>
    <t>M.1.2.2</t>
  </si>
  <si>
    <t>Coverage of Pvt. School</t>
  </si>
  <si>
    <t>M.1.2.3</t>
  </si>
  <si>
    <t>Coverage of Public School in other's school programme</t>
  </si>
  <si>
    <t>M.1.2.4</t>
  </si>
  <si>
    <t>Coverage of Pvt. School in other's school programme</t>
  </si>
  <si>
    <t>M.1.2.5</t>
  </si>
  <si>
    <t>M.2.1.1</t>
  </si>
  <si>
    <t>Annexure for Community Intervention</t>
  </si>
  <si>
    <t>Performance Incentive/Other Incentive to ASHAs</t>
  </si>
  <si>
    <t>3.1.1.1</t>
  </si>
  <si>
    <t xml:space="preserve">A.1.3.4 </t>
  </si>
  <si>
    <t xml:space="preserve">JSY Incentive to ASHA </t>
  </si>
  <si>
    <t>3.1.1.2</t>
  </si>
  <si>
    <t>A.3.7.1</t>
  </si>
  <si>
    <t>ASHA Incentives under Saas Bahu Sammellan</t>
  </si>
  <si>
    <t>3.1.1.3</t>
  </si>
  <si>
    <t>A.3.7.2</t>
  </si>
  <si>
    <t>ASHA Incentives under Nayi Pehl Kit</t>
  </si>
  <si>
    <t>3.1.1.4</t>
  </si>
  <si>
    <t>B1.1.3.2.1</t>
  </si>
  <si>
    <t>3.1.1.5</t>
  </si>
  <si>
    <t>B1.1.3.2.2</t>
  </si>
  <si>
    <t>B1.1.3.2.4</t>
  </si>
  <si>
    <t>B1.1.3.2.6</t>
  </si>
  <si>
    <t xml:space="preserve">ASHA incentive under MAA programme @ Rs 100 per ASHA for quarterly mother's meeting </t>
  </si>
  <si>
    <t>B1.1.3.2.7</t>
  </si>
  <si>
    <t>Incentive for National Deworming Day  for mobilising out of school children</t>
  </si>
  <si>
    <t>B1.1.3.2.8</t>
  </si>
  <si>
    <t xml:space="preserve">Incentive for IDCF for prophylactic distribution of ORS  to family with under-five children. </t>
  </si>
  <si>
    <t>B1.1.3.3.1</t>
  </si>
  <si>
    <t>ASHA PPIUCD incentive for accompanying the client for PPIUCD insertion (@ Rs. 150/ASHA/insertion)</t>
  </si>
  <si>
    <t>B1.1.3.3.2</t>
  </si>
  <si>
    <t>ASHA PAIUCD incentive for accompanying the client for PAIUCD insertion (@ Rs. 150/ASHA/insertion)</t>
  </si>
  <si>
    <t>B1.1.3.3.3</t>
  </si>
  <si>
    <t>ASHA incentive under ESB scheme for promoting spacing of births</t>
  </si>
  <si>
    <t>B1.1.3.3.4</t>
  </si>
  <si>
    <t>B.1.1.3.4.1</t>
  </si>
  <si>
    <t>Incentive for support to Peer Educator</t>
  </si>
  <si>
    <t>AH</t>
  </si>
  <si>
    <t>B.1.1.3.4.2</t>
  </si>
  <si>
    <t>Incentive for mobilizing adolescents  and community for AHD</t>
  </si>
  <si>
    <t>B1.1.3.5.1</t>
  </si>
  <si>
    <t>National Iron Plus Incentive for mobilizing WRA (non pregnant &amp; non-lactating Women 20-49 years)</t>
  </si>
  <si>
    <t>B1.1.3.5.2</t>
  </si>
  <si>
    <t>National Iron Plus Incentive for mobilizing children and/or ensuring compliance and reporting (6-59 months)</t>
  </si>
  <si>
    <t>B1.1.3.5.3</t>
  </si>
  <si>
    <t>National Iron Plus Others</t>
  </si>
  <si>
    <t>B1.1.3.6.1</t>
  </si>
  <si>
    <t xml:space="preserve">ASHA incentives for routine activities </t>
  </si>
  <si>
    <t>C.5</t>
  </si>
  <si>
    <t>RI</t>
  </si>
  <si>
    <t>D.5</t>
  </si>
  <si>
    <t>ASHA Incentive under NIDDCP</t>
  </si>
  <si>
    <t>NIDDCP</t>
  </si>
  <si>
    <t>F.1.1.b</t>
  </si>
  <si>
    <t>F.1.2.i</t>
  </si>
  <si>
    <t>ASHA Incentive for Dengue and Chikungunya</t>
  </si>
  <si>
    <t>F.1.3.k</t>
  </si>
  <si>
    <t xml:space="preserve">ASHA Incentivization for sensitizing community for AES/JE </t>
  </si>
  <si>
    <t>F.1.3.m</t>
  </si>
  <si>
    <t>ASHA incentive for referral of AES/JE cases to the nearest CHC/DH/Medical College</t>
  </si>
  <si>
    <t>F.1.4.e</t>
  </si>
  <si>
    <t>Honorarium  for Drug Distribution including ASHAs and supervisors involved in MDA</t>
  </si>
  <si>
    <t>F.1.4.i</t>
  </si>
  <si>
    <t>G.1.3.a</t>
  </si>
  <si>
    <t>G.1.3.b.i</t>
  </si>
  <si>
    <t>G.1.3.b.ii</t>
  </si>
  <si>
    <t>G.1.3.b.iii</t>
  </si>
  <si>
    <t>B1.1.1</t>
  </si>
  <si>
    <t>Selection &amp; Training of ASHA</t>
  </si>
  <si>
    <t>3.1.2.1</t>
  </si>
  <si>
    <t>A.3.2.6</t>
  </si>
  <si>
    <t xml:space="preserve">Orientation/review  of ASHAs (as applicable) for New Contraceptives, Post partum and post abortion Family Planning, Scheme for home delivery of contraceptives (HDC), Ensuring spacing at birth (ESB {wherever applicable}), Pregnancy Testing Kits (PTK) </t>
  </si>
  <si>
    <t>3.1.2.2</t>
  </si>
  <si>
    <t>B1.1.1.1</t>
  </si>
  <si>
    <t>Induction training</t>
  </si>
  <si>
    <t>3.1.2.3</t>
  </si>
  <si>
    <t>B1.1.1.2</t>
  </si>
  <si>
    <t xml:space="preserve">Module VI &amp; VII </t>
  </si>
  <si>
    <t>3.1.2.4</t>
  </si>
  <si>
    <t>B1.1.1.3</t>
  </si>
  <si>
    <t>3.1.2.5</t>
  </si>
  <si>
    <t>B1.2</t>
  </si>
  <si>
    <t>Certification of ASHA by NIOS</t>
  </si>
  <si>
    <t>3.1.3.1</t>
  </si>
  <si>
    <t>B1.1.1.4.1</t>
  </si>
  <si>
    <t>Supervision costs  by ASHA facilitators(12 months)</t>
  </si>
  <si>
    <t>3.1.3.2</t>
  </si>
  <si>
    <t>B1.1.3.7</t>
  </si>
  <si>
    <t>3.1.3.3</t>
  </si>
  <si>
    <t>B1.1.4</t>
  </si>
  <si>
    <t>3.1.3.4</t>
  </si>
  <si>
    <t>C.1.g</t>
  </si>
  <si>
    <t>Mobilization of children through ASHA or other mobilizers</t>
  </si>
  <si>
    <t>3.2.1</t>
  </si>
  <si>
    <t>A.3.7.5</t>
  </si>
  <si>
    <t>3.2.2</t>
  </si>
  <si>
    <t>A.4.2.1</t>
  </si>
  <si>
    <t>Incentives for Peer Educators</t>
  </si>
  <si>
    <t>3.2.3</t>
  </si>
  <si>
    <t>B15.1</t>
  </si>
  <si>
    <t>Community Action for Health (Visioning workshops at state, dist., block level, Training of VHSNC, Training of RKS)</t>
  </si>
  <si>
    <t>B15.1.1</t>
  </si>
  <si>
    <t>State level</t>
  </si>
  <si>
    <t>B15.1.2</t>
  </si>
  <si>
    <t>District level</t>
  </si>
  <si>
    <t>B15.1.3</t>
  </si>
  <si>
    <t xml:space="preserve">Block level </t>
  </si>
  <si>
    <t>B15.1.4.1</t>
  </si>
  <si>
    <t>Constitution / Reconstitution of VHSNC</t>
  </si>
  <si>
    <t>3.2.5</t>
  </si>
  <si>
    <t>3.2.5.1</t>
  </si>
  <si>
    <t>F.1.1.c</t>
  </si>
  <si>
    <t>3.2.5.2</t>
  </si>
  <si>
    <t>F.1.1.c.i</t>
  </si>
  <si>
    <t>3.2.5.3</t>
  </si>
  <si>
    <t>F.1.1.c.ii</t>
  </si>
  <si>
    <t>Operational cost for IRS</t>
  </si>
  <si>
    <t>F.1.1.c.iii</t>
  </si>
  <si>
    <t>F.1.1.h</t>
  </si>
  <si>
    <t>Biological and Environmental Management through VHSC</t>
  </si>
  <si>
    <t>F.1.1.i</t>
  </si>
  <si>
    <t>Larvivorous Fish support</t>
  </si>
  <si>
    <t>F.1.2.f</t>
  </si>
  <si>
    <t>F.1.3.g</t>
  </si>
  <si>
    <t>F.1.5.b</t>
  </si>
  <si>
    <t>F.1.5.e</t>
  </si>
  <si>
    <t>3.3.1</t>
  </si>
  <si>
    <t>B8.1</t>
  </si>
  <si>
    <t>Orientation of Community leader &amp; of VHSC,SHC,PHC,CHC etc.</t>
  </si>
  <si>
    <t>3.3.2</t>
  </si>
  <si>
    <t>B8.2</t>
  </si>
  <si>
    <t xml:space="preserve">Orientation Workshops, Trainings and capacity building of PRI  for RKS at District Health Societies, CHC and PHC </t>
  </si>
  <si>
    <t>3.3.3</t>
  </si>
  <si>
    <t>PRI Sensitization/Trainings</t>
  </si>
  <si>
    <t>3.3.3.1</t>
  </si>
  <si>
    <t>E.2.9</t>
  </si>
  <si>
    <t>One day sensitization for PRIs</t>
  </si>
  <si>
    <t>IDSP</t>
  </si>
  <si>
    <t>3.3.3.2</t>
  </si>
  <si>
    <t>M.1.1.4</t>
  </si>
  <si>
    <t>Training of PRI's representatives/ Police personnel/ Teachers/ Transport personnel/ NGO personnel/ other stakeholders</t>
  </si>
  <si>
    <t>Annexure for Infrastructure Strengthening</t>
  </si>
  <si>
    <t>5.1.1</t>
  </si>
  <si>
    <t>B.4.1</t>
  </si>
  <si>
    <t>5.1.1.1</t>
  </si>
  <si>
    <t>District Hospitals (As per the DH Strengthening Guidelines)</t>
  </si>
  <si>
    <t>CHCs</t>
  </si>
  <si>
    <t>PHCs</t>
  </si>
  <si>
    <t>Sub Centres</t>
  </si>
  <si>
    <t>SDH</t>
  </si>
  <si>
    <t>Training Institutions</t>
  </si>
  <si>
    <t>Others</t>
  </si>
  <si>
    <t>5.1.1.2</t>
  </si>
  <si>
    <t>Upgradation/ Renovation</t>
  </si>
  <si>
    <t>B.26.1.1</t>
  </si>
  <si>
    <t xml:space="preserve">Renovation, Dental Chair, Equipment - District Hospitals </t>
  </si>
  <si>
    <t>NOHP</t>
  </si>
  <si>
    <t>B.27.1.4</t>
  </si>
  <si>
    <t>NPPC</t>
  </si>
  <si>
    <t>5.1.1.3</t>
  </si>
  <si>
    <t>5.1.1.4</t>
  </si>
  <si>
    <t>Staff Quarters</t>
  </si>
  <si>
    <t>5.1.2</t>
  </si>
  <si>
    <t>I.2.1.</t>
  </si>
  <si>
    <t>Grant-in-aid for District Hospitals</t>
  </si>
  <si>
    <t>I.2.2.</t>
  </si>
  <si>
    <t>Grant-in-aid for Sub Divisional Hospitals</t>
  </si>
  <si>
    <t>I.2.3</t>
  </si>
  <si>
    <t>I.2.4</t>
  </si>
  <si>
    <t>I.2.5</t>
  </si>
  <si>
    <t>I.2.7</t>
  </si>
  <si>
    <t>Grant-in-aid for construction of Eye Wards and Eye OTS (renamed as  dedicated eye unit)</t>
  </si>
  <si>
    <t>B.4.3</t>
  </si>
  <si>
    <t>Sub Centre Rent and Contingencies</t>
  </si>
  <si>
    <t>5.2.1</t>
  </si>
  <si>
    <t>5.2.1.1</t>
  </si>
  <si>
    <t>5.2.1.2</t>
  </si>
  <si>
    <t>5.2.1.3</t>
  </si>
  <si>
    <t>SHCs/Sub Centres</t>
  </si>
  <si>
    <t>5.2.1.4</t>
  </si>
  <si>
    <t>5.2.1.5</t>
  </si>
  <si>
    <t>B5.5</t>
  </si>
  <si>
    <t>Govt. Dispensaries/ others</t>
  </si>
  <si>
    <t>5.2.1.6</t>
  </si>
  <si>
    <t>5.2.1.7</t>
  </si>
  <si>
    <t>5.2.1.8</t>
  </si>
  <si>
    <t>DH</t>
  </si>
  <si>
    <t>5.2.1.9</t>
  </si>
  <si>
    <t>5.2.1.10</t>
  </si>
  <si>
    <t>5.2.1.11</t>
  </si>
  <si>
    <t>A.4.1.2</t>
  </si>
  <si>
    <t xml:space="preserve">AFHCs at Medical college/ DH/CHC/PHC level  </t>
  </si>
  <si>
    <t>5.2.1.12</t>
  </si>
  <si>
    <t>A.2.5</t>
  </si>
  <si>
    <t>Establishment of NRCs</t>
  </si>
  <si>
    <t>5.2.1.13</t>
  </si>
  <si>
    <t>5.2.2</t>
  </si>
  <si>
    <t>Carry forward of new construction initiated last year, or the year before</t>
  </si>
  <si>
    <t>5.2.2.1</t>
  </si>
  <si>
    <t>5.2.2.2</t>
  </si>
  <si>
    <t>5.2.2.3</t>
  </si>
  <si>
    <t>5.2.2.4</t>
  </si>
  <si>
    <t>5.2.2.5</t>
  </si>
  <si>
    <t>5.2.2.6</t>
  </si>
  <si>
    <t>5.2.2.7</t>
  </si>
  <si>
    <t>5.2.2.8</t>
  </si>
  <si>
    <t>5.2.2.9</t>
  </si>
  <si>
    <t>5.2.2.10</t>
  </si>
  <si>
    <t>5.3.1</t>
  </si>
  <si>
    <t>B4.1.5.4</t>
  </si>
  <si>
    <t>Civil Works</t>
  </si>
  <si>
    <t xml:space="preserve">ASHA Ghar </t>
  </si>
  <si>
    <t>5.3.3</t>
  </si>
  <si>
    <t>B4.1.5.4.1</t>
  </si>
  <si>
    <t>5.3.4</t>
  </si>
  <si>
    <t>B.5.7</t>
  </si>
  <si>
    <t>Operationalization of FRUS</t>
  </si>
  <si>
    <t>5.3.5</t>
  </si>
  <si>
    <t>B.5.8</t>
  </si>
  <si>
    <t>Operationalization of 24 hour services at PHCs</t>
  </si>
  <si>
    <t>5.3.6</t>
  </si>
  <si>
    <t>B.5.9</t>
  </si>
  <si>
    <t>Operationalising Infection Management &amp; Environment Plan at health facilities</t>
  </si>
  <si>
    <t>B.28.1</t>
  </si>
  <si>
    <t>5.3.8</t>
  </si>
  <si>
    <t>C.1.p</t>
  </si>
  <si>
    <t>Safety Pits</t>
  </si>
  <si>
    <t>5.3.9</t>
  </si>
  <si>
    <t>D.2</t>
  </si>
  <si>
    <t>Establishment of IDD Monitoring Lab</t>
  </si>
  <si>
    <t>5.3.10</t>
  </si>
  <si>
    <t>F.1.1.j</t>
  </si>
  <si>
    <t>Construction and maintenance of Hatcheries</t>
  </si>
  <si>
    <t>5.3.11</t>
  </si>
  <si>
    <t>F.2.1.e</t>
  </si>
  <si>
    <t>Infrastructure (INF)</t>
  </si>
  <si>
    <t>5.3.12</t>
  </si>
  <si>
    <t>5.3.13</t>
  </si>
  <si>
    <t>H.1</t>
  </si>
  <si>
    <t>5.3.14</t>
  </si>
  <si>
    <t>J.1.1</t>
  </si>
  <si>
    <t>5.3.15</t>
  </si>
  <si>
    <t>K.2.1.1</t>
  </si>
  <si>
    <t>NPHCE</t>
  </si>
  <si>
    <t>Annexure for Referral Transport</t>
  </si>
  <si>
    <t>A.1.6.4</t>
  </si>
  <si>
    <t>Free Referral Transport - JSSK for Pregnant Women</t>
  </si>
  <si>
    <t>A.2.9.2</t>
  </si>
  <si>
    <t>Free Referral Transport - JSSK for Sick Infants</t>
  </si>
  <si>
    <t>A.5.2</t>
  </si>
  <si>
    <t>Referral Support for Secondary/ Tertiary care (pl give unit cost and unit of measure as per RBSK guidelines) - RBSK</t>
  </si>
  <si>
    <t>B12</t>
  </si>
  <si>
    <t>National Ambulance Service</t>
  </si>
  <si>
    <t>B12.2.9.1</t>
  </si>
  <si>
    <t>Drop back scheme for sterilization clients</t>
  </si>
  <si>
    <t>H.18</t>
  </si>
  <si>
    <t>Patient Support &amp; Transportation Charges</t>
  </si>
  <si>
    <t>O.2.2.1.6</t>
  </si>
  <si>
    <t>Transport of referred cases including home based care</t>
  </si>
  <si>
    <t>NPCDCS</t>
  </si>
  <si>
    <t>O.2.1.6.6.i</t>
  </si>
  <si>
    <t>District NCD Clinic</t>
  </si>
  <si>
    <t>O.2.1.6.6.ii</t>
  </si>
  <si>
    <t>CHC NCD Clinic</t>
  </si>
  <si>
    <t>Annexure for Human Resources - Service Delivery</t>
  </si>
  <si>
    <t>8.1.1</t>
  </si>
  <si>
    <t>B.30.1</t>
  </si>
  <si>
    <t>Nurses and Paramedical Staff</t>
  </si>
  <si>
    <t>8.1.1.1</t>
  </si>
  <si>
    <t>B.30.1.1</t>
  </si>
  <si>
    <t>ANMs</t>
  </si>
  <si>
    <t>8.1.1.2</t>
  </si>
  <si>
    <t>B.30.1.2</t>
  </si>
  <si>
    <t>Staff Nurses</t>
  </si>
  <si>
    <t>8.1.1.3</t>
  </si>
  <si>
    <t>B.30.1.3</t>
  </si>
  <si>
    <t>Health Assistant/ Lady Health Visitor/ Public Health Nurse</t>
  </si>
  <si>
    <t>8.1.1.4</t>
  </si>
  <si>
    <t>B.30.1.4</t>
  </si>
  <si>
    <t>8.1.1.5</t>
  </si>
  <si>
    <t>B.30.1.5</t>
  </si>
  <si>
    <t>OT Technician</t>
  </si>
  <si>
    <t>8.1.1.6</t>
  </si>
  <si>
    <t>B.30.1.6</t>
  </si>
  <si>
    <t>Other Technicians at DH (ECG/ ECO, EEG, Dermatology, Cyto, PFT etc.)</t>
  </si>
  <si>
    <t>8.1.1.7</t>
  </si>
  <si>
    <t>B.30.1.7</t>
  </si>
  <si>
    <t>Pharmacist</t>
  </si>
  <si>
    <t>8.1.1.8</t>
  </si>
  <si>
    <t>B.30.1.8</t>
  </si>
  <si>
    <t>8.1.1.9</t>
  </si>
  <si>
    <t>B.30.1.9</t>
  </si>
  <si>
    <t>Physiotherapist/ Occupational Therapist</t>
  </si>
  <si>
    <t>8.1.1.10</t>
  </si>
  <si>
    <t>B.30.1.10</t>
  </si>
  <si>
    <t>Dietician/ Nutritionist</t>
  </si>
  <si>
    <t>8.1.1.11</t>
  </si>
  <si>
    <t>B.30.1.11</t>
  </si>
  <si>
    <t>8.1.2</t>
  </si>
  <si>
    <t>B.30.2</t>
  </si>
  <si>
    <t>Specialists</t>
  </si>
  <si>
    <t>8.1.2.1</t>
  </si>
  <si>
    <t>B.30.2.1</t>
  </si>
  <si>
    <t>Obstetricians and Gynaecologists</t>
  </si>
  <si>
    <t>8.1.2.2</t>
  </si>
  <si>
    <t>B.30.2.2</t>
  </si>
  <si>
    <t>Paediatricians</t>
  </si>
  <si>
    <t>8.1.2.3</t>
  </si>
  <si>
    <t>B.30.2.3</t>
  </si>
  <si>
    <t>Anaesthetists</t>
  </si>
  <si>
    <t>8.1.2.4</t>
  </si>
  <si>
    <t>8.1.2.5</t>
  </si>
  <si>
    <t>B.30.2.5</t>
  </si>
  <si>
    <t>Surgeons</t>
  </si>
  <si>
    <t>8.1.2.6</t>
  </si>
  <si>
    <t>B.30.2.6</t>
  </si>
  <si>
    <t>Radiologists</t>
  </si>
  <si>
    <t>B.30.2.7</t>
  </si>
  <si>
    <t>B.30.2.8</t>
  </si>
  <si>
    <t>ENT</t>
  </si>
  <si>
    <t>8.1.3</t>
  </si>
  <si>
    <t>B.30.3</t>
  </si>
  <si>
    <t>Other Specialists</t>
  </si>
  <si>
    <t>8.1.3.1</t>
  </si>
  <si>
    <t>8.1.3.2</t>
  </si>
  <si>
    <t>B.30.3.2</t>
  </si>
  <si>
    <t>Psychiatrists</t>
  </si>
  <si>
    <t>8.1.3.3</t>
  </si>
  <si>
    <t>B.30.3.3</t>
  </si>
  <si>
    <t xml:space="preserve">Orthopaedics </t>
  </si>
  <si>
    <t>8.1.3.4</t>
  </si>
  <si>
    <t>B.30.3.4</t>
  </si>
  <si>
    <t>Ophthalmologists</t>
  </si>
  <si>
    <t>8.1.3.5</t>
  </si>
  <si>
    <t>B.30.3.5</t>
  </si>
  <si>
    <t>Dermatologists</t>
  </si>
  <si>
    <t>8.1.3.6</t>
  </si>
  <si>
    <t>B.30.3.6</t>
  </si>
  <si>
    <t>Venereologist</t>
  </si>
  <si>
    <t>8.1.3.7</t>
  </si>
  <si>
    <t>B.30.3.7</t>
  </si>
  <si>
    <t>Microbiologists</t>
  </si>
  <si>
    <t>8.1.3.8</t>
  </si>
  <si>
    <t>B.30.3.8</t>
  </si>
  <si>
    <t>Forensic Specialist</t>
  </si>
  <si>
    <t>8.1.3.9</t>
  </si>
  <si>
    <t>B.30.3.9</t>
  </si>
  <si>
    <t>8.1.4</t>
  </si>
  <si>
    <t>B.30.4</t>
  </si>
  <si>
    <t>Dental Staff</t>
  </si>
  <si>
    <t>8.1.4.1</t>
  </si>
  <si>
    <t>B.30.4.1</t>
  </si>
  <si>
    <t>Dental Surgeons</t>
  </si>
  <si>
    <t>8.1.4.2</t>
  </si>
  <si>
    <t>B.30.4.2</t>
  </si>
  <si>
    <t>Dental MO</t>
  </si>
  <si>
    <t>8.1.4.3</t>
  </si>
  <si>
    <t>B.30.4.3</t>
  </si>
  <si>
    <t>Other Dental Staff</t>
  </si>
  <si>
    <t>B.30.4.3.a</t>
  </si>
  <si>
    <t>Dental Hygienist</t>
  </si>
  <si>
    <t>B.30.4.3.b</t>
  </si>
  <si>
    <t>Dental Technician</t>
  </si>
  <si>
    <t>B.30.4.3.c</t>
  </si>
  <si>
    <t>Dental Assistants</t>
  </si>
  <si>
    <t>B.30.4.4</t>
  </si>
  <si>
    <t>8.1.5</t>
  </si>
  <si>
    <t>B.30.5</t>
  </si>
  <si>
    <t xml:space="preserve">Medical Officers </t>
  </si>
  <si>
    <t>8.1.6</t>
  </si>
  <si>
    <t>B.30.6</t>
  </si>
  <si>
    <t>AYUSH Staff</t>
  </si>
  <si>
    <t>8.1.6.1</t>
  </si>
  <si>
    <t>B.30.6.1</t>
  </si>
  <si>
    <t>AYUSH MOs</t>
  </si>
  <si>
    <t>8.1.6.2</t>
  </si>
  <si>
    <t>B.30.6.2</t>
  </si>
  <si>
    <t>Pharmacist - AYUSH</t>
  </si>
  <si>
    <t>8.1.6.3</t>
  </si>
  <si>
    <t>B.30.6.3</t>
  </si>
  <si>
    <t>8.1.7</t>
  </si>
  <si>
    <t>B.30.7</t>
  </si>
  <si>
    <t>RBSK teams (Exclusive mobile health team &amp; DEIC Staff)</t>
  </si>
  <si>
    <t>8.1.7.1</t>
  </si>
  <si>
    <t>B.30.7.1</t>
  </si>
  <si>
    <t>RBSK mobile teams</t>
  </si>
  <si>
    <t>8.1.7.2</t>
  </si>
  <si>
    <t>B.30.7.1.a</t>
  </si>
  <si>
    <t xml:space="preserve">MOs- AYUSH </t>
  </si>
  <si>
    <t>B.30.7.1.b</t>
  </si>
  <si>
    <t>MOs- MBBS</t>
  </si>
  <si>
    <t>B.30.7.1.c</t>
  </si>
  <si>
    <t>Staff Nurse</t>
  </si>
  <si>
    <t>B.30.7.1.d</t>
  </si>
  <si>
    <t>ANM</t>
  </si>
  <si>
    <t>B.30.7.1.e</t>
  </si>
  <si>
    <t>Pharmacists</t>
  </si>
  <si>
    <t>B.30.7.2</t>
  </si>
  <si>
    <t>DEIC</t>
  </si>
  <si>
    <t>B.30.7.2.a</t>
  </si>
  <si>
    <t>Paediatrician</t>
  </si>
  <si>
    <t>B.30.7.2.b</t>
  </si>
  <si>
    <t>MO, MBBS</t>
  </si>
  <si>
    <t>B.30.7.2.c</t>
  </si>
  <si>
    <t>MO, Dental</t>
  </si>
  <si>
    <t>B.30.7.2.d</t>
  </si>
  <si>
    <t>B.30.7.2.e</t>
  </si>
  <si>
    <t>Physiotherapist</t>
  </si>
  <si>
    <t>B.30.7.2.f</t>
  </si>
  <si>
    <t>Audiologist &amp; speech therapist</t>
  </si>
  <si>
    <t>B.30.7.2.g</t>
  </si>
  <si>
    <t>Psychologist</t>
  </si>
  <si>
    <t>B.30.7.2.h</t>
  </si>
  <si>
    <t>Optometrist</t>
  </si>
  <si>
    <t>B.30.7.2.i</t>
  </si>
  <si>
    <t>Early interventionist cum special educator</t>
  </si>
  <si>
    <t>B.30.7.2.j</t>
  </si>
  <si>
    <t>Social worker</t>
  </si>
  <si>
    <t>B.30.7.2.k</t>
  </si>
  <si>
    <t>Lab technician</t>
  </si>
  <si>
    <t>B.30.7.2.l</t>
  </si>
  <si>
    <t>Dental technician</t>
  </si>
  <si>
    <t>8.1.8</t>
  </si>
  <si>
    <t>B.30.8</t>
  </si>
  <si>
    <t>Staff for NRC</t>
  </si>
  <si>
    <t>8.1.8.1</t>
  </si>
  <si>
    <t>B.30.8.1</t>
  </si>
  <si>
    <t>8.1.8.2</t>
  </si>
  <si>
    <t>B.30.8.2</t>
  </si>
  <si>
    <t>8.1.8.3</t>
  </si>
  <si>
    <t>B.30.8.3</t>
  </si>
  <si>
    <t>Cook cum caretaker</t>
  </si>
  <si>
    <t>8.1.8.4</t>
  </si>
  <si>
    <t>B.30.8.4</t>
  </si>
  <si>
    <t>Medical Social worker for NRC</t>
  </si>
  <si>
    <t>8.1.8.5</t>
  </si>
  <si>
    <t>B.30.17.3</t>
  </si>
  <si>
    <t>Feeding demonstrator for NRC</t>
  </si>
  <si>
    <t>8.1.8.6</t>
  </si>
  <si>
    <t>B.30.8.5</t>
  </si>
  <si>
    <t>8.1.9</t>
  </si>
  <si>
    <t>B.30.9</t>
  </si>
  <si>
    <t>8.1.9.1</t>
  </si>
  <si>
    <t>B.30.9.1</t>
  </si>
  <si>
    <t>8.1.9.2</t>
  </si>
  <si>
    <t>B.30.9.2</t>
  </si>
  <si>
    <t>8.1.9.3</t>
  </si>
  <si>
    <t>B.30.9.3</t>
  </si>
  <si>
    <t>8.1.9.4</t>
  </si>
  <si>
    <t>B.30.9.4</t>
  </si>
  <si>
    <t xml:space="preserve">Others </t>
  </si>
  <si>
    <t>8.1.10</t>
  </si>
  <si>
    <t>B.30.10</t>
  </si>
  <si>
    <t>Staff for MMU/ MHV</t>
  </si>
  <si>
    <t>8.1.10.1</t>
  </si>
  <si>
    <t>B.30.10.1</t>
  </si>
  <si>
    <t>8.1.10.2</t>
  </si>
  <si>
    <t>B.30.10.2</t>
  </si>
  <si>
    <t>Staff Nurse/ ANM</t>
  </si>
  <si>
    <t>8.1.10.3</t>
  </si>
  <si>
    <t>B.30.10.3</t>
  </si>
  <si>
    <t>8.1.10.4</t>
  </si>
  <si>
    <t>B.30.10.4</t>
  </si>
  <si>
    <t>B.30.10.5</t>
  </si>
  <si>
    <t>8.1.11</t>
  </si>
  <si>
    <t>B.30.11</t>
  </si>
  <si>
    <t>Other Staff</t>
  </si>
  <si>
    <t>8.1.11.1</t>
  </si>
  <si>
    <t>B.30.11.1</t>
  </si>
  <si>
    <t xml:space="preserve">Counsellor </t>
  </si>
  <si>
    <t>8.1.11.2</t>
  </si>
  <si>
    <t>B.30.11.2</t>
  </si>
  <si>
    <t>B.30.11.3</t>
  </si>
  <si>
    <t>Multi Rehabilitation worker</t>
  </si>
  <si>
    <t>B.30.11.4</t>
  </si>
  <si>
    <t xml:space="preserve">Social Worker </t>
  </si>
  <si>
    <t>B.30.11.5</t>
  </si>
  <si>
    <t>Rehabilitation Therapist</t>
  </si>
  <si>
    <t>B.30.11.6</t>
  </si>
  <si>
    <t>Biomedical Engineer</t>
  </si>
  <si>
    <t>B.30.11.7</t>
  </si>
  <si>
    <t>Lab Attendant/ Assistant</t>
  </si>
  <si>
    <t>B.30.11.8</t>
  </si>
  <si>
    <t>OT Assistant</t>
  </si>
  <si>
    <t>B.30.11.9</t>
  </si>
  <si>
    <t>B.30.11.10</t>
  </si>
  <si>
    <t>CSSD Asstt.</t>
  </si>
  <si>
    <t>B.30.11.11</t>
  </si>
  <si>
    <t>Darkroom Asstt.</t>
  </si>
  <si>
    <t>B.30.11.12</t>
  </si>
  <si>
    <t>Cold Chain &amp; Vaccine Logistic Assistant</t>
  </si>
  <si>
    <t>B.30.11.13</t>
  </si>
  <si>
    <t>Ophthalmic Assistant/ Refractionist</t>
  </si>
  <si>
    <t>B.30.11.14</t>
  </si>
  <si>
    <t>Audiometrician/ Audiologist</t>
  </si>
  <si>
    <t>B.30.11.15</t>
  </si>
  <si>
    <t>Health Educator</t>
  </si>
  <si>
    <t>B.30.11.16</t>
  </si>
  <si>
    <t>Store Keeper/ Store Asstt</t>
  </si>
  <si>
    <t>B.30.17.2</t>
  </si>
  <si>
    <t>Lactation Counsellors for high case load facilities</t>
  </si>
  <si>
    <t>B.30.11.17</t>
  </si>
  <si>
    <t>8.1.12</t>
  </si>
  <si>
    <t>B.30.12</t>
  </si>
  <si>
    <t>Blood Bank/ BSU/Mobile Blood Vehicle</t>
  </si>
  <si>
    <t>8.1.12.1</t>
  </si>
  <si>
    <t>B.30.12.1</t>
  </si>
  <si>
    <t>Doctor - Pathologist</t>
  </si>
  <si>
    <t>8.1.12.2</t>
  </si>
  <si>
    <t>B.30.12.2</t>
  </si>
  <si>
    <t>B.30.12.3</t>
  </si>
  <si>
    <t>Male/ Female Nursing Attendant</t>
  </si>
  <si>
    <t>B.30.12.4</t>
  </si>
  <si>
    <t>Blood Bank Technician</t>
  </si>
  <si>
    <t>B.30.12.5</t>
  </si>
  <si>
    <t>8.1.13</t>
  </si>
  <si>
    <t>B.30.13</t>
  </si>
  <si>
    <t>Administrative Staff</t>
  </si>
  <si>
    <t>8.1.13.1</t>
  </si>
  <si>
    <t>B.30.13.1</t>
  </si>
  <si>
    <t>Hospital Administrator</t>
  </si>
  <si>
    <t>8.1.13.2</t>
  </si>
  <si>
    <t>B.30.13.2</t>
  </si>
  <si>
    <t>Hospital Superintendent</t>
  </si>
  <si>
    <t>8.1.13.3</t>
  </si>
  <si>
    <t>B.30.13.3</t>
  </si>
  <si>
    <t>Block Medical Officer/ Medical Superintendent</t>
  </si>
  <si>
    <t>8.1.13.4</t>
  </si>
  <si>
    <t>B.30.13.4</t>
  </si>
  <si>
    <t>8.1.13.5</t>
  </si>
  <si>
    <t>B.30.13.5</t>
  </si>
  <si>
    <t>Housekeeper/ Manager</t>
  </si>
  <si>
    <t>B.30.13.6</t>
  </si>
  <si>
    <t>Medical Records Officer</t>
  </si>
  <si>
    <t>B.30.13.7</t>
  </si>
  <si>
    <t>Medical Records Asstt./ Case Registry Asstt.</t>
  </si>
  <si>
    <t>B.30.13.8</t>
  </si>
  <si>
    <t>Accounts/ Finance</t>
  </si>
  <si>
    <t>B.30.13.9</t>
  </si>
  <si>
    <t>Admin Officer/ Asstt</t>
  </si>
  <si>
    <t>B.30.13.10</t>
  </si>
  <si>
    <t>Statistical Asstt.</t>
  </si>
  <si>
    <t>B.30.13.11</t>
  </si>
  <si>
    <t>Office Asstt</t>
  </si>
  <si>
    <t>B.30.13.12</t>
  </si>
  <si>
    <t>B.30.13.13</t>
  </si>
  <si>
    <t>Ambulance Services (1 driver + 2 Tech.)</t>
  </si>
  <si>
    <t>B.30.13.13.a</t>
  </si>
  <si>
    <t>Driver</t>
  </si>
  <si>
    <t>B.30.13.13.b</t>
  </si>
  <si>
    <t>Technician</t>
  </si>
  <si>
    <t>B.30.13.14</t>
  </si>
  <si>
    <t>8.1.14</t>
  </si>
  <si>
    <t>B.30.14</t>
  </si>
  <si>
    <t>Support Staff for Health Facilities on outsourcing basis</t>
  </si>
  <si>
    <t>8.1.14.1</t>
  </si>
  <si>
    <t>8.1.14.2</t>
  </si>
  <si>
    <t>8.1.14.3</t>
  </si>
  <si>
    <t>B.30.14.3</t>
  </si>
  <si>
    <t>B.30.20</t>
  </si>
  <si>
    <t xml:space="preserve">Annual increment for all the existing positions </t>
  </si>
  <si>
    <t>B.30.21</t>
  </si>
  <si>
    <t>EPF (Employer's contribution) @ 13.36% for salaries &lt;= Rs.15,000 pm</t>
  </si>
  <si>
    <t>Incentives and Allowances</t>
  </si>
  <si>
    <t>8.4.1</t>
  </si>
  <si>
    <t>B.30.15</t>
  </si>
  <si>
    <t>Additional Allowances/ Incentives to Medical Officers</t>
  </si>
  <si>
    <t>8.4.2</t>
  </si>
  <si>
    <t>B.30.18</t>
  </si>
  <si>
    <t>Incentive/ Awards etc. to SN, ANMs etc. (Including group/team based incentives at sub-centre/PHC for primary care)</t>
  </si>
  <si>
    <t>8.4.3</t>
  </si>
  <si>
    <t>B.30.16</t>
  </si>
  <si>
    <t>Honorarium for Paediatric ECO, ENT specialist, Orthopediatrician, Ophthalmologist, Psychiatrics</t>
  </si>
  <si>
    <t>8.4.4</t>
  </si>
  <si>
    <t>B.30.17.1</t>
  </si>
  <si>
    <t>8.4.5</t>
  </si>
  <si>
    <t>A.3.5.3</t>
  </si>
  <si>
    <t>Performance reward if any</t>
  </si>
  <si>
    <t>8.4.6</t>
  </si>
  <si>
    <t>A.3.2.2</t>
  </si>
  <si>
    <t>8.4.7</t>
  </si>
  <si>
    <t>A.3.2.3</t>
  </si>
  <si>
    <t>8.4.8</t>
  </si>
  <si>
    <t>A.3.2.4</t>
  </si>
  <si>
    <t>8.4.9</t>
  </si>
  <si>
    <t>Annexure for Training and Capacity Building</t>
  </si>
  <si>
    <t>Training</t>
  </si>
  <si>
    <t>9.1.1</t>
  </si>
  <si>
    <t>A.9.1.2.2</t>
  </si>
  <si>
    <t>Setting up of Skill Lab</t>
  </si>
  <si>
    <t>9.1.2</t>
  </si>
  <si>
    <t>A.9.3.1.1</t>
  </si>
  <si>
    <t>Setting up of SBA Training Centres</t>
  </si>
  <si>
    <t>9.1.3</t>
  </si>
  <si>
    <t>A.9.3.2.1</t>
  </si>
  <si>
    <t>Setting up of EmOC Training Centres</t>
  </si>
  <si>
    <t>9.1.4</t>
  </si>
  <si>
    <t>A.9.3.3.1</t>
  </si>
  <si>
    <t>Setting up of Life saving Anaesthesia skills Training Centres</t>
  </si>
  <si>
    <t>9.1.5</t>
  </si>
  <si>
    <t>A.9.10.1</t>
  </si>
  <si>
    <t>Strengthening of Existing Training Institutions/Nursing School (excluding infrastructure and HR)</t>
  </si>
  <si>
    <t>9.1.6.1</t>
  </si>
  <si>
    <t>A.9.2.1</t>
  </si>
  <si>
    <t>9.1.6.2</t>
  </si>
  <si>
    <t>A.9.6.8</t>
  </si>
  <si>
    <t>Training / Orientation technical manuals</t>
  </si>
  <si>
    <t>9.2.1</t>
  </si>
  <si>
    <t>A.9.1.2.1</t>
  </si>
  <si>
    <t xml:space="preserve">HR for Skill Lab </t>
  </si>
  <si>
    <t>9.5.1</t>
  </si>
  <si>
    <t>Maternal Health Trainings</t>
  </si>
  <si>
    <t>9.5.1.1</t>
  </si>
  <si>
    <t>A.1.4</t>
  </si>
  <si>
    <t xml:space="preserve">Maternal Death Review Trainings </t>
  </si>
  <si>
    <t>9.5.1.2</t>
  </si>
  <si>
    <t>A.9.1.2.3</t>
  </si>
  <si>
    <t>Onsite mentoring at Delivery Points</t>
  </si>
  <si>
    <t>9.5.1.3</t>
  </si>
  <si>
    <t>A.9.3.1.2</t>
  </si>
  <si>
    <t>TOT for SBA</t>
  </si>
  <si>
    <t>9.5.1.4</t>
  </si>
  <si>
    <t>A.9.3.1.3</t>
  </si>
  <si>
    <t>Training of Staff Nurses/ANMs / LHVs in SBA</t>
  </si>
  <si>
    <t>9.5.1.5</t>
  </si>
  <si>
    <t>A.9.3.2.2</t>
  </si>
  <si>
    <t>TOT for EmOC</t>
  </si>
  <si>
    <t>9.5.1.6</t>
  </si>
  <si>
    <t>A.9.3.2.3</t>
  </si>
  <si>
    <t>Training of Medical Officers in EmOC</t>
  </si>
  <si>
    <t>9.5.1.7</t>
  </si>
  <si>
    <t>A.9.3.3.2</t>
  </si>
  <si>
    <t>TOT for Anaesthesia skills training</t>
  </si>
  <si>
    <t>9.5.1.8</t>
  </si>
  <si>
    <t>A.9.3.3.3</t>
  </si>
  <si>
    <t>Training of Medical Officers in life saving Anaesthesia skills</t>
  </si>
  <si>
    <t>9.5.1.9</t>
  </si>
  <si>
    <t>A.9.3.4.1</t>
  </si>
  <si>
    <t>TOT on safe abortion services</t>
  </si>
  <si>
    <t>9.5.1.10</t>
  </si>
  <si>
    <t>A.9.3.4.2, A.1.1</t>
  </si>
  <si>
    <t>Training of Medical Officers in safe abortion</t>
  </si>
  <si>
    <t>9.5.1.11</t>
  </si>
  <si>
    <t>A.9.3.5.1</t>
  </si>
  <si>
    <t>TOT for RTI/STI training</t>
  </si>
  <si>
    <t>9.5.1.12</t>
  </si>
  <si>
    <t>A.9.3.5.2</t>
  </si>
  <si>
    <t>Training of laboratory technicians in RTI/STI</t>
  </si>
  <si>
    <t>9.5.1.13</t>
  </si>
  <si>
    <t>A.9.3.5.3</t>
  </si>
  <si>
    <t>Training of Medical Officers in RTI/STI</t>
  </si>
  <si>
    <t>9.5.1.14</t>
  </si>
  <si>
    <t>A.9.3.6.1</t>
  </si>
  <si>
    <t>TOT for BEmOC training</t>
  </si>
  <si>
    <t>9.5.1.15</t>
  </si>
  <si>
    <t>A.9.3.6.2</t>
  </si>
  <si>
    <t>BEmOC training  for MOs/LMOs</t>
  </si>
  <si>
    <t>9.5.1.16</t>
  </si>
  <si>
    <t>A.9.3.7</t>
  </si>
  <si>
    <t>A.9.3.8</t>
  </si>
  <si>
    <t>Blood Bank/Blood Storage Unit (BSU) Training</t>
  </si>
  <si>
    <t>A.9.4</t>
  </si>
  <si>
    <t>IMEP Training</t>
  </si>
  <si>
    <t>A.9.4.1</t>
  </si>
  <si>
    <t>TOT on IMEP</t>
  </si>
  <si>
    <t>A.9.4.2</t>
  </si>
  <si>
    <t>IMEP training for state and district programme managers</t>
  </si>
  <si>
    <t>A.9.4.3</t>
  </si>
  <si>
    <t>IMEP training for medical officers</t>
  </si>
  <si>
    <t>A.9.4.4</t>
  </si>
  <si>
    <t>9.5.2</t>
  </si>
  <si>
    <t>Child Health Trainings</t>
  </si>
  <si>
    <t>9.5.2.1</t>
  </si>
  <si>
    <t>A.2.1</t>
  </si>
  <si>
    <t>IMNCI (including F-IMNCI; primarily budget for  planning for pre-service IMNCI activities in medical colleges, nursing colleges, and ANMTCs other training)</t>
  </si>
  <si>
    <t>9.5.2.2</t>
  </si>
  <si>
    <t>A.2.6</t>
  </si>
  <si>
    <t>9.5.2.3</t>
  </si>
  <si>
    <t>9.5.2.4</t>
  </si>
  <si>
    <t>A.2.8</t>
  </si>
  <si>
    <t xml:space="preserve">Child Death Review Trainings </t>
  </si>
  <si>
    <t>9.5.2.5</t>
  </si>
  <si>
    <t>A.2.11.1</t>
  </si>
  <si>
    <t>Provision for State &amp; District level (Training and Workshops) (Dissemination to be budgeted under IEC; Meetings/ review meetings to be budgeted under PM)</t>
  </si>
  <si>
    <t>9.5.2.6</t>
  </si>
  <si>
    <t>A.9.5.1.1</t>
  </si>
  <si>
    <t>TOT on IMNCI (pre-service and in-service)</t>
  </si>
  <si>
    <t>9.5.2.7</t>
  </si>
  <si>
    <t>A.9.5.1.2</t>
  </si>
  <si>
    <t>IMNCI Training for ANMs / LHVs</t>
  </si>
  <si>
    <t>9.5.2.8</t>
  </si>
  <si>
    <t>A.9.5.2.1</t>
  </si>
  <si>
    <t>TOT on F-IMNCI</t>
  </si>
  <si>
    <t>9.5.2.9</t>
  </si>
  <si>
    <t>A.9.5.2.2</t>
  </si>
  <si>
    <t>F-IMNCI Training for Medical Officers</t>
  </si>
  <si>
    <t>9.5.2.10</t>
  </si>
  <si>
    <t>A.9.5.2.3</t>
  </si>
  <si>
    <t>F-IMNCI Training for Staff Nurses</t>
  </si>
  <si>
    <t>9.5.2.11</t>
  </si>
  <si>
    <t>9.5.2.12</t>
  </si>
  <si>
    <t>9.5.2.13</t>
  </si>
  <si>
    <t>A.9.5.4.1</t>
  </si>
  <si>
    <t>Training on facility based management of Severe Acute Malnutrition (including refreshers)</t>
  </si>
  <si>
    <t>9.5.2.14</t>
  </si>
  <si>
    <t>A.9.5.5.1.1</t>
  </si>
  <si>
    <t>TOT for NSSK</t>
  </si>
  <si>
    <t>9.5.2.15</t>
  </si>
  <si>
    <t>A.9.5.5.1.2</t>
  </si>
  <si>
    <t>NSSK Training for Medical Officers</t>
  </si>
  <si>
    <t>9.5.2.16</t>
  </si>
  <si>
    <t>A.9.5.5.1.3</t>
  </si>
  <si>
    <t>NSSK Training for SNs</t>
  </si>
  <si>
    <t>9.5.2.17</t>
  </si>
  <si>
    <t>A.9.5.5.1.4</t>
  </si>
  <si>
    <t>NSSK Training for ANMs</t>
  </si>
  <si>
    <t>9.5.2.18</t>
  </si>
  <si>
    <t>A.9.5.5.2.a</t>
  </si>
  <si>
    <t>9.5.2.19</t>
  </si>
  <si>
    <t>A.9.5.5.2.b</t>
  </si>
  <si>
    <t>9.5.2.20</t>
  </si>
  <si>
    <t>A.9.5.5.2.c</t>
  </si>
  <si>
    <t>9.5.2.21</t>
  </si>
  <si>
    <t>A.9.5.5.2.d</t>
  </si>
  <si>
    <t>Orientation on National Deworming Day</t>
  </si>
  <si>
    <t>9.5.3</t>
  </si>
  <si>
    <t>Family Planning Trainings</t>
  </si>
  <si>
    <t>9.5.3.1</t>
  </si>
  <si>
    <t>9.5.3.2</t>
  </si>
  <si>
    <t>A.3.2.7</t>
  </si>
  <si>
    <t>Dissemination of FP manuals and guidelines (workshops only)</t>
  </si>
  <si>
    <t>9.5.3.3</t>
  </si>
  <si>
    <t>A.3.5.1</t>
  </si>
  <si>
    <t>9.5.3.4</t>
  </si>
  <si>
    <t>A.9.6.1.1</t>
  </si>
  <si>
    <t>TOT on laparoscopic sterilization</t>
  </si>
  <si>
    <t>9.5.3.5</t>
  </si>
  <si>
    <t>A.9.6.1.2</t>
  </si>
  <si>
    <t>Laparoscopic sterilization training for doctors (teams of doctor, SN and OT assistant)</t>
  </si>
  <si>
    <t>9.5.3.6</t>
  </si>
  <si>
    <t>A.9.6.1.3</t>
  </si>
  <si>
    <t>Refresher training on laparoscopic sterilization</t>
  </si>
  <si>
    <t>9.5.3.7</t>
  </si>
  <si>
    <t>A.9.6.2.1</t>
  </si>
  <si>
    <t>TOT on Minilap</t>
  </si>
  <si>
    <t>9.5.3.8</t>
  </si>
  <si>
    <t>A.9.6.2.2</t>
  </si>
  <si>
    <t>Minilap training for medical officers</t>
  </si>
  <si>
    <t>9.5.3.9</t>
  </si>
  <si>
    <t>A.9.6.2.3</t>
  </si>
  <si>
    <t>Refresher training on Minilap sterilization</t>
  </si>
  <si>
    <t>9.5.3.10</t>
  </si>
  <si>
    <t>A.9.6.3.1</t>
  </si>
  <si>
    <t>TOT on NSV</t>
  </si>
  <si>
    <t>9.5.3.11</t>
  </si>
  <si>
    <t>A.9.6.3.3</t>
  </si>
  <si>
    <t>Refresher training on NSV sterilization</t>
  </si>
  <si>
    <t>9.5.3.12</t>
  </si>
  <si>
    <t>A.9.6.4.1</t>
  </si>
  <si>
    <t>TOT (IUCD insertion training)</t>
  </si>
  <si>
    <t>9.5.3.13</t>
  </si>
  <si>
    <t>A.9.6.4.2</t>
  </si>
  <si>
    <t>Training of Medical officers  (IUCD insertion training)</t>
  </si>
  <si>
    <t>9.5.3.14</t>
  </si>
  <si>
    <t>A.9.6.4.3</t>
  </si>
  <si>
    <t>Training of AYUSH doctors  (IUCD insertion training)</t>
  </si>
  <si>
    <t>9.5.3.15</t>
  </si>
  <si>
    <t>A.9.6.4.4</t>
  </si>
  <si>
    <t>Training of Nurses (Staff Nurse/LHV/ANM)  (IUCD insertion training)</t>
  </si>
  <si>
    <t>9.5.3.16</t>
  </si>
  <si>
    <t>A.9.6.5.1</t>
  </si>
  <si>
    <t>TOT (PPIUCD insertion training)</t>
  </si>
  <si>
    <t>9.5.3.17</t>
  </si>
  <si>
    <t>A.9.6.5.2</t>
  </si>
  <si>
    <t>Training of Medical officers (PPIUCD insertion training)</t>
  </si>
  <si>
    <t>9.5.3.18</t>
  </si>
  <si>
    <t>A.9.6.5.3</t>
  </si>
  <si>
    <t>Training of AYUSH doctors (PPIUCD insertion training)</t>
  </si>
  <si>
    <t>9.5.3.19</t>
  </si>
  <si>
    <t>A.9.6.5.4</t>
  </si>
  <si>
    <t>Training of Nurses (Staff Nurse/LHV/ANM) (PPIUCD insertion training)</t>
  </si>
  <si>
    <t>9.5.3.20</t>
  </si>
  <si>
    <t>A.9.6.6.1</t>
  </si>
  <si>
    <t xml:space="preserve">Training for Post abortion Family Planning </t>
  </si>
  <si>
    <t>9.5.3.21</t>
  </si>
  <si>
    <t>A.9.6.7</t>
  </si>
  <si>
    <t>Training of RMNCH+A/ FP Counsellors</t>
  </si>
  <si>
    <t>9.5.3.22</t>
  </si>
  <si>
    <t>A.9.6.9.1</t>
  </si>
  <si>
    <t>9.5.3.23</t>
  </si>
  <si>
    <t>A.9.6.9.2</t>
  </si>
  <si>
    <t>9.5.3.24</t>
  </si>
  <si>
    <t>A.9.6.9.3</t>
  </si>
  <si>
    <t>9.5.3.25</t>
  </si>
  <si>
    <t>A.9.6.9.4</t>
  </si>
  <si>
    <t>9.5.3.26</t>
  </si>
  <si>
    <t>A.9.6.10</t>
  </si>
  <si>
    <t>Oral Pills Training</t>
  </si>
  <si>
    <t>9.5.4</t>
  </si>
  <si>
    <t>Adolescent Health Trainings</t>
  </si>
  <si>
    <t>9.5.4.1</t>
  </si>
  <si>
    <t>A.4.1.1</t>
  </si>
  <si>
    <t xml:space="preserve">Dissemination workshops under RKSK </t>
  </si>
  <si>
    <t>9.5.4.2</t>
  </si>
  <si>
    <t>A.9.7.1.1</t>
  </si>
  <si>
    <t xml:space="preserve">TOT for Adolescent Friendly Health Service training </t>
  </si>
  <si>
    <t>9.5.4.3</t>
  </si>
  <si>
    <t>A.9.7.1.2</t>
  </si>
  <si>
    <t xml:space="preserve">AFHS training of Medical Officers </t>
  </si>
  <si>
    <t>9.5.4.4</t>
  </si>
  <si>
    <t>A.9.7.1.3</t>
  </si>
  <si>
    <t>9.5.4.6</t>
  </si>
  <si>
    <t>A.9.7.1.5</t>
  </si>
  <si>
    <t>Training of AH counsellors</t>
  </si>
  <si>
    <t>9.5.4.7</t>
  </si>
  <si>
    <t>A.9.7.2.1</t>
  </si>
  <si>
    <t>Training of Peer Educator (District level)</t>
  </si>
  <si>
    <t>9.5.4.8</t>
  </si>
  <si>
    <t>A.9.7.2.2</t>
  </si>
  <si>
    <t>Training of Peer Educator (Block Level)</t>
  </si>
  <si>
    <t>9.5.4.9</t>
  </si>
  <si>
    <t>A.9.7.2.3</t>
  </si>
  <si>
    <t>Training of Peer Educator (Sub block level)</t>
  </si>
  <si>
    <t>9.5.4.10</t>
  </si>
  <si>
    <t>A.9.7.3.1</t>
  </si>
  <si>
    <t>WIFS trainings (District)</t>
  </si>
  <si>
    <t>9.5.4.11</t>
  </si>
  <si>
    <t>A.9.7.3.2</t>
  </si>
  <si>
    <t>WIFS trainings (Block)</t>
  </si>
  <si>
    <t>9.5.4.12</t>
  </si>
  <si>
    <t>A.9.7.4.1</t>
  </si>
  <si>
    <t>MHS Trainings (District)</t>
  </si>
  <si>
    <t>9.5.4.13</t>
  </si>
  <si>
    <t>A.9.7.4.2</t>
  </si>
  <si>
    <t>MHS Trainings (Block)</t>
  </si>
  <si>
    <t>A.9.7.5</t>
  </si>
  <si>
    <t>9.5.5</t>
  </si>
  <si>
    <t>9.5.5.1</t>
  </si>
  <si>
    <t>A.9.12.1</t>
  </si>
  <si>
    <t>RBSK Training -Training of Mobile health team – technical and managerial (5 days)</t>
  </si>
  <si>
    <t>9.5.5.2</t>
  </si>
  <si>
    <t>A.9.12.2</t>
  </si>
  <si>
    <t>RBSK DEIC Staff training (15 days)</t>
  </si>
  <si>
    <t>9.5.5.3</t>
  </si>
  <si>
    <t>A.9.12.3</t>
  </si>
  <si>
    <t>One day orientation for  MO / other staff Delivery points (RBSK trainings)</t>
  </si>
  <si>
    <t>9.5.5.4</t>
  </si>
  <si>
    <t>A.9.12.4</t>
  </si>
  <si>
    <t>Training/Refresher training -ANM (one day) (RBSK trainings)</t>
  </si>
  <si>
    <t>A.9.12.5</t>
  </si>
  <si>
    <t>Training/Refresher training -ASHA (one day) (RBSK trainings)</t>
  </si>
  <si>
    <t>A.9.12.6</t>
  </si>
  <si>
    <t>A.9.12.6.1</t>
  </si>
  <si>
    <t>A.9.12.6.2</t>
  </si>
  <si>
    <t xml:space="preserve">Training of two nodal teachers per school </t>
  </si>
  <si>
    <t>9.5.6</t>
  </si>
  <si>
    <t>9.5.6.1</t>
  </si>
  <si>
    <t>A.9.11.1</t>
  </si>
  <si>
    <t>Promotional Training of ANMs to lady health visitor etc.</t>
  </si>
  <si>
    <t>A.9.11.2</t>
  </si>
  <si>
    <t>Training of ANMs, Staff nurses, AWW, AWS</t>
  </si>
  <si>
    <t>9.5.7</t>
  </si>
  <si>
    <t>Trainings under NPPCD</t>
  </si>
  <si>
    <t>9.5.7.1</t>
  </si>
  <si>
    <t>NPPCD</t>
  </si>
  <si>
    <t>B.25.2.1.b</t>
  </si>
  <si>
    <t>B.25.2.1.c</t>
  </si>
  <si>
    <t>B.25.2.1.d</t>
  </si>
  <si>
    <t>9.5.8</t>
  </si>
  <si>
    <t>Trainings under NPPC</t>
  </si>
  <si>
    <t>9.5.8.1</t>
  </si>
  <si>
    <t>B.27.1.2</t>
  </si>
  <si>
    <t>Training of PHC Medical Officers, nurses, Paramedical Workers &amp; Other Health Staff under NPPC</t>
  </si>
  <si>
    <t>9.5.9</t>
  </si>
  <si>
    <t>Trainings under NPPCF</t>
  </si>
  <si>
    <t>9.5.9.1</t>
  </si>
  <si>
    <t>B.29.1.4</t>
  </si>
  <si>
    <t>Training of medical and paramedical personnel at district level under NPPCF</t>
  </si>
  <si>
    <t>NPPCF</t>
  </si>
  <si>
    <t>9.5.10</t>
  </si>
  <si>
    <t>Trainings under Routine Immunisation</t>
  </si>
  <si>
    <t>9.5.10.1</t>
  </si>
  <si>
    <t>C.3</t>
  </si>
  <si>
    <t>Training under Immunisation</t>
  </si>
  <si>
    <t>9.5.11</t>
  </si>
  <si>
    <t>Trainings under IDSP</t>
  </si>
  <si>
    <t>9.5.11.1</t>
  </si>
  <si>
    <t>E.2.1</t>
  </si>
  <si>
    <t>Medical Officers (1 day)</t>
  </si>
  <si>
    <t>E.2.2</t>
  </si>
  <si>
    <t>Medical College Doctors (1 day)</t>
  </si>
  <si>
    <t>E.2.3</t>
  </si>
  <si>
    <t>Hospital Pharmacists/Nurses Training (1 day)</t>
  </si>
  <si>
    <t>E.2.4</t>
  </si>
  <si>
    <t>Lab. Technician (3 days)</t>
  </si>
  <si>
    <t>E.2.5</t>
  </si>
  <si>
    <t>Data Managers (2days)</t>
  </si>
  <si>
    <t>E.2.6</t>
  </si>
  <si>
    <t>Date Entry Operators cum Accountant (2 days)</t>
  </si>
  <si>
    <t>E.2.7</t>
  </si>
  <si>
    <t>ASHA &amp; MPWs, AWW &amp; Community volunteers (1 day)</t>
  </si>
  <si>
    <t>E.2.8</t>
  </si>
  <si>
    <t>One day training for Data entry and analysis for Block Health Team (including Block Programme Manager)</t>
  </si>
  <si>
    <t>E.2.10</t>
  </si>
  <si>
    <t>9.5.12</t>
  </si>
  <si>
    <t>Trainings under NVBDCP</t>
  </si>
  <si>
    <t>9.5.12.1</t>
  </si>
  <si>
    <t>F.1.1.f</t>
  </si>
  <si>
    <t>Training / Capacity Building (Malaria)</t>
  </si>
  <si>
    <t>9.5.12.2</t>
  </si>
  <si>
    <t>F.1.2.h</t>
  </si>
  <si>
    <t>Training / Workshop (Dengue and Chikungunya)</t>
  </si>
  <si>
    <t>9.5.12.3</t>
  </si>
  <si>
    <t>F.1.3.b</t>
  </si>
  <si>
    <t>Capacity Building (AES/ JE)</t>
  </si>
  <si>
    <t>9.5.12.4</t>
  </si>
  <si>
    <t>F.1.3.c</t>
  </si>
  <si>
    <t>Training specific for JE prevention and management</t>
  </si>
  <si>
    <t>9.5.12.5</t>
  </si>
  <si>
    <t>F.1.3.l</t>
  </si>
  <si>
    <t>Other Charges for  Training /Workshop Meeting (AES/ JE)</t>
  </si>
  <si>
    <t>9.5.12.6</t>
  </si>
  <si>
    <t>F.1.4.d</t>
  </si>
  <si>
    <t>Training/sensitization of district level officers on ELF and drug distributors including peripheral health workers (AES/ JE)</t>
  </si>
  <si>
    <t>9.5.13</t>
  </si>
  <si>
    <t>Trainings under NLEP</t>
  </si>
  <si>
    <t>9.5.13.1</t>
  </si>
  <si>
    <t>G.3.1</t>
  </si>
  <si>
    <t>Capacity building under NLEP</t>
  </si>
  <si>
    <t>9.5.14</t>
  </si>
  <si>
    <t>9.5.14.1</t>
  </si>
  <si>
    <t>H.6</t>
  </si>
  <si>
    <t>H.10</t>
  </si>
  <si>
    <t>9.5.15</t>
  </si>
  <si>
    <t>Trainings under NPCB</t>
  </si>
  <si>
    <t>9.5.15.1</t>
  </si>
  <si>
    <t>I.1.6</t>
  </si>
  <si>
    <t>Training of PMOA under NPCB</t>
  </si>
  <si>
    <t>9.5.16</t>
  </si>
  <si>
    <t>Trainings under NMHP</t>
  </si>
  <si>
    <t>9.5.16.1</t>
  </si>
  <si>
    <t>J.1.2</t>
  </si>
  <si>
    <t>Training of PHC Medical Officers, Nurses, Paramedical Workers &amp; Other Health Staff working under NMHP</t>
  </si>
  <si>
    <t>9.5.17</t>
  </si>
  <si>
    <t>Trainings under NPHCE</t>
  </si>
  <si>
    <t>9.5.17.1</t>
  </si>
  <si>
    <t>K.1.1.2</t>
  </si>
  <si>
    <t>K.1.2.1</t>
  </si>
  <si>
    <t>K.1.3.1.</t>
  </si>
  <si>
    <t>9.5.18</t>
  </si>
  <si>
    <t>Trainings under NTCP</t>
  </si>
  <si>
    <t>9.5.18.1</t>
  </si>
  <si>
    <t>M.1.1</t>
  </si>
  <si>
    <t>9.5.18.2</t>
  </si>
  <si>
    <t>M.3.1</t>
  </si>
  <si>
    <t>9.5.19</t>
  </si>
  <si>
    <t>O.2.3</t>
  </si>
  <si>
    <t>Trainings under NPCDCS</t>
  </si>
  <si>
    <t>9.5.19.1</t>
  </si>
  <si>
    <t>O.2.3.1</t>
  </si>
  <si>
    <t>State NCD  Cell</t>
  </si>
  <si>
    <t>9.5.19.2</t>
  </si>
  <si>
    <t>O.2.3.2</t>
  </si>
  <si>
    <t>District  NCD Cell</t>
  </si>
  <si>
    <t>9.5.20</t>
  </si>
  <si>
    <t>PMU Trainings</t>
  </si>
  <si>
    <t>9.5.20.1</t>
  </si>
  <si>
    <t>A.9.8.1</t>
  </si>
  <si>
    <t xml:space="preserve">Training of SPMSU staff </t>
  </si>
  <si>
    <t>9.5.20.2</t>
  </si>
  <si>
    <t>A.9.8.2</t>
  </si>
  <si>
    <t xml:space="preserve">Training of DPMSU staff </t>
  </si>
  <si>
    <t>A.9.8.3</t>
  </si>
  <si>
    <t>Training of BPMSU staff</t>
  </si>
  <si>
    <t>9.5.21</t>
  </si>
  <si>
    <t>PNDT Trainings</t>
  </si>
  <si>
    <t>9.5.21.1</t>
  </si>
  <si>
    <t>A.9.9.1</t>
  </si>
  <si>
    <t>PNDT</t>
  </si>
  <si>
    <t>9.5.22</t>
  </si>
  <si>
    <t>9.5.22.1</t>
  </si>
  <si>
    <t>B1.1.1.5.1</t>
  </si>
  <si>
    <t>Training of ASHA facilitator</t>
  </si>
  <si>
    <t>B1.1.1.5.2</t>
  </si>
  <si>
    <t>B1.1.6.1</t>
  </si>
  <si>
    <t>B1.1.6.2</t>
  </si>
  <si>
    <t>B1.1.6.3</t>
  </si>
  <si>
    <t>B11.1.4</t>
  </si>
  <si>
    <t>Training/orientation (MMU)</t>
  </si>
  <si>
    <t>B11.2.3</t>
  </si>
  <si>
    <t>Training/orientation (MMV)</t>
  </si>
  <si>
    <t>B12.2.6</t>
  </si>
  <si>
    <t>Training/orientation (Ambulance)</t>
  </si>
  <si>
    <t>Trainings under AYUSH</t>
  </si>
  <si>
    <t>B9.2</t>
  </si>
  <si>
    <t>Training under AYUSH</t>
  </si>
  <si>
    <t>Quality Assurance Trainings</t>
  </si>
  <si>
    <t>B15.2.3</t>
  </si>
  <si>
    <t>B15.2.6</t>
  </si>
  <si>
    <t>B15.2.7.1</t>
  </si>
  <si>
    <t>Kayakalp Trainings</t>
  </si>
  <si>
    <t>B15.3.1.4.1</t>
  </si>
  <si>
    <t>Training cum review meeting for HMIS &amp; MCTS at State level</t>
  </si>
  <si>
    <t>B15.3.1.4.2</t>
  </si>
  <si>
    <t>Training cum review meeting for HMIS &amp; MCTS at District level</t>
  </si>
  <si>
    <t>B15.3.1.4.3</t>
  </si>
  <si>
    <t>Training cum review meeting for HMIS &amp; MCTS at Block level</t>
  </si>
  <si>
    <t>A.9.11.3.1</t>
  </si>
  <si>
    <t>PGDHM Courses</t>
  </si>
  <si>
    <t>B3.4</t>
  </si>
  <si>
    <t>B6.3</t>
  </si>
  <si>
    <t>Training (Implementation of Clinical Establishment Act)</t>
  </si>
  <si>
    <t>Annexure for Review, Research &amp; Surveys and Surveillance</t>
  </si>
  <si>
    <t>10.1.1</t>
  </si>
  <si>
    <t>Maternal Death Review (both in institutions and community)</t>
  </si>
  <si>
    <t>Child Death Review</t>
  </si>
  <si>
    <t>10.2.1</t>
  </si>
  <si>
    <t>B.20</t>
  </si>
  <si>
    <t>Research, Studies, Analysis</t>
  </si>
  <si>
    <t>10.2.2</t>
  </si>
  <si>
    <t>D.3</t>
  </si>
  <si>
    <t>IDD Surveys/Re-surveys</t>
  </si>
  <si>
    <t>10.2.3</t>
  </si>
  <si>
    <t>F.1.3.h</t>
  </si>
  <si>
    <t>Operational Research - AES/ JE</t>
  </si>
  <si>
    <t>10.2.4</t>
  </si>
  <si>
    <t>F.1.4.b</t>
  </si>
  <si>
    <t>Microfilaria Survey - Lymphatic Filariasis</t>
  </si>
  <si>
    <t>10.2.5</t>
  </si>
  <si>
    <t>F.1.4.c</t>
  </si>
  <si>
    <t>Monitoring  &amp;Evaluation (Post MDA assessment by medical colleges (Govt. &amp; private)/ICMR institutions )</t>
  </si>
  <si>
    <t>10.2.6</t>
  </si>
  <si>
    <t>F.1.4.f</t>
  </si>
  <si>
    <t>Verification and validation for stoppage of MDA in LF endemic districts</t>
  </si>
  <si>
    <t>10.2.7</t>
  </si>
  <si>
    <t>F.1.4.f.i</t>
  </si>
  <si>
    <t>10.2.8</t>
  </si>
  <si>
    <t>F.1.4.f.ii</t>
  </si>
  <si>
    <t>10.2.9</t>
  </si>
  <si>
    <t>F.1.4.g</t>
  </si>
  <si>
    <t>Verification of LF endemicity in non-endemic districts</t>
  </si>
  <si>
    <t>10.2.10</t>
  </si>
  <si>
    <t>F.1.4.g.i</t>
  </si>
  <si>
    <t>10.2.11</t>
  </si>
  <si>
    <t>F.1.4.g.ii</t>
  </si>
  <si>
    <t>F.1.4.g.iii</t>
  </si>
  <si>
    <t>H.14</t>
  </si>
  <si>
    <t>Research &amp; Studies &amp; Consultancy</t>
  </si>
  <si>
    <t>M.1.3.4</t>
  </si>
  <si>
    <t>Baseline/Endline surveys/ Research studies (DTCC)</t>
  </si>
  <si>
    <t>M.3.2.2</t>
  </si>
  <si>
    <t>Baseline/Endline surveys/ Research studies (STCC)</t>
  </si>
  <si>
    <t>O.2.7</t>
  </si>
  <si>
    <t>O.2.7.1</t>
  </si>
  <si>
    <t>State NCD Cell</t>
  </si>
  <si>
    <t>O.2.7.2</t>
  </si>
  <si>
    <t>10.3.1</t>
  </si>
  <si>
    <t>10.3.2</t>
  </si>
  <si>
    <t>F.1.2.a(i)</t>
  </si>
  <si>
    <t xml:space="preserve">Apex Referral Labs recurrent </t>
  </si>
  <si>
    <t>10.3.3</t>
  </si>
  <si>
    <t>F.1.2.a(ii)</t>
  </si>
  <si>
    <t xml:space="preserve">Sentinel surveillance Hospital recurrent </t>
  </si>
  <si>
    <t>F.1.2.a(iii)</t>
  </si>
  <si>
    <t>F.1.4.h</t>
  </si>
  <si>
    <t xml:space="preserve">Post-MDA surveillance </t>
  </si>
  <si>
    <t>10.4.1</t>
  </si>
  <si>
    <t>D.6</t>
  </si>
  <si>
    <t>Management of IDD Monitoring Laboratory</t>
  </si>
  <si>
    <t>10.4.2</t>
  </si>
  <si>
    <t>E.3.2</t>
  </si>
  <si>
    <t>Recurring costs on account of Consumables, kits, communication, misc. expenses etc. at each  district public health lab (applicable only for functional labs having requisite manpower)</t>
  </si>
  <si>
    <t>10.4.3</t>
  </si>
  <si>
    <t>E.3.4</t>
  </si>
  <si>
    <t>Referral Network of laboratories (Govt. Medical College labs) Reimbursement based payment for laboratory tests (to be calculated for already approved labs in previous PIPs of States for corresponding next years)</t>
  </si>
  <si>
    <t>10.4.4</t>
  </si>
  <si>
    <t>E.3.5</t>
  </si>
  <si>
    <t xml:space="preserve">Expenses on account of consumables, operating expenses, office expenses, transport of samples, miscellaneous etc.    </t>
  </si>
  <si>
    <t>10.4.5</t>
  </si>
  <si>
    <t>E.5.1</t>
  </si>
  <si>
    <t>Costs on Account of newly formed districts</t>
  </si>
  <si>
    <t>10.4.6</t>
  </si>
  <si>
    <t>F.1.4.f.iii</t>
  </si>
  <si>
    <t>ICT Cost</t>
  </si>
  <si>
    <t>Annexure for Quality Assurance</t>
  </si>
  <si>
    <t>13.1.1</t>
  </si>
  <si>
    <t>B15.2.4</t>
  </si>
  <si>
    <t>Quality Assurance Implementation (for traversing gaps)</t>
  </si>
  <si>
    <t>13.1.2</t>
  </si>
  <si>
    <t>B15.2.5</t>
  </si>
  <si>
    <t>13.1.3</t>
  </si>
  <si>
    <t>13.2.1</t>
  </si>
  <si>
    <t>B15.2.7. 2</t>
  </si>
  <si>
    <t>Assessments</t>
  </si>
  <si>
    <t>13.2.2</t>
  </si>
  <si>
    <t>B15.2.7.3</t>
  </si>
  <si>
    <t>Kayakalp Awards</t>
  </si>
  <si>
    <t>13.2.3</t>
  </si>
  <si>
    <t>B15.2.7.4</t>
  </si>
  <si>
    <t>Support for Implementation of Kayakalp</t>
  </si>
  <si>
    <t>13.2.4</t>
  </si>
  <si>
    <t>B15.2.7.5</t>
  </si>
  <si>
    <t>Contingencies</t>
  </si>
  <si>
    <t>13.2.5</t>
  </si>
  <si>
    <t>B15.2.7.6</t>
  </si>
  <si>
    <t>Swachh Swasth Sarvatra</t>
  </si>
  <si>
    <t>13.3.1</t>
  </si>
  <si>
    <t>Annexure for Drug Warehouse and Logistics</t>
  </si>
  <si>
    <t>Drug Warehousing and Logistics</t>
  </si>
  <si>
    <t>B.17</t>
  </si>
  <si>
    <t xml:space="preserve">Drug Ware Housing </t>
  </si>
  <si>
    <t>14.1.1</t>
  </si>
  <si>
    <t>B.17.1</t>
  </si>
  <si>
    <t>B.17.1.1</t>
  </si>
  <si>
    <t>14.1.2</t>
  </si>
  <si>
    <t>B.17.2</t>
  </si>
  <si>
    <t>14.2.1</t>
  </si>
  <si>
    <t>B15.3.3.1</t>
  </si>
  <si>
    <t xml:space="preserve">Implementation of DVDMS </t>
  </si>
  <si>
    <t>14.2.2</t>
  </si>
  <si>
    <t>C.1.h</t>
  </si>
  <si>
    <t>Alternative vaccine delivery in hard to reach areas</t>
  </si>
  <si>
    <t>14.2.3</t>
  </si>
  <si>
    <t>C.1.i</t>
  </si>
  <si>
    <t>Alternative Vaccine Delivery in other areas</t>
  </si>
  <si>
    <t>14.2.4</t>
  </si>
  <si>
    <t>C.1.l</t>
  </si>
  <si>
    <t>POL for vaccine delivery from State to district and from district to PHC/CHCs</t>
  </si>
  <si>
    <t>14.2.5</t>
  </si>
  <si>
    <t>C.4</t>
  </si>
  <si>
    <t xml:space="preserve">Cold chain maintenance </t>
  </si>
  <si>
    <t>14.2.6</t>
  </si>
  <si>
    <t>C.1.u</t>
  </si>
  <si>
    <t>14.2.7</t>
  </si>
  <si>
    <t>F.2.1.d</t>
  </si>
  <si>
    <t>14.2.8</t>
  </si>
  <si>
    <t>H.7</t>
  </si>
  <si>
    <t>Vehicle Operation (POL &amp; Maintenance)</t>
  </si>
  <si>
    <t>14.2.9</t>
  </si>
  <si>
    <t>H.8</t>
  </si>
  <si>
    <t>Vehicle hiring</t>
  </si>
  <si>
    <t>10.3.1.1</t>
  </si>
  <si>
    <t>10.3.1.2</t>
  </si>
  <si>
    <t>10.3.1.3</t>
  </si>
  <si>
    <t>10.2.6.1</t>
  </si>
  <si>
    <t>10.2.6.2</t>
  </si>
  <si>
    <t>10.2.7.1</t>
  </si>
  <si>
    <t>10.2.7.2</t>
  </si>
  <si>
    <t>10.2.7.3</t>
  </si>
  <si>
    <t>Annexure for PPP</t>
  </si>
  <si>
    <t>15.1.1</t>
  </si>
  <si>
    <t>A.3.1.5</t>
  </si>
  <si>
    <t xml:space="preserve">Processing accreditation/empanelment for private facilities/providers to provide sterilization services </t>
  </si>
  <si>
    <t xml:space="preserve">RCH </t>
  </si>
  <si>
    <t>Any other (please specify)</t>
  </si>
  <si>
    <t>15.2.1</t>
  </si>
  <si>
    <t>PPP under NVBDCP</t>
  </si>
  <si>
    <t>15.3.1</t>
  </si>
  <si>
    <t xml:space="preserve">PPP / NGO and Intersectoral Convergence </t>
  </si>
  <si>
    <t>NVBDCP - Malaria</t>
  </si>
  <si>
    <t>15.3.2</t>
  </si>
  <si>
    <t>Inter-sectoral convergence</t>
  </si>
  <si>
    <t>NVBDCP - Dengue Chikungunya</t>
  </si>
  <si>
    <t>PPP under NLEP</t>
  </si>
  <si>
    <t>15.4.1</t>
  </si>
  <si>
    <t>NGO -  Scheme</t>
  </si>
  <si>
    <t>15.4.2</t>
  </si>
  <si>
    <t>15.6.2.1</t>
  </si>
  <si>
    <t>15.6.2.2</t>
  </si>
  <si>
    <t>15.6.2.3</t>
  </si>
  <si>
    <t>15.6.2.4</t>
  </si>
  <si>
    <t>15.6.2.5</t>
  </si>
  <si>
    <t>15.6.5</t>
  </si>
  <si>
    <t>15.7.1</t>
  </si>
  <si>
    <t>PPP (NGO, Civil Society, Pvt. Sector) under NPCDCS</t>
  </si>
  <si>
    <t>PPP at State NCD Cell</t>
  </si>
  <si>
    <t>PPP at District NCD Cell / Clinic</t>
  </si>
  <si>
    <t>PPP at CHC NCD Clinic</t>
  </si>
  <si>
    <t>15.8.4</t>
  </si>
  <si>
    <t>Non governmental providers of health care RMPs</t>
  </si>
  <si>
    <t>Public Private Partnerships (Out Sourcing set up, if applicable for State, to be budgeted under this head)</t>
  </si>
  <si>
    <t>NGO Programme/ Grant in Aid to NGO</t>
  </si>
  <si>
    <t>B.13.4</t>
  </si>
  <si>
    <t>Pradhan Mantri National Dialysis Programme</t>
  </si>
  <si>
    <t>Intersectoral convergence</t>
  </si>
  <si>
    <t>Annexure for IEC/BCC</t>
  </si>
  <si>
    <t>IEC/BCC</t>
  </si>
  <si>
    <t>B.10.3.1</t>
  </si>
  <si>
    <t>IEC/BCC activities under MH</t>
  </si>
  <si>
    <t>B.10.3.1.1</t>
  </si>
  <si>
    <t>Media Mix of Mid Media/ Mass Media</t>
  </si>
  <si>
    <t>B.10.3.1.2</t>
  </si>
  <si>
    <t>Inter Personal Communication</t>
  </si>
  <si>
    <t>Any other IEC/BCC activities (please specify)</t>
  </si>
  <si>
    <t>B.10.3.2</t>
  </si>
  <si>
    <t>IEC/BCC activities under CH</t>
  </si>
  <si>
    <t>B.10.3.2.1</t>
  </si>
  <si>
    <t>B.10.3.2.2</t>
  </si>
  <si>
    <t>B.10.3.3</t>
  </si>
  <si>
    <t>IEC/BCC activities under FP</t>
  </si>
  <si>
    <t>B.10.3.3.1</t>
  </si>
  <si>
    <t>B.10.3.3.2</t>
  </si>
  <si>
    <t>A.3.5.4</t>
  </si>
  <si>
    <t>A.3.5.5</t>
  </si>
  <si>
    <t>A.3.7.4</t>
  </si>
  <si>
    <t>IEC activities for Mission Parivar Vikas Campaign (Frequency-at least 4/year)</t>
  </si>
  <si>
    <t>B.10.3.4</t>
  </si>
  <si>
    <t>11.4.1</t>
  </si>
  <si>
    <t>B.10.3.4.1</t>
  </si>
  <si>
    <t>11.4.2</t>
  </si>
  <si>
    <t>B.10.3.4.2</t>
  </si>
  <si>
    <t>11.4.3</t>
  </si>
  <si>
    <t>IEC/BCC activities under PNDT</t>
  </si>
  <si>
    <t>11.5.1</t>
  </si>
  <si>
    <t>B.10.3.5</t>
  </si>
  <si>
    <t>Creating awareness on declining sex ratio issue (PNDT)</t>
  </si>
  <si>
    <t>11.6.1</t>
  </si>
  <si>
    <t>B.10.7.4.5</t>
  </si>
  <si>
    <t>IEC/BCC activities under NPPCD</t>
  </si>
  <si>
    <t>11.7.1</t>
  </si>
  <si>
    <t>B.10.6.5</t>
  </si>
  <si>
    <t>IEC/BCC activities under NPPC</t>
  </si>
  <si>
    <t>11.8.1</t>
  </si>
  <si>
    <t>B.27.1.3</t>
  </si>
  <si>
    <t>IEC for DH</t>
  </si>
  <si>
    <t>11.8.2</t>
  </si>
  <si>
    <t>B.27.2.2</t>
  </si>
  <si>
    <t>IEC for State Palliative care cell</t>
  </si>
  <si>
    <t>IEC/BCC activities under NPPCF</t>
  </si>
  <si>
    <t>11.9.1</t>
  </si>
  <si>
    <t>B.10.6.6</t>
  </si>
  <si>
    <t>Health Education &amp; Publicity for National Programme for Fluorosis (State and District Level)</t>
  </si>
  <si>
    <t>IEC/BCC activities under NIDDCP</t>
  </si>
  <si>
    <t>11.10.1</t>
  </si>
  <si>
    <t>B.10.6.7</t>
  </si>
  <si>
    <t>Health Education &amp; Publicity for NIDDCP</t>
  </si>
  <si>
    <t>IEC/BCC activities under NVBDCP</t>
  </si>
  <si>
    <t>11.11.1</t>
  </si>
  <si>
    <t>B.10.6.9.a</t>
  </si>
  <si>
    <t>IEC/BCC for Malaria</t>
  </si>
  <si>
    <t>B.10.6.9.b</t>
  </si>
  <si>
    <t>IEC/BCC for Social mobilization (Dengue and Chikungunya)</t>
  </si>
  <si>
    <t>B.10.6.9.c</t>
  </si>
  <si>
    <t>IEC/BCC specific to J.E. in endemic areas</t>
  </si>
  <si>
    <t>B.10.6.9.d</t>
  </si>
  <si>
    <t>Specific IEC/BCC for Lymphatic Filariasis at State, District, PHC, Sub-centre and village level including VHSC/GKs for community mobilization efforts to realize the desired drug compliance of 85% during MDA</t>
  </si>
  <si>
    <t>B.10.6.9.e</t>
  </si>
  <si>
    <t>IEC/BCC/Advocacy for Kala-azar</t>
  </si>
  <si>
    <t>B.10.6.9.f</t>
  </si>
  <si>
    <t>IEC/BCC activities as per the GFATM project</t>
  </si>
  <si>
    <t>IEC/BCC activities under NLEP</t>
  </si>
  <si>
    <t>11.12.1</t>
  </si>
  <si>
    <t>B.10.6.10</t>
  </si>
  <si>
    <t>H.4</t>
  </si>
  <si>
    <t>ACSM (State &amp; district)</t>
  </si>
  <si>
    <t>IEC/BCC activities under NPCB</t>
  </si>
  <si>
    <t>11.14.1</t>
  </si>
  <si>
    <t>B.10.6.11</t>
  </si>
  <si>
    <t>B.10.6.12</t>
  </si>
  <si>
    <t>IEC/BCC activities under NMHP</t>
  </si>
  <si>
    <t>11.15.1</t>
  </si>
  <si>
    <t>B.10.6.12.a</t>
  </si>
  <si>
    <t>Translation of IEC material and distribution</t>
  </si>
  <si>
    <t>11.15.2</t>
  </si>
  <si>
    <t>B.10.6.12.b</t>
  </si>
  <si>
    <t>Awareness generation activities in the community, schools, workplaces with community involvement</t>
  </si>
  <si>
    <t>IEC/BCC activities under NPHCE</t>
  </si>
  <si>
    <t>11.16.1</t>
  </si>
  <si>
    <t>B.10.6.13</t>
  </si>
  <si>
    <t>IEC/BCC activities under NTCP</t>
  </si>
  <si>
    <t>B.10.6.14</t>
  </si>
  <si>
    <t>IEC/BCC activities under NPCDCS</t>
  </si>
  <si>
    <t>11.18.1</t>
  </si>
  <si>
    <t>IEC/BCC for State NCD  Cell</t>
  </si>
  <si>
    <t>IEC/BCC for District  NCD Cell</t>
  </si>
  <si>
    <t>Other IEC/BCC activities</t>
  </si>
  <si>
    <t>11.19.1</t>
  </si>
  <si>
    <t>B.10.2</t>
  </si>
  <si>
    <t>Development of State Communication strategy (comprising of district plans)</t>
  </si>
  <si>
    <t>B.10.4</t>
  </si>
  <si>
    <t>Interpersonal Communication Tools for the frontline health workers</t>
  </si>
  <si>
    <t>B.10.5</t>
  </si>
  <si>
    <t>Targeting Naturally Occurring Gathering of People/ Health Mela</t>
  </si>
  <si>
    <t>B.10.6.1</t>
  </si>
  <si>
    <t>B.10.6.14.1</t>
  </si>
  <si>
    <t>B.10.6.14.1.b</t>
  </si>
  <si>
    <t>Places covered with hoardings/ bill boards/ signage etc.</t>
  </si>
  <si>
    <t>B.10.6.14.1.c</t>
  </si>
  <si>
    <t>Usage of Folk media such as Nukkad Natak/ mobile audio visual services/ local radio etc.</t>
  </si>
  <si>
    <t>B.10.6.14.3.a</t>
  </si>
  <si>
    <t>Development of IEC Material</t>
  </si>
  <si>
    <t>B.10.6.14.3.b</t>
  </si>
  <si>
    <t>State-level IEC Campaigns/Other IEC Campaigns</t>
  </si>
  <si>
    <t>Annexure for Printing</t>
  </si>
  <si>
    <t>Printing activities under MH</t>
  </si>
  <si>
    <t>12.1.1</t>
  </si>
  <si>
    <t>Printing of MDR formats</t>
  </si>
  <si>
    <t>12.1.2</t>
  </si>
  <si>
    <t>B.10.7.1</t>
  </si>
  <si>
    <t>Printing of MCP cards,  safe motherhood booklets  etc.</t>
  </si>
  <si>
    <t>12.1.3</t>
  </si>
  <si>
    <t>Printing activities under CH</t>
  </si>
  <si>
    <t>12.2.1</t>
  </si>
  <si>
    <t>12.2.2</t>
  </si>
  <si>
    <t>12.2.3</t>
  </si>
  <si>
    <t>12.2.4</t>
  </si>
  <si>
    <t>Printing of Child Death Review formats</t>
  </si>
  <si>
    <t>12.2.5</t>
  </si>
  <si>
    <t>B.10.7.4.1</t>
  </si>
  <si>
    <t>Printing of compliance cards and reporting formats for National Iron Plus Initiative-for 6-59 months  age group and for 5-10 years age group</t>
  </si>
  <si>
    <t>12.2.6</t>
  </si>
  <si>
    <t>B.10.7.4.7</t>
  </si>
  <si>
    <t>Printing of IEC materials and reporting formats etc.  for National Deworming Day</t>
  </si>
  <si>
    <t>12.2.7</t>
  </si>
  <si>
    <t>B.10.7.4.8</t>
  </si>
  <si>
    <t>Printing of IEC Materials and monitoring formats for IDCF</t>
  </si>
  <si>
    <t>12.2.8</t>
  </si>
  <si>
    <t>B.10.7.4.9</t>
  </si>
  <si>
    <t>Printing cost of IEC materials, monitoring forms etc. for intensification of school health activities</t>
  </si>
  <si>
    <t>12.2.9</t>
  </si>
  <si>
    <t>Printing activities under FP</t>
  </si>
  <si>
    <t>12.3.1</t>
  </si>
  <si>
    <t>Dissemination of FP manuals and guidelines</t>
  </si>
  <si>
    <t>12.3.2</t>
  </si>
  <si>
    <t xml:space="preserve">Printing for Mission Parivar Vikas Campaign </t>
  </si>
  <si>
    <t>12.3.3</t>
  </si>
  <si>
    <t>A.3.5.6.1</t>
  </si>
  <si>
    <t>Printing of FP Manuals, Guidelines, etc.</t>
  </si>
  <si>
    <t>12.3.4</t>
  </si>
  <si>
    <t>B.10.7.3</t>
  </si>
  <si>
    <t>Printing of IUCD cards, MPA Card, FP manuals, guidelines etc.</t>
  </si>
  <si>
    <t>12.3.5</t>
  </si>
  <si>
    <t>Printing activities under AH</t>
  </si>
  <si>
    <t>12.4.1</t>
  </si>
  <si>
    <t>A.4.2.4</t>
  </si>
  <si>
    <t xml:space="preserve">PE Kit and PE Diary  </t>
  </si>
  <si>
    <t>12.4.2</t>
  </si>
  <si>
    <t>B.10.7.2</t>
  </si>
  <si>
    <t>12.4.3</t>
  </si>
  <si>
    <t>B.10.7.4.6</t>
  </si>
  <si>
    <t>12.4.4</t>
  </si>
  <si>
    <t>Printing activities under RBSK</t>
  </si>
  <si>
    <t>12.5.1</t>
  </si>
  <si>
    <t>A.5.1.1</t>
  </si>
  <si>
    <t>Prepare and disseminate guidelines for RBSK</t>
  </si>
  <si>
    <t>12.5.2</t>
  </si>
  <si>
    <t>A 5.3.1</t>
  </si>
  <si>
    <t xml:space="preserve">Training kits for teachers </t>
  </si>
  <si>
    <t>12.5.3</t>
  </si>
  <si>
    <t>A 5.3.2</t>
  </si>
  <si>
    <t>School Kits</t>
  </si>
  <si>
    <t>12.5.4</t>
  </si>
  <si>
    <t>B.10.7.4.3</t>
  </si>
  <si>
    <t>Printing of RBSK card and registers</t>
  </si>
  <si>
    <t>12.5.5</t>
  </si>
  <si>
    <t>B.10.7.4.4</t>
  </si>
  <si>
    <t>Printing cost for DEIC</t>
  </si>
  <si>
    <t>12.5.6</t>
  </si>
  <si>
    <t>Printing activities under Training</t>
  </si>
  <si>
    <t>12.6.1</t>
  </si>
  <si>
    <t>Duplication of training materials</t>
  </si>
  <si>
    <t>12.6.2</t>
  </si>
  <si>
    <t>Printing activities under ASHA</t>
  </si>
  <si>
    <t>12.7.1</t>
  </si>
  <si>
    <t>Printing of ASHA diary</t>
  </si>
  <si>
    <t>12.7.2</t>
  </si>
  <si>
    <t>12.8.1</t>
  </si>
  <si>
    <t>Printing of  cards for screening of  children for hemoglobinopathies</t>
  </si>
  <si>
    <t>12.8.2</t>
  </si>
  <si>
    <t>Printing activities under HMIS/MCTS</t>
  </si>
  <si>
    <t>12.9.1</t>
  </si>
  <si>
    <t>B15.3.1.6</t>
  </si>
  <si>
    <t xml:space="preserve">Printing of HMIS Formats </t>
  </si>
  <si>
    <t>12.9.2</t>
  </si>
  <si>
    <t>B15.3.2.1</t>
  </si>
  <si>
    <t xml:space="preserve">Printing of RCH Registers </t>
  </si>
  <si>
    <t>12.9.3</t>
  </si>
  <si>
    <t>B15.3.2.2</t>
  </si>
  <si>
    <t>Printing of MCTS follow-up formats/ services due list/ work plan</t>
  </si>
  <si>
    <t>12.9.4</t>
  </si>
  <si>
    <t>Printing activities under Immunization</t>
  </si>
  <si>
    <t>12.10.1</t>
  </si>
  <si>
    <t>B.10.7.4.10</t>
  </si>
  <si>
    <t>Printing and dissemination of Immunization cards, tally sheets, monitoring forms etc.</t>
  </si>
  <si>
    <t>12.10.2</t>
  </si>
  <si>
    <t>Printing activities under NVBDCP</t>
  </si>
  <si>
    <t>12.11.1</t>
  </si>
  <si>
    <t>F.1.4.a</t>
  </si>
  <si>
    <t>Printing of forms/registers for Lymphatic Filariasis</t>
  </si>
  <si>
    <t>12.11.2</t>
  </si>
  <si>
    <t>F.2.1.g</t>
  </si>
  <si>
    <t>Communication Material and Publications (CMP) - GFATM</t>
  </si>
  <si>
    <t>NVBDCP - GFATM</t>
  </si>
  <si>
    <t>12.11.3</t>
  </si>
  <si>
    <t>Printing activities under NLEP</t>
  </si>
  <si>
    <t>12.12.1</t>
  </si>
  <si>
    <t>G.1.4</t>
  </si>
  <si>
    <t>Printing works</t>
  </si>
  <si>
    <t>12.13.1</t>
  </si>
  <si>
    <t>Printing (ACSM)</t>
  </si>
  <si>
    <t>12.13.2</t>
  </si>
  <si>
    <t>H.13</t>
  </si>
  <si>
    <t>Printing activities under NTCP</t>
  </si>
  <si>
    <t>12.14.1</t>
  </si>
  <si>
    <t>B.10.7.4.11</t>
  </si>
  <si>
    <t>Printing of Challan Books under NTCP</t>
  </si>
  <si>
    <t>12.14.2</t>
  </si>
  <si>
    <t>Printing activities under NPCDCS</t>
  </si>
  <si>
    <t>12.15.1</t>
  </si>
  <si>
    <t>O.2.2.1.8.i</t>
  </si>
  <si>
    <t>Patient referral cards at PHC Level</t>
  </si>
  <si>
    <t>12.15.2</t>
  </si>
  <si>
    <t>O.2.2.1.8.ii</t>
  </si>
  <si>
    <t>Patient referral cards at Sub-centre level</t>
  </si>
  <si>
    <t>12.15.3</t>
  </si>
  <si>
    <t>12.16.1</t>
  </si>
  <si>
    <t>B.10.6.14.2</t>
  </si>
  <si>
    <t>B2</t>
  </si>
  <si>
    <t>B2.1</t>
  </si>
  <si>
    <t xml:space="preserve">District Hospitals </t>
  </si>
  <si>
    <t>B2.2</t>
  </si>
  <si>
    <t>B2.3</t>
  </si>
  <si>
    <t>B2.4</t>
  </si>
  <si>
    <t>B2.5</t>
  </si>
  <si>
    <t>B2.6</t>
  </si>
  <si>
    <t>VHSC</t>
  </si>
  <si>
    <t>B2.7</t>
  </si>
  <si>
    <t>Annexure for Procurement</t>
  </si>
  <si>
    <t>B.16.1</t>
  </si>
  <si>
    <t>Procurement of Equipment</t>
  </si>
  <si>
    <t>6.1.1</t>
  </si>
  <si>
    <t>6.1.1.1</t>
  </si>
  <si>
    <t>B16.1.1</t>
  </si>
  <si>
    <t>MVA /EVA for Safe Abortion services</t>
  </si>
  <si>
    <t>B16.1.1.3</t>
  </si>
  <si>
    <t>Any other equipment (please specify)</t>
  </si>
  <si>
    <t>6.1.1.2</t>
  </si>
  <si>
    <t>B16.1.2</t>
  </si>
  <si>
    <t>B16.1.2.1</t>
  </si>
  <si>
    <t>B16.1.2.2</t>
  </si>
  <si>
    <t>6.1.1.3</t>
  </si>
  <si>
    <t>B16.1.3</t>
  </si>
  <si>
    <t>B16.1.3.1</t>
  </si>
  <si>
    <t>NSV kits</t>
  </si>
  <si>
    <t>B16.1.3.2</t>
  </si>
  <si>
    <t>IUCD kits</t>
  </si>
  <si>
    <t>B16.1.3.3</t>
  </si>
  <si>
    <t>minilap kits</t>
  </si>
  <si>
    <t>B16.1.3.4</t>
  </si>
  <si>
    <t>laparoscopes</t>
  </si>
  <si>
    <t>B16.1.3.5</t>
  </si>
  <si>
    <t>PPIUCD forceps</t>
  </si>
  <si>
    <t>Nayi Pehl Kit</t>
  </si>
  <si>
    <t>B16.1.3.6</t>
  </si>
  <si>
    <t>6.1.1.4</t>
  </si>
  <si>
    <t>B16.1.6</t>
  </si>
  <si>
    <t>B16.1.6.1</t>
  </si>
  <si>
    <t>B16.1.6.2</t>
  </si>
  <si>
    <t>6.1.1.5</t>
  </si>
  <si>
    <t>B16.1.6.3</t>
  </si>
  <si>
    <t>B16.1.6.3.1</t>
  </si>
  <si>
    <t xml:space="preserve">Equipment for Mobile health teams </t>
  </si>
  <si>
    <t>B16.1.6.3.2</t>
  </si>
  <si>
    <t xml:space="preserve">Equipment for DEIC </t>
  </si>
  <si>
    <t>B16.1.6.3.3</t>
  </si>
  <si>
    <t>Laptop for mobile health teams</t>
  </si>
  <si>
    <t>B16.1.6.3.4</t>
  </si>
  <si>
    <t>Desktop for DEIC</t>
  </si>
  <si>
    <t>6.1.1.6</t>
  </si>
  <si>
    <t>B16.1.7</t>
  </si>
  <si>
    <t>B3.3</t>
  </si>
  <si>
    <t>Equipment for Rollout of B.Sc. (Community Health)</t>
  </si>
  <si>
    <t>6.1.1.7</t>
  </si>
  <si>
    <t>B16.1.8</t>
  </si>
  <si>
    <t>6.1.1.8</t>
  </si>
  <si>
    <t>B16.1.1.1</t>
  </si>
  <si>
    <t>6.1.1.9</t>
  </si>
  <si>
    <t>B16.1.4</t>
  </si>
  <si>
    <t>Procurement of equipment: IMEP</t>
  </si>
  <si>
    <t>C.1.o</t>
  </si>
  <si>
    <t>Hub Cutter</t>
  </si>
  <si>
    <t>6.1.1.10</t>
  </si>
  <si>
    <t>B.25.2.1.a</t>
  </si>
  <si>
    <t>6.1.1.11</t>
  </si>
  <si>
    <t>Dental Chair, Equipment</t>
  </si>
  <si>
    <t>6.1.1.12</t>
  </si>
  <si>
    <t>Equipment</t>
  </si>
  <si>
    <t>6.1.1.13</t>
  </si>
  <si>
    <t>B.28.2</t>
  </si>
  <si>
    <t>6.1.1.14</t>
  </si>
  <si>
    <t>E.3.1</t>
  </si>
  <si>
    <t xml:space="preserve">Non-recurring costs on account of equipment for District Public Health Labs requiring strengthening. </t>
  </si>
  <si>
    <t>6.1.1.15</t>
  </si>
  <si>
    <t>F.2.1.c</t>
  </si>
  <si>
    <t>6.1.1.16</t>
  </si>
  <si>
    <t>6.1.1.17</t>
  </si>
  <si>
    <t>H.17</t>
  </si>
  <si>
    <t>6.1.1.18</t>
  </si>
  <si>
    <t>J.1.4</t>
  </si>
  <si>
    <t>6.1.1.19</t>
  </si>
  <si>
    <t>B16.1.10</t>
  </si>
  <si>
    <t>K.1.1.1</t>
  </si>
  <si>
    <t>K.1.4.1</t>
  </si>
  <si>
    <t>K.2.1.2</t>
  </si>
  <si>
    <t>K.2.2</t>
  </si>
  <si>
    <t>K.2.3</t>
  </si>
  <si>
    <t>6.1.1.20</t>
  </si>
  <si>
    <t>M.1.5.1</t>
  </si>
  <si>
    <t>Non-recurring: Equipment for DTCC</t>
  </si>
  <si>
    <t>M.2.3.1</t>
  </si>
  <si>
    <t>Non-recurring: Equipment for TCC</t>
  </si>
  <si>
    <t>6.1.1.21</t>
  </si>
  <si>
    <t>O1.1.2.1</t>
  </si>
  <si>
    <t>Non-recurring: Equipping Cardiac Care Unit (CCU)/ICU</t>
  </si>
  <si>
    <t>O1.1.2.2</t>
  </si>
  <si>
    <t>O1.1.3.2</t>
  </si>
  <si>
    <t>Non-recurring: Equipment at District NCD clinic</t>
  </si>
  <si>
    <t>O1.1.4.1</t>
  </si>
  <si>
    <t>Non-recurring: Equipment at CHC NCD clinic</t>
  </si>
  <si>
    <t>6.1.1.22</t>
  </si>
  <si>
    <t>6.1.2</t>
  </si>
  <si>
    <t>6.1.2.1</t>
  </si>
  <si>
    <t>6.1.2.2</t>
  </si>
  <si>
    <t>F.1.3.f</t>
  </si>
  <si>
    <t>Fogging Machine</t>
  </si>
  <si>
    <t>NVBDCP - AES/JE</t>
  </si>
  <si>
    <t>F.1.5.a</t>
  </si>
  <si>
    <t>Spray Pumps &amp; accessories</t>
  </si>
  <si>
    <t>NVBDCP - KalaAzar</t>
  </si>
  <si>
    <t>F.2.1.f</t>
  </si>
  <si>
    <t>Non-Health Equipment (NHP) - GFATM</t>
  </si>
  <si>
    <t>6.1.2.3</t>
  </si>
  <si>
    <t>G.2.1</t>
  </si>
  <si>
    <t>MCR</t>
  </si>
  <si>
    <t>G.2.2</t>
  </si>
  <si>
    <t>Aids/Appliance</t>
  </si>
  <si>
    <t>6.1.2.4</t>
  </si>
  <si>
    <t>Non-recurring GIA: Furniture of Geriatrics Unit with 10 beds and OPD facilities at DH</t>
  </si>
  <si>
    <t>6.1.2.5</t>
  </si>
  <si>
    <t>Procurement of any other equipment</t>
  </si>
  <si>
    <t>6.1.3</t>
  </si>
  <si>
    <t>6.1.3.1</t>
  </si>
  <si>
    <t>A.3.4</t>
  </si>
  <si>
    <t>Repairs of Laparoscopes</t>
  </si>
  <si>
    <t>E.3.3</t>
  </si>
  <si>
    <t>Equipment AMC cost (DPHL)</t>
  </si>
  <si>
    <t>H.5</t>
  </si>
  <si>
    <t>Equipment Maintenance</t>
  </si>
  <si>
    <t>I.1.8</t>
  </si>
  <si>
    <t>6.1.3.2</t>
  </si>
  <si>
    <t>B.16.2</t>
  </si>
  <si>
    <t xml:space="preserve">Procurement of Drugs and supplies </t>
  </si>
  <si>
    <t>6.2.1</t>
  </si>
  <si>
    <t>B.16.2.1</t>
  </si>
  <si>
    <t>Drugs &amp; supplies for MH</t>
  </si>
  <si>
    <t>6.2.1.1</t>
  </si>
  <si>
    <t>B.16.2.1.1</t>
  </si>
  <si>
    <t xml:space="preserve">RTI /STI drugs and consumables </t>
  </si>
  <si>
    <t>6.2.1.2</t>
  </si>
  <si>
    <t>B.16.2.1.2</t>
  </si>
  <si>
    <t>6.2.1.3</t>
  </si>
  <si>
    <t>B.16.2.1.4</t>
  </si>
  <si>
    <t>RPR Kits</t>
  </si>
  <si>
    <t>6.2.1.4</t>
  </si>
  <si>
    <t>B.16.2.1.5</t>
  </si>
  <si>
    <t>Whole blood finger prick test for HIV</t>
  </si>
  <si>
    <t>6.2.1.5</t>
  </si>
  <si>
    <t>B.16.2.6.4.a</t>
  </si>
  <si>
    <t xml:space="preserve">IFA tablets for non-pregnant &amp; non-lactating women in Reproductive Age (20-49 years) </t>
  </si>
  <si>
    <t>6.2.1.6</t>
  </si>
  <si>
    <t>B.16.2.6.4.b</t>
  </si>
  <si>
    <t xml:space="preserve">Albendazole Tablets for non-pregnant &amp; non-lactating women in Reproductive Age (20-49 years) </t>
  </si>
  <si>
    <t>6.2.1.7</t>
  </si>
  <si>
    <t>B.16.2.1.3.1</t>
  </si>
  <si>
    <t>JSSK drugs and consumables</t>
  </si>
  <si>
    <t>B.16.2.6.5.a</t>
  </si>
  <si>
    <t>IFA tablets for Pregnant &amp; Lactating Mothers</t>
  </si>
  <si>
    <t>B.16.2.6.5.b</t>
  </si>
  <si>
    <t>Folic Acid Tablets (400 mcg) for Pregnant &amp; Lactating Mothers</t>
  </si>
  <si>
    <t>Other JSSK drugs &amp; consumables</t>
  </si>
  <si>
    <t>6.2.1.8</t>
  </si>
  <si>
    <t>B.16.2.1.3</t>
  </si>
  <si>
    <t>Any other Drugs &amp; Supplies (Please specify)</t>
  </si>
  <si>
    <t>6.2.2</t>
  </si>
  <si>
    <t>B.16.2.2</t>
  </si>
  <si>
    <t>Drugs &amp; supplies for CH</t>
  </si>
  <si>
    <t>6.2.2.1</t>
  </si>
  <si>
    <t>B.16.2.2.1</t>
  </si>
  <si>
    <t>6.2.2.2</t>
  </si>
  <si>
    <t>B.16.2.6</t>
  </si>
  <si>
    <t>Drugs &amp; Supplies for NIPI and National Deworming Day</t>
  </si>
  <si>
    <t>6.2.2.3</t>
  </si>
  <si>
    <t>B.16.2.6.1.a</t>
  </si>
  <si>
    <t>IFA syrups (with auto dispenser) for children (6-60months)</t>
  </si>
  <si>
    <t>6.2.2.4</t>
  </si>
  <si>
    <t>B.16.2.6.1.b</t>
  </si>
  <si>
    <t>Albendazole Tablets for children (6-60months)</t>
  </si>
  <si>
    <t>6.2.2.5</t>
  </si>
  <si>
    <t>B.16.2.6.2.a</t>
  </si>
  <si>
    <t>6.2.2.6</t>
  </si>
  <si>
    <t>B.16.2.6.2.b</t>
  </si>
  <si>
    <t>6.2.2.7</t>
  </si>
  <si>
    <t>B.16.2.2.2</t>
  </si>
  <si>
    <t>Vitamin A syrup</t>
  </si>
  <si>
    <t>6.2.2.8</t>
  </si>
  <si>
    <t>Drugs for Management of Diarrhoea &amp; ARI &amp; micronutrient malnutrition</t>
  </si>
  <si>
    <t>B.16.2.2.3</t>
  </si>
  <si>
    <t>ORS</t>
  </si>
  <si>
    <t>B.16.2.2.4</t>
  </si>
  <si>
    <t>Zinc</t>
  </si>
  <si>
    <t>Others (please specify)</t>
  </si>
  <si>
    <t>6.2.2.9</t>
  </si>
  <si>
    <t>6.2.3</t>
  </si>
  <si>
    <t>B.16.2.3</t>
  </si>
  <si>
    <t>Drugs &amp; supplies for FP</t>
  </si>
  <si>
    <t>6.2.3.1</t>
  </si>
  <si>
    <t>6.2.3.2</t>
  </si>
  <si>
    <t>6.2.4</t>
  </si>
  <si>
    <t>Drugs &amp; supplies for AH</t>
  </si>
  <si>
    <t>6.2.4.1</t>
  </si>
  <si>
    <t>B.16.2.6.3.a</t>
  </si>
  <si>
    <t>6.2.4.2</t>
  </si>
  <si>
    <t>B.16.2.6.3.b</t>
  </si>
  <si>
    <t>6.2.4.3</t>
  </si>
  <si>
    <t>B.16.2.9.1</t>
  </si>
  <si>
    <t>Sanitary napkins procurement</t>
  </si>
  <si>
    <t>6.2.4.4</t>
  </si>
  <si>
    <t>6.2.5</t>
  </si>
  <si>
    <t>Drugs &amp; supplies for RBSK</t>
  </si>
  <si>
    <t>6.2.5.1</t>
  </si>
  <si>
    <t>B.16.2.7.1</t>
  </si>
  <si>
    <t>Medicine for Mobile health team</t>
  </si>
  <si>
    <t>6.2.5.2</t>
  </si>
  <si>
    <t>6.2.6</t>
  </si>
  <si>
    <t>Drugs &amp; supplies for ASHA</t>
  </si>
  <si>
    <t>6.2.6.1</t>
  </si>
  <si>
    <t>B.16.2.10.1</t>
  </si>
  <si>
    <t>New ASHA Drug Kits</t>
  </si>
  <si>
    <t>6.2.6.2</t>
  </si>
  <si>
    <t>B.16.2.10.2</t>
  </si>
  <si>
    <t>Replenishment of ASHA drug kits</t>
  </si>
  <si>
    <t>6.2.6.3</t>
  </si>
  <si>
    <t>B.16.2.10.3.1</t>
  </si>
  <si>
    <t>New ASHA HBNC Kits</t>
  </si>
  <si>
    <t>6.2.6.4</t>
  </si>
  <si>
    <t>B.16.2.10.3.1.2</t>
  </si>
  <si>
    <t>6.2.7</t>
  </si>
  <si>
    <t>6.2.7.1</t>
  </si>
  <si>
    <t>B.16.2.11.1</t>
  </si>
  <si>
    <t>6.2.8</t>
  </si>
  <si>
    <t>B.16.2.4</t>
  </si>
  <si>
    <t>Supplies for IMEP</t>
  </si>
  <si>
    <t>6.2.8.1</t>
  </si>
  <si>
    <t>C.1.n</t>
  </si>
  <si>
    <t>Red/Black plastic bags etc.</t>
  </si>
  <si>
    <t>6.2.8.2</t>
  </si>
  <si>
    <t>Bleach/Hypochlorite solution/ Twin bucket</t>
  </si>
  <si>
    <t>6.2.8.3</t>
  </si>
  <si>
    <t>Any other supplies (please specify)</t>
  </si>
  <si>
    <t>6.2.9</t>
  </si>
  <si>
    <t>B.16.2.8</t>
  </si>
  <si>
    <t>Drugs &amp; supplies for AYUSH</t>
  </si>
  <si>
    <t>6.2.9.1</t>
  </si>
  <si>
    <t>6.2.9.2</t>
  </si>
  <si>
    <t>6.2.10</t>
  </si>
  <si>
    <t>Supplies for NOHP</t>
  </si>
  <si>
    <t>6.2.10.1</t>
  </si>
  <si>
    <t>B.16.2.11.2</t>
  </si>
  <si>
    <t>Consumables for NOHP</t>
  </si>
  <si>
    <t>6.2.11</t>
  </si>
  <si>
    <t>Supplies for NIDDCP</t>
  </si>
  <si>
    <t>6.2.11.1</t>
  </si>
  <si>
    <t>D.4</t>
  </si>
  <si>
    <t>6.2.11.2</t>
  </si>
  <si>
    <t>6.2.12</t>
  </si>
  <si>
    <t>Drugs &amp; supplies for NVBDCP</t>
  </si>
  <si>
    <t>6.2.12.1</t>
  </si>
  <si>
    <t>B.16.2.11.3.a</t>
  </si>
  <si>
    <t>Chloroquine phosphate tablets</t>
  </si>
  <si>
    <t>6.2.12.2</t>
  </si>
  <si>
    <t>B.16.2.11.3.b</t>
  </si>
  <si>
    <t>Primaquine tablets 2.5 mg</t>
  </si>
  <si>
    <t>6.2.12.3</t>
  </si>
  <si>
    <t>B.16.2.11.3.c</t>
  </si>
  <si>
    <t>Primaquine tablets 7.5 mg</t>
  </si>
  <si>
    <t>6.2.12.4</t>
  </si>
  <si>
    <t>B.16.2.11.3.d</t>
  </si>
  <si>
    <t>Quinine sulphate tablets</t>
  </si>
  <si>
    <t>6.2.12.5</t>
  </si>
  <si>
    <t>B.16.2.11.3.e</t>
  </si>
  <si>
    <t>6.2.12.6</t>
  </si>
  <si>
    <t>B.16.2.11.3.f</t>
  </si>
  <si>
    <t>DEC 100 mg tablets</t>
  </si>
  <si>
    <t>6.2.12.7</t>
  </si>
  <si>
    <t>B.16.2.11.3.g</t>
  </si>
  <si>
    <t>Albendazole 400 mg tablets</t>
  </si>
  <si>
    <t>6.2.12.8</t>
  </si>
  <si>
    <t>B.16.2.11.3.h</t>
  </si>
  <si>
    <t>Dengue NS1 antigen kit</t>
  </si>
  <si>
    <t>6.2.12.9</t>
  </si>
  <si>
    <t>B.16.2.11.3.i</t>
  </si>
  <si>
    <t>Temephos, Bti (AS) / Bti (wp) (for polluted &amp; non polluted water)</t>
  </si>
  <si>
    <t>6.2.12.10</t>
  </si>
  <si>
    <t>B.16.2.11.3.j</t>
  </si>
  <si>
    <t>Pyrethrum extract 2% for spare spray</t>
  </si>
  <si>
    <t>6.2.12.11</t>
  </si>
  <si>
    <t>B.16.2.11.3.k</t>
  </si>
  <si>
    <t>ACT ( For Non Project states)</t>
  </si>
  <si>
    <t>6.2.12.12</t>
  </si>
  <si>
    <t>B.16.2.11.3.l</t>
  </si>
  <si>
    <t>RDT Malaria – bi-valent (For Non Project states)</t>
  </si>
  <si>
    <t>6.2.12.13</t>
  </si>
  <si>
    <t>F.1.2.b</t>
  </si>
  <si>
    <t>Test kits (Nos.) to be supplied by GoI (kindly indicate numbers of ELISA based NS1 kit and Mac ELISA Kits required separately)</t>
  </si>
  <si>
    <t>6.2.12.14</t>
  </si>
  <si>
    <t>F.1.3.e</t>
  </si>
  <si>
    <t>6.2.12.15</t>
  </si>
  <si>
    <t>Payment to NIV towards JE kits at Head Quarter</t>
  </si>
  <si>
    <t>6.2.12.16</t>
  </si>
  <si>
    <t>6.2.12.17</t>
  </si>
  <si>
    <t>B.16.2.11.3.m</t>
  </si>
  <si>
    <t>Any other drugs &amp; supplies (please specify)</t>
  </si>
  <si>
    <t>6.2.13</t>
  </si>
  <si>
    <t>Drugs &amp; supplies for NLEP</t>
  </si>
  <si>
    <t>6.2.13.1</t>
  </si>
  <si>
    <t>Supportive drugs, lab. Reagents</t>
  </si>
  <si>
    <t>6.2.13.2</t>
  </si>
  <si>
    <t>6.2.14</t>
  </si>
  <si>
    <t>6.2.14.1</t>
  </si>
  <si>
    <t>H.2</t>
  </si>
  <si>
    <t>Laboratory Materials</t>
  </si>
  <si>
    <t>6.2.14.2</t>
  </si>
  <si>
    <t>H.15</t>
  </si>
  <si>
    <t>6.2.14.3</t>
  </si>
  <si>
    <t>6.2.15</t>
  </si>
  <si>
    <t>B.16.2.11.4</t>
  </si>
  <si>
    <t>Drugs and supplies for NPCB</t>
  </si>
  <si>
    <t>6.2.15.1</t>
  </si>
  <si>
    <t>B.16.2.11.4.a</t>
  </si>
  <si>
    <t>6.2.15.2</t>
  </si>
  <si>
    <t>6.2.16</t>
  </si>
  <si>
    <t>B.16.2.11.5</t>
  </si>
  <si>
    <t>Drugs and supplies for NMHP</t>
  </si>
  <si>
    <t>6.2.16.1</t>
  </si>
  <si>
    <t>6.2.16.2</t>
  </si>
  <si>
    <t>6.2.17</t>
  </si>
  <si>
    <t>B.16.2.11.6</t>
  </si>
  <si>
    <t>Drugs and supplies for NPHCE</t>
  </si>
  <si>
    <t>6.2.17.1</t>
  </si>
  <si>
    <t>6.2.17.2</t>
  </si>
  <si>
    <t>6.2.18</t>
  </si>
  <si>
    <t>Drugs and supplies for NTCP</t>
  </si>
  <si>
    <t>6.2.18.1</t>
  </si>
  <si>
    <t>B.16.2.11.7</t>
  </si>
  <si>
    <t>Procurement of medicine &amp; consumables for TCC under NTCP</t>
  </si>
  <si>
    <t>6.2.18.2</t>
  </si>
  <si>
    <t>6.2.19</t>
  </si>
  <si>
    <t>B.16.2.11.8</t>
  </si>
  <si>
    <t>Drugs &amp; Supplies for NPCDCS</t>
  </si>
  <si>
    <t>6.2.19.1</t>
  </si>
  <si>
    <t>B.16.2.11.8.a</t>
  </si>
  <si>
    <t>6.2.19.2</t>
  </si>
  <si>
    <t>B.16.2.11.8.b</t>
  </si>
  <si>
    <t>6.2.19.3</t>
  </si>
  <si>
    <t>B.16.2.11.8.c</t>
  </si>
  <si>
    <t>6.2.19.4</t>
  </si>
  <si>
    <t>B.16.2.11.8.d</t>
  </si>
  <si>
    <t>6.2.19.5</t>
  </si>
  <si>
    <t>B.16.2.11.8.e</t>
  </si>
  <si>
    <t>6.2.20</t>
  </si>
  <si>
    <t>B.16.2.5</t>
  </si>
  <si>
    <t>Free drug services</t>
  </si>
  <si>
    <t>6.2.20.1</t>
  </si>
  <si>
    <t>B.16.2.5.1</t>
  </si>
  <si>
    <t>6.2.20.2</t>
  </si>
  <si>
    <t>B.16.2.5.2</t>
  </si>
  <si>
    <t>Other Free Drug Services (State not opted 16.2.5.1)</t>
  </si>
  <si>
    <t>6.3.1</t>
  </si>
  <si>
    <t>H.16</t>
  </si>
  <si>
    <t>B.16.3</t>
  </si>
  <si>
    <t>National Free Diagnostic services</t>
  </si>
  <si>
    <t>6.4.1</t>
  </si>
  <si>
    <t>B.16.3.1</t>
  </si>
  <si>
    <t>Free Pathological services</t>
  </si>
  <si>
    <t>6.4.2</t>
  </si>
  <si>
    <t>B.16.3.2</t>
  </si>
  <si>
    <t>Free Radiological services</t>
  </si>
  <si>
    <t>6.4.3</t>
  </si>
  <si>
    <t>A.1.6.1</t>
  </si>
  <si>
    <t>Free Diagnostics for Pregnant women under JSSK</t>
  </si>
  <si>
    <t>A.2.9.1</t>
  </si>
  <si>
    <t>Free Diagnostics for Sick infants under JSSK</t>
  </si>
  <si>
    <t>F.1.3.a</t>
  </si>
  <si>
    <t>Strengthening of Sentinel sites which will include Diagnostics and Case Management, supply of kits by GoI</t>
  </si>
  <si>
    <t>Annexure for Service Delivery (Facility Based)</t>
  </si>
  <si>
    <t>1.1.1</t>
  </si>
  <si>
    <t>1.1.1.1</t>
  </si>
  <si>
    <t>A.1.5.4</t>
  </si>
  <si>
    <t>PMSMA activities at State/ District level</t>
  </si>
  <si>
    <t>1.1.1.2</t>
  </si>
  <si>
    <t>A.1.6.3</t>
  </si>
  <si>
    <t>1.1.1.3</t>
  </si>
  <si>
    <t>A.1.6.2</t>
  </si>
  <si>
    <t>Blood Transfusion for JSSK Beneficiaries</t>
  </si>
  <si>
    <t>1.1.1.4</t>
  </si>
  <si>
    <t>A.1.6.5.1</t>
  </si>
  <si>
    <t>1.1.1.5</t>
  </si>
  <si>
    <t>1.1.2</t>
  </si>
  <si>
    <t>Strengthening CH Services</t>
  </si>
  <si>
    <t>1.1.2.1</t>
  </si>
  <si>
    <t>1.1.2.2</t>
  </si>
  <si>
    <t>1.1.2.3</t>
  </si>
  <si>
    <t>1.1.3</t>
  </si>
  <si>
    <t>Strengthening FP Services</t>
  </si>
  <si>
    <t>1.1.3.1</t>
  </si>
  <si>
    <t>A.3.1</t>
  </si>
  <si>
    <t>Terminal/Limiting Methods</t>
  </si>
  <si>
    <t>A.3.1.1</t>
  </si>
  <si>
    <t>Female sterilization fixed day services</t>
  </si>
  <si>
    <t>A.3.1.2</t>
  </si>
  <si>
    <t>Male Sterilization fixed day services</t>
  </si>
  <si>
    <t>1.1.3.2</t>
  </si>
  <si>
    <t>A.3.2</t>
  </si>
  <si>
    <t>Spacing Methods</t>
  </si>
  <si>
    <t>A.3.2.1</t>
  </si>
  <si>
    <t>IUCD fixed day services</t>
  </si>
  <si>
    <t>Other activities (demand generation, strengthening service delivery etc.)</t>
  </si>
  <si>
    <t>1.1.4</t>
  </si>
  <si>
    <t>Strengthening AH Services</t>
  </si>
  <si>
    <t>1.1.4.1</t>
  </si>
  <si>
    <t>A.4.2.3</t>
  </si>
  <si>
    <t xml:space="preserve">Organising Adolescent Friendly Club  meetings at subcentre level </t>
  </si>
  <si>
    <t>1.1.4.2</t>
  </si>
  <si>
    <t>1.1.5</t>
  </si>
  <si>
    <t>Strengthening DCP Services</t>
  </si>
  <si>
    <t>1.1.5.1</t>
  </si>
  <si>
    <t>F.1.2.e</t>
  </si>
  <si>
    <t>Dengue &amp; Chikungunya: Case management</t>
  </si>
  <si>
    <t>1.1.5.2</t>
  </si>
  <si>
    <t>F.1.3.i</t>
  </si>
  <si>
    <t>Acute Encephalitis Syndrome (AES)/ Japanese Encephalitis (JE): Rehabilitation Setup for selected endemic districts</t>
  </si>
  <si>
    <t>1.1.5.3</t>
  </si>
  <si>
    <t>Lymphatic Filariasis: Morbidity Management</t>
  </si>
  <si>
    <t>1.1.5.4</t>
  </si>
  <si>
    <t>G.2.3</t>
  </si>
  <si>
    <t>Welfare  allowance to patients for RCS</t>
  </si>
  <si>
    <t>1.1.5.6</t>
  </si>
  <si>
    <t>G.2.4</t>
  </si>
  <si>
    <t>Support to govt. institutions for RCS</t>
  </si>
  <si>
    <t>1.1.6</t>
  </si>
  <si>
    <t>Strengthening NCD Services</t>
  </si>
  <si>
    <t>1.1.6.1</t>
  </si>
  <si>
    <t>1.1.6.2</t>
  </si>
  <si>
    <t>O.2.8.2</t>
  </si>
  <si>
    <t>Integration with AYUSH at District NCD Cell / Clinic</t>
  </si>
  <si>
    <t>1.1.6.3</t>
  </si>
  <si>
    <t>O.2.8.3</t>
  </si>
  <si>
    <t>Integration with AYUSH at CHC NCD Clinic</t>
  </si>
  <si>
    <t>1.1.6.4</t>
  </si>
  <si>
    <t>B.29.1.6</t>
  </si>
  <si>
    <t>Recurring Grant-in-aid (For newly selected district): Medical Management including Treatment, surgery and rehab</t>
  </si>
  <si>
    <t>1.1.6.5</t>
  </si>
  <si>
    <t>B.29.2.3</t>
  </si>
  <si>
    <t>Recurring Grant-in-aid (For ongoing selected district): Medical Management including Treatment, surgery and rehab</t>
  </si>
  <si>
    <t>1.1.6.6</t>
  </si>
  <si>
    <t>I.2.9</t>
  </si>
  <si>
    <t>1.1.7</t>
  </si>
  <si>
    <t>Strengthening Other Services</t>
  </si>
  <si>
    <t>1.1.7.1</t>
  </si>
  <si>
    <t>A.6.1</t>
  </si>
  <si>
    <t>Special plans for tribal areas</t>
  </si>
  <si>
    <t>1.1.7.2</t>
  </si>
  <si>
    <t>A.11.3</t>
  </si>
  <si>
    <t>LWE affected areas special plan</t>
  </si>
  <si>
    <t>1.1.7.3</t>
  </si>
  <si>
    <t>B14.3</t>
  </si>
  <si>
    <t>Transfusion support to patients with blood disorders  and for prevention programs</t>
  </si>
  <si>
    <t>1.1.7.4</t>
  </si>
  <si>
    <t>B18.1</t>
  </si>
  <si>
    <t>Universal Health Coverage (pilot)</t>
  </si>
  <si>
    <t>1.1.7.5</t>
  </si>
  <si>
    <t>B18.3</t>
  </si>
  <si>
    <t>Beneficiary Compensation under Janani Suraksha Yojana (JSY)</t>
  </si>
  <si>
    <t>1.2.1.1</t>
  </si>
  <si>
    <t>A.1.3.1</t>
  </si>
  <si>
    <t>Home deliveries</t>
  </si>
  <si>
    <t>1.2.1.2</t>
  </si>
  <si>
    <t>A.1.3.2</t>
  </si>
  <si>
    <t xml:space="preserve">Institutional deliveries </t>
  </si>
  <si>
    <t>A.1.3.2.a</t>
  </si>
  <si>
    <t>Rural</t>
  </si>
  <si>
    <t>A.1.3.2.b</t>
  </si>
  <si>
    <t>Urban</t>
  </si>
  <si>
    <t>A.1.3.2.c</t>
  </si>
  <si>
    <t>C-sections</t>
  </si>
  <si>
    <t>Beneficiary Compensation under FP Services</t>
  </si>
  <si>
    <t>1.2.2.1</t>
  </si>
  <si>
    <t>A.3.1.3</t>
  </si>
  <si>
    <t>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t>
  </si>
  <si>
    <t>A.3.1.4</t>
  </si>
  <si>
    <t>Compensation for male sterilization/NSV 
(Provide breakup for cases covered in public facility, private facility. 
Male sterilization done in MPV districts may also be budgeted in this head and the break up to be reflected)</t>
  </si>
  <si>
    <t>1.2.2.2</t>
  </si>
  <si>
    <t>A.3.7.3</t>
  </si>
  <si>
    <t>Injectable contraceptive incentive for beneficiaries</t>
  </si>
  <si>
    <t>1.2.2.3</t>
  </si>
  <si>
    <t>A.3.6</t>
  </si>
  <si>
    <t>Family Planning Indemnity Scheme</t>
  </si>
  <si>
    <t>1.2.3.1</t>
  </si>
  <si>
    <t>1.2.3.2</t>
  </si>
  <si>
    <t>1.3.1</t>
  </si>
  <si>
    <t>A.2.2.1</t>
  </si>
  <si>
    <t>A.2.2.2</t>
  </si>
  <si>
    <t>A.2.2.3</t>
  </si>
  <si>
    <t>A.4.1.3</t>
  </si>
  <si>
    <t>O.2.2.1.3/ O1.1.3.1</t>
  </si>
  <si>
    <t>O.2.2.1.4</t>
  </si>
  <si>
    <t>O.2.2.1.5</t>
  </si>
  <si>
    <t>O.2.2.1.7</t>
  </si>
  <si>
    <t>1.3.2</t>
  </si>
  <si>
    <t>Other operating expenses</t>
  </si>
  <si>
    <t>1.3.2.1</t>
  </si>
  <si>
    <t>B.23.1</t>
  </si>
  <si>
    <t>Power Back-up for blood bank/storage (ideally integrated power back up for facility)</t>
  </si>
  <si>
    <t>1.3.2.2</t>
  </si>
  <si>
    <t>B.29.1.3</t>
  </si>
  <si>
    <t>1.3.2.3</t>
  </si>
  <si>
    <t>B.29.2.2</t>
  </si>
  <si>
    <t>1.3.2.4</t>
  </si>
  <si>
    <t>C.1.m</t>
  </si>
  <si>
    <t>Consumables for computer including provision for internet access  for strengthening RI</t>
  </si>
  <si>
    <t>1.3.2.5</t>
  </si>
  <si>
    <t>Blood Services</t>
  </si>
  <si>
    <t>1.3.1.2</t>
  </si>
  <si>
    <t>1.3.1.3</t>
  </si>
  <si>
    <t>1.3.1.4</t>
  </si>
  <si>
    <t>1.3.1.5</t>
  </si>
  <si>
    <t>1.3.1.6</t>
  </si>
  <si>
    <t>1.3.1.8</t>
  </si>
  <si>
    <t>1.3.1.9</t>
  </si>
  <si>
    <t>1.3.1.10</t>
  </si>
  <si>
    <t>B16.1.1.2</t>
  </si>
  <si>
    <t>10.1.2</t>
  </si>
  <si>
    <t>9.5.6.2</t>
  </si>
  <si>
    <t>Abstract for NLEP</t>
  </si>
  <si>
    <t>Abstract for NMHP</t>
  </si>
  <si>
    <t>Abstract for NVBDCP</t>
  </si>
  <si>
    <t>Abstract for NPCDCS</t>
  </si>
  <si>
    <t>F.1.3.j</t>
  </si>
  <si>
    <t>ICU Establishment in Endemic District</t>
  </si>
  <si>
    <t>5.3.16</t>
  </si>
  <si>
    <t>Cardiac Care Unit (CCU/ ICU)</t>
  </si>
  <si>
    <t>9.5.23</t>
  </si>
  <si>
    <t>9.5.23.1</t>
  </si>
  <si>
    <t>9.5.23.2</t>
  </si>
  <si>
    <t>9.5.23.3</t>
  </si>
  <si>
    <t>9.5.24</t>
  </si>
  <si>
    <t>9.5.24.1</t>
  </si>
  <si>
    <t>9.5.25</t>
  </si>
  <si>
    <t>9.5.25.1</t>
  </si>
  <si>
    <t>9.5.26</t>
  </si>
  <si>
    <t>9.5.26.1</t>
  </si>
  <si>
    <t>9.5.26.2</t>
  </si>
  <si>
    <t>9.5.26.3</t>
  </si>
  <si>
    <t>9.5.27</t>
  </si>
  <si>
    <t>9.5.27.1</t>
  </si>
  <si>
    <t>9.5.27.2</t>
  </si>
  <si>
    <t>9.5.27.3</t>
  </si>
  <si>
    <t>Abstract for NPPC</t>
  </si>
  <si>
    <t>Abstract for ASHA</t>
  </si>
  <si>
    <t>Abstract for NTCP</t>
  </si>
  <si>
    <t>Abstract for NOHP</t>
  </si>
  <si>
    <t>Abstract for AYUSH</t>
  </si>
  <si>
    <t>Abstract for NIDDCP</t>
  </si>
  <si>
    <t>Abstract for IDSP</t>
  </si>
  <si>
    <t>Abstract for NPHCE</t>
  </si>
  <si>
    <t>Abstract for NPPCD</t>
  </si>
  <si>
    <t>Abstract for NPPCF</t>
  </si>
  <si>
    <t>Annexure for Service Delivery (Community Based)</t>
  </si>
  <si>
    <t>Operational Cost</t>
  </si>
  <si>
    <t>Programme Managers</t>
  </si>
  <si>
    <t>C.2.3</t>
  </si>
  <si>
    <t xml:space="preserve">Staff for civil / infrastructure work </t>
  </si>
  <si>
    <t>Programme Assistants</t>
  </si>
  <si>
    <t>Programme Coordinators</t>
  </si>
  <si>
    <t>MIS/ IT Staff</t>
  </si>
  <si>
    <t>H.12</t>
  </si>
  <si>
    <t>Supervisors</t>
  </si>
  <si>
    <t>Accounts Staff</t>
  </si>
  <si>
    <t>Salaries for Staff on Deputation (Please specify)</t>
  </si>
  <si>
    <t>B.21.1</t>
  </si>
  <si>
    <t>Staffs under SHSRC</t>
  </si>
  <si>
    <t>Data Entry Operation</t>
  </si>
  <si>
    <t>Support Staff (Kindly Specify)</t>
  </si>
  <si>
    <t>Programme Manager</t>
  </si>
  <si>
    <t xml:space="preserve">Support Staff </t>
  </si>
  <si>
    <t>Strengthening of Block PMU &amp; Facilities</t>
  </si>
  <si>
    <t>MIS/ Staff</t>
  </si>
  <si>
    <t>Annexure for Programme Management</t>
  </si>
  <si>
    <t>Programme Management Activities</t>
  </si>
  <si>
    <t>Planning</t>
  </si>
  <si>
    <t>Health Action Plans</t>
  </si>
  <si>
    <t>B7.1</t>
  </si>
  <si>
    <t>State</t>
  </si>
  <si>
    <t>B7.2</t>
  </si>
  <si>
    <t>B7.3</t>
  </si>
  <si>
    <t>Block</t>
  </si>
  <si>
    <t>A.5.1.2</t>
  </si>
  <si>
    <t>Prepare detailed operational plan for RBSK across districts (including cost of plan)</t>
  </si>
  <si>
    <t>A.11.1</t>
  </si>
  <si>
    <t>Planning, including mapping and co-ordination with other departments</t>
  </si>
  <si>
    <t>C.1.j</t>
  </si>
  <si>
    <t>C.1.k</t>
  </si>
  <si>
    <t>For consolidation of micro plans at block level</t>
  </si>
  <si>
    <t>Preparatory phase : Development of district plan</t>
  </si>
  <si>
    <t>Meetings, Workshops and Conferences</t>
  </si>
  <si>
    <t>Provision for State &amp; District level (Meetings/ review meetings)</t>
  </si>
  <si>
    <t>A.3.5.2</t>
  </si>
  <si>
    <t xml:space="preserve">Review meetings/ workshops under RKSK </t>
  </si>
  <si>
    <t xml:space="preserve">RBSK Convergence/Monitoring meetings   </t>
  </si>
  <si>
    <t>A.10.4.1</t>
  </si>
  <si>
    <t>Workshops and Conferences</t>
  </si>
  <si>
    <t>B1.1.1.4.2</t>
  </si>
  <si>
    <t xml:space="preserve">Monthly Review meeting of ASHA facilitators with BCM at block level-Meeting Expenses </t>
  </si>
  <si>
    <t>B15.2.1</t>
  </si>
  <si>
    <t>State Quality Assurance Unit (Review meeting)</t>
  </si>
  <si>
    <t>B15.2.2</t>
  </si>
  <si>
    <t>District Quality Assurance Unit (Review Meeting)</t>
  </si>
  <si>
    <t>B.29.1.7, B.29.2.4</t>
  </si>
  <si>
    <t>NPPCF Coordination Meeting (Newly Selected Districts and On-going Districts)</t>
  </si>
  <si>
    <t>C.1.c</t>
  </si>
  <si>
    <t>Support for Quarterly State level review meetings of district officer</t>
  </si>
  <si>
    <t>C.1.d</t>
  </si>
  <si>
    <t>Quarterly review meetings exclusive for RI at district level with Block MOs, CDPO, and other stake holders</t>
  </si>
  <si>
    <t>C.1.e</t>
  </si>
  <si>
    <t>Quarterly review meetings exclusive for RI at block level</t>
  </si>
  <si>
    <t>E.4.2</t>
  </si>
  <si>
    <t xml:space="preserve">IDSP Meetings </t>
  </si>
  <si>
    <t>State Task Force, State Technical Advisory Committee meeting, District coordination meeting (Lymphatic Filariasis)</t>
  </si>
  <si>
    <t>F.4</t>
  </si>
  <si>
    <t>GFATM Review Meeting</t>
  </si>
  <si>
    <t xml:space="preserve">G.4.2 </t>
  </si>
  <si>
    <t xml:space="preserve">NLEP Review Meetings </t>
  </si>
  <si>
    <t>Medical Colleges (Any meetings)</t>
  </si>
  <si>
    <t>M.2.1.2</t>
  </si>
  <si>
    <t>Monitoring, Evaluation and Supervision</t>
  </si>
  <si>
    <t>A.2.4.2</t>
  </si>
  <si>
    <t>Monitoring and Award/ Recognition  for MAA programme</t>
  </si>
  <si>
    <t>B.10.6.4</t>
  </si>
  <si>
    <t>Monitoring of IEC/ BCC Activities</t>
  </si>
  <si>
    <t>F.1.1.d</t>
  </si>
  <si>
    <t>Monitoring , Evaluation &amp; Supervision (Malaria)</t>
  </si>
  <si>
    <t>F.1.2.c</t>
  </si>
  <si>
    <t>Monitoring/supervision and Rapid response (Dengue and Chikungunya)</t>
  </si>
  <si>
    <t>F.1.3.d</t>
  </si>
  <si>
    <t>Monitoring and supervision (JE/ AE)</t>
  </si>
  <si>
    <t>Monitoring &amp; Supervision (Lymphatic Filariasis)</t>
  </si>
  <si>
    <t>F.1.5.d</t>
  </si>
  <si>
    <t>Monitoring &amp; Evaluation (Kala Azar)</t>
  </si>
  <si>
    <t>H.19</t>
  </si>
  <si>
    <t>Supervision and Monitoring</t>
  </si>
  <si>
    <t>Miscellaneous (Monitoring)</t>
  </si>
  <si>
    <t>O.2.2.1.1</t>
  </si>
  <si>
    <t>O.2.2.1.2</t>
  </si>
  <si>
    <t xml:space="preserve">Mobility Support, Field Visits </t>
  </si>
  <si>
    <t>A.7.3</t>
  </si>
  <si>
    <t>A.10.7.1</t>
  </si>
  <si>
    <t>Mobility Support for SPMU/State</t>
  </si>
  <si>
    <t>B6.2</t>
  </si>
  <si>
    <t xml:space="preserve">Mobility Support for Implementation of Clinical Establishment Act </t>
  </si>
  <si>
    <t>B1.1.5.4</t>
  </si>
  <si>
    <t>Mobility Costs for ASHA Resource Centre/ASHA Mentoring Group (Kindly Specify)</t>
  </si>
  <si>
    <t>C.1.b</t>
  </si>
  <si>
    <t>Mobility support for staff for E-Vin (VCCM)</t>
  </si>
  <si>
    <t>E.4.1</t>
  </si>
  <si>
    <t xml:space="preserve">MOBILITY: Travel Cost, POL, etc. during outbreak investigations and field visits for monitoring programme activities at SSU on need basis </t>
  </si>
  <si>
    <t>Monitoring , Evaluation &amp; Supervision &amp; Epidemic Preparedness (Only Mobility Expenses)</t>
  </si>
  <si>
    <t xml:space="preserve">Mobility support for Rapid Response Team </t>
  </si>
  <si>
    <t>F.2.1.b, F.4</t>
  </si>
  <si>
    <t>GFATM Project: Travel related Cost (TRC), Mobility</t>
  </si>
  <si>
    <t>G.4.1.a</t>
  </si>
  <si>
    <t>Travel expenses - Contractual Staff at State level</t>
  </si>
  <si>
    <t>G.4.5.a</t>
  </si>
  <si>
    <t>Mobility Support: State Cell</t>
  </si>
  <si>
    <t>Vehicle Operation (POL)</t>
  </si>
  <si>
    <t>M.3.3</t>
  </si>
  <si>
    <t>State Tobacco Control Cell (STCC): Mobility Support</t>
  </si>
  <si>
    <t>M.3.3.2</t>
  </si>
  <si>
    <t>O.2.2.1</t>
  </si>
  <si>
    <t>State NCD Cell (TA,DA, POL)</t>
  </si>
  <si>
    <t xml:space="preserve">Regional </t>
  </si>
  <si>
    <t>F.1.1.g</t>
  </si>
  <si>
    <t>Zonal Entomological units</t>
  </si>
  <si>
    <t>District</t>
  </si>
  <si>
    <t>PM activities for World Population Day’ celebration (Only mobility cost): funds earmarked for district level activities</t>
  </si>
  <si>
    <t>A.10.7.2</t>
  </si>
  <si>
    <t>B.29.1.2</t>
  </si>
  <si>
    <t>Travel costs under NPPCF</t>
  </si>
  <si>
    <t>C.1.a</t>
  </si>
  <si>
    <t>Mobility Support for supervision for district level officers.</t>
  </si>
  <si>
    <t xml:space="preserve">MOBILITY: Travel Cost, POL, etc. during outbreak investigations and field visits for monitoring programme activities at DSU on need basis </t>
  </si>
  <si>
    <t>G.4.1.b</t>
  </si>
  <si>
    <t>Travel expenses - Contractual Staff at District level</t>
  </si>
  <si>
    <t>G.4.5.b</t>
  </si>
  <si>
    <t>Mobility Support: District Cell</t>
  </si>
  <si>
    <t>Medical Colleges (All service delivery to be budgeted under B.30)</t>
  </si>
  <si>
    <t>J.1.7</t>
  </si>
  <si>
    <t>Miscellaneous/ Travel</t>
  </si>
  <si>
    <t>M.1.3.3</t>
  </si>
  <si>
    <t>Enforcement Squads</t>
  </si>
  <si>
    <t>District NCD Cell (TA,DA, POL)</t>
  </si>
  <si>
    <t>PM activities for World Population Day’ celebration (Only mobility cost): funds earmarked for block level activities</t>
  </si>
  <si>
    <t>A.10.7.3</t>
  </si>
  <si>
    <t>Mobility Support - BPMU/Block</t>
  </si>
  <si>
    <t xml:space="preserve">Monthly Review meeting of ASHA facilitators with BCM at block level-cost of travel and meeting expenses </t>
  </si>
  <si>
    <t>Any Other Mobility Expenses</t>
  </si>
  <si>
    <t>G.5</t>
  </si>
  <si>
    <t>Others: travel expenses  for regular staff.</t>
  </si>
  <si>
    <t>Operational Cost (Expenses on account of consumables, operating expenses, office expenses, admin expenses, contingencies, transport of samples, miscellaneous etc.)</t>
  </si>
  <si>
    <t>A.1.3.3</t>
  </si>
  <si>
    <t>B.10.6.8</t>
  </si>
  <si>
    <t>Information, Communication and Technology under IDSP</t>
  </si>
  <si>
    <t>State Quality Assurance Unit (Operational cost)</t>
  </si>
  <si>
    <t>Office expenses on telephone, fax, Broadband Expenses &amp; Other Miscellaneous Expenditures</t>
  </si>
  <si>
    <t xml:space="preserve">contingency support </t>
  </si>
  <si>
    <t>F.2.1.h</t>
  </si>
  <si>
    <t>GFATM Project: Programme Administration Costs (PA)</t>
  </si>
  <si>
    <t>G.4.3.a</t>
  </si>
  <si>
    <t>Office operation &amp; Maintenance - State Cell</t>
  </si>
  <si>
    <t>G.4.4.a</t>
  </si>
  <si>
    <t>State Cell - Consumables</t>
  </si>
  <si>
    <t>H.11</t>
  </si>
  <si>
    <t>Office Operation (Miscellaneous)</t>
  </si>
  <si>
    <t>M.2.2.2</t>
  </si>
  <si>
    <t>Tobacco Cessation Centre (TCC): Office Expenses</t>
  </si>
  <si>
    <t>M.3.2.3</t>
  </si>
  <si>
    <t>State Tobacco Control Cell (STCC): Misc./Office Expenses</t>
  </si>
  <si>
    <t>State NCD Cell (Contingency)</t>
  </si>
  <si>
    <t>District Quality Assurance Unit (Operational cost)</t>
  </si>
  <si>
    <t>Contingencies under NPPCF</t>
  </si>
  <si>
    <t>G.4.3.b</t>
  </si>
  <si>
    <t>Office operation &amp; Maintenance - District Cell</t>
  </si>
  <si>
    <t>G.4.4.b</t>
  </si>
  <si>
    <t>District Cell - Consumables</t>
  </si>
  <si>
    <t>J.1.5</t>
  </si>
  <si>
    <t>Operational expenses of the district centre : rent, telephone expenses, website etc.</t>
  </si>
  <si>
    <t>Contingency under NMHP</t>
  </si>
  <si>
    <t>M.1.3.5</t>
  </si>
  <si>
    <t>District Tobacco Control Cell (DTCC): Misc./Office Expenses</t>
  </si>
  <si>
    <t>District NCD Cell (Contingency)</t>
  </si>
  <si>
    <t>A.2.2.1.1</t>
  </si>
  <si>
    <t>SNCU Data management (excluding HR)</t>
  </si>
  <si>
    <t>Any Other Programme Management Cost</t>
  </si>
  <si>
    <t>E-Governance Initiatives</t>
  </si>
  <si>
    <t>B14.2</t>
  </si>
  <si>
    <t>QAC Misc. (IT Based application  etc.)</t>
  </si>
  <si>
    <t>B15.3.4.1</t>
  </si>
  <si>
    <t xml:space="preserve">Implementation of Hospital Management System </t>
  </si>
  <si>
    <t>Monitoring , Evaluation &amp; Supervision &amp; Epidemic Preparedness - Cost of NAMMIS</t>
  </si>
  <si>
    <t>Procurement and Maintenance of Office Equipment</t>
  </si>
  <si>
    <t>Minor repairs and AMC of IT/office equipment supplied under IDSP</t>
  </si>
  <si>
    <t>F.2.1.b</t>
  </si>
  <si>
    <t>Travel related Cost (TRC) - GFATM</t>
  </si>
  <si>
    <t>G.4.3.c</t>
  </si>
  <si>
    <t>Vehicle Operation (Maintenance)</t>
  </si>
  <si>
    <t>O1.1.1</t>
  </si>
  <si>
    <t>Renovation and furnishing, furniture, computers, office equipment (fax, phone, photocopier etc.)</t>
  </si>
  <si>
    <t>O1.1.1.1</t>
  </si>
  <si>
    <t>O1.1.1.2</t>
  </si>
  <si>
    <t>District NCD Cell</t>
  </si>
  <si>
    <t>PM activities under Micronutrient Supplementation Programme</t>
  </si>
  <si>
    <t>A.7.1</t>
  </si>
  <si>
    <t>A.7.2</t>
  </si>
  <si>
    <t>A.10.5</t>
  </si>
  <si>
    <t>Audit Fees</t>
  </si>
  <si>
    <t>A.10.6</t>
  </si>
  <si>
    <t>Concurrent Audit system</t>
  </si>
  <si>
    <t>B.10.1</t>
  </si>
  <si>
    <t>Comprehensive Grievance Redressal Mechanism</t>
  </si>
  <si>
    <t xml:space="preserve">SHSRC: Other cost </t>
  </si>
  <si>
    <t>F.1.2.d</t>
  </si>
  <si>
    <t>I.1.7</t>
  </si>
  <si>
    <t>Management of Health Society (State to provide details of PM Staff in the remarks column separately)</t>
  </si>
  <si>
    <t>M.3.5.1</t>
  </si>
  <si>
    <t>Setting up of STCC</t>
  </si>
  <si>
    <t>O.2.8</t>
  </si>
  <si>
    <t>Integration with Ayush</t>
  </si>
  <si>
    <t>O.2.8.1</t>
  </si>
  <si>
    <t>O.2.9</t>
  </si>
  <si>
    <t>Innovation</t>
  </si>
  <si>
    <t>O.2.9.1</t>
  </si>
  <si>
    <t>O.2.9.2</t>
  </si>
  <si>
    <t xml:space="preserve">District NCD Cell </t>
  </si>
  <si>
    <t>Drugs for Safe Abortion (MMA)</t>
  </si>
  <si>
    <t>Calcium tablets</t>
  </si>
  <si>
    <t>Albendazole tablets</t>
  </si>
  <si>
    <t>H.3</t>
  </si>
  <si>
    <t>1.3.1.11</t>
  </si>
  <si>
    <t>CME (Medical Colleges)</t>
  </si>
  <si>
    <t>Public Private Support Agency (PPSA)</t>
  </si>
  <si>
    <t>Research for medical colleges</t>
  </si>
  <si>
    <t>14.2.10</t>
  </si>
  <si>
    <t>Drug transportation charges</t>
  </si>
  <si>
    <t>Procurement of sleeves and drug boxes</t>
  </si>
  <si>
    <t>TBHV</t>
  </si>
  <si>
    <t>B.30.1.7/H.12</t>
  </si>
  <si>
    <t>DAKSHTA training</t>
  </si>
  <si>
    <t>TOT for Dakshta</t>
  </si>
  <si>
    <t>Training of MOs/SNs</t>
  </si>
  <si>
    <t>9.5.1.17</t>
  </si>
  <si>
    <t>9.5.1.18</t>
  </si>
  <si>
    <t>9.5.1.19</t>
  </si>
  <si>
    <t>9.5.1.20</t>
  </si>
  <si>
    <t>6.2.7.2</t>
  </si>
  <si>
    <t xml:space="preserve">Drugs and Supplies for blood services </t>
  </si>
  <si>
    <t xml:space="preserve">Training for Haemoglobinopathies </t>
  </si>
  <si>
    <t>9.5.7.2</t>
  </si>
  <si>
    <t>9.5.7.3</t>
  </si>
  <si>
    <t>9.5.12.7</t>
  </si>
  <si>
    <t>9.5.13.2</t>
  </si>
  <si>
    <t>9.5.15.2</t>
  </si>
  <si>
    <t>9.5.21.2</t>
  </si>
  <si>
    <t>9.5.24.2</t>
  </si>
  <si>
    <t>9.5.28</t>
  </si>
  <si>
    <t>HMIS/ MCTS</t>
  </si>
  <si>
    <t>J.1.6</t>
  </si>
  <si>
    <t>Ambulatory Services</t>
  </si>
  <si>
    <t>Abstract for Pradhan Mantri National Dialysis Programme</t>
  </si>
  <si>
    <t>6.1.1.23</t>
  </si>
  <si>
    <t>6.2.21</t>
  </si>
  <si>
    <t>6.2.21.1</t>
  </si>
  <si>
    <t>6.2.21.2</t>
  </si>
  <si>
    <t>Drugs &amp; Supplies for National Dialysis Programme</t>
  </si>
  <si>
    <t xml:space="preserve">JSY Administrative Expenses </t>
  </si>
  <si>
    <t xml:space="preserve">Supply of Salt Testing Kit </t>
  </si>
  <si>
    <t>Procurement of lab equipment</t>
  </si>
  <si>
    <t>6.1.2.6</t>
  </si>
  <si>
    <t>A.10.1.10/ D.1.a/ D.1.b/ D.1.c</t>
  </si>
  <si>
    <t>11.20.1</t>
  </si>
  <si>
    <t>1.1.2.4</t>
  </si>
  <si>
    <t>Drug Warehouses</t>
  </si>
  <si>
    <t>5.2.1.14</t>
  </si>
  <si>
    <t>1.1.1.6</t>
  </si>
  <si>
    <t>MH/ HSS</t>
  </si>
  <si>
    <t>Upgradation/ Renovation of Obstetric ICUs/ HDUs (as per operational guidelines of ICUs and HDUs, 2017)</t>
  </si>
  <si>
    <t>Equipment for  Obstetric ICUs/ HDUs (as per operational guidelines of ICUs and HDUs, 2017)</t>
  </si>
  <si>
    <t>Onsite mentoring at Delivery Points/ Nursing Institutions/ Nursing Schools</t>
  </si>
  <si>
    <t>9.5.1.21</t>
  </si>
  <si>
    <t>TOT for Skill Lab</t>
  </si>
  <si>
    <t>9.5.1.22</t>
  </si>
  <si>
    <t>9.5.1.23</t>
  </si>
  <si>
    <t>Onsite Mentoring for DAKSHATA</t>
  </si>
  <si>
    <t>9.5.1.24</t>
  </si>
  <si>
    <t>9.5.1.25</t>
  </si>
  <si>
    <t>9.2.2</t>
  </si>
  <si>
    <t>1.1.7.7</t>
  </si>
  <si>
    <t>Procurement of equipment for ICT</t>
  </si>
  <si>
    <t>Tablets; software for implementation of ANMOL</t>
  </si>
  <si>
    <t>6.2.22</t>
  </si>
  <si>
    <t>6.2.22.1</t>
  </si>
  <si>
    <t>6.2.22.2</t>
  </si>
  <si>
    <t>8.4.10</t>
  </si>
  <si>
    <t>Staff for Health &amp; Wellness Centre (H&amp;WC)</t>
  </si>
  <si>
    <t>Mid-level Service Provider</t>
  </si>
  <si>
    <t>Performance incentive for Mid-level service providers</t>
  </si>
  <si>
    <t>15.9.7</t>
  </si>
  <si>
    <t>Independent Monitoring Cost for performance assessment of Health &amp; Wellness Centre (H&amp;WC)</t>
  </si>
  <si>
    <t>Psychiatric Nurse</t>
  </si>
  <si>
    <t>Nurses for Geriatric care/ palliative care</t>
  </si>
  <si>
    <t>Other Nurses</t>
  </si>
  <si>
    <t>Community Nurse</t>
  </si>
  <si>
    <t>8.1.1.12</t>
  </si>
  <si>
    <t>Radiographer/ X-ray technician</t>
  </si>
  <si>
    <t>Physician/Consultant Medicine</t>
  </si>
  <si>
    <t>B.30.3.1/B.30.2.4</t>
  </si>
  <si>
    <t>Microbiologists (MD)</t>
  </si>
  <si>
    <t>8.1.3.10</t>
  </si>
  <si>
    <t>Support Staff for Health Facilities</t>
  </si>
  <si>
    <t xml:space="preserve">General Duty Attendant/ Hospital Worker </t>
  </si>
  <si>
    <t>Cold Chain Handlers</t>
  </si>
  <si>
    <t>Multi Task Worker</t>
  </si>
  <si>
    <t>Field Worker</t>
  </si>
  <si>
    <t>Others (incl. Community Health Worker, PMW)</t>
  </si>
  <si>
    <t>Hospital Attendant</t>
  </si>
  <si>
    <t>Sanitary Attendant</t>
  </si>
  <si>
    <t>8.1.14.4</t>
  </si>
  <si>
    <t>8.1.14.5</t>
  </si>
  <si>
    <t>Public Health Manager/ Specialist</t>
  </si>
  <si>
    <t>Facility based Data Entry Operation (DEO)</t>
  </si>
  <si>
    <t>8.1.15</t>
  </si>
  <si>
    <t>8.1.15.1</t>
  </si>
  <si>
    <t>8.1.15.2</t>
  </si>
  <si>
    <t>8.1.15.3</t>
  </si>
  <si>
    <t>8.1.15.4</t>
  </si>
  <si>
    <t>8.1.15.5</t>
  </si>
  <si>
    <t>8.1.15.6</t>
  </si>
  <si>
    <t>8.1.15.7</t>
  </si>
  <si>
    <t>LaQshya Related Activities</t>
  </si>
  <si>
    <t>Procurement under LaQshya</t>
  </si>
  <si>
    <t>Trainings at Skill Lab</t>
  </si>
  <si>
    <t>Training of ANM/staff nurses in RTI/STI</t>
  </si>
  <si>
    <t>LaQshya trainings/workshops</t>
  </si>
  <si>
    <t>Other maternal health trainings (please specify)</t>
  </si>
  <si>
    <t>Equipment for nursing schools/institutions</t>
  </si>
  <si>
    <t>Any other ASHA incentives (please specify)</t>
  </si>
  <si>
    <t>12.1.4</t>
  </si>
  <si>
    <t>12.2.10</t>
  </si>
  <si>
    <t>Printing (SNCU data management)</t>
  </si>
  <si>
    <t>1.3.1.12</t>
  </si>
  <si>
    <t>12.2.11</t>
  </si>
  <si>
    <t>Printing &amp; translation cost for Family participatory care (KMC)</t>
  </si>
  <si>
    <t>IEC for family participatory care</t>
  </si>
  <si>
    <t>9.5.2.22</t>
  </si>
  <si>
    <t>TOT (MO, SN) for Family participatory care (KMC)</t>
  </si>
  <si>
    <t>Trainings for Family participatory care (KMC)</t>
  </si>
  <si>
    <t>5.3.17</t>
  </si>
  <si>
    <t>5.3.18</t>
  </si>
  <si>
    <t>New Born Stabilization training Package for Medical Officers and Staff nurses</t>
  </si>
  <si>
    <t>Review/orientation meetings for HBNC</t>
  </si>
  <si>
    <t>12.2.12</t>
  </si>
  <si>
    <t>Printing of HBNC referral cards and other formats</t>
  </si>
  <si>
    <t>4 days Trainings on IYCF for MOs, SNs, ANMs of all DPs and SCs (ToT, 4 days IYCF Trainings &amp; 1 day Sensitisation on MAA Program)</t>
  </si>
  <si>
    <t>12.1.5</t>
  </si>
  <si>
    <t>Printing cost for MAA programme</t>
  </si>
  <si>
    <t>B16.1.6.3.6</t>
  </si>
  <si>
    <t>A.5.1.4/ B16.1.6.3.5</t>
  </si>
  <si>
    <t>DEIC (including Data card internet connection for laptops and rental)</t>
  </si>
  <si>
    <t>IEC/BCC activities under Immunization</t>
  </si>
  <si>
    <t>IEC activities for Immunization</t>
  </si>
  <si>
    <t>ASHA incentive for updation of EC survey before each MPV campaign</t>
  </si>
  <si>
    <t>Other activities under Mission Parivar Vikas : Demand Generation (Saarthi, Saas Bahu Sammellan, Creating enabling environment)</t>
  </si>
  <si>
    <t xml:space="preserve">Orientation/review  of ANM/AWW (as applicable) for New schemes, FP-LMIS, new contraceptives, Post partum and post abortion Family Planning, Scheme for home delivery of contraceptives (HDC), Ensuring spacing at birth (ESB {wherever applicable}), Pregnancy Testing Kits (PTK) </t>
  </si>
  <si>
    <t>FP-LMIS training</t>
  </si>
  <si>
    <t>IEC &amp; promotional activities for World Population Day celebration</t>
  </si>
  <si>
    <t xml:space="preserve">IEC &amp; promotional activities for Vasectomy Fortnight celebration </t>
  </si>
  <si>
    <t>14.2.11</t>
  </si>
  <si>
    <t>Implementation of FP-LMIS</t>
  </si>
  <si>
    <t>FP QAC meetings (Minimum frequency of QAC meetings as per Supreme court mandate: State level - Biannual meeting; District level - Quarterly)</t>
  </si>
  <si>
    <t>FP review meetings (As per Hon'ble SC judgement)</t>
  </si>
  <si>
    <t>AFHS training of ANM/LHV/MPW</t>
  </si>
  <si>
    <t>Printing under WIFS -WIFS cards, WIFS registers, reporting  format etc</t>
  </si>
  <si>
    <t>12.4.5</t>
  </si>
  <si>
    <t>Printing for AFHC-AFHC Registers, reporting formats, AFHC cards etc</t>
  </si>
  <si>
    <t>Media Mix of Mass Media/ Mid Media including promotion of menstrual hygiene scheme</t>
  </si>
  <si>
    <t>Innovative IEC/ BCC Strategies including mobile based solutions, social media and engagement of youth</t>
  </si>
  <si>
    <t>11.5.2</t>
  </si>
  <si>
    <t>11.5.3</t>
  </si>
  <si>
    <t>11.5.4</t>
  </si>
  <si>
    <t>11.6.2</t>
  </si>
  <si>
    <t>11.6.3</t>
  </si>
  <si>
    <t>11.6.4</t>
  </si>
  <si>
    <t>11.6.5</t>
  </si>
  <si>
    <t>11.6.6</t>
  </si>
  <si>
    <t>11.7.2</t>
  </si>
  <si>
    <t>11.7.3</t>
  </si>
  <si>
    <t>11.10</t>
  </si>
  <si>
    <t>11.12.2</t>
  </si>
  <si>
    <t>11.13.1</t>
  </si>
  <si>
    <t>11.15.3</t>
  </si>
  <si>
    <t>11.15.4</t>
  </si>
  <si>
    <t>11.15.5</t>
  </si>
  <si>
    <t>11.15.6</t>
  </si>
  <si>
    <t>11.19.2</t>
  </si>
  <si>
    <t>11.20</t>
  </si>
  <si>
    <t>11.21.1</t>
  </si>
  <si>
    <t>11.22.1</t>
  </si>
  <si>
    <t>11.22.2</t>
  </si>
  <si>
    <t>11.23.1</t>
  </si>
  <si>
    <t>11.24.1</t>
  </si>
  <si>
    <t>Incentive to ASHA for follow up of SNCU discharge babies and for follow up of LBW babies</t>
  </si>
  <si>
    <t>Incentive for referral of SAM cases to NRC and for follow up of discharge SAM children from NRCs</t>
  </si>
  <si>
    <t>3.1.2.6</t>
  </si>
  <si>
    <t>IEC/BCC activities under ASHA</t>
  </si>
  <si>
    <t>12.7.3</t>
  </si>
  <si>
    <t>12.7.4</t>
  </si>
  <si>
    <t>Printing of ASHA Modules and formats</t>
  </si>
  <si>
    <t>Printing of CBAC format</t>
  </si>
  <si>
    <t>12.17.1</t>
  </si>
  <si>
    <t>12.17.2</t>
  </si>
  <si>
    <t>Committed unspent  balance (as on ______)</t>
  </si>
  <si>
    <t>Procurement for Universal Screening of NCDs</t>
  </si>
  <si>
    <t>GoI Remarks</t>
  </si>
  <si>
    <t>Training for Universal Screening for NCDs</t>
  </si>
  <si>
    <t>Drugs &amp; supplies for Universal Screening of NCDs</t>
  </si>
  <si>
    <t>6.4.4</t>
  </si>
  <si>
    <t>6.5.1</t>
  </si>
  <si>
    <t>6.5.2</t>
  </si>
  <si>
    <t>6.5.3</t>
  </si>
  <si>
    <t>IEC/BCC activities for Universal Screening of NCDs</t>
  </si>
  <si>
    <t>Printing activities for Universal Screening of NCDs - printing of cards and modules</t>
  </si>
  <si>
    <t>7.4.1</t>
  </si>
  <si>
    <t>7.4.2</t>
  </si>
  <si>
    <t>7.4.3</t>
  </si>
  <si>
    <t>7.6.1</t>
  </si>
  <si>
    <t>7.6.2</t>
  </si>
  <si>
    <t>Any other activity (please specify)</t>
  </si>
  <si>
    <t>15.1.2</t>
  </si>
  <si>
    <t>Annexure for Innovations</t>
  </si>
  <si>
    <t>HSS/NPCDCS</t>
  </si>
  <si>
    <t>1.1.3.3</t>
  </si>
  <si>
    <t>1.2.2.4</t>
  </si>
  <si>
    <t>2.2.10</t>
  </si>
  <si>
    <t>2.2.11</t>
  </si>
  <si>
    <t>3.1.2.7</t>
  </si>
  <si>
    <t>3.1.3.5</t>
  </si>
  <si>
    <t>3.2.4</t>
  </si>
  <si>
    <t>3.2.4.1</t>
  </si>
  <si>
    <t>3.2.4.2</t>
  </si>
  <si>
    <t>3.2.4.3</t>
  </si>
  <si>
    <t>3.2.4.4</t>
  </si>
  <si>
    <t>3.3.4</t>
  </si>
  <si>
    <t>6.1.1.24</t>
  </si>
  <si>
    <t>Drugs &amp; supplies for Blood services &amp; disorders</t>
  </si>
  <si>
    <t>Drugs &amp; Supplies for Health &amp; Wellness Centres (H&amp;WC)</t>
  </si>
  <si>
    <t>6.4.5</t>
  </si>
  <si>
    <t>9.1.7</t>
  </si>
  <si>
    <t>9.2.3</t>
  </si>
  <si>
    <t>9.5.2.23</t>
  </si>
  <si>
    <t>Other Child Health trainings (please specify)</t>
  </si>
  <si>
    <t>9.5.3.27</t>
  </si>
  <si>
    <t>Other Family Planning trainings (please specify)</t>
  </si>
  <si>
    <t>9.5.4.5</t>
  </si>
  <si>
    <t>Other Adolescent Health trainings (please specify)</t>
  </si>
  <si>
    <t>RBSK Trainings</t>
  </si>
  <si>
    <t>9.5.5.5</t>
  </si>
  <si>
    <t>Other RBSK trainings (please specify)</t>
  </si>
  <si>
    <t>Trainings for Blood Services &amp; disorders</t>
  </si>
  <si>
    <t>9.5.6.3</t>
  </si>
  <si>
    <t>9.5.7.4</t>
  </si>
  <si>
    <t>9.5.8.2</t>
  </si>
  <si>
    <t>9.5.9.2</t>
  </si>
  <si>
    <t>9.5.10.2</t>
  </si>
  <si>
    <t>9.5.11.2</t>
  </si>
  <si>
    <t>9.5.11.3</t>
  </si>
  <si>
    <t>9.5.11.4</t>
  </si>
  <si>
    <t>9.5.11.5</t>
  </si>
  <si>
    <t>9.5.11.6</t>
  </si>
  <si>
    <t>9.5.11.7</t>
  </si>
  <si>
    <t>9.5.11.8</t>
  </si>
  <si>
    <t>9.5.11.9</t>
  </si>
  <si>
    <t>9.5.14.2</t>
  </si>
  <si>
    <t>9.5.14.3</t>
  </si>
  <si>
    <t>9.5.16.2</t>
  </si>
  <si>
    <t>9.5.17.2</t>
  </si>
  <si>
    <t>9.5.17.3</t>
  </si>
  <si>
    <t>9.5.17.4</t>
  </si>
  <si>
    <t>9.5.19.3</t>
  </si>
  <si>
    <t>9.5.20.3</t>
  </si>
  <si>
    <t>9.5.22.3</t>
  </si>
  <si>
    <t>ASHA facilitator/ARC trainings</t>
  </si>
  <si>
    <t>9.5.23.4</t>
  </si>
  <si>
    <t>9.5.25.2</t>
  </si>
  <si>
    <t>9.5.25.3</t>
  </si>
  <si>
    <t>9.5.25.4</t>
  </si>
  <si>
    <t>9.5.26.4</t>
  </si>
  <si>
    <t>9.5.27.4</t>
  </si>
  <si>
    <t>9.5.28.1</t>
  </si>
  <si>
    <t>9.5.28.2</t>
  </si>
  <si>
    <t>9.5.28.3</t>
  </si>
  <si>
    <t>9.5.28.4</t>
  </si>
  <si>
    <t>9.5.28.5</t>
  </si>
  <si>
    <t>9.5.28.6</t>
  </si>
  <si>
    <t>Supply Chain Management cost under GFATM</t>
  </si>
  <si>
    <t>10.1.3</t>
  </si>
  <si>
    <t>10.2.12</t>
  </si>
  <si>
    <t>10.2.13</t>
  </si>
  <si>
    <t>Research at State NCD Cell</t>
  </si>
  <si>
    <t>Research at Institutes</t>
  </si>
  <si>
    <t>10.2.14</t>
  </si>
  <si>
    <t>Strengthening surveillance under NVBDCP</t>
  </si>
  <si>
    <t>NVBDCP - Dengue/Chikungunya</t>
  </si>
  <si>
    <t>10.3.1.4</t>
  </si>
  <si>
    <t>10.3.1.5</t>
  </si>
  <si>
    <t>10.3.1.6</t>
  </si>
  <si>
    <t>Surveillance under NPCDCS</t>
  </si>
  <si>
    <t>At State NCD Cell</t>
  </si>
  <si>
    <t>At Institutes</t>
  </si>
  <si>
    <t>10.3.2.1</t>
  </si>
  <si>
    <t>10.3.2.2</t>
  </si>
  <si>
    <t>10.3.2.3</t>
  </si>
  <si>
    <t>Any Other surveillance activities (please specify)</t>
  </si>
  <si>
    <t>10.4.7</t>
  </si>
  <si>
    <t>IEC/BCC activities under AH</t>
  </si>
  <si>
    <t>11.9.2</t>
  </si>
  <si>
    <t>IEC/BCC activities under Blood services &amp; disorders</t>
  </si>
  <si>
    <t>11.10.2</t>
  </si>
  <si>
    <t>11.11.2</t>
  </si>
  <si>
    <t>11.12.3</t>
  </si>
  <si>
    <t>11.13.2</t>
  </si>
  <si>
    <t>11.14.2</t>
  </si>
  <si>
    <t>11.15.7</t>
  </si>
  <si>
    <t>11.16.2</t>
  </si>
  <si>
    <t>11.17.1</t>
  </si>
  <si>
    <t>11.17.2</t>
  </si>
  <si>
    <t>11.18.2</t>
  </si>
  <si>
    <t>11.19.3</t>
  </si>
  <si>
    <t>11.20.2</t>
  </si>
  <si>
    <t>11.22.3</t>
  </si>
  <si>
    <t>11.23.2</t>
  </si>
  <si>
    <t>11.24.2</t>
  </si>
  <si>
    <t>11.24.3</t>
  </si>
  <si>
    <t xml:space="preserve">SBCC/IEC/Advocacy campaigns </t>
  </si>
  <si>
    <t>Printing activities under Blood services &amp; disorders</t>
  </si>
  <si>
    <t>13.1.4</t>
  </si>
  <si>
    <t>13.2.6</t>
  </si>
  <si>
    <t>Human Resources for Drug warehouses</t>
  </si>
  <si>
    <t>Other activities including operating cost etc. (please specify)</t>
  </si>
  <si>
    <t>Logistics and supply chain</t>
  </si>
  <si>
    <t>Supply chain logistic system for drug warehouses</t>
  </si>
  <si>
    <t>14.2.12</t>
  </si>
  <si>
    <t>14.2.13</t>
  </si>
  <si>
    <t>FP/NHSRC-CP</t>
  </si>
  <si>
    <t>CH/NHSRC-CP</t>
  </si>
  <si>
    <t>AH/NHSRC-CP</t>
  </si>
  <si>
    <t>NHSRC-CP</t>
  </si>
  <si>
    <t>RI/NHSRC-CP</t>
  </si>
  <si>
    <t>NIDDCP/NHSRC-CP</t>
  </si>
  <si>
    <t>NLEP/NHSRC-CP</t>
  </si>
  <si>
    <t>1.1.3.1.1</t>
  </si>
  <si>
    <t>1.1.3.1.2</t>
  </si>
  <si>
    <t>1.1.3.2.1</t>
  </si>
  <si>
    <t>Beneficiary Compensation/ Allowances</t>
  </si>
  <si>
    <t>CHC NCD Clinic: Mobility , Miscellaneous &amp; Contingencies</t>
  </si>
  <si>
    <t>Sub-Centre level: Mobility , Miscellaneous &amp; Contingencies</t>
  </si>
  <si>
    <t>Annexure for IT Initiatives - Service Delivery</t>
  </si>
  <si>
    <t>1.3.2.6</t>
  </si>
  <si>
    <t>1.3.1.13</t>
  </si>
  <si>
    <t>2.3.1.1</t>
  </si>
  <si>
    <t>2.3.1.2</t>
  </si>
  <si>
    <t>Other Mobile Units</t>
  </si>
  <si>
    <t>2.1.3.1</t>
  </si>
  <si>
    <t>2.1.3.2</t>
  </si>
  <si>
    <t>2.1.3.3</t>
  </si>
  <si>
    <t>Mobility support  for RBSK Mobile health team</t>
  </si>
  <si>
    <t>Support for RBSK: CUG connection per team and rental</t>
  </si>
  <si>
    <t>National Mobile Medical Vans (smaller vehicles) and specialised Mobile Medical Units: Recurring grants for POL and others</t>
  </si>
  <si>
    <t>Kala-azar Case search/ Camp Approach: Mobility/POL/supervision</t>
  </si>
  <si>
    <t xml:space="preserve">Tribal RCH: Outreach activities </t>
  </si>
  <si>
    <t>Outreach activities for RMNCH+A services</t>
  </si>
  <si>
    <t>2.3.1.3</t>
  </si>
  <si>
    <t>2.3.1.4</t>
  </si>
  <si>
    <t>2.3.1.5</t>
  </si>
  <si>
    <t>2.3.1.6</t>
  </si>
  <si>
    <t>2.3.1.7</t>
  </si>
  <si>
    <t>2.3.1.8</t>
  </si>
  <si>
    <t>2.3.1.9</t>
  </si>
  <si>
    <t>2.3.1.10</t>
  </si>
  <si>
    <t>2.3.2.1</t>
  </si>
  <si>
    <t>2.3.2.2</t>
  </si>
  <si>
    <t>2.3.2.3</t>
  </si>
  <si>
    <t>2.3.2.4</t>
  </si>
  <si>
    <t>2.3.2.5</t>
  </si>
  <si>
    <t>DPMR: At camps</t>
  </si>
  <si>
    <t>Outreach activities for controlling DCPs &amp; NCDs</t>
  </si>
  <si>
    <t>Tobacco Cessation Centre (TCC): Weekly FGD with the tobacco users</t>
  </si>
  <si>
    <t>DMHP: Targeted interventions at community level Activities &amp; interventions targeted at schools, colleges, workplaces, out of school adolescents, urban slums and suicide prevention.</t>
  </si>
  <si>
    <t>Outreach activities at School level</t>
  </si>
  <si>
    <t>2.3.3.1</t>
  </si>
  <si>
    <t>2.3.3.2</t>
  </si>
  <si>
    <t>2.3.3.3</t>
  </si>
  <si>
    <t>2.3.3.4</t>
  </si>
  <si>
    <t>2.3.3.4.1</t>
  </si>
  <si>
    <t>2.3.3.4.2</t>
  </si>
  <si>
    <t>2.3.3.4.3</t>
  </si>
  <si>
    <t>2.3.3.4.4</t>
  </si>
  <si>
    <t>2.3.3.4.5</t>
  </si>
  <si>
    <t>B8</t>
  </si>
  <si>
    <t>Untied Fund</t>
  </si>
  <si>
    <t>4.1.1</t>
  </si>
  <si>
    <t>4.1.2</t>
  </si>
  <si>
    <t>4.1.3</t>
  </si>
  <si>
    <t>4.1.4</t>
  </si>
  <si>
    <t>4.1.5</t>
  </si>
  <si>
    <t>4.1.6</t>
  </si>
  <si>
    <t>4.1.7</t>
  </si>
  <si>
    <t>Incentive for FP Services</t>
  </si>
  <si>
    <t>Incentive for AH/ RKSK Services</t>
  </si>
  <si>
    <t xml:space="preserve">Other Incentives </t>
  </si>
  <si>
    <t>3.1.1.1.1</t>
  </si>
  <si>
    <t>3.1.1.1.2</t>
  </si>
  <si>
    <t>3.1.1.1.3</t>
  </si>
  <si>
    <t>3.1.1.1.4</t>
  </si>
  <si>
    <t>3.1.1.1.5</t>
  </si>
  <si>
    <t>3.1.1.1.6</t>
  </si>
  <si>
    <t>3.1.1.1.7</t>
  </si>
  <si>
    <t>3.1.1.1.8</t>
  </si>
  <si>
    <t>3.1.1.1.9</t>
  </si>
  <si>
    <t>3.1.1.1.10</t>
  </si>
  <si>
    <t>3.1.1.1.11</t>
  </si>
  <si>
    <t>3.1.1.1.12</t>
  </si>
  <si>
    <t>3.1.1.2.1</t>
  </si>
  <si>
    <t>3.1.1.2.2</t>
  </si>
  <si>
    <t>3.1.1.2.3</t>
  </si>
  <si>
    <t>3.1.1.2.4</t>
  </si>
  <si>
    <t>3.1.1.2.5</t>
  </si>
  <si>
    <t>3.1.1.2.6</t>
  </si>
  <si>
    <t>3.1.1.2.7</t>
  </si>
  <si>
    <t>3.1.1.3.1</t>
  </si>
  <si>
    <t>3.1.1.3.2</t>
  </si>
  <si>
    <t>3.1.1.3.3</t>
  </si>
  <si>
    <t>3.1.1.4.1</t>
  </si>
  <si>
    <t>3.1.1.4.2</t>
  </si>
  <si>
    <t>3.1.1.4.3</t>
  </si>
  <si>
    <t>3.1.1.4.4</t>
  </si>
  <si>
    <t>3.1.1.4.5</t>
  </si>
  <si>
    <t>3.1.1.4.6</t>
  </si>
  <si>
    <t>3.1.1.4.7</t>
  </si>
  <si>
    <t>3.1.1.5.1</t>
  </si>
  <si>
    <t>3.1.1.5.2</t>
  </si>
  <si>
    <t>District counselling centre (DCC) and crisis helpline outsourced to psychology department/ NGO per year</t>
  </si>
  <si>
    <t>Preventive strategies for Malaria</t>
  </si>
  <si>
    <t xml:space="preserve">Operational cost for Spray Wages </t>
  </si>
  <si>
    <t>Operational cost for Impregnation  of Bed nets-  for NE states</t>
  </si>
  <si>
    <t>Preventive strategies for vector born diseases</t>
  </si>
  <si>
    <t>Dengue &amp; Chikungunya: Vector Control,  environmental management &amp; fogging machine</t>
  </si>
  <si>
    <t>Acute Encephalitis Syndrome (AES)/ Japanese Encephalitis (JE): Operational costs for malathion  fogging</t>
  </si>
  <si>
    <t>Kala-azar: Operational cost for spray including spray wages</t>
  </si>
  <si>
    <t>Kala-azar: Training for spraying</t>
  </si>
  <si>
    <t>3.2.5.1.1</t>
  </si>
  <si>
    <t>3.2.5.1.2</t>
  </si>
  <si>
    <t>3.2.5.1.3</t>
  </si>
  <si>
    <t>3.2.5.1.4</t>
  </si>
  <si>
    <t>3.2.5.1.5</t>
  </si>
  <si>
    <t>3.2.5.2.1</t>
  </si>
  <si>
    <t>3.2.5.2.2</t>
  </si>
  <si>
    <t>3.2.5.2.3</t>
  </si>
  <si>
    <t>3.2.5.2.4</t>
  </si>
  <si>
    <t>Innovations (if any)</t>
  </si>
  <si>
    <t>B14</t>
  </si>
  <si>
    <t>IT Initiatives for strengthening Service Delivery</t>
  </si>
  <si>
    <t>B4.1.1.1</t>
  </si>
  <si>
    <t>B4.1.2.1</t>
  </si>
  <si>
    <t>B4.1.3.1</t>
  </si>
  <si>
    <t>B4.1.4.1</t>
  </si>
  <si>
    <t>B4.1.5.2</t>
  </si>
  <si>
    <t>B4.1.6.1</t>
  </si>
  <si>
    <t>B.5.6.3</t>
  </si>
  <si>
    <t>B4.1.1.2</t>
  </si>
  <si>
    <t>B4.1.2.2</t>
  </si>
  <si>
    <t>B4.1.3.2</t>
  </si>
  <si>
    <t>B4.1.4.2</t>
  </si>
  <si>
    <t>B4.1.6.2</t>
  </si>
  <si>
    <t>B.5.10.1.2</t>
  </si>
  <si>
    <t>B4.1.1/ B4.1.2/ B4.1.3/ B4.1.4/ B4.1.6/ B.5.10</t>
  </si>
  <si>
    <t>B.5.10.1.1</t>
  </si>
  <si>
    <t>B4.1.1.3</t>
  </si>
  <si>
    <t>B4.1.2.3</t>
  </si>
  <si>
    <t>B4.1.3.3</t>
  </si>
  <si>
    <t>B4.1.4.3</t>
  </si>
  <si>
    <t>B4.1.5.3</t>
  </si>
  <si>
    <t>B4.1.6.3</t>
  </si>
  <si>
    <t>B.5.10.1.3</t>
  </si>
  <si>
    <t>B4.1.1/ B4.1.2/ B4.1.3/ B4.1.4/ B4.1.5/ B4.1.6/ B.5.10</t>
  </si>
  <si>
    <t>B4.1.1.4</t>
  </si>
  <si>
    <t>B4.1.2.4</t>
  </si>
  <si>
    <t>B4.1.3.4</t>
  </si>
  <si>
    <t>B4.1.4.4</t>
  </si>
  <si>
    <t>B4.1.6.4</t>
  </si>
  <si>
    <t>B.5.10.1.4</t>
  </si>
  <si>
    <t>Training Institutions (incl. hostels/residential facilities)</t>
  </si>
  <si>
    <t>B5.1/ B5.2/ B5.3/ B5.5/ B5.10/ A.9.10.2/ B.5.11/ B.5.12/B.5.13/ B4.1.5/ A.4.1.2/ A.2.5</t>
  </si>
  <si>
    <t>B5.1.1</t>
  </si>
  <si>
    <t>B5.2.1</t>
  </si>
  <si>
    <t>B5.3.1</t>
  </si>
  <si>
    <t>B.5.6.1</t>
  </si>
  <si>
    <t>B5.11.1</t>
  </si>
  <si>
    <t>B5.12.1</t>
  </si>
  <si>
    <t>B5.13.1</t>
  </si>
  <si>
    <t>B4.1.5.1</t>
  </si>
  <si>
    <t>B5.10.2/ B5.10.3</t>
  </si>
  <si>
    <t>B5.1/ B5.2/ B5.3/ B5.6/ B5.5/ B5.10/ B.5.11/ B.5.12/ B.5.13</t>
  </si>
  <si>
    <t>B5.1.2</t>
  </si>
  <si>
    <t>B5.2.2</t>
  </si>
  <si>
    <t>B5.3.2</t>
  </si>
  <si>
    <t>B.5.6.2</t>
  </si>
  <si>
    <t>B5.10.4</t>
  </si>
  <si>
    <t>B.5.11.2</t>
  </si>
  <si>
    <t>B.5.12.2</t>
  </si>
  <si>
    <t>B.5.13.2</t>
  </si>
  <si>
    <t>Assistance to State for Capacity building (Burns &amp; injury): Civil Work</t>
  </si>
  <si>
    <t>Recurring grant for collection of eye balls by eye banks and eye donation centres</t>
  </si>
  <si>
    <t>I.1.5</t>
  </si>
  <si>
    <t>6.1.1.25</t>
  </si>
  <si>
    <t>Furniture for paediatric OPD and ward</t>
  </si>
  <si>
    <t>Non-recurring GIA: Machinery &amp; Equipment for DH</t>
  </si>
  <si>
    <t>Non-recurring GIA: Machinery &amp; Equipment for CHC</t>
  </si>
  <si>
    <t>Non-recurring GIA: Machinery &amp; Equipment for PHC</t>
  </si>
  <si>
    <t>Non recurring: Equipment for Cancer  Care</t>
  </si>
  <si>
    <t>B16.1.7/ A.9.1.2.2</t>
  </si>
  <si>
    <t>B16.1.7/ A.9.10.1</t>
  </si>
  <si>
    <t>B.18.2</t>
  </si>
  <si>
    <t>Miscellaneous including Travel/ POL/ Stationary/ Communications/ Drugs etc.</t>
  </si>
  <si>
    <t>Maintenance of Ophthalmic Equipment</t>
  </si>
  <si>
    <t>B.16.2.3.1</t>
  </si>
  <si>
    <t>6.2.19.6</t>
  </si>
  <si>
    <t>HSS/ AYUSH</t>
  </si>
  <si>
    <t>9.5.4.14</t>
  </si>
  <si>
    <t>HSS/AYUSH</t>
  </si>
  <si>
    <t>HMIS/MCTS Trainings</t>
  </si>
  <si>
    <t>9.5.19.4</t>
  </si>
  <si>
    <t>Reviews, Research, Surveys and Surveillance</t>
  </si>
  <si>
    <t>11.22.4</t>
  </si>
  <si>
    <t>11.24.3.1</t>
  </si>
  <si>
    <t>11.24.3.2</t>
  </si>
  <si>
    <t>11.24.3.3</t>
  </si>
  <si>
    <t>11.24.3.4</t>
  </si>
  <si>
    <t>12.7.5</t>
  </si>
  <si>
    <t>ASHA communication kit</t>
  </si>
  <si>
    <t>Printing activities for H&amp;WC</t>
  </si>
  <si>
    <t>12.15.4</t>
  </si>
  <si>
    <t>14.1.1.1</t>
  </si>
  <si>
    <t>14.1.1.2</t>
  </si>
  <si>
    <t>14.1.1.3</t>
  </si>
  <si>
    <t>Other IT Initiatives for Service Delivery (please specify)</t>
  </si>
  <si>
    <t>Annexure for Untied Fund</t>
  </si>
  <si>
    <t>8.1.11.3</t>
  </si>
  <si>
    <t>8.1.11.4</t>
  </si>
  <si>
    <t>8.1.11.5</t>
  </si>
  <si>
    <t>8.1.13.6</t>
  </si>
  <si>
    <t>8.1.13.7</t>
  </si>
  <si>
    <t>8.1.13.8</t>
  </si>
  <si>
    <t>8.1.13.9</t>
  </si>
  <si>
    <t>8.1.13.10</t>
  </si>
  <si>
    <t>8.1.13.11</t>
  </si>
  <si>
    <t>8.1.13.12</t>
  </si>
  <si>
    <t>8.1.13.13</t>
  </si>
  <si>
    <t>8.1.13.14</t>
  </si>
  <si>
    <t>8.1.13.15</t>
  </si>
  <si>
    <t>8.1.13.16</t>
  </si>
  <si>
    <t>8.1.13.17</t>
  </si>
  <si>
    <t>8.1.13.18</t>
  </si>
  <si>
    <t>8.1.13.19</t>
  </si>
  <si>
    <t>8.1.13.20</t>
  </si>
  <si>
    <t>8.1.13.21</t>
  </si>
  <si>
    <t>8.1.13.22</t>
  </si>
  <si>
    <t>8.1.15.8</t>
  </si>
  <si>
    <t>8.1.15.9</t>
  </si>
  <si>
    <t>8.1.15.10</t>
  </si>
  <si>
    <t>8.1.15.11</t>
  </si>
  <si>
    <t>8.1.15.12</t>
  </si>
  <si>
    <t>8.1.15.13</t>
  </si>
  <si>
    <t>8.1.16</t>
  </si>
  <si>
    <t>8.1.16.1</t>
  </si>
  <si>
    <t>8.1.16.2</t>
  </si>
  <si>
    <t>8.1.16.3</t>
  </si>
  <si>
    <t>8.1.16.4</t>
  </si>
  <si>
    <t>8.1.16.5</t>
  </si>
  <si>
    <t>8.1.16.6</t>
  </si>
  <si>
    <t>8.1.16.7</t>
  </si>
  <si>
    <t>Training on Finance</t>
  </si>
  <si>
    <t>Training on HR</t>
  </si>
  <si>
    <t>Training of District trainers</t>
  </si>
  <si>
    <t>PC&amp;PNDT Activities</t>
  </si>
  <si>
    <t>Mobility support</t>
  </si>
  <si>
    <t>HMIS &amp; MCTS</t>
  </si>
  <si>
    <t>B15.3.1.1/ B15.3.1.2</t>
  </si>
  <si>
    <t>B15.3.1.5.1/ B15.3.1.5.2</t>
  </si>
  <si>
    <t xml:space="preserve">Mobility Support for HMIS &amp; MCTS </t>
  </si>
  <si>
    <t>B15.3.2.5/ B15.3.2.6/ B15.3.2.9/ B15.3.2.12/ B15.3.2.13</t>
  </si>
  <si>
    <t>Operational cost for HMIS &amp; MCTS (incl. Internet connectivity; AMC of Laptop, printers, computers, UPS; Office expenditure; Mobile reimbursement)</t>
  </si>
  <si>
    <t>B15.3.2.3/ B15.3.2.4/ B15.3.2.7/ B15.3.2.8</t>
  </si>
  <si>
    <t>Procurement of Computer/Printer/UPS/ Laptop/ VSAT</t>
  </si>
  <si>
    <t>B15.3.2.10/ B15.3.2.11</t>
  </si>
  <si>
    <t>Call Centre (Capex/ Opex)</t>
  </si>
  <si>
    <t>Human Resource</t>
  </si>
  <si>
    <t xml:space="preserve">Strengthening of State/ Regional PMU </t>
  </si>
  <si>
    <t>State level HR under RMNCH+A &amp; HSS</t>
  </si>
  <si>
    <t>Consultants/ Programme Officers</t>
  </si>
  <si>
    <t>State level HR under DCP</t>
  </si>
  <si>
    <t>State level HR under NCD</t>
  </si>
  <si>
    <t>Strengthening of District PMU</t>
  </si>
  <si>
    <t>District level HR under RMNCH+A &amp; HSS</t>
  </si>
  <si>
    <t>District level HR under DCP</t>
  </si>
  <si>
    <t>District level HR under NCD</t>
  </si>
  <si>
    <t>Block level HR under RMNCH+A &amp; HSS</t>
  </si>
  <si>
    <t xml:space="preserve">Consultants/ Programme Officers </t>
  </si>
  <si>
    <t>Block level HR under DCP</t>
  </si>
  <si>
    <t>Block level HR under NCD</t>
  </si>
  <si>
    <t>Monitoring and Data Management</t>
  </si>
  <si>
    <t>Abstract for Blood services &amp; Disorders</t>
  </si>
  <si>
    <t>HMIS-MCTS</t>
  </si>
  <si>
    <t>Blood cell/ HSS</t>
  </si>
  <si>
    <t>P.10.1</t>
  </si>
  <si>
    <t>Support for control of Communicable Disease</t>
  </si>
  <si>
    <t xml:space="preserve">Support for control of Non Communicable Disease Control </t>
  </si>
  <si>
    <t>JSY</t>
  </si>
  <si>
    <t>Family Planning</t>
  </si>
  <si>
    <t>P.4.2.3.2</t>
  </si>
  <si>
    <t>Operational Expenses of UPHCs (excluding rent)</t>
  </si>
  <si>
    <t>P.4.2.3.3</t>
  </si>
  <si>
    <t>Operational Expenses of Maternity Homes(excluding rent)</t>
  </si>
  <si>
    <t>P.4.2.3.4</t>
  </si>
  <si>
    <t>Operational Expenses of Health Kiosks</t>
  </si>
  <si>
    <t>P.4.5.4</t>
  </si>
  <si>
    <t>Mobile Medical Units (MMU) / Mobile Health Units (MHU)</t>
  </si>
  <si>
    <t>P.4.5.3</t>
  </si>
  <si>
    <t>Mobility support for ANM/LHV</t>
  </si>
  <si>
    <t>P.4.5.1</t>
  </si>
  <si>
    <t xml:space="preserve">UHNDs </t>
  </si>
  <si>
    <t>P.4.5.2</t>
  </si>
  <si>
    <t>P.6.1.2</t>
  </si>
  <si>
    <t>ASHA Incentives</t>
  </si>
  <si>
    <t>P.6.1.2.1</t>
  </si>
  <si>
    <t xml:space="preserve">Incentives for routine activities </t>
  </si>
  <si>
    <t>P.6.1.2.2</t>
  </si>
  <si>
    <t>Other Incentive to ASHAs (please specify)</t>
  </si>
  <si>
    <t>P.6.1.1</t>
  </si>
  <si>
    <t>ASHA Trainings</t>
  </si>
  <si>
    <t>P.6.1.5</t>
  </si>
  <si>
    <t>P.6.2</t>
  </si>
  <si>
    <t>MAS/community groups</t>
  </si>
  <si>
    <t>P.6.2.2</t>
  </si>
  <si>
    <t>Training of MAS</t>
  </si>
  <si>
    <t>P.6.3</t>
  </si>
  <si>
    <t>Support to organization engaged for community processes</t>
  </si>
  <si>
    <t>Any Other</t>
  </si>
  <si>
    <t>Untied grants</t>
  </si>
  <si>
    <t>P.4.3.1</t>
  </si>
  <si>
    <t xml:space="preserve">Untied grants to UPHCs </t>
  </si>
  <si>
    <t>P.4.3.1.a</t>
  </si>
  <si>
    <t>Government Building</t>
  </si>
  <si>
    <t>P.4.3.1.b</t>
  </si>
  <si>
    <t>Rented Building</t>
  </si>
  <si>
    <t>P.4.3.2</t>
  </si>
  <si>
    <t>Untied grants to UCHCs</t>
  </si>
  <si>
    <t>P.4.3.3</t>
  </si>
  <si>
    <t>Untied grants to Maternity Homes</t>
  </si>
  <si>
    <t>P.6.2.1</t>
  </si>
  <si>
    <t>Untied grants to MAS</t>
  </si>
  <si>
    <t>P.4.2.2.1</t>
  </si>
  <si>
    <t>UPHC</t>
  </si>
  <si>
    <t>P.4.2.2.2</t>
  </si>
  <si>
    <t>UCHC</t>
  </si>
  <si>
    <t>Maternity Homes</t>
  </si>
  <si>
    <t>P.4.2.3.1</t>
  </si>
  <si>
    <t>Rent for UPHC</t>
  </si>
  <si>
    <t>P.4.2.1.1</t>
  </si>
  <si>
    <t>P.4.2.1.2</t>
  </si>
  <si>
    <t>P.4.2.1.3</t>
  </si>
  <si>
    <t>Health Kiosk (for establishment)</t>
  </si>
  <si>
    <t>P.4.4.2.1</t>
  </si>
  <si>
    <t>Equipment for UPHC</t>
  </si>
  <si>
    <t>P.4.4.2.2</t>
  </si>
  <si>
    <t>Equipment for UCHC</t>
  </si>
  <si>
    <t>P.4.4.2.3</t>
  </si>
  <si>
    <t>Equipment for Maternity Homes</t>
  </si>
  <si>
    <t>P.4.4.1.1</t>
  </si>
  <si>
    <t>P.6.1.3</t>
  </si>
  <si>
    <t xml:space="preserve">ASHA Drug kits </t>
  </si>
  <si>
    <t>P.6.1.4</t>
  </si>
  <si>
    <t>P.4.4.1.4</t>
  </si>
  <si>
    <t>National Free Diagnostic Services</t>
  </si>
  <si>
    <t>P.4.1.1</t>
  </si>
  <si>
    <t>ANMs/LHVs</t>
  </si>
  <si>
    <t>P.4.1.1.1</t>
  </si>
  <si>
    <t>P.4.1.1.2</t>
  </si>
  <si>
    <t>P.4.1.1.3</t>
  </si>
  <si>
    <t>P.4.1.2</t>
  </si>
  <si>
    <t>Staff nurse</t>
  </si>
  <si>
    <t>P.4.1.2.1</t>
  </si>
  <si>
    <t>P.4.1.2.2</t>
  </si>
  <si>
    <t>P.4.1.2.3</t>
  </si>
  <si>
    <t>P.4.1.6</t>
  </si>
  <si>
    <t>Lab Technicians</t>
  </si>
  <si>
    <t>P.4.1.6.1</t>
  </si>
  <si>
    <t>P.4.1.6.2</t>
  </si>
  <si>
    <t>P.4.1.6.3</t>
  </si>
  <si>
    <t>P.4.1.7</t>
  </si>
  <si>
    <t>P.4.1.7.1</t>
  </si>
  <si>
    <t>P.4.1.7.2</t>
  </si>
  <si>
    <t>P.4.1.7.3</t>
  </si>
  <si>
    <t>P.4.1.8</t>
  </si>
  <si>
    <t>Other staff</t>
  </si>
  <si>
    <t>P.4.1.8.1</t>
  </si>
  <si>
    <t>X-ray technicians</t>
  </si>
  <si>
    <t>P.4.1.9.2</t>
  </si>
  <si>
    <t>P.4.1.8.3</t>
  </si>
  <si>
    <t>P.4.1.5</t>
  </si>
  <si>
    <t>Specialists (at UCHC)</t>
  </si>
  <si>
    <t>P.4.1.5.1</t>
  </si>
  <si>
    <t>Obstetrician / Gynaecologist</t>
  </si>
  <si>
    <t>P.4.1.5.2</t>
  </si>
  <si>
    <t>P.4.1.5.3</t>
  </si>
  <si>
    <t>Anaesthetist</t>
  </si>
  <si>
    <t>P.4.1.5.4</t>
  </si>
  <si>
    <t>Surgeon</t>
  </si>
  <si>
    <t>P.4.1.5.5</t>
  </si>
  <si>
    <t>Pathologist</t>
  </si>
  <si>
    <t>P.4.1.5.6</t>
  </si>
  <si>
    <t>Radiologist</t>
  </si>
  <si>
    <t>P.4.1.5.7</t>
  </si>
  <si>
    <t>Dentists</t>
  </si>
  <si>
    <t>P.4.1.3.1</t>
  </si>
  <si>
    <t>MO at UPHC</t>
  </si>
  <si>
    <t>P.4.1.3.1.1</t>
  </si>
  <si>
    <t>Full-time</t>
  </si>
  <si>
    <t>P.4.1.3.1.2</t>
  </si>
  <si>
    <t>Part-time</t>
  </si>
  <si>
    <t>P.4.1.3.2</t>
  </si>
  <si>
    <t>MO at Maternity Homes</t>
  </si>
  <si>
    <t>P.4.1.3.2.1</t>
  </si>
  <si>
    <t>P.4.1.3.2.2</t>
  </si>
  <si>
    <t>P.4.1.4</t>
  </si>
  <si>
    <t>MO at UCHC</t>
  </si>
  <si>
    <t>P.4.1.4.1</t>
  </si>
  <si>
    <t>P.4.1.9</t>
  </si>
  <si>
    <t>Public Health Manager/Facility Manager</t>
  </si>
  <si>
    <t>P.4.1.9.1</t>
  </si>
  <si>
    <t>P.4.1.11</t>
  </si>
  <si>
    <t>Other Support staff</t>
  </si>
  <si>
    <t>P.4.1.10</t>
  </si>
  <si>
    <t>DEO cum Accountant</t>
  </si>
  <si>
    <t>Incentives/ Allowances/ Awards</t>
  </si>
  <si>
    <t>P.3.3</t>
  </si>
  <si>
    <t xml:space="preserve">Support for Identified Training Institutions </t>
  </si>
  <si>
    <t>Training/ orientation of ANM and other paramedical staff</t>
  </si>
  <si>
    <t>Training/ orientation of Medical Officers</t>
  </si>
  <si>
    <t>Training/ Orientation of Specialists</t>
  </si>
  <si>
    <t>Training/ Orientation of RKS</t>
  </si>
  <si>
    <t>Training on Quality Assurance</t>
  </si>
  <si>
    <t>Training / orientation on HMIS/ICT</t>
  </si>
  <si>
    <t>P.8.2</t>
  </si>
  <si>
    <t>Research Studies</t>
  </si>
  <si>
    <t>P.1.1.1/ P.1.2.1</t>
  </si>
  <si>
    <t>Mapping of slums and vulnerable population in Metro cities/ other cities &amp; towns</t>
  </si>
  <si>
    <t>P.9.1</t>
  </si>
  <si>
    <t>Printing activities</t>
  </si>
  <si>
    <t>Drug Warehousing &amp; Logistics</t>
  </si>
  <si>
    <t>Drug Ware Housing (All operating costs including HR, etc.)</t>
  </si>
  <si>
    <t>Logistic support for Urban Health Facilities</t>
  </si>
  <si>
    <t>P.5.1</t>
  </si>
  <si>
    <t>QA committees at city level (meetings, workshops, etc.)</t>
  </si>
  <si>
    <t>P.5.2</t>
  </si>
  <si>
    <t>Review meetings</t>
  </si>
  <si>
    <t>P.8.3</t>
  </si>
  <si>
    <t>ICT Initiatives</t>
  </si>
  <si>
    <t>P.8.3.1</t>
  </si>
  <si>
    <t>Hardware &amp; Connectivity</t>
  </si>
  <si>
    <t>P.8.3.2</t>
  </si>
  <si>
    <t>Software</t>
  </si>
  <si>
    <t>P.2.1</t>
  </si>
  <si>
    <t>State PMU</t>
  </si>
  <si>
    <t>P.2.1.1</t>
  </si>
  <si>
    <t>P.2.1.2</t>
  </si>
  <si>
    <t>P.2.1.3</t>
  </si>
  <si>
    <t>P.2.1.4</t>
  </si>
  <si>
    <t>Salaries for staff on deputation</t>
  </si>
  <si>
    <t>P.2.1.5</t>
  </si>
  <si>
    <t>P.2.2</t>
  </si>
  <si>
    <t>District PMU</t>
  </si>
  <si>
    <t>P.2.2.1</t>
  </si>
  <si>
    <t>P.2.2.2</t>
  </si>
  <si>
    <t>P.2.2.3</t>
  </si>
  <si>
    <t>P.2.2.4</t>
  </si>
  <si>
    <t>P.2.3</t>
  </si>
  <si>
    <t>City PMU</t>
  </si>
  <si>
    <t>P.2.3.1</t>
  </si>
  <si>
    <t>P.2.3.2</t>
  </si>
  <si>
    <t>P.2.3.3</t>
  </si>
  <si>
    <t>P.2.3.4</t>
  </si>
  <si>
    <t>IT Support</t>
  </si>
  <si>
    <t>Innovations</t>
  </si>
  <si>
    <t>A.9.1.1</t>
  </si>
  <si>
    <t>HR for Skill Lab/ Training Institutes/ SIHFW</t>
  </si>
  <si>
    <t>Mobility &amp; Communication support for AH counsellors</t>
  </si>
  <si>
    <t>Mobility and communication support for RKSK district coordinator/ consultant</t>
  </si>
  <si>
    <t>NUHM: Abstract for Non-Metro cities</t>
  </si>
  <si>
    <t>U.1</t>
  </si>
  <si>
    <t>U.1.1</t>
  </si>
  <si>
    <t>U.1.1.1</t>
  </si>
  <si>
    <t>U.1.1.2</t>
  </si>
  <si>
    <t>U.1.2</t>
  </si>
  <si>
    <t>U.1.2.1</t>
  </si>
  <si>
    <t>U.1.2.2</t>
  </si>
  <si>
    <t>U.1.3</t>
  </si>
  <si>
    <t>U.1.3.1</t>
  </si>
  <si>
    <t>U.1.3.2</t>
  </si>
  <si>
    <t>U.1.3.3</t>
  </si>
  <si>
    <t>U.1.3.4</t>
  </si>
  <si>
    <t>U.2</t>
  </si>
  <si>
    <t>U.2.1</t>
  </si>
  <si>
    <t>U.2.1.1</t>
  </si>
  <si>
    <t>U.2.1.2</t>
  </si>
  <si>
    <t>U.2.2</t>
  </si>
  <si>
    <t>U.2.2.1</t>
  </si>
  <si>
    <t>U.2.2.2</t>
  </si>
  <si>
    <t>U.2.3</t>
  </si>
  <si>
    <t>U.2.3.1</t>
  </si>
  <si>
    <t>U.2.3.2</t>
  </si>
  <si>
    <t>U.2.3.5</t>
  </si>
  <si>
    <t>U.3</t>
  </si>
  <si>
    <t>U.3.1</t>
  </si>
  <si>
    <t>U.3.1.1</t>
  </si>
  <si>
    <t>U.3.1.1.1</t>
  </si>
  <si>
    <t>U.3.1.1.2</t>
  </si>
  <si>
    <t>U.3.1.1.3</t>
  </si>
  <si>
    <t>U.3.1.2</t>
  </si>
  <si>
    <t>U.3.1.3</t>
  </si>
  <si>
    <t>U.3.1.3.1</t>
  </si>
  <si>
    <t>U.3.2</t>
  </si>
  <si>
    <t>U.3.2.1</t>
  </si>
  <si>
    <t>U.3.2.1.1</t>
  </si>
  <si>
    <t>U.3.2.1.2</t>
  </si>
  <si>
    <t>U.3.3</t>
  </si>
  <si>
    <t>U.4</t>
  </si>
  <si>
    <t>U.4.1.1</t>
  </si>
  <si>
    <t>U.4.1.1.1</t>
  </si>
  <si>
    <t>U.4.1.1.2</t>
  </si>
  <si>
    <t>U.4.1.2</t>
  </si>
  <si>
    <t>U.4.1.3</t>
  </si>
  <si>
    <t>U.4.1.4</t>
  </si>
  <si>
    <t>U.5</t>
  </si>
  <si>
    <t>U.5.1</t>
  </si>
  <si>
    <t>U.5.1.1</t>
  </si>
  <si>
    <t>U.5.1.2</t>
  </si>
  <si>
    <t>U.5.1.3</t>
  </si>
  <si>
    <t>U.5.1.4</t>
  </si>
  <si>
    <t>U.5.2</t>
  </si>
  <si>
    <t>U.5.2.1</t>
  </si>
  <si>
    <t>U.5.2.2</t>
  </si>
  <si>
    <t>U.5.2.3</t>
  </si>
  <si>
    <t>U.5.3</t>
  </si>
  <si>
    <t>U.5.3.1</t>
  </si>
  <si>
    <t>U.6</t>
  </si>
  <si>
    <t>U.6.1</t>
  </si>
  <si>
    <t>U.6.1.1</t>
  </si>
  <si>
    <t>U.6.1.2</t>
  </si>
  <si>
    <t>U.6.1.3</t>
  </si>
  <si>
    <t>U.6.2</t>
  </si>
  <si>
    <t>U.6.2.1</t>
  </si>
  <si>
    <t>U.6.2.2</t>
  </si>
  <si>
    <t>U.6.2.3</t>
  </si>
  <si>
    <t>U.6.2.4</t>
  </si>
  <si>
    <t>U.6.2.4.1</t>
  </si>
  <si>
    <t>U.6.2.4.2</t>
  </si>
  <si>
    <t>U.6.3</t>
  </si>
  <si>
    <t>U.6.4</t>
  </si>
  <si>
    <t>U.7</t>
  </si>
  <si>
    <t>U.7.1</t>
  </si>
  <si>
    <t>U.8</t>
  </si>
  <si>
    <t>U.8.1</t>
  </si>
  <si>
    <t>U.8.1.1</t>
  </si>
  <si>
    <t>U.8.1.1.1</t>
  </si>
  <si>
    <t>U.8.1.1.2</t>
  </si>
  <si>
    <t>U.8.1.1.3</t>
  </si>
  <si>
    <t>U.8.1.2</t>
  </si>
  <si>
    <t>U.8.1.2.1</t>
  </si>
  <si>
    <t>U.8.1.2.2</t>
  </si>
  <si>
    <t>U.8.1.2.3</t>
  </si>
  <si>
    <t>U.8.1.3</t>
  </si>
  <si>
    <t>U.8.1.3.1</t>
  </si>
  <si>
    <t>U.8.1.3.2</t>
  </si>
  <si>
    <t>U.8.1.3.3</t>
  </si>
  <si>
    <t>U.8.1.4</t>
  </si>
  <si>
    <t>U.8.1.4.1</t>
  </si>
  <si>
    <t>U.8.1.4.2</t>
  </si>
  <si>
    <t>U.8.1.4.3</t>
  </si>
  <si>
    <t>U.8.1.5</t>
  </si>
  <si>
    <t>U.8.1.5.1</t>
  </si>
  <si>
    <t>U.8.1.5.2</t>
  </si>
  <si>
    <t>U.8.1.5.3</t>
  </si>
  <si>
    <t>U.8.1.6</t>
  </si>
  <si>
    <t>U.8.1.6.1</t>
  </si>
  <si>
    <t>U.8.1.6.2</t>
  </si>
  <si>
    <t>U.8.1.6.3</t>
  </si>
  <si>
    <t>U.8.1.6.4</t>
  </si>
  <si>
    <t>U.8.1.6.5</t>
  </si>
  <si>
    <t>U.8.1.6.6</t>
  </si>
  <si>
    <t>U.8.1.6.7</t>
  </si>
  <si>
    <t>U.8.1.7</t>
  </si>
  <si>
    <t>U.8.1.7.1</t>
  </si>
  <si>
    <t>U.8.1.8</t>
  </si>
  <si>
    <t>U.8.1.8.1</t>
  </si>
  <si>
    <t>U.8.1.8.1.1</t>
  </si>
  <si>
    <t>U.8.1.8.1.2</t>
  </si>
  <si>
    <t>U.8.1.8.2</t>
  </si>
  <si>
    <t>U.8.1.8.2.1</t>
  </si>
  <si>
    <t>U.8.1.8.2.2</t>
  </si>
  <si>
    <t>U.8.1.8.3</t>
  </si>
  <si>
    <t>U.8.1.8.3.1</t>
  </si>
  <si>
    <t>U.8.1.8.3.2</t>
  </si>
  <si>
    <t>U.8.1.9</t>
  </si>
  <si>
    <t>U.8.1.9.1</t>
  </si>
  <si>
    <t>U.8.1.9.1.1</t>
  </si>
  <si>
    <t>U.8.1.9.1.2</t>
  </si>
  <si>
    <t>U.8.1.10</t>
  </si>
  <si>
    <t>U.8.1.10.1</t>
  </si>
  <si>
    <t>U.8.1.10.2</t>
  </si>
  <si>
    <t>U.8.2</t>
  </si>
  <si>
    <t>U.8.3</t>
  </si>
  <si>
    <t>U.8.4</t>
  </si>
  <si>
    <t>U.8.4.1</t>
  </si>
  <si>
    <t>U.9</t>
  </si>
  <si>
    <t>U.9.1</t>
  </si>
  <si>
    <t>U.9.1.1</t>
  </si>
  <si>
    <t>U.9.1.2</t>
  </si>
  <si>
    <t>U.9.2</t>
  </si>
  <si>
    <t>U.9.5</t>
  </si>
  <si>
    <t>U.9.5.7</t>
  </si>
  <si>
    <t>U.10</t>
  </si>
  <si>
    <t>U.10.1</t>
  </si>
  <si>
    <t>U.10.1.1</t>
  </si>
  <si>
    <t>U.10.1.2</t>
  </si>
  <si>
    <t>U.10.2</t>
  </si>
  <si>
    <t>U.10.2.1</t>
  </si>
  <si>
    <t>U.10.2.3</t>
  </si>
  <si>
    <t>U.10.3</t>
  </si>
  <si>
    <t>U.10.4</t>
  </si>
  <si>
    <t>U.11</t>
  </si>
  <si>
    <t>U.11.1</t>
  </si>
  <si>
    <t>U.11.2</t>
  </si>
  <si>
    <t>U.11.5</t>
  </si>
  <si>
    <t>U.12</t>
  </si>
  <si>
    <t>U.12.1</t>
  </si>
  <si>
    <t>U.13</t>
  </si>
  <si>
    <t>U.13.1</t>
  </si>
  <si>
    <t>U.13.1.1</t>
  </si>
  <si>
    <t>U.13.2</t>
  </si>
  <si>
    <t>U.13.2.1</t>
  </si>
  <si>
    <t>U.13.2.2</t>
  </si>
  <si>
    <t>U.13.3</t>
  </si>
  <si>
    <t>U.14</t>
  </si>
  <si>
    <t>U.14.1</t>
  </si>
  <si>
    <t>U.14.2</t>
  </si>
  <si>
    <t>U.14.2.1</t>
  </si>
  <si>
    <t>U.15</t>
  </si>
  <si>
    <t>U.15.1</t>
  </si>
  <si>
    <t>U.16</t>
  </si>
  <si>
    <t>U.16.1</t>
  </si>
  <si>
    <t>U.16.1.1</t>
  </si>
  <si>
    <t>U.16.2</t>
  </si>
  <si>
    <t>U.16.3</t>
  </si>
  <si>
    <t>U.16.4</t>
  </si>
  <si>
    <t>U.16.4.1</t>
  </si>
  <si>
    <t>U.17</t>
  </si>
  <si>
    <t>U.17.1</t>
  </si>
  <si>
    <t>U.18</t>
  </si>
  <si>
    <t>Total Budget Proposed 
(in Lakhs)</t>
  </si>
  <si>
    <t>Total Budget Approved
(in Lakhs)</t>
  </si>
  <si>
    <t>Total Budget Proposed
(in Lakhs)</t>
  </si>
  <si>
    <t>NHM</t>
  </si>
  <si>
    <t>NUHM</t>
  </si>
  <si>
    <t>U.6.5</t>
  </si>
  <si>
    <t>RMNCH+A Abstract</t>
  </si>
  <si>
    <t>3.1.2.8</t>
  </si>
  <si>
    <t>3.1.1.2.8</t>
  </si>
  <si>
    <t>3.1.1.4.8</t>
  </si>
  <si>
    <t>Incentive for NCDs</t>
  </si>
  <si>
    <t>3.1.1.6</t>
  </si>
  <si>
    <t>3.1.1.6.1</t>
  </si>
  <si>
    <t>Blood Cell</t>
  </si>
  <si>
    <t>Blood cell</t>
  </si>
  <si>
    <t>U.6.1.4</t>
  </si>
  <si>
    <t>FMR</t>
  </si>
  <si>
    <t>1.3.1.7</t>
  </si>
  <si>
    <t>1.1.7.6</t>
  </si>
  <si>
    <t>Provision of free medical and surgical care to survivors of gender based violence</t>
  </si>
  <si>
    <t>PHC level: Mobility, Miscellaneous &amp; Contingencies</t>
  </si>
  <si>
    <t>State lab: Meeting Costs/Office expenses/Contingency</t>
  </si>
  <si>
    <t>Model Treatment Centres</t>
  </si>
  <si>
    <t>Treatment Centres</t>
  </si>
  <si>
    <t>NVHCP</t>
  </si>
  <si>
    <t xml:space="preserve">Incentive to ASHA for quarterly visits under HBYC </t>
  </si>
  <si>
    <t>ASHA incentive for accompanying the client for Injectable MPA (Antara Prog) administration ( @Rs 100/dose/beneficiary)- Only for 146 Mission Parivar Vikas districts</t>
  </si>
  <si>
    <t>Trainings under HBYC</t>
  </si>
  <si>
    <t>A.3.7.3/ 3.1.1.2.8</t>
  </si>
  <si>
    <t>Equipment for Paediatric HDU, Emergency, OPD and Ward</t>
  </si>
  <si>
    <t>Drugs</t>
  </si>
  <si>
    <t>Drugs and supplies for NVHCP</t>
  </si>
  <si>
    <t>Kits</t>
  </si>
  <si>
    <t>Consumables for treatment sites (plasticware, RUP, evacuated vacuum tubes, waste disposal bags etc)</t>
  </si>
  <si>
    <t>6.2.23</t>
  </si>
  <si>
    <t>6.2.23.1</t>
  </si>
  <si>
    <t>6.2.23.2</t>
  </si>
  <si>
    <t>6.2.23.3</t>
  </si>
  <si>
    <t>6.2.23.4</t>
  </si>
  <si>
    <t>HRH&amp;HPIP/HSS</t>
  </si>
  <si>
    <t>Full time</t>
  </si>
  <si>
    <t>Part time</t>
  </si>
  <si>
    <t>HRH&amp;HPIP/CH</t>
  </si>
  <si>
    <t>Staff for SNCU/NBSU/Lactation Management Centres</t>
  </si>
  <si>
    <t>Staffs for CLMC at Medical colleges/ DHs</t>
  </si>
  <si>
    <t>Staff for LMU at DH/ SDH/ high caseload CHC</t>
  </si>
  <si>
    <t>HRH&amp;HPIP/NVHCP</t>
  </si>
  <si>
    <t>8.1.5.1</t>
  </si>
  <si>
    <t>8.1.5.2</t>
  </si>
  <si>
    <t xml:space="preserve">Training of master trainers at State, district and block level </t>
  </si>
  <si>
    <t>Training of district Appropriate Authorities and district PNDT Nodal Officers</t>
  </si>
  <si>
    <t>Training of Medical officers conducting pre-natal diagnostic procedures in public health facilities</t>
  </si>
  <si>
    <t>Training of Public prosecutors</t>
  </si>
  <si>
    <t>Trainings for NVHCP</t>
  </si>
  <si>
    <t>3 day training of Medical Officer of the Model Treatment Centre  (15 Medical officers in each batch)</t>
  </si>
  <si>
    <t>5 day training of the lab technicians (15 Lab Technicians in each batch)</t>
  </si>
  <si>
    <t xml:space="preserve">1 day training of Peer support of the Treatment sites (MTC/TCs) </t>
  </si>
  <si>
    <t xml:space="preserve">1 day training of pharmacist of the Treatment sites (MTC/TCs) </t>
  </si>
  <si>
    <t xml:space="preserve">1 day training of DEO of the Treatment sites (MTC/TCs) </t>
  </si>
  <si>
    <t>9.5.2.24</t>
  </si>
  <si>
    <t>9.5.21.3</t>
  </si>
  <si>
    <t>9.5.21.4</t>
  </si>
  <si>
    <t>9.5.29.1</t>
  </si>
  <si>
    <t>9.5.29.2</t>
  </si>
  <si>
    <t>9.5.29.3</t>
  </si>
  <si>
    <t>9.5.29.4</t>
  </si>
  <si>
    <t>9.5.29.5</t>
  </si>
  <si>
    <t>9.5.29.6</t>
  </si>
  <si>
    <t>9.5.29.7</t>
  </si>
  <si>
    <t>Printing for IMNCI, FIMNCI, FBNC, NBSU training packages and the translation</t>
  </si>
  <si>
    <t>Printing for Micronutrient Supplementation Programme including IEC materials, reporting formats, guidelines / training materials etc. (For AMB and Vitamin A supplementation programmes)</t>
  </si>
  <si>
    <t>Printing cost for HBYC</t>
  </si>
  <si>
    <t>Printing of training material</t>
  </si>
  <si>
    <t>Printing of PC&amp;PNDT Act and Rules</t>
  </si>
  <si>
    <t>12.2.13</t>
  </si>
  <si>
    <t>16.1.1</t>
  </si>
  <si>
    <t>16.1.1.1</t>
  </si>
  <si>
    <t>16.1.1.1.1</t>
  </si>
  <si>
    <t>16.1.1.1.2</t>
  </si>
  <si>
    <t>16.1.1.2</t>
  </si>
  <si>
    <t>16.1.1.1.3</t>
  </si>
  <si>
    <t>16.1.1.3</t>
  </si>
  <si>
    <t>16.1.2</t>
  </si>
  <si>
    <t>16.1.3</t>
  </si>
  <si>
    <t>16.1.1.4</t>
  </si>
  <si>
    <t>16.1.4</t>
  </si>
  <si>
    <t>16.1.1.5</t>
  </si>
  <si>
    <t>16.1.5</t>
  </si>
  <si>
    <t>16.1.1.6</t>
  </si>
  <si>
    <t>16.1.6</t>
  </si>
  <si>
    <t>16.1.1.7</t>
  </si>
  <si>
    <t>16.1.7</t>
  </si>
  <si>
    <t>16.1.1.8</t>
  </si>
  <si>
    <t>16.1.8</t>
  </si>
  <si>
    <t>16.1.1.9</t>
  </si>
  <si>
    <t>16.1.9</t>
  </si>
  <si>
    <t>16.1.2.1</t>
  </si>
  <si>
    <t>16.2.1</t>
  </si>
  <si>
    <t>16.1.2.1.1</t>
  </si>
  <si>
    <t>16.2.1.1</t>
  </si>
  <si>
    <t>16.1.2.1.2</t>
  </si>
  <si>
    <t>16.2.1.2</t>
  </si>
  <si>
    <t>16.1.2.1.3</t>
  </si>
  <si>
    <t>16.2.1.3</t>
  </si>
  <si>
    <t>16.1.2.1.4</t>
  </si>
  <si>
    <t>16.2.1.4</t>
  </si>
  <si>
    <t>16.1.2.1.5</t>
  </si>
  <si>
    <t>16.2.1.5</t>
  </si>
  <si>
    <t>16.1.2.1.6</t>
  </si>
  <si>
    <t>16.2.1.6</t>
  </si>
  <si>
    <t>16.1.2.1.7</t>
  </si>
  <si>
    <t>16.2.1.7</t>
  </si>
  <si>
    <t>16.1.2.1.8</t>
  </si>
  <si>
    <t>16.2.1.8</t>
  </si>
  <si>
    <t>16.1.2.1.9</t>
  </si>
  <si>
    <t>16.2.1.9</t>
  </si>
  <si>
    <t>16.1.2.1.10</t>
  </si>
  <si>
    <t>16.2.1.10</t>
  </si>
  <si>
    <t>16.1.2.1.11</t>
  </si>
  <si>
    <t>16.2.1.11</t>
  </si>
  <si>
    <t>16.1.2.1.12</t>
  </si>
  <si>
    <t>16.2.1.12</t>
  </si>
  <si>
    <t>16.1.2.1.13</t>
  </si>
  <si>
    <t>16.2.1.13</t>
  </si>
  <si>
    <t>16.1.2.1.14</t>
  </si>
  <si>
    <t>16.2.1.14</t>
  </si>
  <si>
    <t>16.1.2.1.15</t>
  </si>
  <si>
    <t>16.2.1.15</t>
  </si>
  <si>
    <t>16.1.2.1.16</t>
  </si>
  <si>
    <t>16.2.1.16</t>
  </si>
  <si>
    <t>16.1.2.1.17</t>
  </si>
  <si>
    <t>16.2.1.17</t>
  </si>
  <si>
    <t>16.1.2.1.18</t>
  </si>
  <si>
    <t>16.2.1.18</t>
  </si>
  <si>
    <t>16.1.2.1.19</t>
  </si>
  <si>
    <t>16.2.1.19</t>
  </si>
  <si>
    <t>16.1.2.1.20</t>
  </si>
  <si>
    <t>16.2.1.20</t>
  </si>
  <si>
    <t>16.1.2.1.21</t>
  </si>
  <si>
    <t>16.2.1.21</t>
  </si>
  <si>
    <t>16.1.2.2</t>
  </si>
  <si>
    <t>16.2.2</t>
  </si>
  <si>
    <t>16.1.2.2.1</t>
  </si>
  <si>
    <t>16.2.2.1</t>
  </si>
  <si>
    <t>16.1.2.2.2</t>
  </si>
  <si>
    <t>16.2.2.2</t>
  </si>
  <si>
    <t>16.1.2.2.3</t>
  </si>
  <si>
    <t>16.2.2.3</t>
  </si>
  <si>
    <t>16.1.2.2.4</t>
  </si>
  <si>
    <t>16.2.2.4</t>
  </si>
  <si>
    <t>16.1.2.2.5</t>
  </si>
  <si>
    <t>16.1.2.2.6</t>
  </si>
  <si>
    <t>16.2.2.6</t>
  </si>
  <si>
    <t>16.1.2.2.7</t>
  </si>
  <si>
    <t>16.2.2.7</t>
  </si>
  <si>
    <t>16.1.2.2.8</t>
  </si>
  <si>
    <t>16.2.2.8</t>
  </si>
  <si>
    <t>16.1.2.2.9</t>
  </si>
  <si>
    <t>16.2.2.9</t>
  </si>
  <si>
    <t>16.1.2.2.10</t>
  </si>
  <si>
    <t>16.2.2.10</t>
  </si>
  <si>
    <t>16.1.2.2.11</t>
  </si>
  <si>
    <t>16.2.2.11</t>
  </si>
  <si>
    <t>16.1.2.2.12</t>
  </si>
  <si>
    <t>16.2.2.12</t>
  </si>
  <si>
    <t>16.1.2.2.13</t>
  </si>
  <si>
    <t>16.2.2.13</t>
  </si>
  <si>
    <t>16.2.2.14</t>
  </si>
  <si>
    <t>16.1.2.2.15</t>
  </si>
  <si>
    <t>16.1.2.2.16</t>
  </si>
  <si>
    <t>16.2.2.16</t>
  </si>
  <si>
    <t>16.1.3.1</t>
  </si>
  <si>
    <t>16.3.1</t>
  </si>
  <si>
    <t>16.1.3.1.1</t>
  </si>
  <si>
    <t>16.3.1.1</t>
  </si>
  <si>
    <t>16.1.3.1.2</t>
  </si>
  <si>
    <t>16.3.1.2</t>
  </si>
  <si>
    <t>16.1.3.1.3</t>
  </si>
  <si>
    <t>16.3.1.3</t>
  </si>
  <si>
    <t>16.1.3.1.4</t>
  </si>
  <si>
    <t>16.3.1.4</t>
  </si>
  <si>
    <t>16.1.3.1.5</t>
  </si>
  <si>
    <t>16.3.1.5</t>
  </si>
  <si>
    <t>16.1.3.1.6</t>
  </si>
  <si>
    <t>16.3.1.6</t>
  </si>
  <si>
    <t>16.1.3.1.7</t>
  </si>
  <si>
    <t>16.3.1.7</t>
  </si>
  <si>
    <t>16.1.3.1.8</t>
  </si>
  <si>
    <t>16.3.1.8</t>
  </si>
  <si>
    <t>16.1.3.1.9</t>
  </si>
  <si>
    <t>16.3.1.9</t>
  </si>
  <si>
    <t>16.1.3.1.10</t>
  </si>
  <si>
    <t>16.3.1.10</t>
  </si>
  <si>
    <t>16.1.3.1.11</t>
  </si>
  <si>
    <t>16.3.1.11</t>
  </si>
  <si>
    <t>16.1.3.1.12</t>
  </si>
  <si>
    <t>16.3.1.12</t>
  </si>
  <si>
    <t>16.1.3.1.13</t>
  </si>
  <si>
    <t>16.3.1.13</t>
  </si>
  <si>
    <t>16.1.3.1.14</t>
  </si>
  <si>
    <t>16.3.1.14</t>
  </si>
  <si>
    <t>16.1.3.1.16</t>
  </si>
  <si>
    <t>16.1.3.1.17</t>
  </si>
  <si>
    <t>16.3.1.16</t>
  </si>
  <si>
    <t>16.1.3.1.18</t>
  </si>
  <si>
    <t>16.3.1.17</t>
  </si>
  <si>
    <t>16.1.3.1.19</t>
  </si>
  <si>
    <t>16.3.1.18</t>
  </si>
  <si>
    <t>16.3.1.19</t>
  </si>
  <si>
    <t>16.3.1.20</t>
  </si>
  <si>
    <t>16.1.3.2</t>
  </si>
  <si>
    <t>16.3.2</t>
  </si>
  <si>
    <t>16.1.3.2.1</t>
  </si>
  <si>
    <t>16.3.2.1</t>
  </si>
  <si>
    <t>16.1.3.2.2</t>
  </si>
  <si>
    <t>16.3.2.2</t>
  </si>
  <si>
    <t>16.1.3.3</t>
  </si>
  <si>
    <t>16.3.3</t>
  </si>
  <si>
    <t>16.1.3.3.1</t>
  </si>
  <si>
    <t>16.3.3.1</t>
  </si>
  <si>
    <t>16.1.3.3.2</t>
  </si>
  <si>
    <t>16.3.3.2</t>
  </si>
  <si>
    <t>16.1.3.3.3</t>
  </si>
  <si>
    <t>16.3.3.3</t>
  </si>
  <si>
    <t>16.1.3.3.4</t>
  </si>
  <si>
    <t>16.3.3.4</t>
  </si>
  <si>
    <t>16.1.3.3.5</t>
  </si>
  <si>
    <t>16.3.3.5</t>
  </si>
  <si>
    <t>16.1.3.3.6</t>
  </si>
  <si>
    <t>16.3.3.6</t>
  </si>
  <si>
    <t>16.1.3.3.7</t>
  </si>
  <si>
    <t>16.3.3.7</t>
  </si>
  <si>
    <t>16.1.3.3.8</t>
  </si>
  <si>
    <t>16.3.3.8</t>
  </si>
  <si>
    <t>16.1.3.3.9</t>
  </si>
  <si>
    <t>16.3.3.9</t>
  </si>
  <si>
    <t>16.1.3.3.10</t>
  </si>
  <si>
    <t>16.3.3.10</t>
  </si>
  <si>
    <t>16.1.3.3.11</t>
  </si>
  <si>
    <t>16.3.3.11</t>
  </si>
  <si>
    <t>16.1.3.3.12</t>
  </si>
  <si>
    <t>16.3.3.12</t>
  </si>
  <si>
    <t>16.1.3.3.13</t>
  </si>
  <si>
    <t>16.3.3.13</t>
  </si>
  <si>
    <t>16.1.3.3.14</t>
  </si>
  <si>
    <t>16.3.3.14</t>
  </si>
  <si>
    <t>16.1.3.3.16</t>
  </si>
  <si>
    <t>16.3.3.16</t>
  </si>
  <si>
    <t>16.3.3.17</t>
  </si>
  <si>
    <t>16.1.3.4</t>
  </si>
  <si>
    <t>16.3.4</t>
  </si>
  <si>
    <t>16.1.3.4.1</t>
  </si>
  <si>
    <t>16.3.4.1</t>
  </si>
  <si>
    <t>16.1.3.4.2</t>
  </si>
  <si>
    <t>16.3.4.2</t>
  </si>
  <si>
    <t>16.1.3.4.3</t>
  </si>
  <si>
    <t>16.3.4.3</t>
  </si>
  <si>
    <t>16.1.3.4.4</t>
  </si>
  <si>
    <t>16.3.4.4</t>
  </si>
  <si>
    <t>16.1.3.4.5</t>
  </si>
  <si>
    <t>16.3.4.5</t>
  </si>
  <si>
    <t>16.1.3.5</t>
  </si>
  <si>
    <t>16.3.5</t>
  </si>
  <si>
    <t>16.1.3.5.1</t>
  </si>
  <si>
    <t>16.3.5.1</t>
  </si>
  <si>
    <t>16.1.4.1</t>
  </si>
  <si>
    <t>16.4.1</t>
  </si>
  <si>
    <t>16.1.4.1.1</t>
  </si>
  <si>
    <t>16.4.1.1</t>
  </si>
  <si>
    <t>16.1.4.1.2</t>
  </si>
  <si>
    <t>16.4.1.2</t>
  </si>
  <si>
    <t>16.1.4.1.3</t>
  </si>
  <si>
    <t>16.4.1.3</t>
  </si>
  <si>
    <t>16.1.4.1.4</t>
  </si>
  <si>
    <t>16.4.1.4</t>
  </si>
  <si>
    <t>16.1.4.1.5</t>
  </si>
  <si>
    <t>16.4.1.5</t>
  </si>
  <si>
    <t>16.1.4.1.6</t>
  </si>
  <si>
    <t>16.4.1.6</t>
  </si>
  <si>
    <t>16.1.4.1.7</t>
  </si>
  <si>
    <t>16.4.1.7</t>
  </si>
  <si>
    <t>16.1.4.1.8</t>
  </si>
  <si>
    <t>16.4.1.8</t>
  </si>
  <si>
    <t>16.1.4.1.9</t>
  </si>
  <si>
    <t>16.4.1.9</t>
  </si>
  <si>
    <t>16.1.4.1.10</t>
  </si>
  <si>
    <t>16.4.1.10</t>
  </si>
  <si>
    <t>16.1.4.1.11</t>
  </si>
  <si>
    <t>16.4.1.11</t>
  </si>
  <si>
    <t>16.1.4.1.12</t>
  </si>
  <si>
    <t>16.4.1.12</t>
  </si>
  <si>
    <t>16.1.4.1.13</t>
  </si>
  <si>
    <t>16.4.1.13</t>
  </si>
  <si>
    <t>16.1.4.1.14</t>
  </si>
  <si>
    <t>16.1.4.2</t>
  </si>
  <si>
    <t>16.4.2</t>
  </si>
  <si>
    <t>16.1.4.2.1</t>
  </si>
  <si>
    <t>16.4.2.1</t>
  </si>
  <si>
    <t>16.1.4.2.2</t>
  </si>
  <si>
    <t>16.4.2.2</t>
  </si>
  <si>
    <t>16.1.4.2.3</t>
  </si>
  <si>
    <t>16.4.2.3</t>
  </si>
  <si>
    <t>16.1.4.2.4</t>
  </si>
  <si>
    <t>16.4.2.4</t>
  </si>
  <si>
    <t>16.1.4.2.5</t>
  </si>
  <si>
    <t>16.4.2.5</t>
  </si>
  <si>
    <t>16.1.4.2.6</t>
  </si>
  <si>
    <t>16.4.2.6</t>
  </si>
  <si>
    <t>16.1.4.2.7</t>
  </si>
  <si>
    <t>16.4.2.7</t>
  </si>
  <si>
    <t>16.1.4.2.8</t>
  </si>
  <si>
    <t>16.4.2.8</t>
  </si>
  <si>
    <t>16.1.4.2.9</t>
  </si>
  <si>
    <t>16.4.2.9</t>
  </si>
  <si>
    <t>16.1.4.3</t>
  </si>
  <si>
    <t>16.4.3</t>
  </si>
  <si>
    <t>16.1.4.3.1</t>
  </si>
  <si>
    <t>16.4.3.1</t>
  </si>
  <si>
    <t>16.1.5.1</t>
  </si>
  <si>
    <t>16.7.1</t>
  </si>
  <si>
    <t>16.1.5.1.1</t>
  </si>
  <si>
    <t>16.7.1.1</t>
  </si>
  <si>
    <t>16.1.5.1.2</t>
  </si>
  <si>
    <t>16.7.1.2</t>
  </si>
  <si>
    <t>16.1.5.1.3</t>
  </si>
  <si>
    <t>16.7.1.3</t>
  </si>
  <si>
    <t>16.1.5.2</t>
  </si>
  <si>
    <t>16.7.2</t>
  </si>
  <si>
    <t>16.1.5.2.1</t>
  </si>
  <si>
    <t>16.7.2.1</t>
  </si>
  <si>
    <t>16.1.5.2.2</t>
  </si>
  <si>
    <t>16.7.2.2</t>
  </si>
  <si>
    <t>16.1.5.2.3</t>
  </si>
  <si>
    <t>16.7.2.3</t>
  </si>
  <si>
    <t>16.1.5.2.4</t>
  </si>
  <si>
    <t>16.7.2.4</t>
  </si>
  <si>
    <t>16.1.5.2.5</t>
  </si>
  <si>
    <t>16.7.2.5</t>
  </si>
  <si>
    <t>16.1.5.2.6</t>
  </si>
  <si>
    <t>16.7.2.6</t>
  </si>
  <si>
    <t>16.1.5.2.7</t>
  </si>
  <si>
    <t>16.7.2.7</t>
  </si>
  <si>
    <t>16.1.5.3</t>
  </si>
  <si>
    <t>16.7.3</t>
  </si>
  <si>
    <t>16.1.5.3.1</t>
  </si>
  <si>
    <t>16.7.3.1</t>
  </si>
  <si>
    <t>16.1.5.3.2</t>
  </si>
  <si>
    <t>16.7.3.2</t>
  </si>
  <si>
    <t>16.1.5.3.3</t>
  </si>
  <si>
    <t>16.7.3.3</t>
  </si>
  <si>
    <t>16.1.5.3.4</t>
  </si>
  <si>
    <t>16.7.3.4</t>
  </si>
  <si>
    <t>16.1.5.3.7</t>
  </si>
  <si>
    <t>16.7.3.7</t>
  </si>
  <si>
    <t>16.1.5.3.8</t>
  </si>
  <si>
    <t>16.7.3.8</t>
  </si>
  <si>
    <t>16.1.5.3.9</t>
  </si>
  <si>
    <t>16.7.3.9</t>
  </si>
  <si>
    <t>16.1.5.3.10</t>
  </si>
  <si>
    <t>16.7.3.12</t>
  </si>
  <si>
    <t>16.1.5.3.13</t>
  </si>
  <si>
    <t>16.7.3.13</t>
  </si>
  <si>
    <t>16.1.5.3.14</t>
  </si>
  <si>
    <t>16.7.3.14</t>
  </si>
  <si>
    <t>16.1.5.3.15</t>
  </si>
  <si>
    <t>16.7.3.15</t>
  </si>
  <si>
    <t>16.7.3.16</t>
  </si>
  <si>
    <t>16.7.3.17</t>
  </si>
  <si>
    <t>SVHMU: Meeting Costs/Office expenses/Contingency</t>
  </si>
  <si>
    <t>SVHMU: Cost of travel for supervision and monitoring</t>
  </si>
  <si>
    <t>HRH&amp;HPIP/RBSK</t>
  </si>
  <si>
    <t>HRH&amp;HPIP/RCH</t>
  </si>
  <si>
    <t>HRH&amp;HPIP/RI</t>
  </si>
  <si>
    <t>HRH&amp;HPIP/NMHP</t>
  </si>
  <si>
    <t>Review/orientation meetings for child health programmes</t>
  </si>
  <si>
    <t>HRH&amp;HPIP/FP</t>
  </si>
  <si>
    <t>HRH&amp;HPIP/AH</t>
  </si>
  <si>
    <t>HRH&amp;HPIP/NHSRC-CP</t>
  </si>
  <si>
    <t>HRH&amp;HPIP/IDSP</t>
  </si>
  <si>
    <t>HRH&amp;HPIP/NVBDCP</t>
  </si>
  <si>
    <t>HRH&amp;HPIP/NLEP</t>
  </si>
  <si>
    <t>HRH&amp;HPIP/NTCP</t>
  </si>
  <si>
    <t>HRH&amp;HPIP/HSS/IEC</t>
  </si>
  <si>
    <t>HRH&amp;HPIP/NPCDCS</t>
  </si>
  <si>
    <t>HRH&amp;HPIP</t>
  </si>
  <si>
    <t>HRH&amp;HPIP/MH</t>
  </si>
  <si>
    <t>HRH&amp;HPIP/NHSRC-QA</t>
  </si>
  <si>
    <t>Facility/Block</t>
  </si>
  <si>
    <t>HRH&amp;HPIP/Blood cell</t>
  </si>
  <si>
    <t>SVHMU: Non-recurring Equipment- (computer, printer photocopier scanner etc)</t>
  </si>
  <si>
    <t>HRH&amp;HPIP/IEC</t>
  </si>
  <si>
    <t>HRH&amp;HPIP/NPCB</t>
  </si>
  <si>
    <t>Programme Management Activities (as per PM sub annex)</t>
  </si>
  <si>
    <t>16.2.3</t>
  </si>
  <si>
    <t>Others (decoy operations, Mapping or surveys of ultrasound  machines etc )</t>
  </si>
  <si>
    <t>16.4.1.3.1</t>
  </si>
  <si>
    <t>16.4.1.3.2</t>
  </si>
  <si>
    <t>16.4.1.3.3</t>
  </si>
  <si>
    <t>16.4.1.3.4</t>
  </si>
  <si>
    <t>16.4.1.3.5</t>
  </si>
  <si>
    <t>16.4.1.3.6</t>
  </si>
  <si>
    <t>16.4.1.3.7</t>
  </si>
  <si>
    <t>16.4.1.3.8</t>
  </si>
  <si>
    <t>16.4.1.3.9</t>
  </si>
  <si>
    <t>16.4.1.3.10</t>
  </si>
  <si>
    <t>16.4.1.3.11</t>
  </si>
  <si>
    <t>16.4.1.3.12</t>
  </si>
  <si>
    <t>16.4.1.4.1</t>
  </si>
  <si>
    <t>16.4.1.4.2</t>
  </si>
  <si>
    <t>16.4.1.4.3</t>
  </si>
  <si>
    <t>16.4.1.4.4</t>
  </si>
  <si>
    <t>16.4.1.4.5</t>
  </si>
  <si>
    <t>16.4.1.4.6</t>
  </si>
  <si>
    <t>16.4.1.4.7</t>
  </si>
  <si>
    <t>16.4.1.4.8</t>
  </si>
  <si>
    <t>16.4.1.4.9</t>
  </si>
  <si>
    <t>16.4.1.4.10</t>
  </si>
  <si>
    <t>16.4.1.4.11</t>
  </si>
  <si>
    <t>16.4.1.5.1</t>
  </si>
  <si>
    <t>16.4.1.5.2</t>
  </si>
  <si>
    <t>16.4.1.5.3</t>
  </si>
  <si>
    <t>16.4.1.5.4</t>
  </si>
  <si>
    <t>16.4.1.5.5</t>
  </si>
  <si>
    <t>16.4.1.5.6</t>
  </si>
  <si>
    <t>16.4.1.5.7</t>
  </si>
  <si>
    <t>16.4.1.5.8</t>
  </si>
  <si>
    <t>16.4.1.5.9</t>
  </si>
  <si>
    <t>16.4.1.5.10</t>
  </si>
  <si>
    <t>16.4.1.5.11</t>
  </si>
  <si>
    <t>16.4.2.1.1</t>
  </si>
  <si>
    <t>16.4.2.1.2</t>
  </si>
  <si>
    <t>16.4.2.1.3</t>
  </si>
  <si>
    <t>16.4.2.1.4</t>
  </si>
  <si>
    <t>16.4.2.1.5</t>
  </si>
  <si>
    <t>16.4.2.1.6</t>
  </si>
  <si>
    <t>16.4.2.1.7</t>
  </si>
  <si>
    <t>16.4.2.1.8</t>
  </si>
  <si>
    <t>16.4.2.1.9</t>
  </si>
  <si>
    <t>16.4.2.1.10</t>
  </si>
  <si>
    <t>16.4.2.1.11</t>
  </si>
  <si>
    <t>16.4.2.2.1</t>
  </si>
  <si>
    <t>16.4.2.2.2</t>
  </si>
  <si>
    <t>16.4.2.2.3</t>
  </si>
  <si>
    <t>16.4.2.2.4</t>
  </si>
  <si>
    <t>16.4.2.2.5</t>
  </si>
  <si>
    <t>16.4.2.2.6</t>
  </si>
  <si>
    <t>16.4.2.2.7</t>
  </si>
  <si>
    <t>16.4.2.2.8</t>
  </si>
  <si>
    <t>16.4.2.2.9</t>
  </si>
  <si>
    <t>16.4.2.2.10</t>
  </si>
  <si>
    <t>16.4.2.2.11</t>
  </si>
  <si>
    <t>16.4.2.3.1</t>
  </si>
  <si>
    <t>16.4.2.3.2</t>
  </si>
  <si>
    <t>16.4.2.3.3</t>
  </si>
  <si>
    <t>16.4.2.3.4</t>
  </si>
  <si>
    <t>16.4.2.3.5</t>
  </si>
  <si>
    <t>16.4.2.3.6</t>
  </si>
  <si>
    <t>16.4.2.3.7</t>
  </si>
  <si>
    <t>16.4.2.3.8</t>
  </si>
  <si>
    <t>16.4.2.3.9</t>
  </si>
  <si>
    <t>16.4.2.3.10</t>
  </si>
  <si>
    <t>16.4.2.3.11</t>
  </si>
  <si>
    <t>16.4.3.1.1</t>
  </si>
  <si>
    <t>16.4.3.1.2</t>
  </si>
  <si>
    <t>16.4.3.1.3</t>
  </si>
  <si>
    <t>16.4.3.1.4</t>
  </si>
  <si>
    <t>16.4.3.1.5</t>
  </si>
  <si>
    <t>16.4.3.1.6</t>
  </si>
  <si>
    <t>16.4.3.1.7</t>
  </si>
  <si>
    <t>16.4.3.1.8</t>
  </si>
  <si>
    <t>16.4.3.1.9</t>
  </si>
  <si>
    <t>16.4.3.1.10</t>
  </si>
  <si>
    <t>16.4.3.1.11</t>
  </si>
  <si>
    <t>16.4.3.2</t>
  </si>
  <si>
    <t>16.4.3.2.1</t>
  </si>
  <si>
    <t>16.4.3.2.2</t>
  </si>
  <si>
    <t>16.4.3.2.3</t>
  </si>
  <si>
    <t>16.4.3.2.4</t>
  </si>
  <si>
    <t>16.4.3.2.5</t>
  </si>
  <si>
    <t>16.4.3.2.6</t>
  </si>
  <si>
    <t>16.4.3.2.7</t>
  </si>
  <si>
    <t>16.4.3.2.8</t>
  </si>
  <si>
    <t>16.4.3.2.9</t>
  </si>
  <si>
    <t>16.4.3.2.10</t>
  </si>
  <si>
    <t>16.4.3.2.11</t>
  </si>
  <si>
    <t>16.4.3.3</t>
  </si>
  <si>
    <t>16.4.3.3.1</t>
  </si>
  <si>
    <t>16.4.3.3.2</t>
  </si>
  <si>
    <t>16.4.3.3.3</t>
  </si>
  <si>
    <t>16.4.3.3.4</t>
  </si>
  <si>
    <t>16.4.3.3.5</t>
  </si>
  <si>
    <t>16.4.3.3.6</t>
  </si>
  <si>
    <t>16.4.3.3.7</t>
  </si>
  <si>
    <t>16.4.3.3.8</t>
  </si>
  <si>
    <t>16.4.3.3.9</t>
  </si>
  <si>
    <t>16.4.3.3.10</t>
  </si>
  <si>
    <t>16.4.3.3.11</t>
  </si>
  <si>
    <t>16.4.4</t>
  </si>
  <si>
    <t>16.4.5</t>
  </si>
  <si>
    <t>1.3.1.14</t>
  </si>
  <si>
    <t>1.3.1.15</t>
  </si>
  <si>
    <t>1.3.1.16</t>
  </si>
  <si>
    <t>1.3.1.17</t>
  </si>
  <si>
    <t>1.3.1.17.1</t>
  </si>
  <si>
    <t>1.3.1.17.2</t>
  </si>
  <si>
    <t>1.3.1.18</t>
  </si>
  <si>
    <t>1.3.1.19</t>
  </si>
  <si>
    <t>3.1.2.9</t>
  </si>
  <si>
    <t>3.1.1.2.9</t>
  </si>
  <si>
    <t>12.18.1</t>
  </si>
  <si>
    <t>12.18.2</t>
  </si>
  <si>
    <t>3.1.1.6.3</t>
  </si>
  <si>
    <t>8.1.9.5</t>
  </si>
  <si>
    <t>8.1.9.6</t>
  </si>
  <si>
    <t>NHSRC - HCT</t>
  </si>
  <si>
    <t>HSS/ NHSRC -HCT</t>
  </si>
  <si>
    <t>9.5.1.26</t>
  </si>
  <si>
    <t>Travel Cost of State Midwifery Educators: State to National Institute</t>
  </si>
  <si>
    <t xml:space="preserve">Training of Nurse Practitioners in Midwifery </t>
  </si>
  <si>
    <t>9.5.1.27</t>
  </si>
  <si>
    <t>16.1.2.1.23</t>
  </si>
  <si>
    <t>16.2.1.23</t>
  </si>
  <si>
    <t>9.2.4</t>
  </si>
  <si>
    <t>State level Midwifery Educators</t>
  </si>
  <si>
    <t>Monitoring &amp; Evaluation under MVCR</t>
  </si>
  <si>
    <t>Logistic for Entomological Lab Strengthening and others under MVCR</t>
  </si>
  <si>
    <t>9.5.12.8</t>
  </si>
  <si>
    <t>Training under MVCR</t>
  </si>
  <si>
    <t>11.15.8</t>
  </si>
  <si>
    <t>IEC/ BCC activities under MVCR</t>
  </si>
  <si>
    <t>1.1.7.8</t>
  </si>
  <si>
    <t>Patient requiring Blood Transfusion: 1) Patients with blood disorders 2) Patients in Trauma 3) Other requiring blood transfusion</t>
  </si>
  <si>
    <t>IEC/BCC activities under Blood Services</t>
  </si>
  <si>
    <t>IEC/BCC activities under Blood Disorders</t>
  </si>
  <si>
    <t>Hemo-Dialysis Services under PMNDP</t>
  </si>
  <si>
    <t>Peritoneal Dialysis Services under PMNDP</t>
  </si>
  <si>
    <t>1.1.6.5.1</t>
  </si>
  <si>
    <t>1.1.6.5.2</t>
  </si>
  <si>
    <t>14.1.1.4</t>
  </si>
  <si>
    <t>14.1.1.5</t>
  </si>
  <si>
    <t>Mobility support for SPMU</t>
  </si>
  <si>
    <t>Mobility support for DPMU</t>
  </si>
  <si>
    <t>Administrative expenses (including Review meetings, workshops,  etc.) for SPMU</t>
  </si>
  <si>
    <t>Administrative expenses (including Review meetings, workshops,  etc.) for DPMU</t>
  </si>
  <si>
    <t>U.16.4.2</t>
  </si>
  <si>
    <t>U.16.4.3</t>
  </si>
  <si>
    <t>U.16.4.4</t>
  </si>
  <si>
    <t xml:space="preserve">Office Operational Cost </t>
  </si>
  <si>
    <t>Abstract for NVHCP</t>
  </si>
  <si>
    <t>1.3.1.18.1</t>
  </si>
  <si>
    <t>1.3.1.18.2</t>
  </si>
  <si>
    <t>Annexures</t>
  </si>
  <si>
    <t>Abstracts</t>
  </si>
  <si>
    <t>Blood Services &amp; Disorders</t>
  </si>
  <si>
    <t>RMNCH+A</t>
  </si>
  <si>
    <t>AYUSH</t>
  </si>
  <si>
    <t>ASHA</t>
  </si>
  <si>
    <t>NUHM: Non Metro</t>
  </si>
  <si>
    <t>NUHM: Metro</t>
  </si>
  <si>
    <r>
      <rPr>
        <b/>
        <sz val="10"/>
        <rFont val="Arial"/>
        <family val="2"/>
      </rPr>
      <t xml:space="preserve">FMR 1: </t>
    </r>
    <r>
      <rPr>
        <sz val="10"/>
        <rFont val="Arial"/>
        <family val="2"/>
      </rPr>
      <t>Service Delivery: Facility Based</t>
    </r>
  </si>
  <si>
    <r>
      <rPr>
        <b/>
        <sz val="10"/>
        <rFont val="Arial"/>
        <family val="2"/>
      </rPr>
      <t xml:space="preserve">FMR 2: </t>
    </r>
    <r>
      <rPr>
        <sz val="10"/>
        <rFont val="Arial"/>
        <family val="2"/>
      </rPr>
      <t>Service Delivery: Community Based</t>
    </r>
  </si>
  <si>
    <r>
      <rPr>
        <b/>
        <sz val="10"/>
        <rFont val="Arial"/>
        <family val="2"/>
      </rPr>
      <t xml:space="preserve">FMR 3: </t>
    </r>
    <r>
      <rPr>
        <sz val="10"/>
        <rFont val="Arial"/>
        <family val="2"/>
      </rPr>
      <t>Community Intervention</t>
    </r>
  </si>
  <si>
    <r>
      <rPr>
        <b/>
        <sz val="10"/>
        <rFont val="Arial"/>
        <family val="2"/>
      </rPr>
      <t xml:space="preserve">FMR 4: </t>
    </r>
    <r>
      <rPr>
        <sz val="10"/>
        <rFont val="Arial"/>
        <family val="2"/>
      </rPr>
      <t>Untied grants</t>
    </r>
  </si>
  <si>
    <r>
      <rPr>
        <b/>
        <sz val="10"/>
        <rFont val="Arial"/>
        <family val="2"/>
      </rPr>
      <t xml:space="preserve">FMR 5: </t>
    </r>
    <r>
      <rPr>
        <sz val="10"/>
        <rFont val="Arial"/>
        <family val="2"/>
      </rPr>
      <t>Infrastructure</t>
    </r>
  </si>
  <si>
    <r>
      <rPr>
        <b/>
        <sz val="10"/>
        <rFont val="Arial"/>
        <family val="2"/>
      </rPr>
      <t xml:space="preserve">FMR 6: </t>
    </r>
    <r>
      <rPr>
        <sz val="10"/>
        <rFont val="Arial"/>
        <family val="2"/>
      </rPr>
      <t>Procurement</t>
    </r>
  </si>
  <si>
    <r>
      <rPr>
        <b/>
        <sz val="10"/>
        <rFont val="Arial"/>
        <family val="2"/>
      </rPr>
      <t xml:space="preserve">FMR 7: </t>
    </r>
    <r>
      <rPr>
        <sz val="10"/>
        <rFont val="Arial"/>
        <family val="2"/>
      </rPr>
      <t>Referral Transport</t>
    </r>
  </si>
  <si>
    <r>
      <rPr>
        <b/>
        <sz val="10"/>
        <rFont val="Arial"/>
        <family val="2"/>
      </rPr>
      <t xml:space="preserve">FMR 8: </t>
    </r>
    <r>
      <rPr>
        <sz val="10"/>
        <rFont val="Arial"/>
        <family val="2"/>
      </rPr>
      <t>Human Resource (Service Delivery)</t>
    </r>
  </si>
  <si>
    <r>
      <rPr>
        <b/>
        <sz val="10"/>
        <rFont val="Arial"/>
        <family val="2"/>
      </rPr>
      <t xml:space="preserve">FMR 9: </t>
    </r>
    <r>
      <rPr>
        <sz val="10"/>
        <rFont val="Arial"/>
        <family val="2"/>
      </rPr>
      <t>Training</t>
    </r>
  </si>
  <si>
    <r>
      <rPr>
        <b/>
        <sz val="10"/>
        <rFont val="Arial"/>
        <family val="2"/>
      </rPr>
      <t xml:space="preserve">FMR 10: </t>
    </r>
    <r>
      <rPr>
        <sz val="10"/>
        <rFont val="Arial"/>
        <family val="2"/>
      </rPr>
      <t>Review, Research and Surveillance</t>
    </r>
  </si>
  <si>
    <r>
      <rPr>
        <b/>
        <sz val="10"/>
        <rFont val="Arial"/>
        <family val="2"/>
      </rPr>
      <t xml:space="preserve">FMR 11: </t>
    </r>
    <r>
      <rPr>
        <sz val="10"/>
        <rFont val="Arial"/>
        <family val="2"/>
      </rPr>
      <t>IEC-BCC</t>
    </r>
  </si>
  <si>
    <r>
      <rPr>
        <b/>
        <sz val="10"/>
        <rFont val="Arial"/>
        <family val="2"/>
      </rPr>
      <t xml:space="preserve">FMR 12: </t>
    </r>
    <r>
      <rPr>
        <sz val="10"/>
        <rFont val="Arial"/>
        <family val="2"/>
      </rPr>
      <t xml:space="preserve">Printing </t>
    </r>
  </si>
  <si>
    <r>
      <rPr>
        <b/>
        <sz val="10"/>
        <rFont val="Arial"/>
        <family val="2"/>
      </rPr>
      <t xml:space="preserve">FMR 13: </t>
    </r>
    <r>
      <rPr>
        <sz val="10"/>
        <rFont val="Arial"/>
        <family val="2"/>
      </rPr>
      <t xml:space="preserve">Quality </t>
    </r>
  </si>
  <si>
    <r>
      <rPr>
        <b/>
        <sz val="10"/>
        <rFont val="Arial"/>
        <family val="2"/>
      </rPr>
      <t xml:space="preserve">FMR 15: </t>
    </r>
    <r>
      <rPr>
        <sz val="10"/>
        <rFont val="Arial"/>
        <family val="2"/>
      </rPr>
      <t>PPP</t>
    </r>
  </si>
  <si>
    <r>
      <rPr>
        <b/>
        <sz val="10"/>
        <rFont val="Arial"/>
        <family val="2"/>
      </rPr>
      <t xml:space="preserve">FMR 16: </t>
    </r>
    <r>
      <rPr>
        <sz val="10"/>
        <rFont val="Arial"/>
        <family val="2"/>
      </rPr>
      <t xml:space="preserve">Programme Management </t>
    </r>
  </si>
  <si>
    <r>
      <rPr>
        <b/>
        <sz val="10"/>
        <rFont val="Arial"/>
        <family val="2"/>
      </rPr>
      <t xml:space="preserve">FMR 17: </t>
    </r>
    <r>
      <rPr>
        <sz val="10"/>
        <rFont val="Arial"/>
        <family val="2"/>
      </rPr>
      <t>IT Initiatives for Service Delivery</t>
    </r>
  </si>
  <si>
    <r>
      <rPr>
        <b/>
        <sz val="10"/>
        <rFont val="Arial"/>
        <family val="2"/>
      </rPr>
      <t xml:space="preserve">FMR 18: </t>
    </r>
    <r>
      <rPr>
        <sz val="10"/>
        <rFont val="Arial"/>
        <family val="2"/>
      </rPr>
      <t>Innovations</t>
    </r>
  </si>
  <si>
    <t>Incentives for Peer Educators under NVHCP</t>
  </si>
  <si>
    <t>Any Other (please specify)</t>
  </si>
  <si>
    <t>National Programme for Prevention and Control of Deafness (NPPCD)</t>
  </si>
  <si>
    <t>National Oral health programme (NOHP)</t>
  </si>
  <si>
    <t>Integrated Disease Surveillance Programme (IDSP)</t>
  </si>
  <si>
    <t>National Vector Borne Disease Control Programme (NVBDCP)</t>
  </si>
  <si>
    <t>National Leprosy Eradication Programme (NLEP)</t>
  </si>
  <si>
    <t>National Viral Hepatitis Control Programme (NVHCP)</t>
  </si>
  <si>
    <t>National Tobacco Control Programme (NTCP)</t>
  </si>
  <si>
    <t>National Iodine Deficiency Disorders Control Programme (NIDDCP)</t>
  </si>
  <si>
    <t>National Programme for Health Care for the Elderly (NPHCE)</t>
  </si>
  <si>
    <t>National Program for Control of Blindness and Vision Impairment (NPCB+VI)</t>
  </si>
  <si>
    <t>National Mental Health Program (NMHP)</t>
  </si>
  <si>
    <t>National Programme for Prevention and Control of Diabetes, Cardiovascular Disease and Stroke (NPCDCS)</t>
  </si>
  <si>
    <t>FP/ RC-CP</t>
  </si>
  <si>
    <t>IEC activities for Ayushman Bharat Health &amp; Wellness centre (H&amp;WC)</t>
  </si>
  <si>
    <t>ASHA incentives for Ayushman Bharat Health &amp; Wellness Centres (H&amp;WC)</t>
  </si>
  <si>
    <t>Printing activities for Ayushman Bharat H&amp;WC</t>
  </si>
  <si>
    <t>Strengthening of diagnostic services of Ayushman Bharat H&amp;WC through PPP</t>
  </si>
  <si>
    <t>Blood bank/ BCSU/ BSU/ Day care centre for hemoglobinopathies</t>
  </si>
  <si>
    <t>HRH</t>
  </si>
  <si>
    <t>Trainings at District Hospital</t>
  </si>
  <si>
    <t>Trainings at CHC/Sub-Divisional Hospital</t>
  </si>
  <si>
    <t>Trainings at PHC</t>
  </si>
  <si>
    <t>National programme for Prevention and Management of Burn &amp; Injuries</t>
  </si>
  <si>
    <t>National Rabies Control Programme (NRCP)</t>
  </si>
  <si>
    <r>
      <rPr>
        <b/>
        <sz val="10"/>
        <rFont val="Arial"/>
        <family val="2"/>
      </rPr>
      <t xml:space="preserve">FMR 14: </t>
    </r>
    <r>
      <rPr>
        <sz val="10"/>
        <rFont val="Arial"/>
        <family val="2"/>
      </rPr>
      <t xml:space="preserve">Drug Warehouse &amp; Logistic </t>
    </r>
  </si>
  <si>
    <t>11.24.4.1</t>
  </si>
  <si>
    <t>11.24.4.2</t>
  </si>
  <si>
    <t>IEC/BCC for NTCP</t>
  </si>
  <si>
    <t>IEC/BCC material used for patient counselling</t>
  </si>
  <si>
    <t>MH/ HRH</t>
  </si>
  <si>
    <t>HSS/NHSRC QA</t>
  </si>
  <si>
    <t>Vehicle hiring for drug transportation</t>
  </si>
  <si>
    <t>15.5.1.1</t>
  </si>
  <si>
    <t>For GIA to NGOs for setting up/expanding eye care unit in semi-urban/ rural area</t>
  </si>
  <si>
    <t>SHSRC</t>
  </si>
  <si>
    <t>16.4.1.2.1</t>
  </si>
  <si>
    <t>16.4.1.2.2</t>
  </si>
  <si>
    <t>All district level PM staff under RMNCH+A, A.10, Burn &amp; Injury, Blood Services &amp; Disorders, ASHA programme, Quality Assurance, CPHC and other HSS components</t>
  </si>
  <si>
    <t>All state level PM staff under RMNCH+A, A.10, Burn &amp; Injury, Blood Services &amp; Disorders, ASHA programme, Quality Assurance, CPHC and other HSS components</t>
  </si>
  <si>
    <t>All block level PM staff under RMNCH+A, A.10, Burn &amp; Injury, Blood Services &amp; Disorders, ASHA programme, Quality Assurance, CPHC and other HSS components</t>
  </si>
  <si>
    <t xml:space="preserve">Annual increment for all the existing SD positions </t>
  </si>
  <si>
    <t>Annual increment for all the existing positions</t>
  </si>
  <si>
    <t>Annual increment for all the existing PM positions</t>
  </si>
  <si>
    <t>13.3.2</t>
  </si>
  <si>
    <t>HSS/NHSRC PHA</t>
  </si>
  <si>
    <t>B15.2.8/ 16.1.5.3.5</t>
  </si>
  <si>
    <t>16.1.5.3.14.1</t>
  </si>
  <si>
    <t>Any Other Activity</t>
  </si>
  <si>
    <t>NIDDCP Grand Total</t>
  </si>
  <si>
    <t>Blood Services Grand Total</t>
  </si>
  <si>
    <t>Training of MO and Staff Nurse for H&amp;WC</t>
  </si>
  <si>
    <t>Training of Staff for Ayushman Bharat Health &amp; Wellness Centre (H&amp;WC)</t>
  </si>
  <si>
    <t>Infrastructure strengthening of UPHC to H&amp;WC</t>
  </si>
  <si>
    <t>U.6.5.1</t>
  </si>
  <si>
    <t>U.6.5.2</t>
  </si>
  <si>
    <t>Tablets/ software for IT support of Ayushman Bharat H&amp;WC</t>
  </si>
  <si>
    <t>Telemedicine/ teleconsultation facility at Ayushman Bharat H&amp;WC</t>
  </si>
  <si>
    <t>U.17.2</t>
  </si>
  <si>
    <t>U.18.1</t>
  </si>
  <si>
    <t>U.15.2</t>
  </si>
  <si>
    <t>U.8.4.2</t>
  </si>
  <si>
    <t>U.12.2</t>
  </si>
  <si>
    <t>IEC activities for Health &amp; Wellness centre (H&amp;WC)</t>
  </si>
  <si>
    <t>U.16.1.2</t>
  </si>
  <si>
    <t>U.16.1.3</t>
  </si>
  <si>
    <t>U.16.1.4</t>
  </si>
  <si>
    <t>U.16.4.1.1</t>
  </si>
  <si>
    <t>U.16.4.1.2</t>
  </si>
  <si>
    <t>U.16.4.1.3</t>
  </si>
  <si>
    <t>U.16.4.2.1</t>
  </si>
  <si>
    <t>U.16.4.2.2</t>
  </si>
  <si>
    <t>U.16.4.3.1</t>
  </si>
  <si>
    <t>U.16.4.3.2</t>
  </si>
  <si>
    <t>U.16.4.5</t>
  </si>
  <si>
    <t>U.16.1.5</t>
  </si>
  <si>
    <t>U.16.1.5.1</t>
  </si>
  <si>
    <t>U.16.1.5.1.1</t>
  </si>
  <si>
    <t>U.16.1.5.1.2</t>
  </si>
  <si>
    <t>U.16.1.5.1.3</t>
  </si>
  <si>
    <t>Non-Metro Sub Total</t>
  </si>
  <si>
    <t>PMNDP Grand Total</t>
  </si>
  <si>
    <t>Abstract for Ayushman Bharat Health &amp; Wellness Centres (H&amp;WC)</t>
  </si>
  <si>
    <t>Ayushman Bharat- H&amp;WC Grand Total</t>
  </si>
  <si>
    <t>ASHA Grand Total</t>
  </si>
  <si>
    <t>AYUSH Grand Total</t>
  </si>
  <si>
    <t>HMIS-MCTS Grand Total</t>
  </si>
  <si>
    <t>Implementation of Human Resource Information System (HRIS)</t>
  </si>
  <si>
    <t>HRH-HPIP NHSRC</t>
  </si>
  <si>
    <t>NPPCD Grand Total</t>
  </si>
  <si>
    <t>HSS-FMG</t>
  </si>
  <si>
    <t>Abstract for Prevention and Management of Burn &amp; Injuries</t>
  </si>
  <si>
    <t>IDSP Grand Total</t>
  </si>
  <si>
    <t>NVBDCP Grand Total</t>
  </si>
  <si>
    <t>NLEP Grand Total</t>
  </si>
  <si>
    <t>NVHCP Grand Total</t>
  </si>
  <si>
    <t>NPCB Grand Total</t>
  </si>
  <si>
    <t>Fixed tele- ophthalmic network unit in Got. Set up/ internet based ophthalmic consultation unit)</t>
  </si>
  <si>
    <t>Compensation for IUCD insertion at health facilities (including fixed day services at SHC and PHC)
[Provide breakup: Private Sector]</t>
  </si>
  <si>
    <t>PPIUCD services: Compensation to beneficiary for PPIUCD insertion</t>
  </si>
  <si>
    <t>PAIUCD Services: Compensation to beneficiary per PAIUCD insertion</t>
  </si>
  <si>
    <t>Screening and free spectacles to school children</t>
  </si>
  <si>
    <t>Screening and free spectacles for near work to Old Person</t>
  </si>
  <si>
    <t>Assistance for consumables/drugs/medicines to the Govt./District Hospital for Cat sx etc</t>
  </si>
  <si>
    <t>Incentive to provider for IUCD insertion at health facilities (including fixed day services at SHC and PHC) [Provide breakup: Public Sector]</t>
  </si>
  <si>
    <t>Incentive to provider for PPIUCD services</t>
  </si>
  <si>
    <t>Incentive to provider for PAIUCD Services</t>
  </si>
  <si>
    <t>NMHP Grand Total</t>
  </si>
  <si>
    <t>NPHCE Grand Total</t>
  </si>
  <si>
    <t>NTCP Grand Total</t>
  </si>
  <si>
    <t>NPCDCS Grand Total</t>
  </si>
  <si>
    <t>Additional MF Survey</t>
  </si>
  <si>
    <t>ICT Survey</t>
  </si>
  <si>
    <t>LY &amp; Hy Survey in 350 dist.</t>
  </si>
  <si>
    <t>Mf Survey in Non- endemic dist.</t>
  </si>
  <si>
    <t>ICT survey in 200 dist.</t>
  </si>
  <si>
    <t>9.5.29.8</t>
  </si>
  <si>
    <t>NRCP</t>
  </si>
  <si>
    <t>Abstract for NRCP</t>
  </si>
  <si>
    <t>NRCP Grand Total</t>
  </si>
  <si>
    <t>17.2.1</t>
  </si>
  <si>
    <t>17.2.2</t>
  </si>
  <si>
    <t>IT Initiatives under Ayushman Bharat H&amp;WC</t>
  </si>
  <si>
    <t>Other IT Initiatives (please specify)</t>
  </si>
  <si>
    <t>Telemedicine/ teleconsultation facility under Ayushman Bharat H&amp;WC</t>
  </si>
  <si>
    <t>11.24.4.4</t>
  </si>
  <si>
    <t>12.17.3</t>
  </si>
  <si>
    <t>16.1.2.2.17</t>
  </si>
  <si>
    <t>Monitoring and Surveillance (review meetings , Travel) under NRCP</t>
  </si>
  <si>
    <t>HRH&amp;HPIP/NRCP</t>
  </si>
  <si>
    <t>All state level PM staff under NPPCF, NPPC, NOHP, NPPCD, NPCB, NTCP, NPHCE, NPCDCS, NMHP, CCHHP</t>
  </si>
  <si>
    <t>All district level PM staff under NPPCF, NPPC, NOHP, NPPCD, NPCB, NTCP, NPHCE, NPCDCS, NMHP, CCHHP</t>
  </si>
  <si>
    <t>All block level PM staff under NPPCF, NPPC, NOHP, NPPCD, NPCB, NTCP, NPHCE, NPCDCS, NMHP, CCHHP</t>
  </si>
  <si>
    <t>Task force Meeting to draft health sector plan for Heat and Air Pollution</t>
  </si>
  <si>
    <t>Hiring of Operational Vehicle under NTCP</t>
  </si>
  <si>
    <t>16.1.2.1.22</t>
  </si>
  <si>
    <t xml:space="preserve">Sensitization workshop/ Meeting of  the State Program Officers and District level Health Officers   </t>
  </si>
  <si>
    <t>16.1.2.1.24</t>
  </si>
  <si>
    <t>11.24.4.5</t>
  </si>
  <si>
    <t>U.3.2.1.3</t>
  </si>
  <si>
    <t>U.5.3.2</t>
  </si>
  <si>
    <t>3.2.3.1</t>
  </si>
  <si>
    <t>3.2.3.2</t>
  </si>
  <si>
    <t>3.2.3.3</t>
  </si>
  <si>
    <t>Swachh Swasth Sarvatra Training</t>
  </si>
  <si>
    <t>Mera Aspataal Training</t>
  </si>
  <si>
    <t>9.5.25.5</t>
  </si>
  <si>
    <t>9.5.25.6</t>
  </si>
  <si>
    <t>11.24.4.6</t>
  </si>
  <si>
    <t>IEC Activity under NQAP, LaQshya, Kayakalp &amp; Mera-Aspataal (Signages- Approach road, Departmental, Directional and other facility level signage's)</t>
  </si>
  <si>
    <t>12.18.3</t>
  </si>
  <si>
    <t>Printing of SOPs for implementation of NQAS, Kayakalp &amp; LaQshya</t>
  </si>
  <si>
    <t>Calibration</t>
  </si>
  <si>
    <t xml:space="preserve">AERB </t>
  </si>
  <si>
    <t>EQAS for Labs</t>
  </si>
  <si>
    <t>Mera-Aspataal Implementation/ Operationalisation of Patient Feedback System</t>
  </si>
  <si>
    <t>Specific Interventions for promotion of patient safety</t>
  </si>
  <si>
    <t>13.1.1.1</t>
  </si>
  <si>
    <t>13.1.1.2</t>
  </si>
  <si>
    <t>13.1.1.3</t>
  </si>
  <si>
    <t>13.1.1.4</t>
  </si>
  <si>
    <t>13.1.1.5</t>
  </si>
  <si>
    <t>13.1.1.6</t>
  </si>
  <si>
    <t>Quality Assurance Assessment (State &amp; district Level assessment cum Mentoring Visit)</t>
  </si>
  <si>
    <t>Quality Assurance Certifications, Re-certification (National &amp; State Certification) under NQAS</t>
  </si>
  <si>
    <t>LaQshya certifications and recertification (National &amp; State Certification) under LaQshya</t>
  </si>
  <si>
    <t>Incentivisation on attainment of NQAS certification (Please provide details in Annexure)</t>
  </si>
  <si>
    <t>13.1.5</t>
  </si>
  <si>
    <t>13.1.6</t>
  </si>
  <si>
    <t>13.2.3.1</t>
  </si>
  <si>
    <t>13.2.3.2</t>
  </si>
  <si>
    <t>13.2.3.3</t>
  </si>
  <si>
    <t>13.2.3.4</t>
  </si>
  <si>
    <t>Biomedical Waste Management</t>
  </si>
  <si>
    <t>Consumables &amp; PPE</t>
  </si>
  <si>
    <t>State/ District Quality Assurance Unit (Monitoring &amp; Supervision)</t>
  </si>
  <si>
    <t>Any Other (Please specify)</t>
  </si>
  <si>
    <t>Training on Kayakalp</t>
  </si>
  <si>
    <t>Training on Swachh Swasth Sarvatra</t>
  </si>
  <si>
    <t>Training on Mera Aspataal</t>
  </si>
  <si>
    <t>Quality Assurance Assessments (State &amp; National)</t>
  </si>
  <si>
    <t>Quality Assurance incentives</t>
  </si>
  <si>
    <t>U.13.1.2</t>
  </si>
  <si>
    <t>U.13.1.3</t>
  </si>
  <si>
    <t>U.13.1.4</t>
  </si>
  <si>
    <t>Kayakalp Assessments</t>
  </si>
  <si>
    <t>Mera Aspataal/Patient feedback system</t>
  </si>
  <si>
    <t>U.13.2.3</t>
  </si>
  <si>
    <t>U.13.2.4</t>
  </si>
  <si>
    <t>U.13.2.5</t>
  </si>
  <si>
    <t xml:space="preserve">Private Provider Incentive </t>
  </si>
  <si>
    <t>7.5.1</t>
  </si>
  <si>
    <t>7.5.2</t>
  </si>
  <si>
    <t>Tribal Patient Support and transportation charges</t>
  </si>
  <si>
    <t>Child Health</t>
  </si>
  <si>
    <t>PC-PNDT</t>
  </si>
  <si>
    <t>Immunization</t>
  </si>
  <si>
    <t>Other RCH Component</t>
  </si>
  <si>
    <t>1.2.3.3</t>
  </si>
  <si>
    <t xml:space="preserve">H.3.5 </t>
  </si>
  <si>
    <t>3.2.3.1.1</t>
  </si>
  <si>
    <t>3.2.3.1.2</t>
  </si>
  <si>
    <t>RKSK/ Adolescent health</t>
  </si>
  <si>
    <t>National Programme for Prevention and Control of Fluorosis (NPPCF)</t>
  </si>
  <si>
    <t>National Programme on palliative care (NPPC)</t>
  </si>
  <si>
    <t>Diet services for JSSK Beneficiaries (3 days for Normal Delivery and 7 days for Caesarean)</t>
  </si>
  <si>
    <t>Antenatal Screening of all pregnant women coming to the facilities in their first trimester for Sickle cell trait, β Thalassemia, Haemoglobin variants esp. Haemoglobin E and Anaemia  -Refer Hemoglobinopathies guidelines</t>
  </si>
  <si>
    <t>New born screening as per  RBSK Comprehensive New-born Screening: Handbook for screening visible birth defects at all delivery points (please give details per unit cost , number of deliveries to be screened and the delivery points Add details)</t>
  </si>
  <si>
    <t>Blood collection and Transport Vans (including POL and TA /DA of HR of BCTV and other contingency)</t>
  </si>
  <si>
    <t>Follow up mechanism for the severely anaemic women and the women with blood disorders</t>
  </si>
  <si>
    <t>Mobility support for mobile health team/  TA/DA to vaccinators for coverage in vacant sub-centres</t>
  </si>
  <si>
    <t>Incentive for Home Based New-born Care programme</t>
  </si>
  <si>
    <t>ASHA Incentive under Immunization</t>
  </si>
  <si>
    <t>ASHA Incentive under ESB scheme for promoting adoption of limiting method up to two children</t>
  </si>
  <si>
    <t>ASHA incentive for one time line listing of Lymphoedema and Hydrocele cases in non-endemic dist.</t>
  </si>
  <si>
    <t>District DMHP Centre, Counselling Centre under psychology dept.. In a selected college including crisis helpline</t>
  </si>
  <si>
    <t>Equipment for AFHCs</t>
  </si>
  <si>
    <t xml:space="preserve">Equipment and mannequin </t>
  </si>
  <si>
    <t>Models and Equipment for DAKSHATA training</t>
  </si>
  <si>
    <t>Equipment for Blood Banks/BSU/BCSU</t>
  </si>
  <si>
    <t>Equipment for Day Care Centre</t>
  </si>
  <si>
    <t>Health Products- Equipment (HPE) - GFATM</t>
  </si>
  <si>
    <t>IFA tablets  (IFA WIFS Junior tablets- pink sugar coated) for children (5-10 yrs.)</t>
  </si>
  <si>
    <t>Albendazole Tablets for children (5-10 yrs.)</t>
  </si>
  <si>
    <t>IFA tablets under WIFS (10-19 yrs.)</t>
  </si>
  <si>
    <t>Albendazole Tablets under WIFS (10-19 yrs.)</t>
  </si>
  <si>
    <t xml:space="preserve">Drugs and Supplies for blood related disorders- Haemoglobinopathies &amp; Haemophilia </t>
  </si>
  <si>
    <t>Quinine Injections and Artesunate Injection</t>
  </si>
  <si>
    <t>Procurement under GFATM</t>
  </si>
  <si>
    <t>Consumables for laboratory under NVHCP (plasticware, RUP, evacuated vacuum tubes, waste disposal bags, Kit for HBsAg titre, grant for calibration of small equipment, money for EQAS)</t>
  </si>
  <si>
    <t>Pathologists/ Haematologists</t>
  </si>
  <si>
    <t>Audiometric Asstt.</t>
  </si>
  <si>
    <t>Instructor for Hearing Impaired Children</t>
  </si>
  <si>
    <t>Orientation activities on vitamin A supplementation and Anaemia Mukta Bharat Programme</t>
  </si>
  <si>
    <t xml:space="preserve">4 days Training for facility based new-born care </t>
  </si>
  <si>
    <t>2 weeks observership for facility based new-born care</t>
  </si>
  <si>
    <t>One day Orientation of frontline workers (ASHA/ANM) and allied department workers (Teachers/AWW) on Anaemia Mukt Bharat strategy. As per RCH training norms</t>
  </si>
  <si>
    <t>TOT (Injectable Contraceptive Trainings)</t>
  </si>
  <si>
    <t>Training of Medical officers (Injectable Contraceptive Trainings)</t>
  </si>
  <si>
    <t>Training of AYUSH doctors (Injectable Contraceptive Trainings)</t>
  </si>
  <si>
    <t>Training of Nurses (Staff Nurse/LHV/ANM) (Injectable Contraceptive Trainings)</t>
  </si>
  <si>
    <t>Orientation and training of Human Resources for Health (HRH) and counsellors in public health response to Violence against women</t>
  </si>
  <si>
    <t xml:space="preserve">Printing of labour room registers and case sheets/ LaQshya related printing </t>
  </si>
  <si>
    <t xml:space="preserve">Printing of AFHS Training manuals for  MO,  ANM and Counsellor; ANM  training manual for PE training </t>
  </si>
  <si>
    <t>Liquid Waste Treatment &amp; Disposal</t>
  </si>
  <si>
    <t>HR Support for PC&amp;PNDT Cell</t>
  </si>
  <si>
    <t>HR Support for HMIS &amp; MCTS</t>
  </si>
  <si>
    <t>To develop micro plan at sub-centre level</t>
  </si>
  <si>
    <t>PM activities for Vasectomy Fortnight celebration  (Only mobility cost): funds earmarked for district level activities</t>
  </si>
  <si>
    <t>PM activities for Vasectomy Fortnight celebration  (Only mobility cost): funds earmarked for block level activities</t>
  </si>
  <si>
    <t>Miscellaneous including Travel/POL/Stationary etc.</t>
  </si>
  <si>
    <t>Office equipment maintenance State</t>
  </si>
  <si>
    <t>Implementation of ANMOL (Excel Procurement)</t>
  </si>
  <si>
    <t xml:space="preserve">E-rakt kosh- refer to strengthening of blood services guidelines &amp; Software for hemoglobinopathies &amp; Haemophilia </t>
  </si>
  <si>
    <t>Training of PRI under National Program for Climate Change and Human Health (NPCCHH)</t>
  </si>
  <si>
    <t>NPCCHH</t>
  </si>
  <si>
    <t>3.3.3.3</t>
  </si>
  <si>
    <t>Abstract for NPCCHH</t>
  </si>
  <si>
    <t>Greening of Health sector: DH/ CHC as per IPHS guidelines</t>
  </si>
  <si>
    <t>Trainings of Medical Officers and Health Workers under NRCP</t>
  </si>
  <si>
    <t>Trainings of Medical Officers, Health Workers and Programme officers under NPCCHH</t>
  </si>
  <si>
    <t>9.5.29.9</t>
  </si>
  <si>
    <t>10.2.15</t>
  </si>
  <si>
    <t>Surveillance/ Vulnerability assessment/ Research related to Climate Change, Air Pollution and Heat related illness</t>
  </si>
  <si>
    <t>12.17.4</t>
  </si>
  <si>
    <t>Printing activities for NPCCHH</t>
  </si>
  <si>
    <t>National Program for Climate Change and Human Health (NPCCHH)</t>
  </si>
  <si>
    <t>14.2.4.1</t>
  </si>
  <si>
    <t>AVD in hard areas</t>
  </si>
  <si>
    <t>14.2.4.2</t>
  </si>
  <si>
    <t>AVD in very hard to reach areas esp. notified by States/districts</t>
  </si>
  <si>
    <t>Activity for Strengthening AH Services</t>
  </si>
  <si>
    <t>Honorarium to ICTC and other Counsellors for outreach AH activities</t>
  </si>
  <si>
    <t>School Health Programme</t>
  </si>
  <si>
    <t>12.4.6</t>
  </si>
  <si>
    <t>Printing teachers training manual, training curriculum and facilitators guide</t>
  </si>
  <si>
    <t>District NCD Clinic: Strengthening of lab, Mobility, Miscellaneous &amp; Contingencies</t>
  </si>
  <si>
    <t>1.3.1.20</t>
  </si>
  <si>
    <t>Any Other (Specify)</t>
  </si>
  <si>
    <t>Operational cost of e-VIN (like temperature logger sim card and  Data sim card for e-VIN)</t>
  </si>
  <si>
    <t>Total Capex Budget</t>
  </si>
  <si>
    <t>1.2.1.2.1</t>
  </si>
  <si>
    <t>1.2.1.2.2</t>
  </si>
  <si>
    <t>1.2.1.2.3</t>
  </si>
  <si>
    <t>1.2.2.1.1</t>
  </si>
  <si>
    <t>1.2.2.1.2</t>
  </si>
  <si>
    <t>1.2.2.2.1</t>
  </si>
  <si>
    <t>1.2.2.2.2</t>
  </si>
  <si>
    <t>1.2.2.2.3</t>
  </si>
  <si>
    <t>1.2.2.2.4</t>
  </si>
  <si>
    <t>1.3.1.1</t>
  </si>
  <si>
    <t>2.3.1.1.1</t>
  </si>
  <si>
    <t>2.3.1.1.2</t>
  </si>
  <si>
    <t>5.1.1.1.1</t>
  </si>
  <si>
    <t>5.1.1.1.2</t>
  </si>
  <si>
    <t>5.1.1.1.3</t>
  </si>
  <si>
    <t>5.1.1.1.4</t>
  </si>
  <si>
    <t>5.1.1.1.5</t>
  </si>
  <si>
    <t>5.1.1.1.6</t>
  </si>
  <si>
    <t>5.1.1.1.7</t>
  </si>
  <si>
    <t>5.1.1.1.8</t>
  </si>
  <si>
    <t>5.1.1.1.9</t>
  </si>
  <si>
    <t>5.1.1.1.10</t>
  </si>
  <si>
    <t>5.1.1.2.1</t>
  </si>
  <si>
    <t>5.1.1.2.2</t>
  </si>
  <si>
    <t>5.1.1.2.3</t>
  </si>
  <si>
    <t>5.1.1.2.4</t>
  </si>
  <si>
    <t>5.1.1.2.5</t>
  </si>
  <si>
    <t>5.1.1.2.6</t>
  </si>
  <si>
    <t>5.1.1.2.7</t>
  </si>
  <si>
    <t>5.1.1.2.8</t>
  </si>
  <si>
    <t>5.1.1.2.9</t>
  </si>
  <si>
    <t>5.1.1.2.10</t>
  </si>
  <si>
    <t>5.1.1.2.11</t>
  </si>
  <si>
    <t>5.1.1.2.12</t>
  </si>
  <si>
    <t>5.1.1.2.13</t>
  </si>
  <si>
    <t>5.1.1.3.1</t>
  </si>
  <si>
    <t>5.1.1.3.2</t>
  </si>
  <si>
    <t>5.1.1.3.3</t>
  </si>
  <si>
    <t>5.1.1.3.4</t>
  </si>
  <si>
    <t>5.1.1.3.5</t>
  </si>
  <si>
    <t>5.1.1.3.6</t>
  </si>
  <si>
    <t>5.1.1.3.7</t>
  </si>
  <si>
    <t>5.1.1.3.8</t>
  </si>
  <si>
    <t>5.1.1.3.9</t>
  </si>
  <si>
    <t>5.1.1.4.1</t>
  </si>
  <si>
    <t>5.1.1.4.2</t>
  </si>
  <si>
    <t>5.1.1.4.3</t>
  </si>
  <si>
    <t>5.1.1.4.4</t>
  </si>
  <si>
    <t>5.1.1.4.5</t>
  </si>
  <si>
    <t>5.1.1.4.6</t>
  </si>
  <si>
    <t>5.1.1.4.7</t>
  </si>
  <si>
    <t>6.1.1.1.1</t>
  </si>
  <si>
    <t>6.1.1.1.2</t>
  </si>
  <si>
    <t>6.1.1.1.3</t>
  </si>
  <si>
    <t>6.1.1.1.4</t>
  </si>
  <si>
    <t>6.1.1.2.1</t>
  </si>
  <si>
    <t>6.1.1.2.2</t>
  </si>
  <si>
    <t>6.1.1.3.1</t>
  </si>
  <si>
    <t>6.1.1.3.2</t>
  </si>
  <si>
    <t>6.1.1.3.3</t>
  </si>
  <si>
    <t>6.1.1.3.4</t>
  </si>
  <si>
    <t>6.1.1.3.5</t>
  </si>
  <si>
    <t>6.1.1.3.6</t>
  </si>
  <si>
    <t>6.1.1.4.1</t>
  </si>
  <si>
    <t>6.1.1.4.2</t>
  </si>
  <si>
    <t>6.1.1.5.1</t>
  </si>
  <si>
    <t>6.1.1.5.2</t>
  </si>
  <si>
    <t>6.1.1.5.3</t>
  </si>
  <si>
    <t>6.1.1.6.1</t>
  </si>
  <si>
    <t>6.1.1.6.2</t>
  </si>
  <si>
    <t>6.1.1.7.1</t>
  </si>
  <si>
    <t>6.1.1.7.2</t>
  </si>
  <si>
    <t>6.1.1.7.3</t>
  </si>
  <si>
    <t>6.1.1.7.4</t>
  </si>
  <si>
    <t>6.1.1.7.5</t>
  </si>
  <si>
    <t>6.1.1.8.1</t>
  </si>
  <si>
    <t>6.1.1.8.2</t>
  </si>
  <si>
    <t>6.1.1.9.1</t>
  </si>
  <si>
    <t>6.1.1.9.2</t>
  </si>
  <si>
    <t>6.1.1.10.1</t>
  </si>
  <si>
    <t>6.1.1.10.2</t>
  </si>
  <si>
    <t>6.1.1.11.1</t>
  </si>
  <si>
    <t>6.1.1.11.2</t>
  </si>
  <si>
    <t>6.1.1.12.1</t>
  </si>
  <si>
    <t>6.1.1.12.2</t>
  </si>
  <si>
    <t>6.1.1.13.1</t>
  </si>
  <si>
    <t>6.1.1.13.2</t>
  </si>
  <si>
    <t>6.1.1.14.1</t>
  </si>
  <si>
    <t>6.1.1.14.2</t>
  </si>
  <si>
    <t>6.1.1.15.1</t>
  </si>
  <si>
    <t>6.1.1.15.2</t>
  </si>
  <si>
    <t>6.1.1.16.1</t>
  </si>
  <si>
    <t>6.1.1.17.1</t>
  </si>
  <si>
    <t>6.1.1.18.1</t>
  </si>
  <si>
    <t>6.1.1.19.1</t>
  </si>
  <si>
    <t>6.1.1.19.2</t>
  </si>
  <si>
    <t>6.1.1.19.3</t>
  </si>
  <si>
    <t>6.1.1.19.4</t>
  </si>
  <si>
    <t>6.1.1.19.5</t>
  </si>
  <si>
    <t>6.1.1.20.1</t>
  </si>
  <si>
    <t>6.1.1.21.1</t>
  </si>
  <si>
    <t>6.1.1.21.2</t>
  </si>
  <si>
    <t>6.1.1.21.3</t>
  </si>
  <si>
    <t>6.1.1.21.4</t>
  </si>
  <si>
    <t>6.1.1.21.5</t>
  </si>
  <si>
    <t>6.1.1.22.1</t>
  </si>
  <si>
    <t>6.1.1.22.2</t>
  </si>
  <si>
    <t>6.1.1.22.3</t>
  </si>
  <si>
    <t>6.1.1.23.1</t>
  </si>
  <si>
    <t>6.1.1.23.2</t>
  </si>
  <si>
    <t>6.1.1.23.3</t>
  </si>
  <si>
    <t>6.1.1.23.4</t>
  </si>
  <si>
    <t>6.1.1.23.5</t>
  </si>
  <si>
    <t>6.1.1.24.1</t>
  </si>
  <si>
    <t>6.1.1.24.2</t>
  </si>
  <si>
    <t>6.1.1.25.1</t>
  </si>
  <si>
    <t>6.1.1.25.2</t>
  </si>
  <si>
    <t>6.1.2.1.1</t>
  </si>
  <si>
    <t>6.1.2.1.2</t>
  </si>
  <si>
    <t>6.1.2.1.3</t>
  </si>
  <si>
    <t>6.1.2.2.1</t>
  </si>
  <si>
    <t>6.1.2.2.2</t>
  </si>
  <si>
    <t>6.1.2.2.3</t>
  </si>
  <si>
    <t>6.1.2.2.4</t>
  </si>
  <si>
    <t>6.1.2.3.1</t>
  </si>
  <si>
    <t>6.1.2.3.2</t>
  </si>
  <si>
    <t>6.1.2.3.3</t>
  </si>
  <si>
    <t>6.1.2.4.1</t>
  </si>
  <si>
    <t>6.1.2.4.2</t>
  </si>
  <si>
    <t>6.1.2.5.1</t>
  </si>
  <si>
    <t>6.1.2.5.2</t>
  </si>
  <si>
    <t>6.1.2.6.1</t>
  </si>
  <si>
    <t>6.1.2.6.2</t>
  </si>
  <si>
    <t>6.1.3.1.1</t>
  </si>
  <si>
    <t>6.1.3.1.2</t>
  </si>
  <si>
    <t>6.1.3.1.3</t>
  </si>
  <si>
    <t>6.1.3.1.4</t>
  </si>
  <si>
    <t>6.1.3.1.5</t>
  </si>
  <si>
    <t>6.1.3.2.1</t>
  </si>
  <si>
    <t>6.1.3.2.2</t>
  </si>
  <si>
    <t>6.2.1.7.1</t>
  </si>
  <si>
    <t>6.2.1.7.2</t>
  </si>
  <si>
    <t>6.2.1.7.3</t>
  </si>
  <si>
    <t>6.2.1.7.4</t>
  </si>
  <si>
    <t>6.2.1.7.5</t>
  </si>
  <si>
    <t>6.2.2.8.1</t>
  </si>
  <si>
    <t>6.2.2.8.2</t>
  </si>
  <si>
    <t>6.2.2.8.3</t>
  </si>
  <si>
    <t>8.1.1.3.1</t>
  </si>
  <si>
    <t>8.1.1.3.2</t>
  </si>
  <si>
    <t>8.1.1.3.3</t>
  </si>
  <si>
    <t>8.1.4.3.1</t>
  </si>
  <si>
    <t>8.1.4.3.2</t>
  </si>
  <si>
    <t>8.1.4.3.3</t>
  </si>
  <si>
    <t>8.1.4.3.4</t>
  </si>
  <si>
    <t>8.1.7.1.1</t>
  </si>
  <si>
    <t>8.1.7.1.2</t>
  </si>
  <si>
    <t>8.1.7.1.3</t>
  </si>
  <si>
    <t>8.1.7.1.4</t>
  </si>
  <si>
    <t>8.1.7.1.5</t>
  </si>
  <si>
    <t>8.1.7.2.1</t>
  </si>
  <si>
    <t>8.1.7.2.2</t>
  </si>
  <si>
    <t>8.1.7.2.3</t>
  </si>
  <si>
    <t>8.1.7.2.4</t>
  </si>
  <si>
    <t>8.1.7.2.5</t>
  </si>
  <si>
    <t>8.1.7.2.6</t>
  </si>
  <si>
    <t>8.1.7.2.7</t>
  </si>
  <si>
    <t>8.1.7.2.8</t>
  </si>
  <si>
    <t>8.1.7.2.9</t>
  </si>
  <si>
    <t>8.1.7.2.10</t>
  </si>
  <si>
    <t>8.1.7.2.11</t>
  </si>
  <si>
    <t>8.1.7.2.12</t>
  </si>
  <si>
    <t>8.1.15.12.1</t>
  </si>
  <si>
    <t>8.1.15.12.2</t>
  </si>
  <si>
    <t>9.5.4.13.1</t>
  </si>
  <si>
    <t>9.5.4.13.2</t>
  </si>
  <si>
    <t>9.5.4.13.3</t>
  </si>
  <si>
    <t>9.5.20.1.1</t>
  </si>
  <si>
    <t>9.5.20.1.2</t>
  </si>
  <si>
    <t>9.5.20.1.3</t>
  </si>
  <si>
    <t>9.5.20.2.1</t>
  </si>
  <si>
    <t>9.5.20.2.2</t>
  </si>
  <si>
    <t>9.5.20.2.3</t>
  </si>
  <si>
    <t>9.5.20.3.1</t>
  </si>
  <si>
    <t>9.5.20.3.2</t>
  </si>
  <si>
    <t>9.5.20.3.3</t>
  </si>
  <si>
    <t>9.5.22.2.1</t>
  </si>
  <si>
    <t>9.5.22.2.2</t>
  </si>
  <si>
    <t>9.5.22.2.3</t>
  </si>
  <si>
    <t>9.5.29.5.1</t>
  </si>
  <si>
    <t>9.5.29.5.2</t>
  </si>
  <si>
    <t>9.5.29.5.3</t>
  </si>
  <si>
    <t>9.5.29.5.4</t>
  </si>
  <si>
    <t>Setting Up &amp; Strengthening of Skill Lab/ Other Training Centres or institutes including medical (DNB/CPS)/paramedical/nursing courses</t>
  </si>
  <si>
    <t>SUMAN Activities</t>
  </si>
  <si>
    <t>Upgradation of existing facilities as per IPHS norms including staff quarters</t>
  </si>
  <si>
    <t>HWC-HSCs</t>
  </si>
  <si>
    <t>New construction (to be initiated this year) as per the IPHS norms including staff quarters</t>
  </si>
  <si>
    <t>Summary of Capex Expenditure</t>
  </si>
  <si>
    <t>RCH Flexible Pool (including RI, IPPI, NIDDCP)</t>
  </si>
  <si>
    <t>A</t>
  </si>
  <si>
    <t>B</t>
  </si>
  <si>
    <t>Budget Summary II</t>
  </si>
  <si>
    <t>Budget Summary I</t>
  </si>
  <si>
    <t>C</t>
  </si>
  <si>
    <t>D</t>
  </si>
  <si>
    <t>E</t>
  </si>
  <si>
    <t>CPHC</t>
  </si>
  <si>
    <t>NDCP</t>
  </si>
  <si>
    <t>1.1.5.7</t>
  </si>
  <si>
    <t>Engagement with NGO CBO(Community Based Organisations) for outreach</t>
  </si>
  <si>
    <t>Orientation/Planning Meeting/Launch on SAANS initiative at State or District (Pneumonia)/IDCF orientation</t>
  </si>
  <si>
    <t>9.5.2.25</t>
  </si>
  <si>
    <t>State/District ToT of SAANS, Skill Stations under SAANS</t>
  </si>
  <si>
    <t>Any other IEC/BCC activities (please specify) including SAANS campaign IEC at state/district level</t>
  </si>
  <si>
    <t>Mobility support for supervision at State level (including SAANS supportive supervision)</t>
  </si>
  <si>
    <t>HRH&amp;HPIP/RI/CH</t>
  </si>
  <si>
    <t>Printing for National Childhood Pneumonia Management Guidelines under SAANS</t>
  </si>
  <si>
    <t>3.1.2.10</t>
  </si>
  <si>
    <t>Training of ASHAs in National Childhood Pneumonia Management Guidelines under SAANS</t>
  </si>
  <si>
    <t>CH/ NHSRC-CP</t>
  </si>
  <si>
    <t>Mobility Support for DPMU/District (including SAANS supportive supervision)</t>
  </si>
  <si>
    <t>Any other trainings (please specify) related to BB and blood disorders</t>
  </si>
  <si>
    <t>One time Screening to Identify the carriers of Sickle cell trait, β Thalassemia, Haemoglobin variants at school especially class 8 students and in newborns</t>
  </si>
  <si>
    <t>Quality Assurance Training (including training for internal assessors, service providers at State and District levels)</t>
  </si>
  <si>
    <t>Treatment Supporter Honorarium (Rs 1000)</t>
  </si>
  <si>
    <t>Treatment Supporter Honorarium (Rs 5000)</t>
  </si>
  <si>
    <t>H.3.1</t>
  </si>
  <si>
    <t>H.3.4</t>
  </si>
  <si>
    <t>Grant-in-aid (For newly selected districts under NPPCF):  Laboratory Diagnostic facilities</t>
  </si>
  <si>
    <t>Recurring Grant-in-aid (For ongoing selected districts under NPPCF):  Laboratory Diagnostic facilities</t>
  </si>
  <si>
    <t xml:space="preserve">Medical devices as per National Dialysis Programme </t>
  </si>
  <si>
    <t>Any other equipment for hospital strengthening as per IPHS (please specify)</t>
  </si>
  <si>
    <t>Drugs &amp; Consumables for Haemodialysis (Erythropoietin, iron, vitamin, etc) &amp; Peritoneal dialysis (refer page 17 of guideline)</t>
  </si>
  <si>
    <t>Any other drug (please specify)</t>
  </si>
  <si>
    <t>U.16.1.2.1</t>
  </si>
  <si>
    <t>U.16.1.2.2</t>
  </si>
  <si>
    <t>U.16.1.2.3</t>
  </si>
  <si>
    <t>U.16.1.3.1</t>
  </si>
  <si>
    <t>U.16.1.3.2</t>
  </si>
  <si>
    <t>U.16.1.3.3</t>
  </si>
  <si>
    <t>U.16.1.3.4</t>
  </si>
  <si>
    <t>U.16.1.3.5</t>
  </si>
  <si>
    <t>U.16.1.4.1</t>
  </si>
  <si>
    <t>U.16.1.4.2</t>
  </si>
  <si>
    <t>U.16.1.4.3</t>
  </si>
  <si>
    <t>U.16.1.4.4</t>
  </si>
  <si>
    <t>Mobility support for CPMU</t>
  </si>
  <si>
    <t>Administrative expenses (including Review meetings, workshops,  etc.) for CPMU</t>
  </si>
  <si>
    <t>Multi-skilling of ASHA for H&amp;WC</t>
  </si>
  <si>
    <t>(Please specify)</t>
  </si>
  <si>
    <t>2.3.1.11</t>
  </si>
  <si>
    <t>Outreach for demand generation, testing and treatment of Viral Hepatitis through Mobile Medical Units/NGOs/CBOs/etc</t>
  </si>
  <si>
    <t>9.5.28.7</t>
  </si>
  <si>
    <t>Training for Community Volunteers</t>
  </si>
  <si>
    <t>12.17.5</t>
  </si>
  <si>
    <t>Printing for formats/registers under NVHCP</t>
  </si>
  <si>
    <t>15.9.8</t>
  </si>
  <si>
    <t>PPP initiative under NVHCP</t>
  </si>
  <si>
    <t>14.2.14</t>
  </si>
  <si>
    <t>Sample transportation cost under NVHCP</t>
  </si>
  <si>
    <t>16.1.2.1.25</t>
  </si>
  <si>
    <t>State level review meeting under NVHCP</t>
  </si>
  <si>
    <t>Non-recurring GIA: New Construction @80  lakh/ Extension of existing ward @ 40 lakh/ Renovation @20 lakh/ for Geriatrics Unit with 10 beds and OPD facilities at DH</t>
  </si>
  <si>
    <t>Recurring GIA: Machinery &amp; Equipment for DH @ 3 lakh/ CHC @ 0.50 lakh/ PHC @ 0.20 lakh</t>
  </si>
  <si>
    <t>Aids and Appliances for Sub-Centre/HWC Sub Centre</t>
  </si>
  <si>
    <t>Training of doctors and staff at DH level under NPHCE</t>
  </si>
  <si>
    <t>Training of doctors and staff at CHC level under NPHCE</t>
  </si>
  <si>
    <t>Training of doctors and staff at PHC level under NPHCE</t>
  </si>
  <si>
    <t>IPC,Group activities and mass media for NPHCE</t>
  </si>
  <si>
    <t>Celebration of days-ie International Day for older persons</t>
  </si>
  <si>
    <t>10.2.16</t>
  </si>
  <si>
    <t>Research in the field of Geriatric health</t>
  </si>
  <si>
    <t>2.3.2.6</t>
  </si>
  <si>
    <t>Home based care for bed-ridden elderly under NPHCE</t>
  </si>
  <si>
    <t>16.1.2.1.26</t>
  </si>
  <si>
    <t>Workshops, Conferences &amp; review meetings under NPHCE</t>
  </si>
  <si>
    <t>HRH&amp;HPIP/NPHCE</t>
  </si>
  <si>
    <t>16.1.2.1.27</t>
  </si>
  <si>
    <t>State Task Force, State Technical Advisory Committee meeting, District coordination meeting, Cross border meetings Sub National Malaria Elimination Certification process (Malaria)</t>
  </si>
  <si>
    <t>16.1.5.3.15.1</t>
  </si>
  <si>
    <t>16.1.5.3.15.2</t>
  </si>
  <si>
    <t>16.1.5.3.16</t>
  </si>
  <si>
    <t>Epidemic preparedness &amp; Response (Malaria)</t>
  </si>
  <si>
    <t>2.3.2.7</t>
  </si>
  <si>
    <t>Special anti-malarial interventions for high risk groups, for tribal population, for hard to reach areas to control and prevent resurgence of Malaria cases</t>
  </si>
  <si>
    <t>Maintenance cost of vehicles</t>
  </si>
  <si>
    <t>Comprehensive Bio-Medical Equipment Mainteance Programme</t>
  </si>
  <si>
    <t>Maintenance of Microscope</t>
  </si>
  <si>
    <t>16.1.4.1.15</t>
  </si>
  <si>
    <t>Programme Administrative Costs</t>
  </si>
  <si>
    <t>ASHA Incentive/ Honorarium for Malaria and LLIN distribution</t>
  </si>
  <si>
    <t>3.2.5.1.6</t>
  </si>
  <si>
    <t>Community Health Volunteers (CHVs) for inaccessible villages</t>
  </si>
  <si>
    <t>12.11.4</t>
  </si>
  <si>
    <t>Printing of recording and reporting forms/registers for Malaria</t>
  </si>
  <si>
    <t>Support for referral transport</t>
  </si>
  <si>
    <t>7.4.1.1</t>
  </si>
  <si>
    <t>7.4.1.2</t>
  </si>
  <si>
    <t>7.4.1.2.1</t>
  </si>
  <si>
    <t>7.4.1.2.2</t>
  </si>
  <si>
    <t>Support for Call Centre</t>
  </si>
  <si>
    <t>7.4.2.1</t>
  </si>
  <si>
    <t>7.4.1.3</t>
  </si>
  <si>
    <t>7.4.1.4</t>
  </si>
  <si>
    <t>Bike ambulance</t>
  </si>
  <si>
    <t>Boat ambulance</t>
  </si>
  <si>
    <t>State basic ambulance/Dial 102/Dial 104</t>
  </si>
  <si>
    <t xml:space="preserve">Emergency ambulance/Dial 108 </t>
  </si>
  <si>
    <t>Emergency ambulance/Dial 108 -BLS</t>
  </si>
  <si>
    <t>Emergency ambulance/Dial 108 -ALS</t>
  </si>
  <si>
    <t>District - Plan as per DHAP/Aspirational District/Model Health District Plans.</t>
  </si>
  <si>
    <t>16.1.2.2.18</t>
  </si>
  <si>
    <t>Monitoring visists - DHAP implementation in Aspirational districts/model health districts</t>
  </si>
  <si>
    <t>Other construction/ Civil works except IPHS Infrastructure</t>
  </si>
  <si>
    <t>FMR removed</t>
  </si>
  <si>
    <t>Non-recurring grant-in-aid for  Vision Centre (PHC) (NGO)</t>
  </si>
  <si>
    <t xml:space="preserve">Grant-in-aid for Vision Centre (PHC) (Govt.) </t>
  </si>
  <si>
    <t>Grant-in-aid for Eye Bank (Govt.)</t>
  </si>
  <si>
    <t>Grant-in-aid for Eye Donation Centre (Govt.)</t>
  </si>
  <si>
    <t>State level IEC for Minor State @ Rs. 10 lakh and for Major States @ Rs. 20 lakh under NPCB&amp;VI</t>
  </si>
  <si>
    <t>Reimbursement for cataract operation for NGO and Private  Practitioners as per NGO norms @ Rs. 2000</t>
  </si>
  <si>
    <t>Diabetic Retinopathy @ Rs. 2000</t>
  </si>
  <si>
    <t>Childhood Blindness @ Rs. 2000</t>
  </si>
  <si>
    <t>Glaucoma @ Rs. 2000</t>
  </si>
  <si>
    <t>Keratoplasty @ Rs. 5000</t>
  </si>
  <si>
    <t>Vitreoretinal Surgery@ Rs. 7500</t>
  </si>
  <si>
    <t>Incentive for ASHA/AWW/Volunteer/etc for detection of Leprosy (Rs 250 for detection of an early case before onset of any visible deformity, Rs 200 for detection of new case with visible deformity in hands, feet or eye)</t>
  </si>
  <si>
    <t>Call centre-OPEX</t>
  </si>
  <si>
    <t xml:space="preserve">NHM Free Drug services </t>
  </si>
  <si>
    <t>Provision of Anti-Rabies Vaccine/Anti-Rabies Serum for animal bite victims</t>
  </si>
  <si>
    <t xml:space="preserve">Procurement of drugs, diagnostic kits, supplies etc under Programme for Prevention and Control of Leptospirosis </t>
  </si>
  <si>
    <t>6.2.24</t>
  </si>
  <si>
    <t>6.2.24.1</t>
  </si>
  <si>
    <t>6.2.24.2</t>
  </si>
  <si>
    <t>6.2.24.3</t>
  </si>
  <si>
    <t>Other Drugs (please specify)</t>
  </si>
  <si>
    <t>Training at State and District level under Programme for Prevention and Control of Leptospirosis</t>
  </si>
  <si>
    <t>11.24.4.7</t>
  </si>
  <si>
    <t>16.1.2.1.28</t>
  </si>
  <si>
    <t>Review meetings under Programme for Prevention and Control of Leptospirosis</t>
  </si>
  <si>
    <t>HRH&amp;HPIP/PPCL</t>
  </si>
  <si>
    <t>16.1.3.1.20</t>
  </si>
  <si>
    <t>Mobility support under Programme for Prevention and Control of Leptospirosis</t>
  </si>
  <si>
    <t>Abstract for PPCL</t>
  </si>
  <si>
    <t>9.5.29.10</t>
  </si>
  <si>
    <t>9.5.29.11</t>
  </si>
  <si>
    <t>Training on Training Management Information System</t>
  </si>
  <si>
    <t>Procurement of equipment &amp; computer for district level Model Anti Rabies Clinics in existing health facilities</t>
  </si>
  <si>
    <t>ASHA Involvement under NLEP</t>
  </si>
  <si>
    <t>ASHA Incentive for Treatment completion of PB cases (@ Rs 400)</t>
  </si>
  <si>
    <t>HRH&amp;HPIP/NPCCHH</t>
  </si>
  <si>
    <t>3.2.6.1</t>
  </si>
  <si>
    <t>State/District TB Forums</t>
  </si>
  <si>
    <t>3.2.6.2</t>
  </si>
  <si>
    <t>Community engagement activities</t>
  </si>
  <si>
    <t>11.17.3</t>
  </si>
  <si>
    <t>TB Harega Desh Jeetega' Campaign</t>
  </si>
  <si>
    <t>10.5.1</t>
  </si>
  <si>
    <t>Sub-national Disease Free Certification</t>
  </si>
  <si>
    <t>1.1.5.8</t>
  </si>
  <si>
    <t>Diagnosis and Management under Latent TB Infection Management</t>
  </si>
  <si>
    <t>2.3.2.8</t>
  </si>
  <si>
    <t>Screening, referral linkages and follow-up under Latent TB Infection Management</t>
  </si>
  <si>
    <t>Any other</t>
  </si>
  <si>
    <t>10.5.2</t>
  </si>
  <si>
    <t>10.5.3</t>
  </si>
  <si>
    <t>10.5.4</t>
  </si>
  <si>
    <t>10.5.5</t>
  </si>
  <si>
    <t>10.5.6</t>
  </si>
  <si>
    <t>10.5.7</t>
  </si>
  <si>
    <t>15.5.4</t>
  </si>
  <si>
    <t>Multi-sectoral collaboration activities</t>
  </si>
  <si>
    <t>13.3.3</t>
  </si>
  <si>
    <t>Quality Management System for AEFI surveillance under Universal Immunisation Programme</t>
  </si>
  <si>
    <t>IEC under Programme for Prevention and Control of Leptospirosis</t>
  </si>
  <si>
    <t>IEC on Climate Sensitive Diseases at Block , District and State level  – Air pollution, Heat and other relevant Climate Sensitive diseases</t>
  </si>
  <si>
    <t>IEC/BCC under NOHP</t>
  </si>
  <si>
    <t>Digital hemoglobinometer (One digital hemoglobinometer per RBSK Team and One at each Sub-centre/ testing strip)</t>
  </si>
  <si>
    <t>6.1.1.2.3</t>
  </si>
  <si>
    <t>Handheld Pulse Oximeter and nebulizer under SAANS</t>
  </si>
  <si>
    <t>6.1.1.2.4</t>
  </si>
  <si>
    <t>1.1.6.5.3</t>
  </si>
  <si>
    <t>RO water testing (Bacteriological, endotoxin, Chemical) and tank/pipes disinfection (peracetic acid) for Dialysis</t>
  </si>
  <si>
    <t>11.24.4.8</t>
  </si>
  <si>
    <t>11.24.4.9</t>
  </si>
  <si>
    <t>HSS/NHSRC-HCT</t>
  </si>
  <si>
    <t>IEC/BCC- Free Diagnostic Service Initiative (Pathology &amp; Radiology)</t>
  </si>
  <si>
    <t>IEC/BCC - National Dialysis Programme (Haemodialysis and Peritoneal Dialysis)</t>
  </si>
  <si>
    <t>6.1.1.25.3</t>
  </si>
  <si>
    <t>9.5.29.12</t>
  </si>
  <si>
    <t>Training (quality, record keeping etc) for  lab technician on tests that are not covered under National disease control programs (Communicable and non-communicable).</t>
  </si>
  <si>
    <t>Training for Nurse, medical officer, Nephrologist, ANM/ASHA, patients &amp; bystanders on peritoneal dialysis/Haemodialysis</t>
  </si>
  <si>
    <t>9.5.29.13</t>
  </si>
  <si>
    <t>PPCL</t>
  </si>
  <si>
    <t>Spill over of Ongoing Upgradation Works approved in previous years</t>
  </si>
  <si>
    <t>H.18.1</t>
  </si>
  <si>
    <t>3.2.3.1.3</t>
  </si>
  <si>
    <t>Incentive for informant (Rs 500)</t>
  </si>
  <si>
    <t>9.1.7.1</t>
  </si>
  <si>
    <t>Support for setting up of ECHO hub at State &amp; District levels and spokes</t>
  </si>
  <si>
    <t>HSS/e-Gov</t>
  </si>
  <si>
    <t>9.1.7.2</t>
  </si>
  <si>
    <t xml:space="preserve">Honorarium/Incentive for trainers for trainings through ECHO </t>
  </si>
  <si>
    <t>9.1.7.3</t>
  </si>
  <si>
    <t>FMR Removed</t>
  </si>
  <si>
    <t>U.2.3.6</t>
  </si>
  <si>
    <t>U.6.1.5</t>
  </si>
  <si>
    <t>Equipment for AB-HWCs</t>
  </si>
  <si>
    <t>NHM Free Drug Services</t>
  </si>
  <si>
    <t>U.2.3.7</t>
  </si>
  <si>
    <t>Community based service delivery by AB-H&amp;WCs</t>
  </si>
  <si>
    <t xml:space="preserve">Procurement of Drugs &amp; Supplies </t>
  </si>
  <si>
    <t>U.16.1.2.2.1</t>
  </si>
  <si>
    <t>U.16.1.2.2.2</t>
  </si>
  <si>
    <t>P.4.4.1.1/P.4.4.1.2/P.4.4.1.3</t>
  </si>
  <si>
    <t>Procurement of drugs for facilities other than AB-HWCs (including UPHCs, UCHCs, Maternity Homes, etc)</t>
  </si>
  <si>
    <t>U.6.2.1.1</t>
  </si>
  <si>
    <t>U.6.2.1.2</t>
  </si>
  <si>
    <t>U.6.2.2.1</t>
  </si>
  <si>
    <t>U.6.2.2.2</t>
  </si>
  <si>
    <t>Supplies for Ayushman Bharat Health &amp; Wellness Centres (AB-H&amp;WC)</t>
  </si>
  <si>
    <t>Procurement of drugs for AB-H&amp;WCs</t>
  </si>
  <si>
    <t>Consumables/Supplies</t>
  </si>
  <si>
    <t>Supplies for facilities other than AB-HWCs (including UPHCs, UCHCs, Maternity Homes, etc)</t>
  </si>
  <si>
    <t>Provision of Free diagnostics at Ayushman Bharat Health &amp; Wellness Centres (AB-H&amp;WC)</t>
  </si>
  <si>
    <t>Provision of free diagnostics at facilities other than AB-HWCs (including UPHCs, UCHCs, Maternity Homes, etc)</t>
  </si>
  <si>
    <t>U.6.4.1</t>
  </si>
  <si>
    <t>U.6.4.2</t>
  </si>
  <si>
    <t>U.6.4.3</t>
  </si>
  <si>
    <t>1.2.3.4</t>
  </si>
  <si>
    <t>TB Patient Nutritional Support under Nikshay Poshan Yojana</t>
  </si>
  <si>
    <t>Patient wage loss for VL and PKDL</t>
  </si>
  <si>
    <t>3.1.1.4.8.1</t>
  </si>
  <si>
    <t>3.1.1.4.8.2</t>
  </si>
  <si>
    <t>3.1.1.4.8.3</t>
  </si>
  <si>
    <t>8.4.11</t>
  </si>
  <si>
    <t>B18.4</t>
  </si>
  <si>
    <t>U.9.5.7.1</t>
  </si>
  <si>
    <t>U.9.5.7.2</t>
  </si>
  <si>
    <t>U.9.5.7.3</t>
  </si>
  <si>
    <t>U.9.5.8.1</t>
  </si>
  <si>
    <t>U.9.5.8.2</t>
  </si>
  <si>
    <t>U.9.5.8.3</t>
  </si>
  <si>
    <t>U.9.5.8.5</t>
  </si>
  <si>
    <t>U.9.5.8.4</t>
  </si>
  <si>
    <t>U.6.3.1</t>
  </si>
  <si>
    <t>PPCL Grand Total</t>
  </si>
  <si>
    <t>PMNDP</t>
  </si>
  <si>
    <t>Approved</t>
  </si>
  <si>
    <t>Proposed</t>
  </si>
  <si>
    <t>Establishment of District level Adolescent Friendly Health Resource Centre (AFHRC)</t>
  </si>
  <si>
    <t>Infrastructure strengthening of SC  to H&amp;WC</t>
  </si>
  <si>
    <t>Infrastructure strengthening of PHC  to H&amp;WC</t>
  </si>
  <si>
    <t>Abstract for NPCB &amp; VI</t>
  </si>
  <si>
    <t>Operating Cost /OPEX for ambulances</t>
  </si>
  <si>
    <t>Trainings for Ayushman Bharat Health &amp; Wellness Centre (AB-H&amp;WC)</t>
  </si>
  <si>
    <t>Miscellaneous Activities under QA (Quality Course, etc.)</t>
  </si>
  <si>
    <t>Quality Assurance Monitoring cum Mentoring</t>
  </si>
  <si>
    <t>16.1.5.2.5.1</t>
  </si>
  <si>
    <t>16.1.5.2.5.2</t>
  </si>
  <si>
    <t>8.4.12</t>
  </si>
  <si>
    <t>Incentives under NVHCP for MO, Pharmacist and LT</t>
  </si>
  <si>
    <t>16.1.3.1.18.2</t>
  </si>
  <si>
    <t>16.1.3.1.21</t>
  </si>
  <si>
    <t>16.1.3.3.17</t>
  </si>
  <si>
    <t>Health System Strengthening (HSS)</t>
  </si>
  <si>
    <t>RMNCH+A including RI, IPPI, NIDDCP</t>
  </si>
  <si>
    <t>National Disease Control Programme</t>
  </si>
  <si>
    <t>National Tuberculosis Elimination Programme (NTEP)</t>
  </si>
  <si>
    <t>As in RoP 2020-21</t>
  </si>
  <si>
    <t>Physical Targets 2020-21</t>
  </si>
  <si>
    <t>Budget 2020-21</t>
  </si>
  <si>
    <t>Support for replacement of equipments (for meeting obligations of existing contract- signed before FY 2020-21, till tenancy of the same)</t>
  </si>
  <si>
    <t>Financial Progress FY 2020-21 (Rs. In Lakhs)</t>
  </si>
  <si>
    <t>Approved Budget as per RoPs 2020-21</t>
  </si>
  <si>
    <t>Expenditure
(till Dec '20)</t>
  </si>
  <si>
    <t>Proposed 2021-22 (Rs. In Lakhs)</t>
  </si>
  <si>
    <t>Approved 2021-22 (Rs. In Lakhs)</t>
  </si>
  <si>
    <t xml:space="preserve">Physical Achievement (as on Dec'20) </t>
  </si>
  <si>
    <t>Expenditure (as on Dec'20)</t>
  </si>
  <si>
    <t>Proposal for 2021-22</t>
  </si>
  <si>
    <t>Any Others</t>
  </si>
  <si>
    <t>8.1.1.5.1</t>
  </si>
  <si>
    <t>8.1.1.5.2</t>
  </si>
  <si>
    <t>Lab Technician</t>
  </si>
  <si>
    <t>Sr. Lab Technician 
(Graduate/ Post graduate in Biotech/ Microbiology/ Any science graduate (B.Sc) with DMLT</t>
  </si>
  <si>
    <t>18.1.1</t>
  </si>
  <si>
    <t>18.1.2</t>
  </si>
  <si>
    <t>18.1.3</t>
  </si>
  <si>
    <t>18.1.4</t>
  </si>
  <si>
    <t>18.1.5</t>
  </si>
  <si>
    <t>Innovations under RMNCH+A</t>
  </si>
  <si>
    <t>Innovations under HSS</t>
  </si>
  <si>
    <t>18.2.1</t>
  </si>
  <si>
    <t>18.2.2</t>
  </si>
  <si>
    <t>18.2.3</t>
  </si>
  <si>
    <t>18.2.4</t>
  </si>
  <si>
    <t>18.2.5</t>
  </si>
  <si>
    <t>Innovations under NDCP</t>
  </si>
  <si>
    <t>18.3.1</t>
  </si>
  <si>
    <t>18.3.2</t>
  </si>
  <si>
    <t>18.3.3</t>
  </si>
  <si>
    <t>18.3.4</t>
  </si>
  <si>
    <t>18.3.5</t>
  </si>
  <si>
    <t>Innovations under NCD</t>
  </si>
  <si>
    <t>18.4.1</t>
  </si>
  <si>
    <t>18.4.2</t>
  </si>
  <si>
    <t>18.4.3</t>
  </si>
  <si>
    <t>18.4.4</t>
  </si>
  <si>
    <t>18.4.5</t>
  </si>
  <si>
    <t>Approval for 2021-22</t>
  </si>
  <si>
    <t>Budget (Rs. In lakhs)</t>
  </si>
  <si>
    <t>Programmes</t>
  </si>
  <si>
    <t>F</t>
  </si>
  <si>
    <t>G</t>
  </si>
  <si>
    <t>H</t>
  </si>
  <si>
    <t xml:space="preserve">PM cost for E-rakt kosh- refer to strengthening of blood services guidelines </t>
  </si>
  <si>
    <t>Total no. of positions proposed</t>
  </si>
  <si>
    <t>Only for staff on deputation</t>
  </si>
  <si>
    <t>Pool/ Programme</t>
  </si>
  <si>
    <t>Ayushman Bharat Health &amp; Wellness Centre</t>
  </si>
  <si>
    <t>Strengthening of BCC/IEC Bureaus (state and district levels excl HR)</t>
  </si>
  <si>
    <t>HRH&amp;HPIP/NTEP</t>
  </si>
  <si>
    <t>NTEP</t>
  </si>
  <si>
    <t>Budget recommended by Programme Divisions (Rs. In lakhs)</t>
  </si>
  <si>
    <t>NTEP Grand Total</t>
  </si>
  <si>
    <t xml:space="preserve">Maternal Health </t>
  </si>
  <si>
    <t>Financing</t>
  </si>
  <si>
    <t>Medicines and Equipment</t>
  </si>
  <si>
    <t>Health Information Systems</t>
  </si>
  <si>
    <t>NDCP Flexi Pool</t>
  </si>
  <si>
    <t>National Program for Control of Blindness and Vision Impairment (NPCB&amp;VI)</t>
  </si>
  <si>
    <t>Pradhan Mantri National Dialysis Programme (PMNDP)</t>
  </si>
  <si>
    <t>National Programme for Prevention &amp; Control of Fluorosis (NPPCF)</t>
  </si>
  <si>
    <t>National Programme for Prevention &amp; Control of Deafness (NPPCD)</t>
  </si>
  <si>
    <t>National programme for Prevention and Management of Burns &amp; Injuries</t>
  </si>
  <si>
    <t>Programme for Prevention and Control of Leptospirosis (PPCL)</t>
  </si>
  <si>
    <t>NCD Flexi Pool</t>
  </si>
  <si>
    <t>Health workforce</t>
  </si>
  <si>
    <t>Leadership/ Governance</t>
  </si>
  <si>
    <t xml:space="preserve">IT Initiatives </t>
  </si>
  <si>
    <t>Referral Transport including NAS</t>
  </si>
  <si>
    <t>National MMU</t>
  </si>
  <si>
    <t>Community Action</t>
  </si>
  <si>
    <t>IEC</t>
  </si>
  <si>
    <t>National Free Diagnostics Services</t>
  </si>
  <si>
    <t>Human resources</t>
  </si>
  <si>
    <t>Comprehensive Primary Healthcare (CPHC)</t>
  </si>
  <si>
    <t>National Programmes (NRHM+NUHM)</t>
  </si>
  <si>
    <t>NUHM Flexi Pool</t>
  </si>
  <si>
    <t>Non-Metro</t>
  </si>
  <si>
    <t>Metro Cities</t>
  </si>
  <si>
    <t>NUHM Comprehensive Primary Healthcare (NUHM-CPHC)</t>
  </si>
  <si>
    <t>HSS Flexi Pool</t>
  </si>
  <si>
    <t>RKSK/ AH</t>
  </si>
  <si>
    <t>Imz</t>
  </si>
  <si>
    <t>RCH Flexible Pool</t>
  </si>
  <si>
    <t>NPPMBI</t>
  </si>
  <si>
    <t>Total</t>
  </si>
  <si>
    <t>RCH Tribal/ Vulnerable</t>
  </si>
  <si>
    <t>Blood Cell/ HSS</t>
  </si>
  <si>
    <t>National Free Drug Services</t>
  </si>
  <si>
    <t>HR</t>
  </si>
  <si>
    <t>PM</t>
  </si>
  <si>
    <t>Inv</t>
  </si>
  <si>
    <t>RT</t>
  </si>
  <si>
    <t>MMU</t>
  </si>
  <si>
    <t>CA</t>
  </si>
  <si>
    <t>Inf</t>
  </si>
  <si>
    <t>QA</t>
  </si>
  <si>
    <t>UF</t>
  </si>
  <si>
    <t>NFDS</t>
  </si>
  <si>
    <t>NGDgS</t>
  </si>
  <si>
    <t>BS</t>
  </si>
  <si>
    <t xml:space="preserve">HSS Others </t>
  </si>
  <si>
    <t>Total NHM</t>
  </si>
  <si>
    <t>Total NUHM</t>
  </si>
  <si>
    <t>FMR 1</t>
  </si>
  <si>
    <t>FMR 2</t>
  </si>
  <si>
    <t>FMR 3</t>
  </si>
  <si>
    <t>FMR 5</t>
  </si>
  <si>
    <t>FMR 7</t>
  </si>
  <si>
    <t>FMR 11</t>
  </si>
  <si>
    <t>FMR 12</t>
  </si>
  <si>
    <t>FMR 13</t>
  </si>
  <si>
    <t>FMR 4</t>
  </si>
  <si>
    <t>FMR 15</t>
  </si>
  <si>
    <t>FMR 6</t>
  </si>
  <si>
    <t>FMR 14</t>
  </si>
  <si>
    <t>FMR 8</t>
  </si>
  <si>
    <t>FMR 9</t>
  </si>
  <si>
    <t>FMR 16</t>
  </si>
  <si>
    <t>FMR 10</t>
  </si>
  <si>
    <t>FMR 17</t>
  </si>
  <si>
    <t>FMR 18</t>
  </si>
  <si>
    <t>NHM (Central Share)</t>
  </si>
  <si>
    <t>NHM (State Share)</t>
  </si>
  <si>
    <t>Ministry of Tribal Affairs</t>
  </si>
  <si>
    <t>Ministry of Minority Affairs</t>
  </si>
  <si>
    <t>Ministry of Social Justice and Empowerment</t>
  </si>
  <si>
    <t>Member of Parliament Local Area Development Scheme (MPLADS)</t>
  </si>
  <si>
    <t>Ministry of Development of North Eastern Region</t>
  </si>
  <si>
    <t>The Border Area Development Programme (BADP)</t>
  </si>
  <si>
    <t>District Mineral Foundation Fund</t>
  </si>
  <si>
    <t>Fund from Development partners</t>
  </si>
  <si>
    <t>Fund from CSR</t>
  </si>
  <si>
    <t>Fund for Aspirational Districts</t>
  </si>
  <si>
    <t>Sl. No</t>
  </si>
  <si>
    <t>Area specific Budget (in Cr)</t>
  </si>
  <si>
    <t>Total Budget (in Cr)</t>
  </si>
  <si>
    <t>Heads</t>
  </si>
  <si>
    <t>Summary of Budget of Annual State Health Plan</t>
  </si>
  <si>
    <t>Name of Districts</t>
  </si>
  <si>
    <t>Aspirational District (Y/N)</t>
  </si>
  <si>
    <t>% of State Allocation</t>
  </si>
  <si>
    <t>Sl No</t>
  </si>
  <si>
    <t>Name of State/ UT</t>
  </si>
  <si>
    <t>No. of Tribal Blocks</t>
  </si>
  <si>
    <t>No. of Blocks</t>
  </si>
  <si>
    <t>No. of SC Blocks</t>
  </si>
  <si>
    <t>HRH&amp;HPIP/ NPPCF</t>
  </si>
  <si>
    <t>HRH&amp;HPIP/ NPPC</t>
  </si>
  <si>
    <t>PMBI Grand Total</t>
  </si>
  <si>
    <t>I</t>
  </si>
  <si>
    <t>Abstract for NTEP</t>
  </si>
  <si>
    <t>NUHM Summary Sheet</t>
  </si>
  <si>
    <t>Operating cost for Paediatric HDU, Emergency, OPD and Ward</t>
  </si>
  <si>
    <t>6.2.6.6</t>
  </si>
  <si>
    <t>Staff for Obstetric ICUs/HDUs/ Emergency</t>
  </si>
  <si>
    <t>12.2.14</t>
  </si>
  <si>
    <t>Printing for Paediatric HDU, Emergency, OPD and Ward</t>
  </si>
  <si>
    <t>U.3.1.2.1</t>
  </si>
  <si>
    <t>U.3.1.2.2</t>
  </si>
  <si>
    <t>HMIS-RCH (MMPC Projects)</t>
  </si>
  <si>
    <t>Abstract for HMIS-RCH (MMPC Projects)</t>
  </si>
  <si>
    <t>Universal health check-up and screening of NCDs (May propose organizing outreach activities for NCD screening in non-PBS districts)</t>
  </si>
  <si>
    <t>Drugs &amp; Diagnostics Cancer care</t>
  </si>
  <si>
    <t>Drugs &amp; consumables for NCD management (includes Diabetes, Hypertension, Stroke, etc) for whole district</t>
  </si>
  <si>
    <t>COPD Drugs and Consumables in whole district</t>
  </si>
  <si>
    <t>Drugs &amp; Diagnostics for Cardiac care</t>
  </si>
  <si>
    <t>Drugs &amp; Diagnostics for NCD management (includes Diabetes, Hypertension, etc)</t>
  </si>
  <si>
    <t>Consumables for PHC level: Glucostrips, lancet, swabs, etc</t>
  </si>
  <si>
    <t>Consumables for Sub-Centre level: Glucostrips, lancet, swabs, etc</t>
  </si>
  <si>
    <t>Source of Funding</t>
  </si>
  <si>
    <t>Summary Sheets</t>
  </si>
  <si>
    <t>District Allocation and Sub Plan</t>
  </si>
  <si>
    <t>Budget Summary Table</t>
  </si>
  <si>
    <t>Upgradation</t>
  </si>
  <si>
    <t xml:space="preserve">Lab strengthening for SHC - HWC </t>
  </si>
  <si>
    <t xml:space="preserve">Lab strengthening for PHC - HWC </t>
  </si>
  <si>
    <t xml:space="preserve">Training on CPCH for CHOs </t>
  </si>
  <si>
    <t xml:space="preserve">Multiskilling of MPW and ASHAs at HWCs (SHC and PHC) </t>
  </si>
  <si>
    <t xml:space="preserve">Additional Training of CHOs </t>
  </si>
  <si>
    <t>Training of MO and Staff nurses</t>
  </si>
  <si>
    <t>U.1.1.1.1</t>
  </si>
  <si>
    <t>U.1.1.1.2</t>
  </si>
  <si>
    <t>U.1.1.1.3</t>
  </si>
  <si>
    <t>U.1.1.1.4</t>
  </si>
  <si>
    <t>Non Communicable Disease Control Programme and Zoonotic Diseases</t>
  </si>
  <si>
    <t>Total RE Allocated for the State/ UT (in Cr)</t>
  </si>
  <si>
    <t>Central Government (including Medical Education/ PMSSY/ Tertiary care programme/ Pharmacology etc.)</t>
  </si>
  <si>
    <t>NACO</t>
  </si>
  <si>
    <t>Ministry of AYUSH</t>
  </si>
  <si>
    <t>Finance Commission Grant</t>
  </si>
  <si>
    <t>c</t>
  </si>
  <si>
    <t>Incentive for RMNCH+A Services</t>
  </si>
  <si>
    <t>Incentive for MH Services</t>
  </si>
  <si>
    <t>Activity list</t>
  </si>
  <si>
    <t>NVBDCP- Malaria</t>
  </si>
  <si>
    <t>Incentive for CH Services</t>
  </si>
  <si>
    <t>Incentive for Immunization services</t>
  </si>
  <si>
    <t>Incentive for Immunization Services</t>
  </si>
  <si>
    <t>Incentive for National Disease Control Programmes</t>
  </si>
  <si>
    <t>Incentive for NVBDCP</t>
  </si>
  <si>
    <t>o</t>
  </si>
  <si>
    <t>t</t>
  </si>
  <si>
    <t>n</t>
  </si>
  <si>
    <t>MH/ NHSRC-CP</t>
  </si>
  <si>
    <t>RI/ NHSRC-CP</t>
  </si>
  <si>
    <t>FP/ NHSRC-CP</t>
  </si>
  <si>
    <t>AH/ NHSRC-CP</t>
  </si>
  <si>
    <t>Any other ASHA incentives</t>
  </si>
  <si>
    <t xml:space="preserve">Training of ASHA </t>
  </si>
  <si>
    <t>P</t>
  </si>
  <si>
    <t>y</t>
  </si>
  <si>
    <t xml:space="preserve">Support Mechanisms </t>
  </si>
  <si>
    <t>Supportive provisions  (uniform/ awards etc)</t>
  </si>
  <si>
    <t>ASHA incentive for supporting IRS / sensitizing community to accept IRS and Referral / Ensuring treatment for Kala-azar cases</t>
  </si>
  <si>
    <t xml:space="preserve">Filling up of CBAC form and mobilizing for NCD screening </t>
  </si>
  <si>
    <t xml:space="preserve">Follow up of NCD patients for treatment initiation and compliance </t>
  </si>
  <si>
    <t xml:space="preserve">Training on Expanded services packages at HWCs </t>
  </si>
  <si>
    <t xml:space="preserve">Supplementary /Refresher/ Other  training for ASHAs </t>
  </si>
  <si>
    <t xml:space="preserve">Supplementary /Refresher training for ASHAs </t>
  </si>
  <si>
    <t xml:space="preserve">Other training </t>
  </si>
  <si>
    <t>Support provisions to ASHA</t>
  </si>
  <si>
    <t>Uniform</t>
  </si>
  <si>
    <t>ID cards</t>
  </si>
  <si>
    <t>Awards</t>
  </si>
  <si>
    <t>Samelan</t>
  </si>
  <si>
    <t xml:space="preserve">CUG </t>
  </si>
  <si>
    <t>5.3.2/ B1.1.3.7</t>
  </si>
  <si>
    <t>Other Community level Interventions for AH Services</t>
  </si>
  <si>
    <t>Other Community level Interventions under NTEP</t>
  </si>
  <si>
    <t>O</t>
  </si>
  <si>
    <t>l</t>
  </si>
  <si>
    <t>Other Community level Interventions under NVHCP</t>
  </si>
  <si>
    <t>Community level Interventions for FP Services</t>
  </si>
  <si>
    <t>Other Community level Interventions for RMNCH+A Services</t>
  </si>
  <si>
    <t>Other Community level Interventions under NDCP</t>
  </si>
  <si>
    <t>Incentive under NCD</t>
  </si>
  <si>
    <t>Incentive under NIDDCP</t>
  </si>
  <si>
    <t>3.2.1.1</t>
  </si>
  <si>
    <t>3.2.1.2</t>
  </si>
  <si>
    <t>Community level Interventions for AH Services</t>
  </si>
  <si>
    <t>Community level Interventions under NVHCP</t>
  </si>
  <si>
    <t>Community Action for Health</t>
  </si>
  <si>
    <t>Other Community level Interventions under NVBDCP</t>
  </si>
  <si>
    <t>Community level Interventions under NVBDCP</t>
  </si>
  <si>
    <t>Other Community level Interventions under NCD</t>
  </si>
  <si>
    <t>Other Community level Interventions under NMHP</t>
  </si>
  <si>
    <t>Community level Interventions under NMHP</t>
  </si>
  <si>
    <t>3.2.2.1</t>
  </si>
  <si>
    <t>3.2.2.3</t>
  </si>
  <si>
    <t>Incentive under DCPs</t>
  </si>
  <si>
    <t>Incentive underNLEP</t>
  </si>
  <si>
    <t>B4.1.1 to B4.1.6/ B5.6/ A.9.10/ B.5.10</t>
  </si>
  <si>
    <t>B4.1.1 to B4.1.4/ B4.1.6/ B.5.10</t>
  </si>
  <si>
    <t>Additional building/ Major Upgradation of existing facilities/ Structure</t>
  </si>
  <si>
    <t>HSS/ CH</t>
  </si>
  <si>
    <t>Renovation of PC unit/ OPD/ Beds/ Miscellaneous equipment etc.</t>
  </si>
  <si>
    <t>Civil Works under NTEP</t>
  </si>
  <si>
    <t>Maintenance of office equipment for DTC, DRTB centre and Labs (under NTEP)</t>
  </si>
  <si>
    <t>Drugs &amp; supplies for NTEP</t>
  </si>
  <si>
    <t>Replacement of Vehicles under NTEP</t>
  </si>
  <si>
    <t>Trainings under NTEP</t>
  </si>
  <si>
    <t>IEC/BCC activities under NTEP</t>
  </si>
  <si>
    <t>Printing activities under NTEP</t>
  </si>
  <si>
    <t>Human resources for NTEP drug store</t>
  </si>
  <si>
    <t>PPP under NTEP</t>
  </si>
  <si>
    <t>All state level PM staff under IDSP, NVBDCP, NLEP, NTEP, NVHCP</t>
  </si>
  <si>
    <t>All district level PM staff under IDSP, NVBDCP, NLEP, NTEP, NVHCP</t>
  </si>
  <si>
    <t>All block level PM staff under IDSP, NVBDCP, NLEP, NTEP, NVHCP</t>
  </si>
  <si>
    <t>HSS/ Nursing</t>
  </si>
  <si>
    <t>HSS/ NHSRC-CP</t>
  </si>
  <si>
    <t>Procurement of bio-medical and other equipment: RI</t>
  </si>
  <si>
    <t>Procurement of bio-medical and other equipment: NIDDCP</t>
  </si>
  <si>
    <t xml:space="preserve">Procurement of bio-medical and other equipment: Training </t>
  </si>
  <si>
    <t>Procurement of bio-medical and other equipment: Blood Banks/BSUs</t>
  </si>
  <si>
    <t>Procurement of bio-medical and other Equipment: IDSP</t>
  </si>
  <si>
    <t>Procurement of bio-medical and other Equipment: NVBDCP</t>
  </si>
  <si>
    <t>Procurement of bio-medical and other Equipment: NLEP</t>
  </si>
  <si>
    <t>Procurement of bio-medical and other Equipment: NTEP</t>
  </si>
  <si>
    <t>Procurement of bio-medical and other Equipment: NPCB</t>
  </si>
  <si>
    <t>Procurement of bio-medical and other Equipment: NPPCD</t>
  </si>
  <si>
    <t>Procurement of bio-medical and other Equipment: NOHP</t>
  </si>
  <si>
    <t>Procurement of bio-medical and other Equipment: NPPC</t>
  </si>
  <si>
    <t>Procurement of bio-medical and other Equipment: Burns &amp; Injury</t>
  </si>
  <si>
    <t>Procurement of bio-medical and other Equipment: NMHP</t>
  </si>
  <si>
    <t>Procurement of bio-medical and other Equipment: NPHCE</t>
  </si>
  <si>
    <t>Procurement of bio-medical and other equipment: NTCP</t>
  </si>
  <si>
    <t>Procurement of bio-medical and other equipment: NPCDCS</t>
  </si>
  <si>
    <t>Procurement of bio-medical and other equipment: National Dialysis Programme</t>
  </si>
  <si>
    <t>6.1.1.16.2/ 6.1.2.2.5</t>
  </si>
  <si>
    <t>HSS/ HMIS-MCTS</t>
  </si>
  <si>
    <t>HCT</t>
  </si>
  <si>
    <t>Any other equipment (including equipment for SRC/MNCU/SNCU/ NBSU/NBCC/NRC/ etc</t>
  </si>
  <si>
    <t>J</t>
  </si>
  <si>
    <t>K</t>
  </si>
  <si>
    <t>L</t>
  </si>
  <si>
    <t>N</t>
  </si>
  <si>
    <t>Procurement of bio-medical and other equipment:  MH</t>
  </si>
  <si>
    <t>Procurement of bio-medical and other equipment under RMNCH+A</t>
  </si>
  <si>
    <t>Procurement of bio-medical and other equipment under HSS</t>
  </si>
  <si>
    <t>Procurement of bio-medical and other equipment under NDCP</t>
  </si>
  <si>
    <t>Procurement of bio-medical and other equipment under NCD</t>
  </si>
  <si>
    <t>Replenishment of ASHA HBNC and HBYC kits</t>
  </si>
  <si>
    <t>Procurement of drugs and suuplies under NDCP</t>
  </si>
  <si>
    <t>Procurement of drugs and suuplies under NCD</t>
  </si>
  <si>
    <t>Other Procurement</t>
  </si>
  <si>
    <t>II</t>
  </si>
  <si>
    <t>a</t>
  </si>
  <si>
    <t>b</t>
  </si>
  <si>
    <t>e</t>
  </si>
  <si>
    <t>d</t>
  </si>
  <si>
    <t>Procurement of Bio-medical and other Equipment under RMNCH+A</t>
  </si>
  <si>
    <t>Procurement of Bio-medical and other Equipment under HSS</t>
  </si>
  <si>
    <t>Procurement of bio-medical and other equipment: AYUSH</t>
  </si>
  <si>
    <t>Procurement of bio-medical and other equipment:  CH</t>
  </si>
  <si>
    <t>Procurement of bio-medical and other equipment:  FP</t>
  </si>
  <si>
    <t>Procurement of bio-medical and other equipment:  AH</t>
  </si>
  <si>
    <t>Procurement of bio-medical and other equipment:  RBSK</t>
  </si>
  <si>
    <t>Procurement of bio-medical and other Equipment: NRCP</t>
  </si>
  <si>
    <t>Maintenance of bio-medical and other equipment</t>
  </si>
  <si>
    <t>Procurement of drugs and supplies under RMNCH+A</t>
  </si>
  <si>
    <t>Drugs and supplies under NRCP</t>
  </si>
  <si>
    <t>Drugs and supplies under PPCL</t>
  </si>
  <si>
    <t>Procurement of Bio-medical and other Equipment under NDCP</t>
  </si>
  <si>
    <t>Free Diagnostic services under RMNCH+A</t>
  </si>
  <si>
    <t>Free Diagnostic Services</t>
  </si>
  <si>
    <t>6.1.4</t>
  </si>
  <si>
    <t>HSS/ Nursing/ Training</t>
  </si>
  <si>
    <t>6.1.4.1</t>
  </si>
  <si>
    <t>6.1.4.2</t>
  </si>
  <si>
    <t>6.1.4.3</t>
  </si>
  <si>
    <t>6.1.4.4</t>
  </si>
  <si>
    <t>6.1.4.5</t>
  </si>
  <si>
    <t>Procurement of Bio-medical and other Equipment under NCD</t>
  </si>
  <si>
    <t>6.1.5</t>
  </si>
  <si>
    <t>6.1.5.1</t>
  </si>
  <si>
    <t>6.1.5.2</t>
  </si>
  <si>
    <t>6.1.5.3</t>
  </si>
  <si>
    <t>6.1.5.4</t>
  </si>
  <si>
    <t>6.1.5.5</t>
  </si>
  <si>
    <t>6.1.5.6</t>
  </si>
  <si>
    <t>6.1.5.7</t>
  </si>
  <si>
    <t>Procurement of drugs and supplies under HSS</t>
  </si>
  <si>
    <t xml:space="preserve">Local purchase of spare parts ( for in-house repair of medical devices by biomedical engineers/technician) </t>
  </si>
  <si>
    <t>Comprehensive Bio-Medical Equipment Maintenance Programme</t>
  </si>
  <si>
    <t>Procurement of drugs and supplies under NDCP</t>
  </si>
  <si>
    <t>Procurement of drugs and supplies under NCD</t>
  </si>
  <si>
    <t>NVBDCP-Dengue &amp; Chikungunya</t>
  </si>
  <si>
    <t>NVBDCP-AES/JE</t>
  </si>
  <si>
    <t>NVBDCP-Lymphatic Filariasis</t>
  </si>
  <si>
    <t>NVBDCP- Kala-azar</t>
  </si>
  <si>
    <t>NVBDCP-Malaria</t>
  </si>
  <si>
    <t>NVBDCP – Malaria</t>
  </si>
  <si>
    <t>HRH&amp;HPIP/ NVBDCP – Malaria</t>
  </si>
  <si>
    <t>HRH&amp;HPIP/ NVBDCP - GFATM</t>
  </si>
  <si>
    <t>HRH&amp;HPIP/ NVBDCP-Dengue &amp; Chikungunya</t>
  </si>
  <si>
    <t>HRH&amp;HPIP/ NVBDCP-AES/JE</t>
  </si>
  <si>
    <t>HRH&amp;HPIP/ NVBDCP-Lymphatic Filariasis</t>
  </si>
  <si>
    <t>HRH&amp;HPIP/ NVBDCP- Kala-azar</t>
  </si>
  <si>
    <t>Mobility support for Field activities for State MVCR Cell</t>
  </si>
  <si>
    <t>HRH&amp;HPIP/ NVBDCP-Malaria</t>
  </si>
  <si>
    <t>CP</t>
  </si>
  <si>
    <t>Supplies for Immunization</t>
  </si>
  <si>
    <t>Procurement of Drugs and Supplies</t>
  </si>
  <si>
    <t>6.1.6</t>
  </si>
  <si>
    <t>6.1.5.8</t>
  </si>
  <si>
    <t>6.1.5.9</t>
  </si>
  <si>
    <t>6.1.5.10</t>
  </si>
  <si>
    <t>6.1.6.1</t>
  </si>
  <si>
    <t>6.1.6.2</t>
  </si>
  <si>
    <t>6.1.6.3</t>
  </si>
  <si>
    <t>6.1.6.4</t>
  </si>
  <si>
    <t>6.1.6.5</t>
  </si>
  <si>
    <t>6.1.6.6</t>
  </si>
  <si>
    <t>6.1.6.7</t>
  </si>
  <si>
    <t>6.2.3.3</t>
  </si>
  <si>
    <t>6.2.3.4</t>
  </si>
  <si>
    <t>6.2.3.5</t>
  </si>
  <si>
    <t>6.2.3.6</t>
  </si>
  <si>
    <t>6.2.4.5</t>
  </si>
  <si>
    <t>6.2.4.6</t>
  </si>
  <si>
    <t>6.2.4.7</t>
  </si>
  <si>
    <t xml:space="preserve">IT equipment for HWCs (PHC and SHCS) </t>
  </si>
  <si>
    <t>6.1.2.7</t>
  </si>
  <si>
    <t>ICT for HWC- Internet connection</t>
  </si>
  <si>
    <t>IT Equipment for HWC</t>
  </si>
  <si>
    <t>Sub-Annexure for Community Intervention</t>
  </si>
  <si>
    <t>Sub-Annexure for Procurement</t>
  </si>
  <si>
    <t>Sub-Annexure for Training and Capacity Building</t>
  </si>
  <si>
    <t>Setting up Training Institutions for MH Services</t>
  </si>
  <si>
    <t>Setting up of ECHO hub</t>
  </si>
  <si>
    <t>HR for Nursing Schools/ Institutions/ Nursing Directorate/ SIHFW supported under NHM</t>
  </si>
  <si>
    <t>Conducting Trainings including medical (DNB/CPS)/paramedical/nursing courses</t>
  </si>
  <si>
    <t>Trainings under RMNCH+A</t>
  </si>
  <si>
    <t xml:space="preserve">Development/ translation and duplication of training materials </t>
  </si>
  <si>
    <t>Development of SAANS training modules</t>
  </si>
  <si>
    <t>f</t>
  </si>
  <si>
    <t>g</t>
  </si>
  <si>
    <t>h</t>
  </si>
  <si>
    <t>j</t>
  </si>
  <si>
    <t>k</t>
  </si>
  <si>
    <t>m</t>
  </si>
  <si>
    <t>p</t>
  </si>
  <si>
    <t>q</t>
  </si>
  <si>
    <t>r</t>
  </si>
  <si>
    <t>s</t>
  </si>
  <si>
    <t>u</t>
  </si>
  <si>
    <t>v</t>
  </si>
  <si>
    <t>w</t>
  </si>
  <si>
    <t>x</t>
  </si>
  <si>
    <t>z</t>
  </si>
  <si>
    <t>aa</t>
  </si>
  <si>
    <t>ab</t>
  </si>
  <si>
    <t>Trainings under HSS</t>
  </si>
  <si>
    <t>Trainings under NDCP</t>
  </si>
  <si>
    <t>Trainings under NCD</t>
  </si>
  <si>
    <t>Trainings for NRCP</t>
  </si>
  <si>
    <t>Capacity Building of ARC HR at State Level</t>
  </si>
  <si>
    <t>Capacity Building of ARC HR at District Level</t>
  </si>
  <si>
    <t>Capacity Building of ARC HR at Block Level</t>
  </si>
  <si>
    <t>Trainings under NPCCHH</t>
  </si>
  <si>
    <t>Trainings for PPCL</t>
  </si>
  <si>
    <t>Other Trainings</t>
  </si>
  <si>
    <t>Other trainings</t>
  </si>
  <si>
    <t>Activity List</t>
  </si>
  <si>
    <t>9.1.4.1</t>
  </si>
  <si>
    <t>9.1.4.2</t>
  </si>
  <si>
    <t>9.1.4.3</t>
  </si>
  <si>
    <t>9.1.4.4</t>
  </si>
  <si>
    <t>9.1.4.5</t>
  </si>
  <si>
    <t>9.1.4.6</t>
  </si>
  <si>
    <t>9.2.1.1</t>
  </si>
  <si>
    <t>9.2.1.2</t>
  </si>
  <si>
    <t>9.2.1.3</t>
  </si>
  <si>
    <t>9.2.1.4</t>
  </si>
  <si>
    <t>9.2.1.5</t>
  </si>
  <si>
    <t>9.2.1.6</t>
  </si>
  <si>
    <t>9.2.1.7</t>
  </si>
  <si>
    <t>9.2.1.8</t>
  </si>
  <si>
    <t>Other trainings (including training under RCH Tribal/ Vulnerable)</t>
  </si>
  <si>
    <t>9.2.2.1</t>
  </si>
  <si>
    <t>9.2.2.2</t>
  </si>
  <si>
    <t>9.2.2.3</t>
  </si>
  <si>
    <t>9.2.2.4</t>
  </si>
  <si>
    <t>9.2.2.5</t>
  </si>
  <si>
    <t>9.2.2.6</t>
  </si>
  <si>
    <t>9.2.2.7</t>
  </si>
  <si>
    <t>9.2.2.8</t>
  </si>
  <si>
    <t>9.2.2.9</t>
  </si>
  <si>
    <t>9.2.2.10</t>
  </si>
  <si>
    <t>9.2.2.11</t>
  </si>
  <si>
    <t>9.2.2.12</t>
  </si>
  <si>
    <t>9.2.2.13</t>
  </si>
  <si>
    <t>9.2.2.14</t>
  </si>
  <si>
    <t>9.2.2.15</t>
  </si>
  <si>
    <t>9.2.2.16</t>
  </si>
  <si>
    <t>HR/ FMG</t>
  </si>
  <si>
    <t>PHA/ HSS</t>
  </si>
  <si>
    <t>Training related to Implementation of Clinical Establishment Act</t>
  </si>
  <si>
    <t>Trainings under PMNDP</t>
  </si>
  <si>
    <t>9.2.3.1</t>
  </si>
  <si>
    <t>9.2.4.1</t>
  </si>
  <si>
    <t>9.2.4.2</t>
  </si>
  <si>
    <t>9.2.4.3</t>
  </si>
  <si>
    <t>9.2.4.4</t>
  </si>
  <si>
    <t>9.2.4.5</t>
  </si>
  <si>
    <t>9.2.4.6</t>
  </si>
  <si>
    <t>9.2.4.7</t>
  </si>
  <si>
    <t>9.2.4.8</t>
  </si>
  <si>
    <t>9.2.4.9</t>
  </si>
  <si>
    <t>9.2.4.10</t>
  </si>
  <si>
    <t>9.2.3.2</t>
  </si>
  <si>
    <t>9.2.3.3</t>
  </si>
  <si>
    <t>9.2.3.4</t>
  </si>
  <si>
    <t>9.2.3.5</t>
  </si>
  <si>
    <t>9.2.3.6</t>
  </si>
  <si>
    <t>9.2.3.7</t>
  </si>
  <si>
    <t>Training and Capacity Building</t>
  </si>
  <si>
    <t>HSS / Nursing Directorate</t>
  </si>
  <si>
    <t>Trainings on Outreach Services/ RT</t>
  </si>
  <si>
    <t>RCH Pool</t>
  </si>
  <si>
    <t>NDCP Pool</t>
  </si>
  <si>
    <t>e-Gov</t>
  </si>
  <si>
    <t>NTEP/ HRH</t>
  </si>
  <si>
    <t>PPP under HSS</t>
  </si>
  <si>
    <t>PPP under RMNCH+A</t>
  </si>
  <si>
    <t>15.9.1/ B13.1</t>
  </si>
  <si>
    <t>15.9.2/ B13.2</t>
  </si>
  <si>
    <t>15.9.3/ B13.3</t>
  </si>
  <si>
    <t>15.9.5/ B14.1</t>
  </si>
  <si>
    <t>15.9.6/ B18.3</t>
  </si>
  <si>
    <t>15.2.2</t>
  </si>
  <si>
    <t>15.2.3</t>
  </si>
  <si>
    <t>15.2.4</t>
  </si>
  <si>
    <t>15.2.5</t>
  </si>
  <si>
    <t>15.2.6</t>
  </si>
  <si>
    <t>Any other PPP initiative under RMNCH+A</t>
  </si>
  <si>
    <t>Any other PPP initiative under HSS</t>
  </si>
  <si>
    <t>15.1.3</t>
  </si>
  <si>
    <t>PPP under NDCP</t>
  </si>
  <si>
    <t>15.3.1/ F.1.1.e</t>
  </si>
  <si>
    <t>15.3.2/ F.1.2.g</t>
  </si>
  <si>
    <t>15.3.1.1</t>
  </si>
  <si>
    <t>15.3.1.2</t>
  </si>
  <si>
    <t>15.4.1/ G.1.5</t>
  </si>
  <si>
    <t>15.4.3.1</t>
  </si>
  <si>
    <t>15.3.2.1</t>
  </si>
  <si>
    <t>15.3.2.2</t>
  </si>
  <si>
    <t>15.5.2/ H.9.1</t>
  </si>
  <si>
    <t>15.5.3/ H.9.2</t>
  </si>
  <si>
    <t>15.3.3</t>
  </si>
  <si>
    <t>15.3.3.1</t>
  </si>
  <si>
    <t>15.3..3.2</t>
  </si>
  <si>
    <t>15.3..3.3</t>
  </si>
  <si>
    <t>15.3..3.4</t>
  </si>
  <si>
    <t>15.3.4</t>
  </si>
  <si>
    <t>PPP under NVHCP</t>
  </si>
  <si>
    <t>15.3.4.1</t>
  </si>
  <si>
    <t>15.3.5</t>
  </si>
  <si>
    <t>Any other PPP initiative under NDCP</t>
  </si>
  <si>
    <t>Public Private Partnership under NPPCD</t>
  </si>
  <si>
    <t>15.2.1/ B.25.1.2</t>
  </si>
  <si>
    <t>Reimbursement for Other Eye Diseases</t>
  </si>
  <si>
    <t>15.6.1/ I.1.1</t>
  </si>
  <si>
    <t>15.6.2/ I.1.2</t>
  </si>
  <si>
    <t>15.6.3/ I.2.3</t>
  </si>
  <si>
    <t>15.6.4/ I.2.6</t>
  </si>
  <si>
    <t>NGO based activities under NMHP</t>
  </si>
  <si>
    <t>15.8/ O.2.6</t>
  </si>
  <si>
    <t>15.8.1/ O.2.6.1</t>
  </si>
  <si>
    <t>15.8.2/ O.2.6.2</t>
  </si>
  <si>
    <t>15.8.3/ O.2.6.3</t>
  </si>
  <si>
    <t>15.9.4/ B.13.4</t>
  </si>
  <si>
    <t>PPP under NCD</t>
  </si>
  <si>
    <t>15.4.3</t>
  </si>
  <si>
    <t>15.4.3.2</t>
  </si>
  <si>
    <t>15.4.3.4</t>
  </si>
  <si>
    <t>15.4.3.5</t>
  </si>
  <si>
    <t>15.4.3.6</t>
  </si>
  <si>
    <t>15.4.4</t>
  </si>
  <si>
    <t>15.4.5</t>
  </si>
  <si>
    <t>15.4.5.1</t>
  </si>
  <si>
    <t>15.4.5.2</t>
  </si>
  <si>
    <t>15.4.5.3</t>
  </si>
  <si>
    <t>15.4.5.4</t>
  </si>
  <si>
    <t>15.4.6</t>
  </si>
  <si>
    <t>NCD Pool</t>
  </si>
  <si>
    <t>Any other PPP initiative under NCD</t>
  </si>
  <si>
    <t>Programme Management Activities under RMNCH+A</t>
  </si>
  <si>
    <t>Programme Management Activities under HSS</t>
  </si>
  <si>
    <t>Programme Management Activities under NDCP</t>
  </si>
  <si>
    <t>Programme Management Activities under NCD</t>
  </si>
  <si>
    <t>To be allocated proportionally as ber PM cost available</t>
  </si>
  <si>
    <t>PM cost related to NPCDCS</t>
  </si>
  <si>
    <t>Sub-Annexure for Programme Management Activities</t>
  </si>
  <si>
    <t>i</t>
  </si>
  <si>
    <t>r.2</t>
  </si>
  <si>
    <t>e.1</t>
  </si>
  <si>
    <t>e.2</t>
  </si>
  <si>
    <t>n.1</t>
  </si>
  <si>
    <t>o.1</t>
  </si>
  <si>
    <t>o.2</t>
  </si>
  <si>
    <t>HRH&amp;HPIP/ NHSRC-CP</t>
  </si>
  <si>
    <t>Others (SHSRC)</t>
  </si>
  <si>
    <t>Sub-Annexure for Printing</t>
  </si>
  <si>
    <t>Printing under RMNCH+A</t>
  </si>
  <si>
    <t>Printing under HSS</t>
  </si>
  <si>
    <t>Printing under NDCP</t>
  </si>
  <si>
    <t>Printing of formats for Monitoring and Surveillance under NRCP</t>
  </si>
  <si>
    <t>Printing activities under PPCL</t>
  </si>
  <si>
    <t>Printing activities under NPCB+VI</t>
  </si>
  <si>
    <t>Printing activities under NMHP</t>
  </si>
  <si>
    <t>Printing activities under NPHCE</t>
  </si>
  <si>
    <t>Printing activities under PMNDP</t>
  </si>
  <si>
    <t>Printing activities under Burns and Injuries</t>
  </si>
  <si>
    <t>Printing activities under NPPC</t>
  </si>
  <si>
    <t>Printing activities under NPPCD</t>
  </si>
  <si>
    <t>Printing activities under NOHP</t>
  </si>
  <si>
    <t>Printing activities under NPPCF</t>
  </si>
  <si>
    <t>Printing activities under PC-PNDT</t>
  </si>
  <si>
    <t>Printing activities under IDSP</t>
  </si>
  <si>
    <t>Printing under NCD</t>
  </si>
  <si>
    <t>12.1.6</t>
  </si>
  <si>
    <t>12.1.7</t>
  </si>
  <si>
    <t>12.3.6</t>
  </si>
  <si>
    <t>12.3.7</t>
  </si>
  <si>
    <t>12.4.7</t>
  </si>
  <si>
    <t>12.4.8</t>
  </si>
  <si>
    <t>12.4.9</t>
  </si>
  <si>
    <t>12.4.10</t>
  </si>
  <si>
    <t>12.4.11</t>
  </si>
  <si>
    <t>12.4.12</t>
  </si>
  <si>
    <t>12.17.1/ B.10.6.14.2</t>
  </si>
  <si>
    <t>Sub-Annexure for IEC/ BCC</t>
  </si>
  <si>
    <t>IEC/ BCC activities under RMNCH+A</t>
  </si>
  <si>
    <t>IEC/ BCC activities under HSS</t>
  </si>
  <si>
    <t>IEC/ BCC activities under NDCP</t>
  </si>
  <si>
    <t>IEC/ BCC activities under NCD</t>
  </si>
  <si>
    <t>IEC/BCC under NRCP: Rabies Awareness and Do's and Don'ts in the event of Animal Bites</t>
  </si>
  <si>
    <t>11.4/ B.10.3.1</t>
  </si>
  <si>
    <t>11.5/ B.10.3.2</t>
  </si>
  <si>
    <t>11.6/ B.10.3.3</t>
  </si>
  <si>
    <t>11.7/ B.10.3.4</t>
  </si>
  <si>
    <t>11.1/ B.10.2</t>
  </si>
  <si>
    <t>11.10/ B.10.7.4.5</t>
  </si>
  <si>
    <t>11.24.1/ B18.3</t>
  </si>
  <si>
    <t>11.19/ B.10.6.12</t>
  </si>
  <si>
    <t>11.22/ O.2.3</t>
  </si>
  <si>
    <t>11.11/ B.10.6.5</t>
  </si>
  <si>
    <t>11.4.4</t>
  </si>
  <si>
    <t>11.4.5</t>
  </si>
  <si>
    <t>11.4.6</t>
  </si>
  <si>
    <t>11.4.7</t>
  </si>
  <si>
    <t>11.4.8</t>
  </si>
  <si>
    <t>11.4.9</t>
  </si>
  <si>
    <t>11.4.10</t>
  </si>
  <si>
    <t>11.4.11</t>
  </si>
  <si>
    <t>11.1.1</t>
  </si>
  <si>
    <t>11.2.1</t>
  </si>
  <si>
    <t>11.3.1</t>
  </si>
  <si>
    <t>11.1.2</t>
  </si>
  <si>
    <t>11.1.3</t>
  </si>
  <si>
    <t>11.1.4</t>
  </si>
  <si>
    <t>11.1.5</t>
  </si>
  <si>
    <t>11.1.6</t>
  </si>
  <si>
    <t>11.1.7</t>
  </si>
  <si>
    <t>11.2.2</t>
  </si>
  <si>
    <t>11.2.3</t>
  </si>
  <si>
    <t>11.2.4</t>
  </si>
  <si>
    <t>11.2.5</t>
  </si>
  <si>
    <t>11.2.6</t>
  </si>
  <si>
    <t>11.2.7</t>
  </si>
  <si>
    <t>11.3.2</t>
  </si>
  <si>
    <t>11.3.3</t>
  </si>
  <si>
    <t>11.3.4</t>
  </si>
  <si>
    <t>11.3.5</t>
  </si>
  <si>
    <t>IEC under NVHCP</t>
  </si>
  <si>
    <t>11.3.6</t>
  </si>
  <si>
    <t>IEC/ BCC under NVHCP</t>
  </si>
  <si>
    <t>State Government (health budget other than NHM, including Medical Education)</t>
  </si>
  <si>
    <t>Any Other residual head (Please specify…)</t>
  </si>
  <si>
    <t>Budget Released in FY 2020-21</t>
  </si>
  <si>
    <t>No. of Minority Blocks</t>
  </si>
  <si>
    <t>Total district RE indicated for FY 21-22
(in Cr)</t>
  </si>
  <si>
    <t>RCH Others (Tribal and Vulnerable)</t>
  </si>
  <si>
    <t>RCH Pool (Excluding listed above)</t>
  </si>
  <si>
    <t>NDCP Pool (Excluding listed above)</t>
  </si>
  <si>
    <t>NCD Pool (Excluding listed above)</t>
  </si>
  <si>
    <t>Monthly meeting with the hospital staff, Weekly FGD with the tobacco users</t>
  </si>
  <si>
    <t>Implementation of Tobacco Free Educational Institutions (ToFEI) Guidelines in all Educational Institutions</t>
  </si>
  <si>
    <t>Coverage of Public School and Pvt School</t>
  </si>
  <si>
    <t>Sensitization campaign for college students and other educational institutions</t>
  </si>
  <si>
    <t>Trainings under NTCP at District level</t>
  </si>
  <si>
    <t>Trainings under NTCP at State level</t>
  </si>
  <si>
    <t>Support for implementation of NVBDCP</t>
  </si>
  <si>
    <t>Support for implementation of NTEP</t>
  </si>
  <si>
    <t>Support for implementation of NLEP</t>
  </si>
  <si>
    <t>Support for implementation of NRCP</t>
  </si>
  <si>
    <t>Support for implementation of NPPC</t>
  </si>
  <si>
    <t>Support for implementation of NVHCP</t>
  </si>
  <si>
    <t>Support for implementation of NMHP</t>
  </si>
  <si>
    <t>Support for implementation of NTCP</t>
  </si>
  <si>
    <t>Support for implementation of NPHCE</t>
  </si>
  <si>
    <t>Support for implementation of NPCDCS</t>
  </si>
  <si>
    <t>U.1.1.2.1</t>
  </si>
  <si>
    <t>U.1.1.2.2</t>
  </si>
  <si>
    <t>U.1.1.2.3</t>
  </si>
  <si>
    <t>U.1.1.2.4</t>
  </si>
  <si>
    <t>U.1.1.2.5</t>
  </si>
  <si>
    <t>U.1.1.2.6</t>
  </si>
  <si>
    <t>U.1.1.2.7</t>
  </si>
  <si>
    <t>Special outreach activities in slums and similar areas with focus on Communicable &amp; Non Communicable Diseases</t>
  </si>
  <si>
    <t>Module Training (Induction, VI &amp; VII)</t>
  </si>
  <si>
    <t>U.3.1.3.2</t>
  </si>
  <si>
    <t>U.3.1.3.3</t>
  </si>
  <si>
    <t>Not Applicable</t>
  </si>
  <si>
    <t>U.5.1.5</t>
  </si>
  <si>
    <t>U.6.1.6</t>
  </si>
  <si>
    <t>Biomedical Equipment Maintenance</t>
  </si>
  <si>
    <t>U.6.2.1.3</t>
  </si>
  <si>
    <t>HBNC Kits and HBYC-ECD kit</t>
  </si>
  <si>
    <t>U.6.1.7</t>
  </si>
  <si>
    <t>U.6.1.7.1</t>
  </si>
  <si>
    <t>U.6.1.7.2</t>
  </si>
  <si>
    <t>U.6.1.7.3</t>
  </si>
  <si>
    <t>U.6.3.2</t>
  </si>
  <si>
    <t>Conducting Trainings</t>
  </si>
  <si>
    <t>P.3.2.1/ U.9.5.1</t>
  </si>
  <si>
    <t>P.3.2.2/ U.9.5.2</t>
  </si>
  <si>
    <t>P.3.2.3/ U.9.5.3</t>
  </si>
  <si>
    <t>P.3.2.4/ U.9.5.4</t>
  </si>
  <si>
    <t>P.3.2.6/ U.9.5.5</t>
  </si>
  <si>
    <t>P.3.2.7/ U.9.5.6</t>
  </si>
  <si>
    <t>Training on Disease control program if required (Please specify )</t>
  </si>
  <si>
    <t>Performance linked Payment/ Team based incentives for Ayushman Bharat Health &amp; Wellness Centres (H&amp;WC)</t>
  </si>
  <si>
    <t>Multi-skilling of MPW for H&amp;WC</t>
  </si>
  <si>
    <t>Training on the Standard Treatment Protocols</t>
  </si>
  <si>
    <t>P.3.2.8/ U.9.5.7.4</t>
  </si>
  <si>
    <t>U.9.2.1</t>
  </si>
  <si>
    <t>U.9.2.2</t>
  </si>
  <si>
    <t>U.9.2.3</t>
  </si>
  <si>
    <t>U.9.2.4</t>
  </si>
  <si>
    <t>U.9.2.5</t>
  </si>
  <si>
    <t>U.9.2.6</t>
  </si>
  <si>
    <t>U.9.2.7</t>
  </si>
  <si>
    <t>U.9.2.7.1</t>
  </si>
  <si>
    <t>U.9.2.7.2</t>
  </si>
  <si>
    <t>U.9.2.7.3</t>
  </si>
  <si>
    <t>U.9.2.8</t>
  </si>
  <si>
    <t>U.9.2.9</t>
  </si>
  <si>
    <t>U.9.2.10</t>
  </si>
  <si>
    <t>U.9.2.11</t>
  </si>
  <si>
    <t>U.9.2.12</t>
  </si>
  <si>
    <t>U.9.2.13</t>
  </si>
  <si>
    <t>IEC/ BCC activities under NUHM</t>
  </si>
  <si>
    <t>Strengthening of services of AB-H&amp;WC through PPP</t>
  </si>
  <si>
    <t>E-Gov/CP-CPHC/NUHM</t>
  </si>
  <si>
    <t>PHA/ NUHM</t>
  </si>
  <si>
    <t>CPHC/ NUHM</t>
  </si>
  <si>
    <t>CP/ NUHM</t>
  </si>
  <si>
    <t>HCT/ NUHM</t>
  </si>
  <si>
    <t>HRH/ NUHM</t>
  </si>
  <si>
    <t>HMIS/ NUHM</t>
  </si>
  <si>
    <t>QA/ HRH/ NUHM</t>
  </si>
  <si>
    <t>CPHC/ HRH/ NUHM</t>
  </si>
  <si>
    <t>CPHC 2</t>
  </si>
  <si>
    <t>CPHC 5</t>
  </si>
  <si>
    <t>CPHC 6</t>
  </si>
  <si>
    <t>CPHC 8</t>
  </si>
  <si>
    <t>CPHC 9</t>
  </si>
  <si>
    <t>CPHC 11</t>
  </si>
  <si>
    <t>CPHC 12</t>
  </si>
  <si>
    <t>CPHC 15</t>
  </si>
  <si>
    <t>CPHC 16</t>
  </si>
  <si>
    <t>CPHC 17</t>
  </si>
  <si>
    <t>Maternal Health</t>
  </si>
  <si>
    <t>Operating expenses for SNCU</t>
  </si>
  <si>
    <t>Operating expenses for NBSU</t>
  </si>
  <si>
    <t>Operating expenses for NBCC</t>
  </si>
  <si>
    <t>Operating expenses for NRCs</t>
  </si>
  <si>
    <t>Operating expenses for Family participatory care (KMC)</t>
  </si>
  <si>
    <t>Operating expenses for AH/ RKSK Clinics</t>
  </si>
  <si>
    <t>Operating expenses for State new-born resource centre</t>
  </si>
  <si>
    <t>Operating expenses for Mother new-born Care Unit</t>
  </si>
  <si>
    <t>RKSK/ Adolscent health</t>
  </si>
  <si>
    <t>MTC: Meeting Costs/Office expenses/Contingency (photocopy, internet/communication/ Resistance testing in selected cases/ Printing M &amp; E tools/ Tablets for M &amp; E if needed) etc)</t>
  </si>
  <si>
    <t>MTC: Management of Hep A &amp; E</t>
  </si>
  <si>
    <t>TC: Meeting Costs/Office expenses/Contingency</t>
  </si>
  <si>
    <t>TC: Management of Hep A &amp; E</t>
  </si>
  <si>
    <t>Blood services (for MH)</t>
  </si>
  <si>
    <t>Sl. No.</t>
  </si>
  <si>
    <t xml:space="preserve">Key deliverables </t>
  </si>
  <si>
    <t>Major Milestone</t>
  </si>
  <si>
    <t>Definition</t>
  </si>
  <si>
    <t>Achievement during FY 2020-21</t>
  </si>
  <si>
    <t>Target for FY 2021-22</t>
  </si>
  <si>
    <t>Source</t>
  </si>
  <si>
    <t>Frequency of reporting (Monthly/Quarterly/Annually)</t>
  </si>
  <si>
    <t>Maternal Mortality Ratio (MMR)</t>
  </si>
  <si>
    <t>Number of maternal deaths per 1,00,000 live births</t>
  </si>
  <si>
    <t>SRS</t>
  </si>
  <si>
    <t>Pregnant women given 180 Iron Folic Acid (IFA) Tablets</t>
  </si>
  <si>
    <t>Percentage of Pregnant Women received 180 lron Folic Acid (lFA) tablets against total pregnant women registered for ANC from 1st April 2020 to 31st March 2021.
Numerator: Number of Pregnant Women who have been given Iron Folic Acid (IFA) tablets 
Denominator: Total no. of Pregnant Women registered for ANC</t>
  </si>
  <si>
    <t>HMIS</t>
  </si>
  <si>
    <t>Institutional Deliveries</t>
  </si>
  <si>
    <t>Percentage of institutional deliveries out of total reported deliveries from 1st April 2020 to 31st March 2021.
Numerator: Total number of institutional deliveries reported
Denominator: Total number of deliveries reported</t>
  </si>
  <si>
    <t>Skilled Birth Attendant [SBA) deliveries</t>
  </si>
  <si>
    <t>% of SBA (Skilled Birth Attendant] deliveries to total reported deliveries from 1st April 2020 to 31st March 2021.
Numerator: Total No. of Institutional Deliveries + home deliveries attended by SBA.
Denominator: Total No. of Deliveries reported (institutional + Home)</t>
  </si>
  <si>
    <t>Public health facilities notified under SUMAN</t>
  </si>
  <si>
    <t>Total number of public health facilities  notified under SUMAN from 1st April 2020 to 31st March 2021</t>
  </si>
  <si>
    <t>State report</t>
  </si>
  <si>
    <t>LR and Maternity OT Nationally certified under LaQshya</t>
  </si>
  <si>
    <t>Total number of nationally certified labour rooms against total number of LR in identified LaQshya facilities              and  Total number of nationally certified Maternity Operation Theater against total number of Maternity OT in identified LaQshya facilities (high caseload facilities-CHC &amp; above) from 1st April 2020 to 31st March 2021.</t>
  </si>
  <si>
    <t>Total TB cases notified (Both public and private sectors)</t>
  </si>
  <si>
    <t>Nikshay</t>
  </si>
  <si>
    <t>Monthly</t>
  </si>
  <si>
    <t>State TB Score</t>
  </si>
  <si>
    <t>Quarterly</t>
  </si>
  <si>
    <t>Nikshay Poshan Yojana (NPY) -
No. of eligible patient receiving first installment of DBT</t>
  </si>
  <si>
    <t>No. of districts to achieve TB free Status
# Bronze
# Silver
# Gold
#TB Free district/City</t>
  </si>
  <si>
    <t>MIS NTEP division MoHFW</t>
  </si>
  <si>
    <t>Annually</t>
  </si>
  <si>
    <t xml:space="preserve">Disease free certification in eligible blocks/disricts for  kalaazar, Lymphatic Filariasis, Malaria.  
MALARIA: 
• To achieve/sustain API &lt;1 as per categorization of states under Malaria Elimination 
• Zero indigenous malaria cases in Cat-1 states under Malaria elimination 
• To make malaria notifiable disease in the State/UT. 
KALA AZAR 
• Achieve and sustain Kala-azar elimination in all KA endemic blocks 
• Reduction in PKDL cases by 30% from the base year 2020 
FILARIA: 
• To conduct annual Mass Drug Administration (MDA)/IDA in all eligible districts with &gt;85% coverage 
• Successful conduction of Transmission Assessment Survey (TAS) 1/2/3 in eligible districts/Evaluation Units 
• To provide 100% coverage for home-based morbidity management for lymphoedema cases. To reduce backlog of hydrocele surgeries by 50% from the base year 2019. 
 DENGUE AND CHUKUNGUNYA: 
• Reduce/sustain case fatality rate for Dengue &lt;1% 
•  To make at least 1 Sentinel site hospital (SSH) functional in each district. 
•  To make Dengue notifiable disease in the State/UT 
JAPANES ENCEPHALITIS: 
• &gt;80% coverage for JE vaccination under routine immunization 
• To reduce morbidity and mortality due to JE/AES.
</t>
  </si>
  <si>
    <t>29.2 Kala- Azar</t>
  </si>
  <si>
    <t xml:space="preserve">Number of endemic blocks reporting  &lt; 1 Kala Azar case per 10,000 population at block level </t>
  </si>
  <si>
    <t xml:space="preserve">  </t>
  </si>
  <si>
    <t>MIS,        NVBDCP division, MoHFW</t>
  </si>
  <si>
    <t>29.3  Lymphatic Filariasis</t>
  </si>
  <si>
    <t xml:space="preserve">Number of districts to conduct MDA 
Number of endemic districts with &lt;1% Mf rate validated by  TAS  
Percentage reduction  in API </t>
  </si>
  <si>
    <t xml:space="preserve">29.4. Malaria </t>
  </si>
  <si>
    <t xml:space="preserve">Number of districts to achieve Disease Free Status - Malaria 32.1. Reduce/sustain case fatality rate for Dengue at &lt;1% 
</t>
  </si>
  <si>
    <t xml:space="preserve">Reduction in Dengue </t>
  </si>
  <si>
    <t xml:space="preserve">32.2. Number of Sentinel site hospital (SSH) set up (1 per district) </t>
  </si>
  <si>
    <t xml:space="preserve">Reduction in Japanese Encephalitis </t>
  </si>
  <si>
    <t xml:space="preserve">Vaccination coverage for JE under Routine Immunization </t>
  </si>
  <si>
    <t>Functional SNCU at DH in all Aspirational districts</t>
  </si>
  <si>
    <t>Number of Aspirational Districts having functional SNCU at DH.</t>
  </si>
  <si>
    <t>SNCU Online</t>
  </si>
  <si>
    <r>
      <t>Numerator:</t>
    </r>
    <r>
      <rPr>
        <sz val="11"/>
        <color theme="1"/>
        <rFont val="Calibri"/>
        <family val="2"/>
        <scheme val="minor"/>
      </rPr>
      <t xml:space="preserve"> Total no. Aspirational districts having functional SNCU at DH.</t>
    </r>
  </si>
  <si>
    <r>
      <t>Denominator:</t>
    </r>
    <r>
      <rPr>
        <sz val="11"/>
        <color theme="1"/>
        <rFont val="Calibri"/>
        <family val="2"/>
        <scheme val="minor"/>
      </rPr>
      <t xml:space="preserve"> Total no. of SNCU approved for Aspirational districts in RoP 2021-22.</t>
    </r>
  </si>
  <si>
    <t>Functional NBSU at CHC-FRU in all Aspirational districts</t>
  </si>
  <si>
    <t>Number of Aspirational Districts having functional NBSU at CHC-FRU.</t>
  </si>
  <si>
    <t>State Report</t>
  </si>
  <si>
    <r>
      <t>Numerator:</t>
    </r>
    <r>
      <rPr>
        <sz val="11"/>
        <color theme="1"/>
        <rFont val="Calibri"/>
        <family val="2"/>
        <scheme val="minor"/>
      </rPr>
      <t xml:space="preserve"> Total no. Aspirational districts havingfunctional NBSU at CHC-FRU in F.Y. 2021-22.</t>
    </r>
  </si>
  <si>
    <r>
      <t>Denominator:</t>
    </r>
    <r>
      <rPr>
        <sz val="11"/>
        <color theme="1"/>
        <rFont val="Calibri"/>
        <family val="2"/>
        <scheme val="minor"/>
      </rPr>
      <t>Total no. of NBSU approved for Aspirational districts in RoP 2021-22.</t>
    </r>
  </si>
  <si>
    <t>Newborn visited under HBNC</t>
  </si>
  <si>
    <t>Percentage of newborns visited under Home Based Newborn Care (HBNC).</t>
  </si>
  <si>
    <r>
      <t>Numerator:</t>
    </r>
    <r>
      <rPr>
        <sz val="11"/>
        <color theme="1"/>
        <rFont val="Calibri"/>
        <family val="2"/>
        <scheme val="minor"/>
      </rPr>
      <t xml:space="preserve"> No. of newborns received scheduled home visits under HBNC by ASHAs.</t>
    </r>
  </si>
  <si>
    <r>
      <t>Denominator:</t>
    </r>
    <r>
      <rPr>
        <sz val="11"/>
        <color theme="1"/>
        <rFont val="Calibri"/>
        <family val="2"/>
        <scheme val="minor"/>
      </rPr>
      <t xml:space="preserve"> Target no. of newborns as approved in RoP 2021-22.</t>
    </r>
  </si>
  <si>
    <t>Implementation of HBYC Program</t>
  </si>
  <si>
    <t>Percentage of HBYC training (ASHA/ASHA facilitator/ANMs) batches conducted against approved in RoP 2021-22.</t>
  </si>
  <si>
    <r>
      <t>Numerator:</t>
    </r>
    <r>
      <rPr>
        <sz val="11"/>
        <color theme="1"/>
        <rFont val="Calibri"/>
        <family val="2"/>
        <scheme val="minor"/>
      </rPr>
      <t xml:space="preserve"> No. of HBYC training (ASHA/ASHA facilitator/ANMs) batches completed in F.Y. 2021-22.</t>
    </r>
  </si>
  <si>
    <r>
      <t>Denominator:</t>
    </r>
    <r>
      <rPr>
        <sz val="11"/>
        <color theme="1"/>
        <rFont val="Calibri"/>
        <family val="2"/>
        <scheme val="minor"/>
      </rPr>
      <t xml:space="preserve"> Total no. of HBYC training batches approved in RoP 2021-22.</t>
    </r>
  </si>
  <si>
    <t>Strengthening of facility based pediatric care services at district hospital</t>
  </si>
  <si>
    <r>
      <t xml:space="preserve">Total number of OperationalPediatric dedicated Emergency Triage and treatment (ETAT) centre. </t>
    </r>
    <r>
      <rPr>
        <b/>
        <sz val="11"/>
        <color theme="1"/>
        <rFont val="Calibri"/>
        <family val="2"/>
        <scheme val="minor"/>
      </rPr>
      <t>Numerator:</t>
    </r>
    <r>
      <rPr>
        <sz val="11"/>
        <color theme="1"/>
        <rFont val="Calibri"/>
        <family val="2"/>
        <scheme val="minor"/>
      </rPr>
      <t xml:space="preserve"> Total no. of ETAT functional at district hospital in F.Y. 2021-22.</t>
    </r>
  </si>
  <si>
    <r>
      <t>Denominator:</t>
    </r>
    <r>
      <rPr>
        <sz val="11"/>
        <color theme="1"/>
        <rFont val="Calibri"/>
        <family val="2"/>
        <scheme val="minor"/>
      </rPr>
      <t xml:space="preserve"> Total no. of ETAT approved in RoP 2021-22.</t>
    </r>
  </si>
  <si>
    <t>Implementation of RBSK</t>
  </si>
  <si>
    <t>Percentage of 0-3 years screened biannually at community level by MHTs in last year</t>
  </si>
  <si>
    <r>
      <t>Numerator :</t>
    </r>
    <r>
      <rPr>
        <sz val="11"/>
        <color rgb="FF000000"/>
        <rFont val="Calibri"/>
        <family val="2"/>
        <scheme val="minor"/>
      </rPr>
      <t xml:space="preserve"> Number of 0-3 years screened biannually at community level by MHTs in last year</t>
    </r>
  </si>
  <si>
    <r>
      <t>Denominator :</t>
    </r>
    <r>
      <rPr>
        <sz val="11"/>
        <color rgb="FF000000"/>
        <rFont val="Calibri"/>
        <family val="2"/>
        <scheme val="minor"/>
      </rPr>
      <t xml:space="preserve"> Number of 0-3 years to be screened biannually at community level by MHTs in last year</t>
    </r>
  </si>
  <si>
    <t xml:space="preserve">Operationalisation of DEICs </t>
  </si>
  <si>
    <t>Percentage of DEICs made functional cumulatively out of total approved in the State/UT</t>
  </si>
  <si>
    <r>
      <t>Numerator</t>
    </r>
    <r>
      <rPr>
        <sz val="11"/>
        <color rgb="FF000000"/>
        <rFont val="Calibri"/>
        <family val="2"/>
        <scheme val="minor"/>
      </rPr>
      <t>- -Number of DEICs cumulatively made functional (with separate details on HR, Equipment and Training of HR for qualifying as fully functional)</t>
    </r>
  </si>
  <si>
    <r>
      <t>Denominator</t>
    </r>
    <r>
      <rPr>
        <sz val="11"/>
        <color rgb="FF000000"/>
        <rFont val="Calibri"/>
        <family val="2"/>
        <scheme val="minor"/>
      </rPr>
      <t>-Number of DEICs  approved in RoPs cumulatively till date</t>
    </r>
  </si>
  <si>
    <t>Operationalization of ECD</t>
  </si>
  <si>
    <t>Percentage of women with baby of 2 years of age received 6 ECD calls from ECD call Centre in last year</t>
  </si>
  <si>
    <r>
      <t>Numerator :</t>
    </r>
    <r>
      <rPr>
        <sz val="11"/>
        <color rgb="FF000000"/>
        <rFont val="Calibri"/>
        <family val="2"/>
        <scheme val="minor"/>
      </rPr>
      <t xml:space="preserve"> Number of women with baby who completed of 2 years of age in last month, received 6 ECD calls from ECD call Centre in last year</t>
    </r>
  </si>
  <si>
    <r>
      <t>Denominator :</t>
    </r>
    <r>
      <rPr>
        <sz val="11"/>
        <color rgb="FF000000"/>
        <rFont val="Calibri"/>
        <family val="2"/>
        <scheme val="minor"/>
      </rPr>
      <t xml:space="preserve"> Number of women with baby who completed of 2 years of age in last month</t>
    </r>
  </si>
  <si>
    <t>CAC Training of Medical Officers</t>
  </si>
  <si>
    <t>Number of Medical Officers trained in CAC as approved in RoP 2021-2022</t>
  </si>
  <si>
    <t>Implementation of CAC</t>
  </si>
  <si>
    <t>Number of public health facilities CHC and above providing CAC Services (ensuring availability of three components – Drugs (MMA), equipment (MVA/EVA) &amp; trained provider</t>
  </si>
  <si>
    <t xml:space="preserve">Strengthening CAC Training &amp; Service Delivery </t>
  </si>
  <si>
    <t xml:space="preserve">Strengthening of CAC training &amp; service delivery at the district hospitals by ensuring availability of functional training centre and separate service area developed for the provision of CAC services </t>
  </si>
  <si>
    <t xml:space="preserve">Strengthening 180 district hospitals across 180 districts (10 Lac/districts) proposed </t>
  </si>
  <si>
    <t>Strengthening Oral Health Services</t>
  </si>
  <si>
    <t>Cumulative no. of functional dental care unit under NOHP</t>
  </si>
  <si>
    <t xml:space="preserve">NOHP division </t>
  </si>
  <si>
    <t xml:space="preserve"> Number of FRUs having Blood Banks/ Blood Stiorage Units</t>
  </si>
  <si>
    <t>Cumulative number of FRUs (including DHs) having Blood Banks/ Blood Storage Units against total no. of FRUs in the State</t>
  </si>
  <si>
    <t>NHM. MIS, eraktkosh</t>
  </si>
  <si>
    <t>Voluntary blood donation</t>
  </si>
  <si>
    <t>Voluntary blood donation against the blood collection units targeted for replacement/ donation</t>
  </si>
  <si>
    <t>Blood cell division, MoHFW,eraktkosh</t>
  </si>
  <si>
    <t xml:space="preserve">Number of patients requiring blood tranfusion </t>
  </si>
  <si>
    <t xml:space="preserve">Patients requiring blood tranfusion at PHC,CHC, district </t>
  </si>
  <si>
    <t>Number of integrated centres for hemoglobinopathies &amp; hemophilia in the district</t>
  </si>
  <si>
    <t>Blood cell division, MoHFW</t>
  </si>
  <si>
    <t>Implementation of RCH application -
Registration Coverage of Pregnant Women and Child (0-1 Year)</t>
  </si>
  <si>
    <t>(a) &gt;90% Registration coverage  of Pregnant women and Children on pro-rata basis  [For States]
(b) &gt;80% Registration coverage  of Pregnant women and Children on pro-rata basis [For UTs and NE States]</t>
  </si>
  <si>
    <t>RCH Portal</t>
  </si>
  <si>
    <t>Implementation of RCH application -Service Delivery Coverage  of PW</t>
  </si>
  <si>
    <t>(a) &gt;80% All ANC services of Pregnant women [For States]
(b) &gt;70% All ANC services of Pregnant women [For UTs and NE States]</t>
  </si>
  <si>
    <t>Implementation of RCH application -
Service Delivery Coverage  of Child</t>
  </si>
  <si>
    <t>(a) &gt;80% All Immunization services of Child(0-1 Year) [For States]
(b) &gt;70% All Immunization services of Child [For UTs and NE States]</t>
  </si>
  <si>
    <t>Implementation of RCH application -
Total Deliveries Reported</t>
  </si>
  <si>
    <t>(a) &gt;90% Delivery reported  [For States]
(b) &gt;85% Delivery reported [For UTs and NE States]</t>
  </si>
  <si>
    <t>RCH Portal,</t>
  </si>
  <si>
    <t>Implementation of RCH application -Data Validation</t>
  </si>
  <si>
    <t>(a) &gt;100% Health provider (ANM and  ASHA) are registered with validated Mobile Number  [For States]
(b) &gt;85% Health provider (ANM and  ASHA) are registered with validated Mobile Number  [For UTs and NE States]</t>
  </si>
  <si>
    <t>Implementation of ANMOL  application</t>
  </si>
  <si>
    <t>(a) &gt;90% Health provider (ANM) are doing data entry on ANMOL [For States]
(b) &gt;75% Health provider (ANM and  ASHA) are registered with validated Mobile Number  [For UTs and NE States]</t>
  </si>
  <si>
    <t>Implementation of Kilkari and Mobile Academy**</t>
  </si>
  <si>
    <t>Training and IEC for Implementation of Kilkari and Mobile Academy**</t>
  </si>
  <si>
    <t>(a) Minimum 1 training in a year to be conducted at each District  for ASHAs  and Block level coordinators and 1 training at State level for District level officers.
(b) IEC activity, Awareness campaigns, Promotional activities to spread  awareness amongst the beneficiaries and ASHAs</t>
  </si>
  <si>
    <t>Implementation of DVDMS application</t>
  </si>
  <si>
    <t>1. Implementation of IT based logistics system/DVDMS application upto PHC/HWC/SC
2. Stock out issue of EDL
3. DVDMS Application (API) Integration with DVDMS central dashboard.</t>
  </si>
  <si>
    <t>1.       100% implementation of IT based logistics system/DVDMS application upto PHC/HWC/SC to avoid manual processing of drugs inventory.
2.       Minimize the stock out issue of EDL with not more than 5 to 10%. Focused to improve the Key performance Indicators of DVDMS central dashboard.
3.       DVDMS Application (API) Integration with DVDMS central dashboard with required API by all States/UTs
4.       UTs to implement the common instants of DVDMS application upto PHC, thereafter, integrated with DVDMS central dashboard.</t>
  </si>
  <si>
    <t>DVDMS  Dashboard and State Report</t>
  </si>
  <si>
    <t>**Applicable for 13 States i.e. Assam,  Bihar, Chhattisgarh, Delhi, Haryana, Himachal Pradesh, Jharkhand, Madhya Pradesh, Odisha,  Rajasthan, Uttar Pradesh, Uttarakhand and West Bengal</t>
  </si>
  <si>
    <t xml:space="preserve">1)      To reduce The prevalence rate of leprosy less than 1/10,000 population at the district level
2)      To reduce Grade II disability rate per million to 1/million population
3)      To reduce Grade II disability percentage among new cases as per district’s category \
4)      To achieve zero child Grade II disability cases caused by leprosy at the district
5)      Implement Active Case Detection and Regular Surveillance in all the eligible districts
6)      Operationalize NIKUSTH in all the affected districts. 
</t>
  </si>
  <si>
    <t>Bring down Prevalence Rate of leprosy to less than 1/10,000 population at district level</t>
  </si>
  <si>
    <t>MIS (MRP, AR, Nikusth portal), CLD-NLEP Division, MoHFW</t>
  </si>
  <si>
    <t>Bring down Grade II disability rate per million population to less than 1/million population at district level</t>
  </si>
  <si>
    <t>Districts having Grade II disability percentage less than 2 %</t>
  </si>
  <si>
    <t>Bring down to ZERO</t>
  </si>
  <si>
    <t>Districts having Grade II disability percentage between (2-10) %</t>
  </si>
  <si>
    <t>Bring down to less than 2 %</t>
  </si>
  <si>
    <t>Districts having Grade II disability percentage more than 10 %</t>
  </si>
  <si>
    <t>Bring down to less than 10 %</t>
  </si>
  <si>
    <t>Child Grade II disability cases Bring down to ZERO cases at district level</t>
  </si>
  <si>
    <t xml:space="preserve">% of Reporting Units Reported In S form  </t>
  </si>
  <si>
    <t>IDSP Portal</t>
  </si>
  <si>
    <t>Weekly</t>
  </si>
  <si>
    <t xml:space="preserve">% of Reporting Units Reported In P form  </t>
  </si>
  <si>
    <t xml:space="preserve">% of Reporting Units Reported In L form  </t>
  </si>
  <si>
    <t>Lab Access of Outbreaks reported under IDSP excluding Chickenpox, Food Poisoning, Mushroom Poisoning</t>
  </si>
  <si>
    <t xml:space="preserve">To establish at least one Treatment site in each district </t>
  </si>
  <si>
    <t>Screening during ANC for HBsAg(Hepatitis B surface antigen)of 100% pregnant women subjected to ANCs</t>
  </si>
  <si>
    <t>To ensure institutional delivery of  100% pregnant women who test HBsAgpositive during ANCs</t>
  </si>
  <si>
    <t xml:space="preserve">  Administration of Hepatitis B birth dose to allNewborns</t>
  </si>
  <si>
    <t>AB-HWC Portal</t>
  </si>
  <si>
    <t>Roll out of teleconsultation at AB-HWCs</t>
  </si>
  <si>
    <t xml:space="preserve">Cumulative number of AB-HWCs where teleconsultations have been rolled out </t>
  </si>
  <si>
    <t xml:space="preserve">Roll out of NCD application at AB-HWCs </t>
  </si>
  <si>
    <t>Cumulative number of AB-HWCs where NCD application has been rolled out</t>
  </si>
  <si>
    <t>Number of AB-HWCs where disbursement of Team Based Performance Incentives has  been started</t>
  </si>
  <si>
    <t>Cumulative number of AB-HWCs where disbursement of Team Based Performance Incentives has been started</t>
  </si>
  <si>
    <t>State MIS</t>
  </si>
  <si>
    <t xml:space="preserve">Roll out of Fit Health Worker campaign </t>
  </si>
  <si>
    <t xml:space="preserve">Cumulative number of nursing colleges which have adopted  the CHO related Integrated B.Sc. Nursing curriculum against total number of nursing colleges (public &amp; private) available in the State </t>
  </si>
  <si>
    <t>Create regular posts as per IPHS and case load for main service delivery posts (ANM, Staff Nurse, Lab tech, pharmacists, MBBS doctors, Specialists)</t>
  </si>
  <si>
    <t>States have posts created in regular cadre as per IPHS at least for the for main service delivery posts (ANM, Staff Nurse, Lab tech, pharmacists, MBBS doctors, Specialists)</t>
  </si>
  <si>
    <t>State Report/ RHS</t>
  </si>
  <si>
    <t>Approved posts under NHM are filled to supplement the existing HR for providing quality health services</t>
  </si>
  <si>
    <t>Approved posts as per ROP 2021-22 are in-place</t>
  </si>
  <si>
    <t>Key Priorities for NTEP: 
1.    TB case detection–
1.1. Setting up\strengthening of TB diagnostic services (availability of molecular diagnostics at block level for upfront TB diagnostics)
1.2. Setting up/ strengthening of X-Ray services atleast at block level through health systems/outsourcing
1.3. Private sector engagement through domestic PPSA and transition of JEET PPSA
1.4. Deployment of sample collection and transportation for molecular diagnosis of TB and UDST
1.5. Vulnerability mapping and Active Case Finding
2.    TB prevention-
2.1. Strengthen TPT for PLHIV and household contacts &lt; 6 years
2.2. Expansion of TPT to adolescents, adult contacts at households &amp; work places and among vulnerable populations
2.3. Community engagement activities and State / District TB Forum
2.4. Create pool of TB Champions atleast at block level
2.5. Strengthen ACSM activities
3.    TB treatment –
3.1. Strengthen access of Anti-TB drugs to patients in private sector
3.2. Expand access of Bedaquiline/ Delamanid to DRTB patients including in private sector
3.3. Strengthen monitoring of adherence to treatment
3.4. Identification and targeted management of high risk TB patient for reducing mortality
3.5. Strengthen all DBT schemes including Nikshay Poshan Yojana
3.6. Estimate requirement for local procurement of medicines and indent for kind grant for central supplies of drugs and diagnostics
4.    Human Resource –
4.1. Redeployment of NTEP HR from Covid to TB
4.2. Proposal for additional STS/STLS/LT/TBHV based on workload</t>
  </si>
  <si>
    <t xml:space="preserve">State should convey the Approved District Health Action Plan within 15 days of receiving the State RoP approvals. Similarly, District will convey Block Health Action Plans. This would facilitate in proper implementation of NHM- Financial and Accounting Management System (N-FAMS). </t>
  </si>
  <si>
    <t>The State must ensure due diligence in expenditure and observe, in letter and spirit, all rules, regulations, and procedures to maintain financial discipline and integrity particularly with regard to procurement; competitive bidding must be ensured, and only need-based procurement should take place as per ROP approvals.</t>
  </si>
  <si>
    <t>The unit cost/rate approved for all activities including procurement, printing etc are only indicative for purpose of estimation. However, actuals are subject to transparent and open bidding process as per the relevant and extant purchase rules.</t>
  </si>
  <si>
    <t>Third party monitoring of civil works and certification of their completion through reputed institutions may be introduced to ensure quality. Also, Information on all ongoing works should be displayed on the NHM website.</t>
  </si>
  <si>
    <t>The annual audited accounts of the State Health Society must be placed before the Governing Body for acceptance.</t>
  </si>
  <si>
    <t>State to ensure regular meetings of State and district health missions/ societies.</t>
  </si>
  <si>
    <t>As per the Mission Steering Group (MSG) meeting decision, only up to 9% of the total Annual State Work Plan for that year could be budgeted for program management and M&amp;E; while the ceiling could go up to 14% for small states (NE) and UTs.</t>
  </si>
  <si>
    <t>The accounts of State/ grantee institution/ organization shall be open to inspection by the sanctioning authority and audit by the Comptroller &amp; Auditor General of India under the provisions of CAG (DPC) Act 1971 and internal audit by Principal Accounts Officer of the Ministry of Health &amp; Family Welfare.</t>
  </si>
  <si>
    <t>State shall ensure submission of details of unspent balance indicating inter alia, funds released in advance &amp; funds available under State Health Societies. The State shall also intimate the interest amount earned on unspent balance. This amount can be spent against approved activities.</t>
  </si>
  <si>
    <t xml:space="preserve">To avail the 2nd Tranche of release under NHM, the State should ensure that at least  10%  increase  in State  Budget  over  last year  and where  such  increase  over last year is less than 10%, then the average of last 3 years would be considered and the same should be &gt; 10 %. </t>
  </si>
  <si>
    <t>Further, out of the total allocation to health in the State budget, it is recommended that at least 2/3rd should be on Primary Health Care.</t>
  </si>
  <si>
    <t>Increase the share of expenditure of State on health to more than 8% of their total budgetary expenditure.</t>
  </si>
  <si>
    <t>The additional grants received from Incentive pool based on performance shall be utilized against the approved activities only.</t>
  </si>
  <si>
    <t>States/UTs should ensure that fund transfer and expenditure are made electronically and through PFMS.</t>
  </si>
  <si>
    <t>Quarter I  -20% of the available funds</t>
  </si>
  <si>
    <t xml:space="preserve">Quarter II – 40% of the available funds  </t>
  </si>
  <si>
    <t xml:space="preserve">Quarter III -65% of the available funds </t>
  </si>
  <si>
    <t xml:space="preserve">Quarter VI- 90% of the available funds </t>
  </si>
  <si>
    <t xml:space="preserve">Timely implementation of Concurrent Audit on Quarterly basis and action taken note on findings of previous audit report. </t>
  </si>
  <si>
    <t xml:space="preserve">Sharing the consolidated Quarterly findings with Ministry. </t>
  </si>
  <si>
    <t>Simultaneous credit of State share along with Central share to receive Central release on time.</t>
  </si>
  <si>
    <t>Quarterly Expenditure Target against the available funds in respect of each flexible pools of NHM 
(Available fund = Op Bal + Central Release + State share Release + Intertest earned)</t>
  </si>
  <si>
    <r>
      <t xml:space="preserve">Percentage of Registration  Coverage of Pregnant Women and Child on pro-rata basis
</t>
    </r>
    <r>
      <rPr>
        <b/>
        <sz val="11"/>
        <color rgb="FF000000"/>
        <rFont val="Calibri"/>
        <family val="2"/>
        <scheme val="minor"/>
      </rPr>
      <t>Numerator: </t>
    </r>
    <r>
      <rPr>
        <sz val="11"/>
        <color rgb="FF000000"/>
        <rFont val="Calibri"/>
        <family val="2"/>
        <scheme val="minor"/>
      </rPr>
      <t xml:space="preserve"> Total No. of Registered PW and Child  on RCH Portal 
</t>
    </r>
    <r>
      <rPr>
        <b/>
        <sz val="11"/>
        <color rgb="FF000000"/>
        <rFont val="Calibri"/>
        <family val="2"/>
        <scheme val="minor"/>
      </rPr>
      <t>Denominator</t>
    </r>
    <r>
      <rPr>
        <sz val="11"/>
        <color rgb="FF000000"/>
        <rFont val="Calibri"/>
        <family val="2"/>
        <scheme val="minor"/>
      </rPr>
      <t>: Estimated PW and Child on pro-rata basis.</t>
    </r>
  </si>
  <si>
    <r>
      <t xml:space="preserve">Percentage of Service Delivery Coverage of entitled Pregnant Women  for ANC services.
</t>
    </r>
    <r>
      <rPr>
        <b/>
        <sz val="11"/>
        <color rgb="FF000000"/>
        <rFont val="Calibri"/>
        <family val="2"/>
        <scheme val="minor"/>
      </rPr>
      <t>Numerator: </t>
    </r>
    <r>
      <rPr>
        <sz val="11"/>
        <color rgb="FF000000"/>
        <rFont val="Calibri"/>
        <family val="2"/>
        <scheme val="minor"/>
      </rPr>
      <t xml:space="preserve">Total No. of PW received All ANC services (ANC1 + ANC2 + ANC3 + ANC4 + TT1 / TT2 + 180 IFA tablet)
</t>
    </r>
    <r>
      <rPr>
        <b/>
        <sz val="11"/>
        <color rgb="FF000000"/>
        <rFont val="Calibri"/>
        <family val="2"/>
        <scheme val="minor"/>
      </rPr>
      <t>Denominator:</t>
    </r>
    <r>
      <rPr>
        <sz val="11"/>
        <color rgb="FF000000"/>
        <rFont val="Calibri"/>
        <family val="2"/>
        <scheme val="minor"/>
      </rPr>
      <t xml:space="preserve"> Total PW entitled for Service  based on reporting period</t>
    </r>
  </si>
  <si>
    <r>
      <t xml:space="preserve">Percentage of Service Delivery Coverage of entitled Child [0-1 Year]  for Immunization services.
</t>
    </r>
    <r>
      <rPr>
        <b/>
        <sz val="11"/>
        <color rgb="FF000000"/>
        <rFont val="Calibri"/>
        <family val="2"/>
        <scheme val="minor"/>
      </rPr>
      <t xml:space="preserve">Numerator:  </t>
    </r>
    <r>
      <rPr>
        <sz val="11"/>
        <color rgb="FF000000"/>
        <rFont val="Calibri"/>
        <family val="2"/>
        <scheme val="minor"/>
      </rPr>
      <t xml:space="preserve">Total No. of Child received All Immunization services (as per National Immunization Schedule)
</t>
    </r>
    <r>
      <rPr>
        <b/>
        <sz val="11"/>
        <color rgb="FF000000"/>
        <rFont val="Calibri"/>
        <family val="2"/>
        <scheme val="minor"/>
      </rPr>
      <t>Denominator:</t>
    </r>
    <r>
      <rPr>
        <sz val="11"/>
        <color rgb="FF000000"/>
        <rFont val="Calibri"/>
        <family val="2"/>
        <scheme val="minor"/>
      </rPr>
      <t xml:space="preserve"> Total child entitled for Service  based on reporting period </t>
    </r>
  </si>
  <si>
    <r>
      <t xml:space="preserve">Percentage of total Delivery reported of entitled Pregnant Women.
</t>
    </r>
    <r>
      <rPr>
        <b/>
        <sz val="11"/>
        <color rgb="FF000000"/>
        <rFont val="Calibri"/>
        <family val="2"/>
        <scheme val="minor"/>
      </rPr>
      <t>Numerator:</t>
    </r>
    <r>
      <rPr>
        <sz val="11"/>
        <color rgb="FF000000"/>
        <rFont val="Calibri"/>
        <family val="2"/>
        <scheme val="minor"/>
      </rPr>
      <t xml:space="preserve">  Total No. of Delivery reported
</t>
    </r>
    <r>
      <rPr>
        <b/>
        <sz val="11"/>
        <color rgb="FF000000"/>
        <rFont val="Calibri"/>
        <family val="2"/>
        <scheme val="minor"/>
      </rPr>
      <t>Denominator:</t>
    </r>
    <r>
      <rPr>
        <sz val="11"/>
        <color rgb="FF000000"/>
        <rFont val="Calibri"/>
        <family val="2"/>
        <scheme val="minor"/>
      </rPr>
      <t>Total PW entitled for Delivery based on reporting period</t>
    </r>
  </si>
  <si>
    <r>
      <t xml:space="preserve">Health providers are registered with validated Mobile Number
</t>
    </r>
    <r>
      <rPr>
        <b/>
        <sz val="11"/>
        <color rgb="FF000000"/>
        <rFont val="Calibri"/>
        <family val="2"/>
        <scheme val="minor"/>
      </rPr>
      <t>Numerator:</t>
    </r>
    <r>
      <rPr>
        <sz val="11"/>
        <color rgb="FF000000"/>
        <rFont val="Calibri"/>
        <family val="2"/>
        <scheme val="minor"/>
      </rPr>
      <t xml:space="preserve"> Total No. of Health providers registered with validated Mobile Number.
</t>
    </r>
    <r>
      <rPr>
        <b/>
        <sz val="11"/>
        <color rgb="FF000000"/>
        <rFont val="Calibri"/>
        <family val="2"/>
        <scheme val="minor"/>
      </rPr>
      <t xml:space="preserve">Denominator: </t>
    </r>
    <r>
      <rPr>
        <sz val="11"/>
        <color rgb="FF000000"/>
        <rFont val="Calibri"/>
        <family val="2"/>
        <scheme val="minor"/>
      </rPr>
      <t>Total no. active Health providers registered in RCH Portal.</t>
    </r>
  </si>
  <si>
    <r>
      <t xml:space="preserve">Health provider(ANM) using ANMOL application for entering Data
</t>
    </r>
    <r>
      <rPr>
        <b/>
        <sz val="11"/>
        <color rgb="FF000000"/>
        <rFont val="Calibri"/>
        <family val="2"/>
        <scheme val="minor"/>
      </rPr>
      <t>Numerator: </t>
    </r>
    <r>
      <rPr>
        <sz val="11"/>
        <color rgb="FF000000"/>
        <rFont val="Calibri"/>
        <family val="2"/>
        <scheme val="minor"/>
      </rPr>
      <t xml:space="preserve">Total No. of Users (ANM) doing data entry.
</t>
    </r>
    <r>
      <rPr>
        <b/>
        <sz val="11"/>
        <color rgb="FF000000"/>
        <rFont val="Calibri"/>
        <family val="2"/>
        <scheme val="minor"/>
      </rPr>
      <t xml:space="preserve">Denominator: </t>
    </r>
    <r>
      <rPr>
        <sz val="11"/>
        <color rgb="FF000000"/>
        <rFont val="Calibri"/>
        <family val="2"/>
        <scheme val="minor"/>
      </rPr>
      <t>Total no. active users (ANMs) registered in RCH Portal.</t>
    </r>
  </si>
  <si>
    <r>
      <t>Cumulative number of AB-HWCs to be made operational by 31</t>
    </r>
    <r>
      <rPr>
        <vertAlign val="superscript"/>
        <sz val="11"/>
        <color rgb="FF000000"/>
        <rFont val="Calibri"/>
        <family val="2"/>
        <scheme val="minor"/>
      </rPr>
      <t>st</t>
    </r>
    <r>
      <rPr>
        <sz val="11"/>
        <color rgb="FF000000"/>
        <rFont val="Calibri"/>
        <family val="2"/>
        <scheme val="minor"/>
      </rPr>
      <t xml:space="preserve"> March 2021 </t>
    </r>
  </si>
  <si>
    <r>
      <t>Percentage of health workers (staff at SC/PHC/UPHC including ASHA/MAS) whose health check-up was done as on 31</t>
    </r>
    <r>
      <rPr>
        <vertAlign val="superscript"/>
        <sz val="11"/>
        <color rgb="FF000000"/>
        <rFont val="Calibri"/>
        <family val="2"/>
        <scheme val="minor"/>
      </rPr>
      <t>st</t>
    </r>
    <r>
      <rPr>
        <sz val="11"/>
        <color rgb="FF000000"/>
        <rFont val="Calibri"/>
        <family val="2"/>
        <scheme val="minor"/>
      </rPr>
      <t xml:space="preserve"> March 2021 </t>
    </r>
  </si>
  <si>
    <r>
      <t>Numerator:</t>
    </r>
    <r>
      <rPr>
        <sz val="11"/>
        <color rgb="FF000000"/>
        <rFont val="Calibri"/>
        <family val="2"/>
        <scheme val="minor"/>
      </rPr>
      <t xml:space="preserve"> Number of health workers whose health check up was done </t>
    </r>
  </si>
  <si>
    <r>
      <t>Denominator:</t>
    </r>
    <r>
      <rPr>
        <sz val="11"/>
        <color rgb="FF000000"/>
        <rFont val="Calibri"/>
        <family val="2"/>
        <scheme val="minor"/>
      </rPr>
      <t xml:space="preserve"> Total number of health workers (staff at SC/PHC/UPHC) including ASHAs and MAS as on 31</t>
    </r>
    <r>
      <rPr>
        <vertAlign val="superscript"/>
        <sz val="11"/>
        <color rgb="FF000000"/>
        <rFont val="Calibri"/>
        <family val="2"/>
        <scheme val="minor"/>
      </rPr>
      <t>st</t>
    </r>
    <r>
      <rPr>
        <sz val="11"/>
        <color rgb="FF000000"/>
        <rFont val="Calibri"/>
        <family val="2"/>
        <scheme val="minor"/>
      </rPr>
      <t xml:space="preserve"> March 2021</t>
    </r>
  </si>
  <si>
    <r>
      <t>Implementation of Statutory Audit on Annual basis and sharing of report before due date 31</t>
    </r>
    <r>
      <rPr>
        <vertAlign val="superscript"/>
        <sz val="11"/>
        <color rgb="FF000000"/>
        <rFont val="Calibri"/>
        <family val="2"/>
        <scheme val="minor"/>
      </rPr>
      <t>st</t>
    </r>
    <r>
      <rPr>
        <sz val="11"/>
        <color rgb="FF000000"/>
        <rFont val="Calibri"/>
        <family val="2"/>
        <scheme val="minor"/>
      </rPr>
      <t xml:space="preserve"> July of the next financial year.</t>
    </r>
  </si>
  <si>
    <t>State Remarks (including key deliverable to be met)</t>
  </si>
  <si>
    <t>MH/ CP</t>
  </si>
  <si>
    <t>Nursing Directorate/ HSS</t>
  </si>
  <si>
    <t>Training division</t>
  </si>
  <si>
    <t>RCH-Others (incl Tribal/ Vulnerable Group)</t>
  </si>
  <si>
    <t>Training/ HRH</t>
  </si>
  <si>
    <t>Training division/ HRH</t>
  </si>
  <si>
    <t>COVID Package (ECRP)</t>
  </si>
  <si>
    <t>Support for implementation of IDSP</t>
  </si>
  <si>
    <t>Support for implementation of PPCL</t>
  </si>
  <si>
    <t>Support for implementation of NPCB+Vi</t>
  </si>
  <si>
    <t>Support for implementation of PMNDP</t>
  </si>
  <si>
    <t>Support for implementation of NPCCHH</t>
  </si>
  <si>
    <t>Support for implementation of NPPCD</t>
  </si>
  <si>
    <t>Support for implementation of NPPCF</t>
  </si>
  <si>
    <t>Support for implementation of NOHP</t>
  </si>
  <si>
    <t>U.1.1.2.8</t>
  </si>
  <si>
    <t>U.1.1.2.9</t>
  </si>
  <si>
    <t>U.1.1.2.10</t>
  </si>
  <si>
    <t>U.1.1.2.11</t>
  </si>
  <si>
    <t>U.1.1.1.5</t>
  </si>
  <si>
    <t>U.1.1.1.6</t>
  </si>
  <si>
    <t>U.1.1.1.7</t>
  </si>
  <si>
    <t>Urban Local Bodies (ULBs)</t>
  </si>
  <si>
    <t>PRIs/ ULBs</t>
  </si>
  <si>
    <t xml:space="preserve">Untied Funds/Annual Maintenance Grants /Corpus Grants to HMS/RKS/ Jan Arogya Samiti </t>
  </si>
  <si>
    <t>HMIS/ MCTC</t>
  </si>
  <si>
    <t>Sample collection &amp; transportation charges</t>
  </si>
  <si>
    <t>15.5.3</t>
  </si>
  <si>
    <t>Any PPM-PP/NGO Support</t>
  </si>
  <si>
    <t>Upgradation/ Renovation of HWC-HSCs</t>
  </si>
  <si>
    <t>Spill over of Ongoing Upgradation Works - HWC-HSCs</t>
  </si>
  <si>
    <t>Team based incentives for Health &amp; Wellness Centres (H&amp;WC - PHC)</t>
  </si>
  <si>
    <t>Team based incentives for Health &amp; Wellness Centres (H&amp;WC - Sub Centre)</t>
  </si>
  <si>
    <t>Other Community level Interventions under NDCP- NVBDCP, NVHCP</t>
  </si>
  <si>
    <t>Other Community level Interventions under NDCP- NTEP</t>
  </si>
  <si>
    <t>3.2.3.1.4</t>
  </si>
  <si>
    <t>Other Activities</t>
  </si>
  <si>
    <t>3.2.6</t>
  </si>
  <si>
    <t>Spill over of Ongoing Upgradation-MCH Wings</t>
  </si>
  <si>
    <t>Spill over of Ongoing Upgradation-Facility based new-born care centres (SNCU/NBSU/NBCC/KMC unit)/MNCU &amp; State resource centre/CLMC units/Paediatric HDUs</t>
  </si>
  <si>
    <t>New construction: MCH Wings</t>
  </si>
  <si>
    <t>New construction: Facility based new-born care centres (SNCU/NBSU/NBCC/KMC unit)</t>
  </si>
  <si>
    <t>New construction: DEIC (RBSK)</t>
  </si>
  <si>
    <t>Carry forward: DEIC (RBSK)</t>
  </si>
  <si>
    <t>Carry forward: Facility based new-born care centres (SNCU/NBSU/NBCC/KMC unit/ Mother New-born Care Unit/ State Resource Centre/Paediatric HDU</t>
  </si>
  <si>
    <t>Additional building/ Major Upgradation of MCH Wings</t>
  </si>
  <si>
    <t>Additional building/ Major Upgradation of Facility based new-born care centres (SNCU/NBSU/NBCC/KMC unit)</t>
  </si>
  <si>
    <t>IEC activities</t>
  </si>
  <si>
    <t>Procurement of equipment</t>
  </si>
  <si>
    <t/>
  </si>
  <si>
    <t>Incentive under NVBDCP</t>
  </si>
  <si>
    <t>Sub-national Disease Free Certification: Tuberculosis</t>
  </si>
  <si>
    <t>Sub-national Disease Free Certification: Leprosy</t>
  </si>
  <si>
    <t>Sub-national Disease Free Certification: Kala Azar</t>
  </si>
  <si>
    <t>Sub-national Disease Free Certification: Lymphatic Filariasis</t>
  </si>
  <si>
    <t>Sub-national Disease Free Certification: Malaria</t>
  </si>
  <si>
    <t>Sub-national Disease Free Certification: Cataract/Blindness</t>
  </si>
  <si>
    <t>Any other Sub-national Disease Free Certification</t>
  </si>
  <si>
    <t>MH1</t>
  </si>
  <si>
    <t>MH2</t>
  </si>
  <si>
    <t>MH3</t>
  </si>
  <si>
    <t>MH4</t>
  </si>
  <si>
    <t>MH5</t>
  </si>
  <si>
    <t>MH6</t>
  </si>
  <si>
    <t>NTEP1</t>
  </si>
  <si>
    <t>NTEP2</t>
  </si>
  <si>
    <t>NTEP3</t>
  </si>
  <si>
    <t>NTEP4</t>
  </si>
  <si>
    <t>NVBDCP1</t>
  </si>
  <si>
    <t>NVBDCP2</t>
  </si>
  <si>
    <t>NVBDCP3</t>
  </si>
  <si>
    <t>RBSK1</t>
  </si>
  <si>
    <t>CAC</t>
  </si>
  <si>
    <t>CAC1</t>
  </si>
  <si>
    <t>CAC2</t>
  </si>
  <si>
    <t>CAC3</t>
  </si>
  <si>
    <t>RBSK2</t>
  </si>
  <si>
    <t>RBSK3</t>
  </si>
  <si>
    <t>CH1</t>
  </si>
  <si>
    <t>CH2</t>
  </si>
  <si>
    <t>CH3</t>
  </si>
  <si>
    <t>CH4</t>
  </si>
  <si>
    <t>CH5</t>
  </si>
  <si>
    <t>NOHP1</t>
  </si>
  <si>
    <t>BS1</t>
  </si>
  <si>
    <t>BS2</t>
  </si>
  <si>
    <t>BS3</t>
  </si>
  <si>
    <t>BS4</t>
  </si>
  <si>
    <t>MMP</t>
  </si>
  <si>
    <t>MMP1</t>
  </si>
  <si>
    <t>MMP2</t>
  </si>
  <si>
    <t>MMP3</t>
  </si>
  <si>
    <t>MMP4</t>
  </si>
  <si>
    <t>MMP5</t>
  </si>
  <si>
    <t>MMP6</t>
  </si>
  <si>
    <t>MMP7</t>
  </si>
  <si>
    <t>MMP8</t>
  </si>
  <si>
    <t>NLEP1</t>
  </si>
  <si>
    <t>NLEP3</t>
  </si>
  <si>
    <t>NLEP2</t>
  </si>
  <si>
    <t>NLEP4</t>
  </si>
  <si>
    <t>IDSP1</t>
  </si>
  <si>
    <t>IDSP2</t>
  </si>
  <si>
    <t>IDSP3</t>
  </si>
  <si>
    <t>IDSP4</t>
  </si>
  <si>
    <t>NVHCP1</t>
  </si>
  <si>
    <t>NVHCP2</t>
  </si>
  <si>
    <t>NVHCP3</t>
  </si>
  <si>
    <t>NVHCP4</t>
  </si>
  <si>
    <t>CPHC1</t>
  </si>
  <si>
    <t>CPHC2</t>
  </si>
  <si>
    <t>CPHC3</t>
  </si>
  <si>
    <t>CPHC4</t>
  </si>
  <si>
    <t>CPHC5</t>
  </si>
  <si>
    <t>CPHC6</t>
  </si>
  <si>
    <t>HRH1</t>
  </si>
  <si>
    <t>HRH2</t>
  </si>
  <si>
    <t>FIN</t>
  </si>
  <si>
    <t>FIN1</t>
  </si>
  <si>
    <t>FIN2</t>
  </si>
  <si>
    <t>FIN3</t>
  </si>
  <si>
    <t>FIN4</t>
  </si>
  <si>
    <t>FIN5</t>
  </si>
  <si>
    <t>FIN6</t>
  </si>
  <si>
    <t>FIN7</t>
  </si>
  <si>
    <t>FIN8</t>
  </si>
  <si>
    <t>FIN9</t>
  </si>
  <si>
    <t>FIN10</t>
  </si>
  <si>
    <t>FIN11</t>
  </si>
  <si>
    <t>FIN12</t>
  </si>
  <si>
    <t>FIN13</t>
  </si>
  <si>
    <t>FIN14</t>
  </si>
  <si>
    <t>FIN15</t>
  </si>
  <si>
    <t>FIN16</t>
  </si>
  <si>
    <t>FIN17</t>
  </si>
  <si>
    <t>Others (please specify) including welfare fund for staff</t>
  </si>
  <si>
    <t>16.4.6</t>
  </si>
  <si>
    <t>Fund for NHM staff welfare</t>
  </si>
  <si>
    <t>NUHM Metro</t>
  </si>
  <si>
    <t>NUHM Non-Metro</t>
  </si>
  <si>
    <t>PM-Activities Sub Annexure</t>
  </si>
  <si>
    <t>Community Interventions Sub Annexure</t>
  </si>
  <si>
    <t>Procurement Sub Annexure</t>
  </si>
  <si>
    <t>Training Sub Annexure</t>
  </si>
  <si>
    <t>IEC/ BCC Sub Annexure</t>
  </si>
  <si>
    <t>Printing Sub Annexure</t>
  </si>
  <si>
    <t>15.4.7</t>
  </si>
  <si>
    <t xml:space="preserve">1. JSSK
2. PMSMA
3. Notification of SUMAN compliant facility
4. Roll out of Midwifery initiative
5. MH trainings
6. Functionalization of MCH wings
7. Functionalization of Obstetric HDU/lCU
8. National LaQshya certification of Labour room and Maternity Operation Theater
9. Strengthening of Maternal death surveillance and review and roll out of MCDSR software. 
10. Implementation of AB-Health and Wellness Ambassador initiative 
</t>
  </si>
  <si>
    <t xml:space="preserve">1. Strengthening of Home Based Care of Newborn (HBNC)
2. Strengthening of Special Newborn Care Unit (SNCU)
3. Strengthening of District Early Intervention Centres (DEIC)
4. Newborn Screening at Delivery Points
5. Mobile Health Teams under RBSK Program
6. SAANS Program
7. Aspirational District Program
8. Strengthening of Newborn Stabilization Units including Reporting structure
9. Quality Certification of Facility Based Newborn Care Units
10. Roll out of Home Based Care of Young Child Program (HBYC)
11. Child Death and Still Birth Review System
12. Early Childhood Care and Development (ECD) interventions 
13. Strengthening Pediatric Care Service at District level and Sub District level
14. Operationalization of FP-LMIS
15. Comprehensive Abortion Care
16. Nutrition Rehabilitation Center (NRC)
17. Anemia Mukt Bharat Strategy (AMB)
18. National Deworming Day (NDD)
19. Mothers Absolute Affection (MAA)
20. Intensified Diarrhoea Control Fortnight (IDCF)
21. Comprehensive Lactation Management Centers (CLMCs) and Lactation Management Units (LMUs)  
</t>
  </si>
  <si>
    <t xml:space="preserve">No of ICHH centres in the state </t>
  </si>
  <si>
    <t>Number of AB-HWCs to be operationalized</t>
  </si>
  <si>
    <t>NTCP1</t>
  </si>
  <si>
    <t>Strengthening NTCP services</t>
  </si>
  <si>
    <t>No. of educational institutes (public/ private schools/ colleges) made tobacco free</t>
  </si>
  <si>
    <t xml:space="preserve">Tobacco Control Division, MOHFW </t>
  </si>
  <si>
    <t>NTCP2</t>
  </si>
  <si>
    <t xml:space="preserve">Setting up of Tobacco Cessation Centres </t>
  </si>
  <si>
    <t xml:space="preserve">Cumulative number of District Tobacco Cessation Centres (TCCs) functional against total no. of district hospitals </t>
  </si>
  <si>
    <t>QA1</t>
  </si>
  <si>
    <t>Ensuring NQAS certiication of public health facilities</t>
  </si>
  <si>
    <t>Number of NQAS certified public health facilities</t>
  </si>
  <si>
    <t xml:space="preserve">Cumulative number of NQAS certified public health facilities against total no. of public health facilities </t>
  </si>
  <si>
    <t xml:space="preserve">MIS </t>
  </si>
  <si>
    <t>QA2</t>
  </si>
  <si>
    <t xml:space="preserve">Ensuring Kayakalp certfication of public health facilities </t>
  </si>
  <si>
    <t xml:space="preserve">Number of public health facilities with Kayakalp score &gt;70% </t>
  </si>
  <si>
    <t xml:space="preserve">Cumulative number of public health facilities with Kayakalp score &gt;70% against total no. of public health facilities </t>
  </si>
  <si>
    <t>QA3</t>
  </si>
  <si>
    <t>Ensuring Mera Aspataal uptake by public health facilities</t>
  </si>
  <si>
    <t>Strengthening quality assurance through Mera Aspataal</t>
  </si>
  <si>
    <t>Cumulative number of District Hospitals implementing Mera Aspataal application against total no. of District Hospitals in the State/UT***</t>
  </si>
  <si>
    <t>PMNDP1</t>
  </si>
  <si>
    <t>Roll out of Pradhan Mantri National Dialysis Programme (PMNDP)</t>
  </si>
  <si>
    <t xml:space="preserve">Number of districts where hemodialysis has been rolled out </t>
  </si>
  <si>
    <t>Cumulative number of Districts where hemodialysis has been rolled out</t>
  </si>
  <si>
    <t>PMNDP2</t>
  </si>
  <si>
    <t>No. of hemodialysis sessions conducted against installed capacity</t>
  </si>
  <si>
    <t> Number of hemodialysis sessions (@ 40 sessions per machine per month)</t>
  </si>
  <si>
    <t>PMNDP3</t>
  </si>
  <si>
    <t>Number of districts where peritoneal dialysis has been rolled out</t>
  </si>
  <si>
    <t>Cumulative number of Districts where peritoneal dialysis has been rolled out</t>
  </si>
  <si>
    <t>PMNDP4</t>
  </si>
  <si>
    <t xml:space="preserve">No. of patients to whom peritoneal dialysis services are provided </t>
  </si>
  <si>
    <t>Number of patients provided services against approvals in the PIP</t>
  </si>
  <si>
    <t xml:space="preserve">OOPE </t>
  </si>
  <si>
    <t>OOPE1</t>
  </si>
  <si>
    <t xml:space="preserve">Decrease OOPE </t>
  </si>
  <si>
    <t>Increase utilization of public health facilities</t>
  </si>
  <si>
    <t>% increase in OPD in current FY over pervious FY</t>
  </si>
  <si>
    <t>OOPE2</t>
  </si>
  <si>
    <t>% increase in IPD in current FY over pervious FY</t>
  </si>
  <si>
    <t>G.1.1 &amp; G. 1.2</t>
  </si>
  <si>
    <t>Case detection &amp; Management</t>
  </si>
  <si>
    <t>ASHA Incentive for Treatment completion of MB cases (@ Rs 600)</t>
  </si>
  <si>
    <t>IEC/BCC: Mass media, Outdoor media, Rural media, Advocacy media for NLEP including Sparsh Leprosy Awareness Campaign</t>
  </si>
  <si>
    <t>ELISA facility to Sentinel
Surveillance Hospital/ Laboratories</t>
  </si>
  <si>
    <t>Procurement of Insecticides (Technical Malathion/Cyphenothrin)</t>
  </si>
  <si>
    <t>Epidemic preparedness (Dengue &amp; Chikungunya)</t>
  </si>
  <si>
    <t>Araria</t>
  </si>
  <si>
    <t>Arwal</t>
  </si>
  <si>
    <t>Aurangabad</t>
  </si>
  <si>
    <t>Banka</t>
  </si>
  <si>
    <t>Begusarai</t>
  </si>
  <si>
    <t>Bhagalpur</t>
  </si>
  <si>
    <t>Bhojpur</t>
  </si>
  <si>
    <t>Buxar</t>
  </si>
  <si>
    <t>Darbhanga</t>
  </si>
  <si>
    <t xml:space="preserve">East Champaran </t>
  </si>
  <si>
    <t>Gaya</t>
  </si>
  <si>
    <t>Gopalganj</t>
  </si>
  <si>
    <t>Jamui</t>
  </si>
  <si>
    <t>Jehanabad</t>
  </si>
  <si>
    <t>Kaimur</t>
  </si>
  <si>
    <t>Katihar</t>
  </si>
  <si>
    <t>Khagaria</t>
  </si>
  <si>
    <t>Kishanganj</t>
  </si>
  <si>
    <t>Lakhisarai</t>
  </si>
  <si>
    <t>Madhepura</t>
  </si>
  <si>
    <t>Madhubani</t>
  </si>
  <si>
    <t>Munger</t>
  </si>
  <si>
    <t>Muzaffarpur</t>
  </si>
  <si>
    <t>Nalanda</t>
  </si>
  <si>
    <t>Nawada</t>
  </si>
  <si>
    <t xml:space="preserve">Patna </t>
  </si>
  <si>
    <t>Purnia</t>
  </si>
  <si>
    <t>Rohtas</t>
  </si>
  <si>
    <t>Saharsa</t>
  </si>
  <si>
    <t>Samastipur</t>
  </si>
  <si>
    <t>Saran</t>
  </si>
  <si>
    <t>Sheikhpura</t>
  </si>
  <si>
    <t>Sheohar</t>
  </si>
  <si>
    <t>Sitamarhi</t>
  </si>
  <si>
    <t>Siwan</t>
  </si>
  <si>
    <t>Supaul</t>
  </si>
  <si>
    <t>Vaishali</t>
  </si>
  <si>
    <t xml:space="preserve">West Champaran </t>
  </si>
  <si>
    <t>&lt;Name of State&gt; Bihar</t>
  </si>
  <si>
    <t>Funds Proposed for 4 State Labs viz:PMCH, Patna, IGIMS, Patna, IGIMS, Patna. Last 3 identified as State Lab eecently this year as they have adeaquate infrastructre &amp; RT-PCR for Viral Load is also available.</t>
  </si>
  <si>
    <t>Fund proposed for 3 MTC viz: PMCH, Patna, IGIMS,Patna &amp; AIIMS, Patna.</t>
  </si>
  <si>
    <t>Funds proposed for 3 MTC viz: PMCH, Patna, IGIMS, Patna &amp; AIIMS, Patna.</t>
  </si>
  <si>
    <t xml:space="preserve">Funds proposed for 43 TCs (SDH, Benipur, Darbhanga &amp; DH, GGS, Patna added in last FY) </t>
  </si>
  <si>
    <t>Funds proposed for meeting with NGOs at State Level.</t>
  </si>
  <si>
    <t>Funds Proposed for Hep B, HBIG &amp; Hep C Drugs. Details attached as annexure.</t>
  </si>
  <si>
    <t xml:space="preserve">Funds Proposed for screening of Hep-B &amp; C High Risk groups, HCWs, Thalassemics, Haemophiliacs, ANC registered mothers, PLHIV. For confirmatory testing Viral Load (RTPCR) , Consumable items. Details attached as annexure. </t>
  </si>
  <si>
    <t>Funds Proposed for 4 state lab(PMCH,AIIMS,IGIMS &amp; RMRI)+ 38 District Labs+5MCH, Total-47 Labs</t>
  </si>
  <si>
    <t>Funds Proposed for incentives for Medical officers 400*10*12*46 and Lab technicians 500*12*47. Post of Pharmacist and Lab Technician is approved and recruitment is under process.</t>
  </si>
  <si>
    <t>Funds proposed for Mos Training in 2 batches statev level.</t>
  </si>
  <si>
    <t>Funds proposed for LTs Training in 2 batches statev level.</t>
  </si>
  <si>
    <t>Funds Proposed for Peer support Training in 2 batches at state level.</t>
  </si>
  <si>
    <t>Funds Proposed for Pharmacist Training in 2 batches at state level.</t>
  </si>
  <si>
    <t>Funds Proposed for DEOsTraining in 2 batches at state level.</t>
  </si>
  <si>
    <t xml:space="preserve"> Funds proposed for Training for Community leaders (Cured patient, Close contact, FSW/MSM/IDU representative 
</t>
  </si>
  <si>
    <t>Budget Proposed for Printing of Treatment cards for Viral Hepatitis Patient, Referral form for Viral Load samples, Stock Registers, Papers and Misc.</t>
  </si>
  <si>
    <t>Funds Proposed for transportation of Viral Load samples and transportation of Drugs 10000/MTCs and TCs.</t>
  </si>
  <si>
    <t xml:space="preserve">Funds proposed for computer printer scanner photocopier for Data entry operators at SVHMU.
</t>
  </si>
  <si>
    <t>Funds proposed for Quarterly meeting of NVHCP.</t>
  </si>
  <si>
    <t>Funds proposed for hiring Vehicle at SHSB rate for montioring of NVHCP Programme.</t>
  </si>
  <si>
    <t>per data entry point/data management unit per annum</t>
  </si>
  <si>
    <t>Miss.</t>
  </si>
  <si>
    <t>per District lab</t>
  </si>
  <si>
    <t>Per state Lab</t>
  </si>
  <si>
    <t>Per model treatement Centre</t>
  </si>
  <si>
    <t>Per treatement Centre</t>
  </si>
  <si>
    <t>Pertreatement Centre</t>
  </si>
  <si>
    <t>Per Meeting</t>
  </si>
  <si>
    <t>Miss.(Incentives)</t>
  </si>
  <si>
    <t>Per Training</t>
  </si>
  <si>
    <t>Lumsum</t>
  </si>
  <si>
    <t>Per Month</t>
  </si>
  <si>
    <t>No. of meetings</t>
  </si>
  <si>
    <t>No. of AFHC</t>
  </si>
  <si>
    <t>Continued Activity
Operational cost for 208 AFHCs.  147 AFHCs at  10 Peer Educator Districts and  61 AFHCs at 11 Non-HPDs and  Medical Colleges</t>
  </si>
  <si>
    <t>No of A-HRC</t>
  </si>
  <si>
    <t>No. of AHDs</t>
  </si>
  <si>
    <t>No. of meetings at Sub-Centers</t>
  </si>
  <si>
    <t>Continued Activity
Since SHP is being implemented in 5 aspirational districts of the State thus school going childrens will be covered through regular sessions at school level. They inturn are envisaged to be sharing their learnings with the out of shcool adolescents. 
 In order to support the above initiatives in the current FY as a pilot State is proposing to organise AFC meetings with the Health and Wellness Messanger at the sub-centers/schools level in seleted  PE villages of 5 districts with ANM and ASHAs on a monthly basis on a fix day. As per the guidelines Rs.500/- is budget for each meeting for 6 months. Total 460 sub-centers to be covered. ANM will be responsible to organise such meetings.</t>
  </si>
  <si>
    <t xml:space="preserve">Number of ASHA </t>
  </si>
  <si>
    <t>No. of Peer Educators</t>
  </si>
  <si>
    <t>Continued Activity
13920 PEs  of 5 focus districts of the last FY to be given non-financial incentive of Rs.50/- for 9 months</t>
  </si>
  <si>
    <t>No. of Tablets</t>
  </si>
  <si>
    <t>No of training batch</t>
  </si>
  <si>
    <t>No. of Training</t>
  </si>
  <si>
    <t>No. of training batches</t>
  </si>
  <si>
    <t>No. of districts</t>
  </si>
  <si>
    <t>Continued Activity
One day Review cum orientation wrokshop of  5 District Officials (2 from Health, 2 from Education and 1 from ICDS) at State Level twice in a year.  8 participants from state level (3 from health, SPO Education and SPO ICDS and 3 development partner).Total 190 participants from district and 8 from  State. Thus total 4 batches will be organsied in the FY 2021-22.
Calculation of One Batch - 
a) Fooding= Rs270*110= 29700/- 
b) Hall Rent including laptop,LCD= Rs.14000 (As per revised SHFW rate)
 c) Bag/Folder) as per approved SHSB rate)= Rs.200*108 person= 21600/-
d) Pen/Pad/Xerox = Rs.100*108= 10800/-
e) Flex = Rs.2000/-
f) Misc= Rs.2000/-
Cost of one batch = 80,100 (Total 4 batches will be organised) 
District Level = Rs.10000*2 =20000 per district for 38 districts. = 7,60,000</t>
  </si>
  <si>
    <t>Continued Activity
Training of  Medical Officer for AFHC to be organisd in the Financial Year 2021-22.1 batches is planned  with 30 participants . Cost of one batch:-
A) Training Hall - Rs.5000 *4 days    = 20000/- (Rate of SHIFW)
B) Fooding -  Rs.430*4 days for 33 participants = 56760/- (Rate of SHIFW)
C) Loadging - Rs.250*3days*30 participants = 22500/- (Rate of SHIFW)
D) Bag/Folder -Rs.200 *30 pariticpants = 6000/-  (Amount approved by SHAB
E) Pen/Pad/Xerox - Rs.100*30=3000/-
F) DA - Rs.700 *4 days*30 particiapnts = 84,000/-  (As per government rule)
G) Travel- Rs.1500*30 pariticpants = 45,000/-
H) Trainer- Rs.1000*2days*2trainer = 4,000/-
I) Misllanious -  Rs2000
Total cost for one batch = 2,43,260/-</t>
  </si>
  <si>
    <t>Continued Activity
New GNMs joined at CHC level in the district Training of ANM/GNM  to be organisd in the Financial Year 2021-22. Total 2 batches are planned  with 30 participants  per batch.
A) Training Hall - Rs.5000 *4 days    = 20000/- (Rate of SHIFW)
B) Fooding -  Rs.430*4 days for 33 participants = 56760/- (Rate of SHIFW)
C) Loadging - Rs.250*3days*30 participants = 22500/- (Rate of SHIFW)
D) Bag/folder -Rs.200 *30 pariticpants = 6,000/-  (Amount approved by SHAB
E) Pen/Pad/Xerox - Rs.100*30 participants=3,000/-
F) DA - Rs.400 *4 days*30 particiapnts = 48,000/-  (As per government rule)
G) Travel- Rs.1500*30 pariticpants = 45,000/-
H) Trainer- Rs.1000*4days*2trainer = 8,000/-
I) Misllanious -  Rs2000
Total cost for one batch = 2,11,260/-</t>
  </si>
  <si>
    <t>Consumbles for R.I. D.O.</t>
  </si>
  <si>
    <t>Continued….
Consumables for computer, stationary etc including provision for internet access  for DIO Office @ Rs. 1500 per district per month.
* Note: In the current FY, an amount of Rs 1000/- per month per district has been approved but practically it is impossible to run the day to day activity of DIO office without above amount.</t>
  </si>
  <si>
    <t>J.E. Campaign for 3 districts</t>
  </si>
  <si>
    <t>J.E. Campaign for rest 3 districts of Bihar :
Begusarai, Kaimur &amp; Khagaria
we require : 24651302/- to successfully conduct the campaign including IEC printing etc.</t>
  </si>
  <si>
    <t>No. of Sessions conducted by Hired Vaccinator</t>
  </si>
  <si>
    <t>Per PHC Mobile unit / TA-DA for vaccinator</t>
  </si>
  <si>
    <t xml:space="preserve">Continued Activity ……
A. 
In IMI/ special ronuds rounds districts required Additional fund for bricklinks/Nomads etc areas through Mobile team by hiring vehicles. We are proposing Rs.1000/- per mobile team per PHC for atleast 2 days activity per round. This fund is also being used for TA/DA to vaccinator as per requirement for the same purpose. 
Fund calculation :-
@1000/- X 8 days X 534 PHCs = 4272000/-
In current F.Y. 2020-21 fund has been allotted for Rs.500/- for Mobility support to mobile team for hiring of boats/ other vehicle &amp; TA/DA to ANM/ @ Rs. 500 
</t>
  </si>
  <si>
    <t>No. of Benefeciaries</t>
  </si>
  <si>
    <t>No. of Session sites where ASHAs are not available including Urban Areas</t>
  </si>
  <si>
    <t>District training for 5 districts</t>
  </si>
  <si>
    <t>No. of Panchayat</t>
  </si>
  <si>
    <t>Procurement of Vit. A Bottle</t>
  </si>
  <si>
    <t>Bags / Marker Pen</t>
  </si>
  <si>
    <t>For MIC rack , Almirah etc.</t>
  </si>
  <si>
    <t xml:space="preserve">Continued .......
Procurement of  bag for waste management for every session every month is required @7/- per site . This amount includes for Bag /Marker Pen for mentioning date details on Opening of Vaccine vials.
Fund required for 117501 sites per month X 7 X 12 = 9870084/- 
</t>
  </si>
  <si>
    <t>Vas Training</t>
  </si>
  <si>
    <t>VAS Round inauguration &amp; orientation</t>
  </si>
  <si>
    <t>No of Participants</t>
  </si>
  <si>
    <t>No. of Cases of AFP, Measles. VPD/ Outbreaks. + State level Causality Assessment</t>
  </si>
  <si>
    <t>Session Site</t>
  </si>
  <si>
    <t>POL for vaccine transportation from SVS to CCP</t>
  </si>
  <si>
    <t>SVS-1
RVS-12
DVS-38
CCP-629</t>
  </si>
  <si>
    <t>A. Maintenance cost including POL etc of
1. 38 Vaccine Van @ Rs.50000/-
(Vaccine van are around 5/6 years old and so their repair &amp; maintenace require more fund)= Rs 1900000/-
2. (a) 9 RVS @ Rs. 150000
(For POL, repair &amp; maintenance of WIC/WIF and related items)=(Rs 150000 X 9)=1350000/-
(b). 1 SVS @ Rs. 250000 (For POL, repair &amp; maintenance of WIC/WIF and related items)
3. 38 DVS @ Rs. 20000
(This fund is required for proper maintenace of DVS)
= Rs 760000/-
4. 2601 DF/ILR @ Rs.1000
(For Repair &amp; maintenance of electrical/non electrical CCE)= Rs 2601000/-
5. CCT  PPE @ Rs. 15000 (For safety of Cold Chain Handler working at SVS/RVS, Protective equipments are required to be purchased)= Rs 150000/-
6. In FY 2019-2020 an amount of Rs 1200000/- has been approved for SVS. As you are aware that Multi story State Vaccine Store (SVS) has been constructed at Agamkuan, Patna  exclusively for Immunization cell. For smooth running of the SVS an amount of Rs 18,21,000 may be allocated (as per details mentioned).
Particulars        Rate          Quantity    Total Amt.
Electricity              120000/-        12Mts    1440000/-
Municipal Tax         50000/-         1 Yly        50000/-
Goods Lift AMC    120000/-         1 Yly     120000/-
Pas. Lift AMC         95000/-          1 Yly       95000/-
Fire Ext. ref.           80000/-         1 Yly       80000/-
Tel. Int. Stat. etc.     3000/-         12Mts     36000/-
i.e. Total ( 1+2+3+4+5+6)=Rs 8832000/-
B. New Activity.
One time activity required for Ice Pack conditioning is one of the major component in Immunization. Vaccine quality degrades if ice pack conditioning is not proper. For proper Ice Pack conditioning, One table/chair/rubber mat may be provided exclusive for Cold Chain Room. Fund required is Rs 5000/- per CCP for 669 Locations whose amount comes out to be Rs 3345000.
Total Fund Required : A+B i.e.
8832000 +3345000 = 1,21,77,000/-</t>
  </si>
  <si>
    <t>ANM
HSC
CCP etc</t>
  </si>
  <si>
    <t>No of Sub Centre+No. of APHC</t>
  </si>
  <si>
    <t>No. of PHC+UPHC+DHQ</t>
  </si>
  <si>
    <t>No. of CCP</t>
  </si>
  <si>
    <t>Continued Activity
(Per PHC-534 &amp; UPHC-150) + DHQ.
Fund calculation: ((Rs 1000X(534+150)+(38X2000))= Rs 684000 + 76000= 760000/-</t>
  </si>
  <si>
    <t>Continued Activity.
Incentive to CCH for Immunization at each CCP (@ Rs 1000/- per monthX683 locations)</t>
  </si>
  <si>
    <t>No. of Participants</t>
  </si>
  <si>
    <t>Continued Activity
(As per GoI Norms)
For meeting of district level officer and other personnels like CCT, VCCM, DVSM, RVSM etc. (Rs 1500X12X38=Rs 684000/-)</t>
  </si>
  <si>
    <t>Continued Activity
(As per GoI Norms) Participants from 534 PHC and 150 UPHC @ 5 Participants from each facility. (Fund calculation: Rs 150X5personX684 facilityX4 times)</t>
  </si>
  <si>
    <t>Continued Activity
(As per GoI Norms)
(Fund calculation: Rs 100X117501 SSX 4 quarter)= 47000400/-</t>
  </si>
  <si>
    <t>Vehicle for State level monitoring</t>
  </si>
  <si>
    <t>per month mobility support</t>
  </si>
  <si>
    <t>Continued Activity….
Mobility support for 44 Staffs of eVIN @10636.363/- per staffs per month for one year. Details of Staffs:- 2 at State, 4 at Region &amp; 38 at district</t>
  </si>
  <si>
    <t>district level monitoring</t>
  </si>
  <si>
    <t>Continued Activity
Fund calculation @ Rs 325000/- per year for 38 DHQ). For District level monitoring/supevision</t>
  </si>
  <si>
    <t>SMNET</t>
  </si>
  <si>
    <t>Continued Activity…
Support for Block, District &amp; State vide SMNet project, which jas been continued since F.Y 2016-17 vide transfer of fund to UNICEF for R.I. Polio and other activity.</t>
  </si>
  <si>
    <t>Hub Cutter for session site</t>
  </si>
  <si>
    <t>eVIN  project</t>
  </si>
  <si>
    <t>Continued Activity, 
eVIN implementtaion has been managed with technical support of UNDP since FY 2018-19 all the cost pertaining to implementation has been provided by NHM. In FY 2021-22 it is being proposed to continue the implementation of eVIN through UNDP. Fund will be transfered to UNDP.</t>
  </si>
  <si>
    <t>for 2 Districts Bhagalpur &amp; Gaya</t>
  </si>
  <si>
    <t xml:space="preserve">New Activity :…..
As per GoI D.O.No. T.13020/08/2018-IMM dated:03.11.2020. 
Fund required for Quality Management System for AEFI Surveillance  for Assessment Criteria for activities at State, District and PHC/Session - sites.
As per given instruction 2 districts has been identified for this activity, identified districts namely Gaya &amp; Bhagalpur.
Activities which performs are:-
Internal Assessment, Peer Assessment  at PHC, Peer assessment of State &amp; districts, External Assessment of State, State &amp; District level training, Mentoring cum Monitoring visits etc.
</t>
  </si>
  <si>
    <t xml:space="preserve">Continued activity- 
Proposed for Infrastructure strengthening of 2874 HSCs into HWCs @7 lakh per HSC
Total amount is Rs 2011800000/-                    </t>
  </si>
  <si>
    <t>No.of HSC</t>
  </si>
  <si>
    <t>No of HSCs</t>
  </si>
  <si>
    <t>No of CHOs</t>
  </si>
  <si>
    <t>No.of APHCs-HWCs</t>
  </si>
  <si>
    <t>No.of HSCs-HWCs</t>
  </si>
  <si>
    <t>No.of HWCs</t>
  </si>
  <si>
    <t>No of CHOs.</t>
  </si>
  <si>
    <t>No of MOs.</t>
  </si>
  <si>
    <t>Hubs&amp; Spokes</t>
  </si>
  <si>
    <t>1)State level 1 Gender Sensitization Workshop@ 3,00,000 (2)District level 1 Gender Sentization Workshop @Rs. 30,000 x 38x1 batches =1,140,000 (3)Rs.5 lakhs for Capacity Building of Appropriate Authorities &amp; Nodal Officer.(4)Rs.2 lakh for sensitization of judiciary and other line departments.</t>
  </si>
  <si>
    <t xml:space="preserve"> Eye Bank in PMCH Patna &amp; RIO IGIMS, Patna are Functional. 
Eye Bank in Muzaffarpur, Gaya,and Bhagalpur medical Colleges are also become functional soon.</t>
  </si>
  <si>
    <t>Per Spectacles</t>
  </si>
  <si>
    <t>Continuous Activity:-</t>
  </si>
  <si>
    <t>Per District Hospital</t>
  </si>
  <si>
    <t>Continuous Activity:-
For Strengthening of Eye Health facilities in  District Hospital.</t>
  </si>
  <si>
    <t>Per Cataract Operation</t>
  </si>
  <si>
    <t>Continuous Activity:-
For Cataract Surgery in District Hospital @1000/- per Cataract Surgery.</t>
  </si>
  <si>
    <t>Per Participant</t>
  </si>
  <si>
    <t>Per Cataract Surgery</t>
  </si>
  <si>
    <t>On Going  Activity:-</t>
  </si>
  <si>
    <t>PER YEAR</t>
  </si>
  <si>
    <t>Rs. 25000/-Thousand per district for 31 district to targeted interventions at community level Activities &amp; interventions targeted at schools, colleges, workplaces, out of school adolescents, urban slums and suicide prevention.</t>
  </si>
  <si>
    <t>Rs. 1 lac per district for 31 district to counselling sessions , training of master trainers &amp; college &amp;  school teachers orientation on psychiatric counseeling skill development and to hire services of psychiatrists &amp; clinical psychologist from private sector</t>
  </si>
  <si>
    <t>DMHP centre establishment</t>
  </si>
  <si>
    <t>per district</t>
  </si>
  <si>
    <t>Rs. 5 lakh per district for 38 district to purchasing of Psychotropic medicine at District level (T. Chlorpromazine 100 mg, T. Risperidone 2 mg, Inj. Promethazine 50mg,T. Imipramine 75mg, Inj. Fluphenazine 25mg, T. Trihexyphenidyl 2mg, T. Lorazepam 1 mg, T. Phenobarbitone 30mg &amp; 60mg, T. Diphenythyydantion 100mg, T. Lithium carbonate 300mg, T. Carbamazepine 200mg, Inj. Haloperidol, C. Fluoxetine 20mg &amp; other psychotherapeutic drugs as per need etc</t>
  </si>
  <si>
    <t>Rs. 10000 per district per for 38 district to telephone &amp; Broadband connection at DMHP center</t>
  </si>
  <si>
    <t>Contingency for staff working under NMHP (as per actual)</t>
  </si>
  <si>
    <t xml:space="preserve">per Bins set </t>
  </si>
  <si>
    <t xml:space="preserve">the amount is required for the procurement of Colour coded bins in the 33 District hospitals at the rate of 18 set per district Hospital, 40 Sub Divisional Hospital at the rate  8 bins set per SDH, 59 Referral Hospital @ 5 bins set per RH and 479 PHC/ CHC @ 5 bins set per PHC /CHC total 3604 bin set is required at the @4000 per bin set thus Rupees  144.16 lakh is required   </t>
  </si>
  <si>
    <t xml:space="preserve">No of Participants </t>
  </si>
  <si>
    <t xml:space="preserve">No of Districts </t>
  </si>
  <si>
    <t>Continued Activity : Fund is required for Services of Hospital waste treatment and disposal in all health care facilities 550 lakh was approved in  FY 2020-21.</t>
  </si>
  <si>
    <t>Per Batch= 30 Persons</t>
  </si>
  <si>
    <t>Per Batch (01 Batch=06 A-Grade/ANM/LHVs)</t>
  </si>
  <si>
    <t>Per Batch (04 MOs)</t>
  </si>
  <si>
    <t>Per Batch (05 MOs &amp; 05 SN)</t>
  </si>
  <si>
    <t>Per Batch (3 MOs &amp; 3 SN)</t>
  </si>
  <si>
    <t>Per Batch (05 MOs)</t>
  </si>
  <si>
    <t>Per Batch (16 Mos)</t>
  </si>
  <si>
    <t>Continued activity : To enhance the capacity of different staffs at state level this fund is needed. We train the state level staff at many reputed organisation across the country viz IHMR, XLRI, AIIMS, NIHFW, IIPH etc.</t>
  </si>
  <si>
    <t>Per DHS (DPMSU Included)</t>
  </si>
  <si>
    <t>Continues activity: To enhance the capacity of different staffs at district &amp; block leve, this fund is needed, Budget Rs. Lakhs 3.80 @ 10000/- Per DHS 38 (DPMSU Included).</t>
  </si>
  <si>
    <t>Per Participants/Doctors</t>
  </si>
  <si>
    <t>4 No of Persons for PGDHM</t>
  </si>
  <si>
    <t>One Dental X - Ray unit ( D.C. )</t>
  </si>
  <si>
    <t xml:space="preserve"> One Health facility</t>
  </si>
  <si>
    <t>One Health facility</t>
  </si>
  <si>
    <t>Per School</t>
  </si>
  <si>
    <t>Per College</t>
  </si>
  <si>
    <t>To implement ToFEI guidelines in 5 High Schools (Public) &amp; 2 Secondary/Senior Sec. School (Private) Per bolck @ 5000 per schools for 534 blocks</t>
  </si>
  <si>
    <t>To sensitize the college students regarding harmful effects of tobacco and to motivate them to quit.</t>
  </si>
  <si>
    <t>For bare minimum office furnitures and other office equipments</t>
  </si>
  <si>
    <t>For procurement of Tobacco cessation drugs, anti-tobacco patches and other equipments ( CO Monitor)</t>
  </si>
  <si>
    <t>per state level</t>
  </si>
  <si>
    <t>Proposal for 1 training a year for various stakeholders of tobacco control program</t>
  </si>
  <si>
    <t>For State level advocacy workshop, Training of trainers/refresher trainings and other trainings</t>
  </si>
  <si>
    <t>weekly FGD @1000 for 52 weeks for 38 districts</t>
  </si>
  <si>
    <t>per drive</t>
  </si>
  <si>
    <t>2 enforcement drives per month for 38 districts</t>
  </si>
  <si>
    <t>per TCC</t>
  </si>
  <si>
    <t xml:space="preserve">per STCC </t>
  </si>
  <si>
    <t xml:space="preserve">per district </t>
  </si>
  <si>
    <t>No. of Nursing Institute</t>
  </si>
  <si>
    <t>FDS for female ster.</t>
  </si>
  <si>
    <t>FDS for male ster.</t>
  </si>
  <si>
    <t>No. Of female ster. cases</t>
  </si>
  <si>
    <t>No. Of male ster. cases</t>
  </si>
  <si>
    <t>No. Of IUCD cases</t>
  </si>
  <si>
    <t>No. Of PPIUCD caseas</t>
  </si>
  <si>
    <t>No. Of PAIUCD cases</t>
  </si>
  <si>
    <t>No. Of MPA doses</t>
  </si>
  <si>
    <t>No. Of claims under FPIS</t>
  </si>
  <si>
    <t>Continued activity - 15000 per CHC for renovation of FP corner + 4 Regional Traingng center X 500000 per RTC + Rs 75 per IUCD service X 10000 cases under PPP mode. = 8010000+ 2000000 + 750000 = Rs 10760000</t>
  </si>
  <si>
    <t>No. Of health inst.</t>
  </si>
  <si>
    <t>No. Of saas Bahu Beti Sammelan organised</t>
  </si>
  <si>
    <t>No. Of Nayi Pahel kit distributed</t>
  </si>
  <si>
    <t>No. Of ASHA</t>
  </si>
  <si>
    <t>No. Of PPIUCD cases</t>
  </si>
  <si>
    <t>No. Of spacing claims under ADY</t>
  </si>
  <si>
    <t>No. Of limiting claim under ADY</t>
  </si>
  <si>
    <t>Continued activity - 88076 ASHA X Rs 200 per drive X 3 MPV drives = Rs 528.46 (For Community Need assessment and Pre registration scheme)</t>
  </si>
  <si>
    <t>No.of review meeting/ orientation on FPLMIs to ASHA/AF</t>
  </si>
  <si>
    <t>NSV kit</t>
  </si>
  <si>
    <t>IUCD kit</t>
  </si>
  <si>
    <t>No. Of minilap kit</t>
  </si>
  <si>
    <t>No. Of laproscope set</t>
  </si>
  <si>
    <t>No. Of PPIUCD forcep</t>
  </si>
  <si>
    <t>No. Of Condom box &amp; Display Tray</t>
  </si>
  <si>
    <t>No. Of NPK</t>
  </si>
  <si>
    <t>No. Of ster. Clients</t>
  </si>
  <si>
    <t>No. Of reward given centers</t>
  </si>
  <si>
    <t>No. Of PPIUCD insertion</t>
  </si>
  <si>
    <t>No. Of PAIUCD case</t>
  </si>
  <si>
    <t>Continued Activity
Performance reward at State, Regsional, District and Block Level 
Rs. 50000/- x 1 State+ 9 Division x Rs.30000/-+Rs. 20000/-x 38 District+Rs.10000/-x 534 Block= 64.20 Lacs</t>
  </si>
  <si>
    <t>No. Of Block</t>
  </si>
  <si>
    <t>No. Of block</t>
  </si>
  <si>
    <t>No. Of batch</t>
  </si>
  <si>
    <t>continued activity- (161 FRU + 534 block) X Rs 10000 per unit = 69.50 lacs</t>
  </si>
  <si>
    <t>continued activity</t>
  </si>
  <si>
    <t>New activity- Rs 3 lakh X 1 batch to trained master trainers for laproscope</t>
  </si>
  <si>
    <t>Continued activity</t>
  </si>
  <si>
    <t>New activity- Training of master trainer at state from divisional HQ for training of Minilap at RTC by them</t>
  </si>
  <si>
    <t>New activity - Training of master trainer at state from divisional HQ for training of NSV at RTC by them</t>
  </si>
  <si>
    <t>New activity- Training of master trainer at state from divisional HQ for training of integerated IUCD at RTC by them</t>
  </si>
  <si>
    <t>New activity- Training of AYUSH MO/CHO at APHC (functional as HWC) for strengthening of IUCD services at HWC-APHC.</t>
  </si>
  <si>
    <t>Continued activity as per previous year</t>
  </si>
  <si>
    <t>Continued activity- 1 batch per district for newly joined AYUSH MO and CHO of HWC</t>
  </si>
  <si>
    <t xml:space="preserve">training on injectable contraceptives (MPA- Antara) to newly appointed SN/ANM </t>
  </si>
  <si>
    <t xml:space="preserve"> training on Oral Pills (Centchroma, ECP &amp; OCP) to newly appointed SN/ANM </t>
  </si>
  <si>
    <t>Reorientation/ review for strengthening of FPLMIS  at district level.</t>
  </si>
  <si>
    <t>New activity- Orientation of FP Nodal officer and nodal consultant for FP program at Regional level.</t>
  </si>
  <si>
    <t xml:space="preserve">No. Of expected nursing home </t>
  </si>
  <si>
    <t>no. Of units</t>
  </si>
  <si>
    <t>No. Of units</t>
  </si>
  <si>
    <t>continued activity- (2 state level + 2 regional level + 4 district level QAC meeting) X Rs 10000</t>
  </si>
  <si>
    <t>No. Of FDS at outreach</t>
  </si>
  <si>
    <t>Continued activity- Rs 1000/FDS at outreach / hard to reach area X 380 such FDS</t>
  </si>
  <si>
    <t>Continued activity- Rs 1000/FDS at outreach / hard to reach area X 76 such FDS</t>
  </si>
  <si>
    <t>No. Of sehat center</t>
  </si>
  <si>
    <t>No. Of Diwas</t>
  </si>
  <si>
    <t>Sehat center at university college for promotion of RMNCH+A prog.</t>
  </si>
  <si>
    <t xml:space="preserve">Parivar Niyojan diwas </t>
  </si>
  <si>
    <t>No. of TB patients notified</t>
  </si>
  <si>
    <t>NPY for TB patients notified from public sector- 70000 Patients @ Rs. 3000/-
NPY for TB patients notified from private sector-  60000 Patients @ Rs. 3000/-
NPY for Drug Resistant TB patients-  2500 patients @ Rs. 6000/- (Anexed NTEP Annexure)</t>
  </si>
  <si>
    <t>Amount already proposed in FMR 6.1.3.1.3</t>
  </si>
  <si>
    <t>No. of TB patients (incl. INH res. TB) on treatment</t>
  </si>
  <si>
    <t>No. of MDR/RR-TB patients on treatment</t>
  </si>
  <si>
    <t>No. of TB patients diagnosed from informant referral</t>
  </si>
  <si>
    <t>Incentive to 50,000 CVs for treatment support to DSTB &amp; H-Mono/Poly Resistant TB cases</t>
  </si>
  <si>
    <t>As per the norm Rs 2000 for IP &amp; Rs 3000 for CP for MDR/RR patients of Shorter and Longer regimen</t>
  </si>
  <si>
    <t>State &amp; District TB forum biannual meetings @ Rs 10000 &amp; Rs 5000 per meeting respectively</t>
  </si>
  <si>
    <t>Community level bianual meeting with PRI members for 534 blocks @ Rs 5000 per block  and other due expenditures on important activities like ACF, enagaging Chemist and injection prick charge for DRTB patients.</t>
  </si>
  <si>
    <t>No. of Laboratories / Centers / Stores</t>
  </si>
  <si>
    <t>1. CDST labs equipment ( for LPA) procurement for IGIMS and Narayana Medical college. 2. Colour coded BMW disposal container and liner for all DMC and Mask, sanitizer etc for NTEP superviosrs and Lab technicians.3. Steel Almirah in each TU for storing anti TB drugs/equipments/records/usables for TB supervisors. 4. District to utilize laptop with web camera for ECHO video conferencing or virtual meetings. 5. office eqipments (AC, computer set, Laptop etc). 6. Other supporting Lab equipments battery, UPS, Refrigerator etc. 7. DRTB euipments Nebuliser and Suction Machines. 7. Fire extinguiher, hygrometer for SDS and DDS .</t>
  </si>
  <si>
    <t>No. of Equipment</t>
  </si>
  <si>
    <t>No. of Kits / Qty of consumables</t>
  </si>
  <si>
    <t>Second line Drugs</t>
  </si>
  <si>
    <t>Ancilary Drug</t>
  </si>
  <si>
    <t>Second line Anti TB Drugs in cases of stock out/ Non supply by centre</t>
  </si>
  <si>
    <t>To supplement general health system supply if not available (NDRTBC and DDRTBC)</t>
  </si>
  <si>
    <t>No. of Vehicles</t>
  </si>
  <si>
    <t>No. of Sleeves and Drug Boxes</t>
  </si>
  <si>
    <t>Procurement of approx 90000 Drug Boxes (for DRTB patients) @ Rs. 20/- each.
Procurement of  sleeves (720000) for 99 DOTS @ Rs. 12/- each (Rate contract is under Process through BMISCL,Patna)</t>
  </si>
  <si>
    <t>No. of presumptive patients &amp; Sample</t>
  </si>
  <si>
    <t xml:space="preserve">1. INR 400 per visit per patient during the entire course of treatment (monthly during IP and quarterly during CP). 2. 40% DR TB patients @ INR 1000 (outside district Visit) and 60% DR TB patients @INR 400 (within district) per visit along with one attendant </t>
  </si>
  <si>
    <t xml:space="preserve"> 1. Includes the Sample collection &amp; transport of patients  from districts to C&amp;DST Labs (Both DSTB &amp; DRTB cases) upto INR1000/visit (2 visit/week) from 35 districts. 2. sample transport from PHI/DMC to NAAT site using AVD Green Channel/Community volunteer courier (bi weekly) as per NTEP financial Norms.</t>
  </si>
  <si>
    <t>No. of batches</t>
  </si>
  <si>
    <t xml:space="preserve">1.Training/Refresher on Revised NTEP CDO/MO-DTC/MO (Modular),Training of LT,STS.STLS (New Recruitment), DEO/DPC/DPM training on NTEP Nikshay and nikshay aushadhi. 2.  Block MO training/Refresher on NTEP and ACF training to community Volunteer/ASHA/AMPW and others. (Annexure attached- included training plan and estimated cost as per SHSB training TADA guidelines, L.No. SHSB/Gen.Admin/197/2009/III/1001 Dated 13.02.2015) </t>
  </si>
  <si>
    <t>Faculty Members,Residents &amp; interns, Nurshing staffs, paramedical staffs
Support to Conferences, symposiums, panel discussions and workshops organized at National and state levels and at level of Medical college</t>
  </si>
  <si>
    <t>No. of thesis &amp; No. of OR</t>
  </si>
  <si>
    <t>Thesis of PG Students &amp; Operational Research in medical college.</t>
  </si>
  <si>
    <t>No. of Transportation</t>
  </si>
  <si>
    <t>Vehicle hiring for drug transport from SDS to DDSs and DDS to TU drug stores</t>
  </si>
  <si>
    <t>DMC and other schemes under NGO/PP scheme as per partnership guidelines-2019</t>
  </si>
  <si>
    <t>Private Provider Incentives- NTEP DBT Scheme @Rs. 500/- per notification and Rs. 500/- when treatment outcome declared.</t>
  </si>
  <si>
    <t>Activities for collaborating with other line departments and organizations (eg: AYUSH, Directorates of Labour, Rural Development, Urban Development, Industries, PRI, Railways, Postal Department, etc ( state level-@INR 25000/meeting, District level- @INR 5000/meeting). Meeting to be conducted Biannual.00</t>
  </si>
  <si>
    <t>No. of Meeting</t>
  </si>
  <si>
    <t>Organizational cost for STF Meeting, Core Committee meeting cost, Organization of Zonal  OR Workshop (Annexture attached).</t>
  </si>
  <si>
    <t>No. of Visite</t>
  </si>
  <si>
    <t>Expenditure for State internal evaluation, State Supervisory visit, Joint supervisory visit, OSE visit etc. State Internal Evaluation @ 0.80 Lakhs.
TA of Contractual Staff- Regular Supervisory visits to districts, EQA visits etc.
DA of Contractual Staff
Review meeting expenditure- State &amp; Distrct leve. 
PMDT, TB-comorbidty committee meeting expenditure -
DA for regular employee for drugs transporation. 
District level supervisory visit by RNTCP Supervisory staff, DPC &amp; DPPM Co-ordinator etc.
TA &amp; DA of DTO/MODTC for attending the meetings, workshops etc
(Annexure attached)</t>
  </si>
  <si>
    <t>No. of vehicles</t>
  </si>
  <si>
    <t>Vehicle Operation (POL &amp; Maintainance) for STC, STDC, DTO- Four wheeler -6 ( 3Dignostic Mobile Vans, 2Jeep, &amp;1 training Van. 
795- Two-wheelers STS, STLS &amp; DPS etc. for district level. (Annexure attached)</t>
  </si>
  <si>
    <t>Four Wheeler Vehicle hiring for STC-2, STDC-2, DTOs-38 @ Rs. 3.60 Lac. Each (Annexure attached).</t>
  </si>
  <si>
    <t>lumpsum</t>
  </si>
  <si>
    <t xml:space="preserve">Postage, communication, fax, etc for Medical College @ Rs. 10000/- each medical college. (Annexure attached)
</t>
  </si>
  <si>
    <t>1. State and district level (IRL, SDS, DTC, C&amp;DST Lab., DR-TB Center) Stationary, Telehpone &amp; CUG SIM charge, 2- Helper for SDS, 2-Sweeper for STC &amp;  (Annexure Attached).</t>
  </si>
  <si>
    <t>Mobility Support for SPMU-1/
RPMU-9/
DPMU-38/
BPMU-533/
FRU-149/
SVS-1</t>
  </si>
  <si>
    <t>Per MMU per month</t>
  </si>
  <si>
    <t>Avg. cost per ambulance per month</t>
  </si>
  <si>
    <t>No. of students</t>
  </si>
  <si>
    <t>Per ASHA</t>
  </si>
  <si>
    <t xml:space="preserve">Continued:
1. Mobilizing and attending VHSND - Rs. 200/-
i) For Immunization of 0-4 Beneficiery = No Incentive
ii) 5 Benefifiery = Rs. 50/-
iii) 6 or more than 6 Beneficiery upto 35 = Rs 10/ per Beneficiary
2. Convening and guiding VHSNC meeting - Rs. 150/-
3. Attending the PHC Review meeting -Rs. 150/-
4. Line listing of households done at beginning of the year and updated on monthly basis -Rs. 300/-
5. Maintaining village health register and supporting universal registration of births and deaths to be updated on monthly basis -Rs. 300/-
6. Preparation of due list of children to be immunized to be updated on monthly basis -Rs. 300/-
7. Preparation of list of ANC beneficiaries to be updated on monthly basis -Rs. 300/-
8. Preparation of list of eligible couples to be updated on monthly basis - Rs. 300/-
</t>
  </si>
  <si>
    <t>Per Batch</t>
  </si>
  <si>
    <t>ASHA Training</t>
  </si>
  <si>
    <t xml:space="preserve">Continued:;
Induction training for new selected ASHA (7100 ASHA) 237 batches X Rs. 168000 = Rs.39816000/-  
Budget Annexure attached </t>
  </si>
  <si>
    <t>Per ASHA &amp; ASHA Facilitator</t>
  </si>
  <si>
    <t>Per Block</t>
  </si>
  <si>
    <t>Per ASHA Facilitator</t>
  </si>
  <si>
    <t>Per District</t>
  </si>
  <si>
    <t>Continued: 
No. of ASHA Facilitator 4685 X Rs. 6000 X 12 months</t>
  </si>
  <si>
    <t>State Level meeting &amp; Mobility for ARC Team</t>
  </si>
  <si>
    <t xml:space="preserve">Per Meeting </t>
  </si>
  <si>
    <t xml:space="preserve">Per District </t>
  </si>
  <si>
    <t xml:space="preserve">Biannualy State level task force meeting </t>
  </si>
  <si>
    <t>Annual task force meeting at District level by District Nodal officer</t>
  </si>
  <si>
    <t>Miscellaneous</t>
  </si>
  <si>
    <t>Mobility at State</t>
  </si>
  <si>
    <t>Fund proposed for hiring vehicle at SHSB rate for monitoring of IDSP Programme</t>
  </si>
  <si>
    <t>Mobility at district</t>
  </si>
  <si>
    <t>Fund proposed for 12 months for 38 districts for IDSP monitoring &amp; outbreaks</t>
  </si>
  <si>
    <t>Fund proposed for 38 districts and 1 SSU</t>
  </si>
  <si>
    <t xml:space="preserve">Entomological surveillance is  continuing contex with several vector borne diseases. IDSP is doing the part to meet the resolutions of SHSB and NVBDCP,GOI. There is a need for an entomology lab set up in the IDSP unit for scientific execution of the programme. the programme is being led by state entomologist ( IDSP) but in view of above said exercise there is need enhance the HR ( Insect Collectors ) for proper outcome. Details have been annexured.  </t>
  </si>
  <si>
    <t xml:space="preserve">Per DPHL </t>
  </si>
  <si>
    <t>Rate Contract of lab equipments for 1 DPL PMCH ,Patna @4 Lakh for existing DPHL.</t>
  </si>
  <si>
    <t xml:space="preserve">Per Refferal Lab </t>
  </si>
  <si>
    <t>For Refferal Labs ongoing activities. Fund proposed @ 2 Lakh  for 5 refferal lab.</t>
  </si>
  <si>
    <t>Fund proposed @ 2 Lakh  for 5 Referral labs</t>
  </si>
  <si>
    <t>Per Batch Per District</t>
  </si>
  <si>
    <t xml:space="preserve">Per MCH </t>
  </si>
  <si>
    <t xml:space="preserve">For State Training </t>
  </si>
  <si>
    <t>Training would be organized at District level for each block MO</t>
  </si>
  <si>
    <t>Training would be organized at MCH level for wider coverage &amp; output.</t>
  </si>
  <si>
    <t>Training would be organized at District level for each block for wider coverage &amp; output.</t>
  </si>
  <si>
    <t>Training would be organized at State  level for desired output.</t>
  </si>
  <si>
    <t>Training would be organized at District level for wider coverage &amp; output.ASHA Facilitators would be trained this year</t>
  </si>
  <si>
    <t>Training on emerging &amp; reemerging diseases like Ebola, H1N1, CCHF etc.  would be organized at State  level for desired output.</t>
  </si>
  <si>
    <t>1 day District level Training of medical officer and health worker from each block.</t>
  </si>
  <si>
    <t>Meeting Per District</t>
  </si>
  <si>
    <t xml:space="preserve">1 day State level training of District Nodal officer Climate Change </t>
  </si>
  <si>
    <t>Training at District level by nodal officer for sensitization on Climate change and its adversity .</t>
  </si>
  <si>
    <t>Drugs Indent</t>
  </si>
  <si>
    <t xml:space="preserve">Approximately, 2.5 Lakhs Dog bite cases reported in the State annually. Based on indents, Fund proposed for ARV@Rs 144/vial and ARS@3800/vial </t>
  </si>
  <si>
    <t>Dist</t>
  </si>
  <si>
    <t>Fund proposed as per district demand for strengthening of district Hospitals for Dengue and Chikunguniya case management includes mosquito proofing of wards/bed,side lab facility</t>
  </si>
  <si>
    <t>KA patients</t>
  </si>
  <si>
    <t>Loss of wages (@500/- per VL/HIV - VL patient &amp; @4000/- per PKDL patient)</t>
  </si>
  <si>
    <t xml:space="preserve"> KA Affected Village</t>
  </si>
  <si>
    <t>Honorarium to 2853 members including facilitator ( ASHA Rs. 200/- for 250 houses or 1000 population &amp; Rs.300/- for facilitator  ) &amp;IEC/BCC &amp;Micking (@Rs.700/Days) and referal card Rs.5/card, One register for each ASHA Rs.50/Register.</t>
  </si>
  <si>
    <t>Incentive to ASHA for collecting 3.5 lacs blood smear for MP Test @ Rs. 15/slide or RDT kit. Incentive to ASHA for help in treatment of expected 3000 malaria positive cases @ Rs 75/-each. Incentive to ASHA @ Rs. 10 for distribution of 1,43,000 LLIN.</t>
  </si>
  <si>
    <t>Per Case</t>
  </si>
  <si>
    <t>Asha</t>
  </si>
  <si>
    <t>Incentive of ASHA for 50% of  AES unknown + JE confirmed cases since last three years.</t>
  </si>
  <si>
    <t xml:space="preserve"> Rs. 200/- per  IRS round/Asha,Rs 500/ASHA for KA search,tratment and follow up,</t>
  </si>
  <si>
    <t>Squad</t>
  </si>
  <si>
    <t>Technical Malathion fogging for average JE confirmed cases since last three years.</t>
  </si>
  <si>
    <t>Rs.5000/month for 32 district and Rs. 6000/month for saran and Rs. 5 lakh for state level storage of sub standard SP,Transpotation of SP during IRS from District to PHCS and PHCs to Villages.&amp; Rs. 250000 for inter district  SP transpotation,SFW (@458/- per SFW/round)for 1151 squads in each round, FW(@378/- per SFW/round) for 1151 squads in each round( Each round 60 Days) for two round , One mask for spray worker for each round. 800 extra squad for Focal spray against 260 new affected village.</t>
  </si>
  <si>
    <t xml:space="preserve">Honorarium of SFW@ Rs. 200/- for two days &amp; FW @ Rs. 100/- for one day + Rs. 100/Squad for stationary and checklist. </t>
  </si>
  <si>
    <t>Per PICU</t>
  </si>
  <si>
    <t xml:space="preserve"> Rs.400/Squad/round for 1151 squad for two round &amp; 5 lac for purchase  bucket</t>
  </si>
  <si>
    <t>Per Year</t>
  </si>
  <si>
    <t>As per 2021-22 state  requirement of 20000 tabs.</t>
  </si>
  <si>
    <t>As per 2021-22 state  requirement of 1300 tabs.</t>
  </si>
  <si>
    <t>As per 2021-22 state requirement of 400 Injections.</t>
  </si>
  <si>
    <t>For procurement of about 100 (96 wells T) ELISA based NS1 antigent kits on the basis of last three years case load.</t>
  </si>
  <si>
    <t>Purchase of Technical Malathion for fogging(JE ,Dengue &amp; Chikungunya)</t>
  </si>
  <si>
    <t>Purchage of JE ELISA Kit by GoI through NIV,Pune</t>
  </si>
  <si>
    <t>Asha Mos,KI,VDCO,VBDC</t>
  </si>
  <si>
    <t>L.T. Training for malaria,  8 batches (25 LT/batch) &amp; 3800 ASHA(100 ASHA per districts) to be trained @ Rs. 350/ASHA, 38 DVBDCO and 58 VDCO training</t>
  </si>
  <si>
    <t>Includes training of clinicians and other paramedical staff at state and district level for case management and programme management. No. of persons to be trained Doctors-76 and LT-76.</t>
  </si>
  <si>
    <t>Meeting/Workshop of MOs,Paramedical Staff on AES_JE(Provision  for districts &amp; State)</t>
  </si>
  <si>
    <t>Training of 7460 KA infroment, 18650 Asha and 88 Mo,Reorientation training on KAMIS for VDCO &amp; VBDC.</t>
  </si>
  <si>
    <t>5 Dists</t>
  </si>
  <si>
    <t>Budget proposal for awards towards  achieving zero indigenous Malaria case for one year @ Rs 2.o lac for three dists &amp; for maintaining zero Malaria cases for 3 consective years for two dists @Rs 5.0 lakhs each.</t>
  </si>
  <si>
    <t>Fund proposed as per district demand. For 2 to 3 meetings to be organised at state and districts level for sensitization of various departments for their effective involvement and co-operation in disease control activities</t>
  </si>
  <si>
    <t xml:space="preserve"> Meetings to be organised at state and district level for sensitization of various departments for their effective involvement and co-operation in disease control activities in the beginning and in between epidemic seasons as per population and endemicity of the district. Fund proposed for as per district demand.</t>
  </si>
  <si>
    <t xml:space="preserve">Per Year </t>
  </si>
  <si>
    <t xml:space="preserve"> for strengthening of reporting and various other miscellaneous expenses viz. field visit, review meetings etc. as per districts last three year case load.</t>
  </si>
  <si>
    <t>Monitoring and Supervision activities under AES Programme.</t>
  </si>
  <si>
    <t>PHCs+District+ZMO Office+State office</t>
  </si>
  <si>
    <t>Operational reaserch on VL and PKDL</t>
  </si>
  <si>
    <t>Dsit.+PHC</t>
  </si>
  <si>
    <t>Number of ASHA</t>
  </si>
  <si>
    <t>Rs. 50/month/ASHA x 12month (for 88,076 ASHA) = 528.46 Lakhs</t>
  </si>
  <si>
    <t>Rs. 100/month/ASHA x 12month (for 88,076 ASHA) = 1056.91 Lakhs</t>
  </si>
  <si>
    <t>No. of bottle</t>
  </si>
  <si>
    <t>Continued Activity: 1,10,05,84,571 Pink IFA tablet for 52 dose in year (with 10 % buffer) for targeted 1,92,40,989 (5-9 years) children.</t>
  </si>
  <si>
    <t>Number of review meetings</t>
  </si>
  <si>
    <t>Field Monitor funding support to WHO</t>
  </si>
  <si>
    <t>FM for WHO</t>
  </si>
  <si>
    <t>Continued Activity…
Block level Monitoring support for R.I., Polio &amp; Surveillance from Field Monitor of WHO 
Details attached.</t>
  </si>
  <si>
    <t xml:space="preserve">Continued Activity
State has proposed to oranised AHWDs in 5 aspirational districts at school level.Since the objective of AHWD is to create a supportive environment for adolescent issues non school going adolescents (both Boys &amp; Girls) will also be invited to attend the event. ASHA will be responsible to mobilize non-school going children as well as community members. For this 14028 ASHA to be incentivised @200/- per AHD. </t>
  </si>
  <si>
    <t>No of Training</t>
  </si>
  <si>
    <t>No.of Participants</t>
  </si>
  <si>
    <t>No. of Trainings</t>
  </si>
  <si>
    <t>No of training</t>
  </si>
  <si>
    <t>9.5.25.1 Continued Activity,
1. 1 IA cum SPT trainings @ Rs 3.35 Lakhs for three batches= Rs 10.5 Lakhs.
2. Travel cost for 3 Participants for EAT at Delhi @ Rs 35000/- = Rs. 1.05 Lacks 
Total Rs 11.10 Lakhs may be approved.</t>
  </si>
  <si>
    <t xml:space="preserve">a.  External Assessors Training- Rs. 1.00 L x 01 Nos= 1.00 L may be approved.
b. Reorientation-Cum Internal Assessor training at district Level- 0.40L x 38 Districts = Rs. 15.2 L may be approved.                                     c. Master training in swacch bharat abhiyan 1.5L                                   (Grand Total- 17.70L) </t>
  </si>
  <si>
    <t>Two times Training on Record Keeping and codifying with ICD 10 of 50 participants per facilities @ 1000 per participants for fooding and stationery =Rs 50000X12 x 2 = Rs 1200000</t>
  </si>
  <si>
    <t xml:space="preserve">For EQAS, Rs. 2000 from AIIMS Delhi for 125  CHC, SDH, RH+ 36 DH  = A Total Rs. 3.22 L </t>
  </si>
  <si>
    <t xml:space="preserve">NEW ACTIVITY:Quality conclave -theme Patient Safety:
a) District level Poster Presentation @22500*38=8,55,000.00
b) State level one day conclavel -i) 75750.00 for 101 participants (38 X 2 = 76 District participants and 25 from State)
ii) Cash Prize -(1st Prize Rs 51000+ 2nd Prize, Rs 31000+ 3rd Prize, Rs 11000 = Rs 93000.00 )
iii) Other Expenses-1,00,000.00
Total - Rs 2,68,750.00 
Grand Total- Rs 11,23,750.00
</t>
  </si>
  <si>
    <t>No.of Assessments</t>
  </si>
  <si>
    <t>No.of Awards</t>
  </si>
  <si>
    <t>No.of events</t>
  </si>
  <si>
    <t xml:space="preserve"> State Contingency grant  one time in a year for organizing state level functions- Rs. 06.0 L + 04 L for organising World patient safety day  ( Total  06 L + 04 L= 10 L </t>
  </si>
  <si>
    <t>No.of Meetings</t>
  </si>
  <si>
    <t>A. Review Meeting @Rs 10000 X 4 (QTR) = Rs 40000</t>
  </si>
  <si>
    <t>No of DQAU Established</t>
  </si>
  <si>
    <t>No.of SNCU</t>
  </si>
  <si>
    <t>No.of NBSU</t>
  </si>
  <si>
    <t>No. of NBCC</t>
  </si>
  <si>
    <t>No. of NRC</t>
  </si>
  <si>
    <t>No. of SNCU</t>
  </si>
  <si>
    <t>continued activity. SNCU of 13 Aspirational districts are functional</t>
  </si>
  <si>
    <t>continued activity.</t>
  </si>
  <si>
    <t>No. of Paediatric Unit</t>
  </si>
  <si>
    <t xml:space="preserve">out of 38 districts ,20 districts are being  functional Paediatric Unit. </t>
  </si>
  <si>
    <t>No. of ASHA</t>
  </si>
  <si>
    <t>No. of live birth</t>
  </si>
  <si>
    <t>No. of SNCU Discharge babies and LBW babies</t>
  </si>
  <si>
    <t>No. of SAM referral and discharge follow up</t>
  </si>
  <si>
    <t>Continued Activity: Budget is being proposed for incentive to ASHA@Rs.250 per newborn after completion of 6/7 home visits(as per guideline) = 160000*Rs250 = 4000 lakh</t>
  </si>
  <si>
    <t>Budget is being proposed for 2 round of NDD@100 per ASHA per round</t>
  </si>
  <si>
    <t>Budget is Being proposed for prepostioning  of ORS under IDCF program@100 Rs. Per ASHA</t>
  </si>
  <si>
    <t>Budget is being proposed for incentive to ASHA@100(4*100) per quarter mother's meeting</t>
  </si>
  <si>
    <t>No. of batch</t>
  </si>
  <si>
    <t>SAANS program is planned to be upscale in 12 Aspirational districts in FY 2021-22. Total 1194 batch(30 participants in each batch) is required to complete the training of all ASHA, ASHA Facilitator and ANM in 14 districts. Therefore budget is being proposed for 50% of 1194 batch i.e. 738 batch.
1 day  training of ANM/ASHA/ASHA facilitator@Rs.33400 per batch =  738 batches*33400 =246.49 lakh</t>
  </si>
  <si>
    <t>No. of Pulse Oximeter &amp; Nebuliser</t>
  </si>
  <si>
    <t>SAANS program is planned to be upscale in 12 Aspirational districts in FY 2021-22. . therefore budget is being proposed for procurement of 826 Pulse Oximeter@ Rs.15000 per Pulse Oximeter = 826*Rs.15000 = 123.90 lakh and
for 1456 Nebuliser@Rs.1000 per nebuliser = 1456*Rs.1000 = 14.56 Lakh
For 48 Paedeatric manniquin@40000 per manniquin = 19.20 lakh
For 24 Oxygen Concentrator@55000 = 13.20 lakh
Hence Total budget required = 170.86 lakh</t>
  </si>
  <si>
    <t>No. of sick Child</t>
  </si>
  <si>
    <t>No. of tablet</t>
  </si>
  <si>
    <t>Continued Activity: Budget is being proposed for procuremnt of Albendazole tablets for NDD program</t>
  </si>
  <si>
    <t>continued activity:Budget is being proposed for procuremnt of Albendazole tablets for NDD program</t>
  </si>
  <si>
    <t>No. of ORS packet</t>
  </si>
  <si>
    <t>No. of Zinc tab.</t>
  </si>
  <si>
    <t>Continued activity: Budget is being proposed for procurement of ORS sachet@Rs.2.46 per sachet for implementaion of IDCF program to cover 1.72 crore under 5 population(as projected)</t>
  </si>
  <si>
    <t>Continued Activity: Budget is being proposed for procurement of Zinc tablet@Rs.0.30(including taxes) per tablet for implementaion of IDCF program.</t>
  </si>
  <si>
    <t>No. of training</t>
  </si>
  <si>
    <t>No. of Batch</t>
  </si>
  <si>
    <t>No. batch</t>
  </si>
  <si>
    <t>1. One day orientation of ANM/ Grade A Nurse (mainly for the newly recruited ANMs/ Grade A nurses)@27090 per batch. for 38 batch = 38*27090 = 10.29420 lakh
2. 4 days  Training of IYCF for RMNCH+A Counselors (4 batches)@385350 per batch = 4* 385350 = 15.41400 lakh
Continued Activity: Budget is being proposed as below:
3. 7 days MLT training on IYCF for MO &amp; Faculty of Nursing School@390600 per batch. Hence for 2 batch = Rs.3.91 lakh * 2 batch = 7.81200 lakh
4. 4 days training on IYCF for MO/SN/ANM of DPs@Rs.137340 per batch. For 38 district = 36 batch*1.03 lakh = 49.44240 lakh
5. One Day state Orientation on IMS Act = 1.47000 lakh
Hence Total budget required = 10.29 + 15.41 + 7.81+49.45 = 84.43 lakh</t>
  </si>
  <si>
    <t>Budget is being proposed for Half-day orientation on NDD and integrated distribution of drug, IEC and training material to teachers (Government schools, Private schools, Madarsa, Tribal Welfare Department schools, Kendriya Vidyalaya, Navodaya Vidyalaya, ITI/Polytechnics), ANMs, AWWs and ASHAs. Block level training @3000 per block (534 blocks)</t>
  </si>
  <si>
    <t>Budget is being proposed for 5 batches of state TOT @ 278700 per batch ( Based up on GOI guideline.</t>
  </si>
  <si>
    <t>No. of Child Death</t>
  </si>
  <si>
    <t>Continued Activity: Budget is being proposed for incentive to ASHA@Rs. 50 per notification and ANM@Rs. 100 per FBIR, Honoronium for verbal Autopsy team@Rs.500 per Child death review(maximum 6 review/month) and reimbursement of travel expenses for attendent/parent/relative of deceased child who participates in DM review meeting@100 per person (Maximum for 2 person as per Guideline for 3 DM review meeting per month) = Rs. 40 lakh (10% of total budget)</t>
  </si>
  <si>
    <t>No. of Child</t>
  </si>
  <si>
    <t>1.one day review on NRC, MAA and IYCF at State level@74970 per meeting = 2 meeting*74970 =1.49940
2. one day review at Regional level on Child health @34500=2*34500 =69000* 9 region = 6.21000 lakh</t>
  </si>
  <si>
    <t>Budget is being proposed for data entry of child visited by ASHA under HBYC @ Rs-5 per entry/visit for 5 entry for 5 visit of one child. It is assuming that 80% child will received 5 complete visit under HBYC. Hence total child would be 616000. So budget would be = 616000*5*5= Rs.154.00lakh.</t>
  </si>
  <si>
    <t>Quarterly review meetings on AMB programme with the district level officials, at state level, total four meetings at state level.  Rs. 43,700 X 4 Meeting= 1,74,800
Quarterly review meeting on AMB programme with the block officials at district level, total 38 districts x 4 meetings = 152 meetings @ Rs. 10,000/meeting= 15,20,000
B
.Budget is being proposed for state level review meeting  on Child health programs biannualy@rs.100000 per review meeting = 2 meeting*Rs.100000 = 2 lakh</t>
  </si>
  <si>
    <t>Continued Activity
(As per GoI Norms)
Fund calculation @ Rs 540000/- per year). For state level monitoring/supevision
B.
Budget is being proposed for mobility support to CBCE to visit(@200 per visit) atleast 10 VHNDs/ Block PHCs/AWCs in month to facilitate screening of severe acute malnourished children and referral to the NRCs. There are 54 CBCEs have been recruited to support community and facility level screening of SAM with medical complication to meet the target of more than 75% BoR of NRC.</t>
  </si>
  <si>
    <t>Per Facility</t>
  </si>
  <si>
    <t xml:space="preserve">per beneficiaries </t>
  </si>
  <si>
    <t>Per Visit</t>
  </si>
  <si>
    <t>Per Benificiary</t>
  </si>
  <si>
    <t>Per C-section</t>
  </si>
  <si>
    <t>Per benificiary</t>
  </si>
  <si>
    <t>600/del-rural &amp; 400/del- Urb</t>
  </si>
  <si>
    <t xml:space="preserve">Continued Activity,
(A) ASHA Incentive Rural Institutional Delivery- 1880340 .
Total-1880340 @Rs. 600 per case.
= Rs. 1128204000.
(B) ASHA Incentive for Urban Instituional Delivery- 84386.
Total- 84386@Rs. 400 per case=  Rs.33754400.
Total Amount-  1128204000+33754400= Rs.1161958400.
</t>
  </si>
  <si>
    <t>Per MVA Kit</t>
  </si>
  <si>
    <t>Continued Activity, 
800 MVA kits @ Rs.2688 per kit- (Rs.2688 X 800 kits = Rs.21,50,400)</t>
  </si>
  <si>
    <t>Per ILR</t>
  </si>
  <si>
    <t>No. of safe delivery kit and CPT</t>
  </si>
  <si>
    <t xml:space="preserve">Per benificiary </t>
  </si>
  <si>
    <t>Per kit (RPR and POC)</t>
  </si>
  <si>
    <t>Continued Activity, 
11,400 MMA kits @Rs.23.33 (11,400 kits X Rs.23.33 = Rs.2,65,962</t>
  </si>
  <si>
    <t>Per Pregnant Women</t>
  </si>
  <si>
    <t xml:space="preserve"> per c-section</t>
  </si>
  <si>
    <t xml:space="preserve"> High Risk Pregnancies/Per delivery/Per HSC</t>
  </si>
  <si>
    <t>Continued Activity. 
(a) Additional Incentive to team for conducting C.Section @3000 per Case for 10080 Cases
= Rs.30240000.</t>
  </si>
  <si>
    <t>Per Participants</t>
  </si>
  <si>
    <t>Per Particiapant</t>
  </si>
  <si>
    <t>Per Assessment</t>
  </si>
  <si>
    <t xml:space="preserve">Continued Activity:
LaQshya Assessment: An amount of  Rs 35 Lakh is being demanded for 25 National Level Assessment and 50 State Level LaQshya  Assessment </t>
  </si>
  <si>
    <t>Activity continued.</t>
  </si>
  <si>
    <t>No. of Surgeries</t>
  </si>
  <si>
    <t xml:space="preserve">Continued Activity,   Detail Annexed </t>
  </si>
  <si>
    <t>Continued Activity,
For proper functioning of 9 DEICs, it is proposed to support DEIC with operational cost @ Rs. 20,000/DEIC/ Month. The annual incurred expenditure will be Rs.20,000 x 9 DEICs x 12 months= Rs. 21,60,000/-</t>
  </si>
  <si>
    <t>No. of Mobile Health + No. District Coordinators-RBSK + State office</t>
  </si>
  <si>
    <t>No. of MHT + DEIC + District Coordinators-RBSK + Hospital Coordinators + State office</t>
  </si>
  <si>
    <t>Per DH</t>
  </si>
  <si>
    <t>Per SDH+ RH</t>
  </si>
  <si>
    <t>Per  CHC</t>
  </si>
  <si>
    <t>Per PHC</t>
  </si>
  <si>
    <t>Per HSC</t>
  </si>
  <si>
    <t xml:space="preserve">Continued activity ….
There are 36 DH across the State. 
Budget proposed is: Rs.12,00,000*36= 432 Lacs  
Allocation will be done as per GoI guidelines, taking account of differential allocation. </t>
  </si>
  <si>
    <t xml:space="preserve">Continued activity......
A total of 534 PHCs were functional till FY 2017-18. Later on, 344 PHCs were upgraded to CHC/referral hospital/sub divisional hospitals, located in the common campus. In this way No. of PHCs in the state went down and at present only 287 PHCs are running as such.  
Therefore budget proposed is: Rs.300000 * 287=Rs. 861 Lacs  
Allocation will be done as per GoI guidelines, taking account of differential allocation.
</t>
  </si>
  <si>
    <t>No. of DEICs</t>
  </si>
  <si>
    <t>Per Team amount for  repairing of Equipments</t>
  </si>
  <si>
    <t>No. of Tertiary Care</t>
  </si>
  <si>
    <t>Continued Activity,
For maintenance of equipment's supplied to mobile health teams @ Rs.12,000 / team x 776 existing mobile health teams = Rs. 93,12,000/-</t>
  </si>
  <si>
    <t>Continued Activity-
For proper maintenance of records of each referred patient at Tertiary Care as well as holding review meetings, non-recurring cost is required. The budget will be utilized for purchase of stationaries (paper, pen. File etc.), photocopy, cartridge, photography and other items as well as organising review meetings. Rs.5000/- per month per institution (9) is budgeted for 12 months = 5000*12*9 = Rs.5,40,000/-</t>
  </si>
  <si>
    <t>Per team/month refilling of drug</t>
  </si>
  <si>
    <t>No. of Training Batches</t>
  </si>
  <si>
    <t>No. of training Batches</t>
  </si>
  <si>
    <t xml:space="preserve">New Activity –
1. One Batch State level 5 days' Training of DEIC Manager-cum- Coordinator, RBSK -State has initiated the recruitment process of DEIC Manager-cum- Coordinator, RBSK in 38 Districts. For capacity building of DEIC Manager-cum- Coordinator RBSK, training for 5 days is proposed to be organized in FY 2020-21.Total expenditure incurred on the activity has been calculated in the annexure and that happens to be Rs. 3,44,300/- (Details attached as annexure)
2. Three days State Level Refresher Training of Mobile Health Team to strengthen and orient them on new added component i.e leprosy, tuberculosis, HB test and refresher on anthropometry part.  One RBSK AYUSH Doctor (MHT) from each Block will be imparted 3 days refresher training at State Level. Total 534 RBSK AYUSH will be trained in 16 batches consisting of 35 members in each batch. Budgeted cost of training would be Rs. 27,24,335/-
Total proposed budget in the FMR code is Rs. 30,68,635/-
</t>
  </si>
  <si>
    <t>New activity,
Nine DEICs are approved and functional in which currently functional with 50% manpower. Process of recruitment of vacant post is under progress at the State level. The newly recruited personal needs to be trained as per guidelines for a period of 15 days. To carry out the activity an amount of Rs. 27, 07,850/- is being proposed (Details annexed).</t>
  </si>
  <si>
    <t xml:space="preserve">No. of Training Batches </t>
  </si>
  <si>
    <t xml:space="preserve">Under RBSK identification of birth defect cases at community level is important. For this ASHA will be oriented on the process of identification of birth defect cases during HBNC visits. The orientation will be at Block Level and members of MHT will orient them. 
Total 2985 batches will be organized consisting of 30 participants in each batch. Rs.50/-per participants is budgeted for refreshment. Total 89007 ASHAs will be oriented covering 38 districts.
The total cost = Rs.50*89007 = Rs.47,48,850/-  
</t>
  </si>
  <si>
    <t>No. of Convergence meeting at each level + No. of State level quarterly  Monitoring meeting + No. of district level monthly  Monitoring meeting</t>
  </si>
  <si>
    <t>Per   Training-cum-Review Meeting</t>
  </si>
  <si>
    <t xml:space="preserve">Per participant </t>
  </si>
  <si>
    <t>Roll out of e-Aushadhi (DVDMS) upto PHC level</t>
  </si>
  <si>
    <t>Rolled out at PHC level</t>
  </si>
  <si>
    <t xml:space="preserve">Per On-site implementation/management team/software support/IT cell/data hosting </t>
  </si>
  <si>
    <t>Internet Connectivity -Per annum,</t>
  </si>
  <si>
    <t>Manav Sampada &amp; IT Cell</t>
  </si>
  <si>
    <t>Per ANM</t>
  </si>
  <si>
    <t>5000/case</t>
  </si>
  <si>
    <t>12000 each patients after RCS</t>
  </si>
  <si>
    <t>15000/patients</t>
  </si>
  <si>
    <t>Incentive for new case detection  (250/case)</t>
  </si>
  <si>
    <t>Sensitisation for ASHA/AWW</t>
  </si>
  <si>
    <t>400/pair of MCR (twice in a year)</t>
  </si>
  <si>
    <t>Self care kit, Theel chair Splints and other aids &amp; appliances.</t>
  </si>
  <si>
    <t>district level</t>
  </si>
  <si>
    <t>Procurement of RIFAMPICIN Capsules.</t>
  </si>
  <si>
    <t>Training of MO.DNT.PMW.PT. etc</t>
  </si>
  <si>
    <t>50000/review meeting (state level)</t>
  </si>
  <si>
    <t>80000/state level</t>
  </si>
  <si>
    <t>district and PHC/Urban level</t>
  </si>
  <si>
    <t>150000/district</t>
  </si>
  <si>
    <t>75000 at state level</t>
  </si>
  <si>
    <t>50000/at state level</t>
  </si>
  <si>
    <t>40000/district</t>
  </si>
  <si>
    <t>35000/district</t>
  </si>
  <si>
    <t>Procurement of computer table, computer cahir and godrej for Administrative Assistant  etc.</t>
  </si>
  <si>
    <t>Morbidity management. (Per district 500 Hydrocele operation @750 and 500 self care @500)</t>
  </si>
  <si>
    <t>Temephos/Diflubenzuron</t>
  </si>
  <si>
    <t>Temephos/ Diflubenzuron</t>
  </si>
  <si>
    <t>Training/sensitization of district level officers on ELF and drug distributors including peripheral health workers (AES/ JE) &amp; MMDP Training</t>
  </si>
  <si>
    <t>Micro Filaria Survey- Lymphatic Filariasis</t>
  </si>
  <si>
    <t xml:space="preserve">Monitoring and Evaluation  </t>
  </si>
  <si>
    <t xml:space="preserve">Microfilaria Survey - Lymphatic Filariasis @50000/- per district </t>
  </si>
  <si>
    <t xml:space="preserve">Monitoring and Evaluation  (@50000/- per district) </t>
  </si>
  <si>
    <t>School based survey (for TAS in Gaya and Arwal)</t>
  </si>
  <si>
    <t>Office Contingency</t>
  </si>
  <si>
    <t>State &amp; District level meeting</t>
  </si>
  <si>
    <t>POL for powerbackup as per requirement from Blood bank and for contigency for 144 Blood banks and BSUs
Continued activity</t>
  </si>
  <si>
    <t>Renovation of all 26 old blood banks &amp; 10 new blood banks and 4 BCSU is under process as budgut approved in ROP 2020- 2021 . Shortage of fund is reported from  Blood banks namely Araria, Banka, Madhubani, Jehanabad , Samastipur etc. Renovation of newly proposed 1 blood Bank &amp; 2 BCSU.</t>
  </si>
  <si>
    <t>RS 8.46 lakh for monthly internet cost for e-rakhkosh @ 1500/month/bllood banks for 47 Blood banks 
Rs 4.lakh for installation of internet in10 new blood banks</t>
  </si>
  <si>
    <t>Per CHC</t>
  </si>
  <si>
    <t>Continued activity 
Hoarding, yoga &amp; meditation camp at  selected PHC/CHC. Procurement of instruments and consumables and other logistic support for the selcted PHCS/CHCs. Health promotion activities for the maintenance of healthy life styles, Yoga, Screening for early detections of NCDs.(8 CHCs in Gaya @ Rs. 25000/- =(25000*18= 4.50 Lakhs).</t>
  </si>
  <si>
    <t>per  CHC</t>
  </si>
  <si>
    <t>per PHC</t>
  </si>
  <si>
    <t>per HSC</t>
  </si>
  <si>
    <t>Per CBAC &amp;FF</t>
  </si>
  <si>
    <t>Per case</t>
  </si>
  <si>
    <t>Per Screening</t>
  </si>
  <si>
    <t xml:space="preserve">per lab </t>
  </si>
  <si>
    <t>New Activity- According to WHO – UNICEF- NIDDCP and GOI Guidelines [3, 4]  the 3 programme indicators to monitor progress towards elimination of IDDs are 1. Estimation of Iodine in salt  2.TGR  3.UIE in 6-12 years old children and pregnant women. The first two indicators are being monitored in Bihar. However UIE is not being done during IDD surveys as there are no facilities or lab. The need of the hour is to establish a UIE Lab in Bihar. Presently, the state is testing iodine level in salt. WHO has recommended initiating the principal impact indicator UIE among the people. As per NIDDCP, Urinary Iodine Excretion (UIE) is an important activity to be undertaken by all states. Establishment of urin Iodine testing lab in PSM department ,PMCH, Patna  Fund Calculation- Civil work and renovation of existing infrastructure@Rs 570000+130000 misclenious. Detailed proposal annexed.</t>
  </si>
  <si>
    <t>Per lab</t>
  </si>
  <si>
    <t>Per NCD Clinic</t>
  </si>
  <si>
    <t>Per Kit</t>
  </si>
  <si>
    <t>per District</t>
  </si>
  <si>
    <t>per CHC</t>
  </si>
  <si>
    <t>per  PHC</t>
  </si>
  <si>
    <t xml:space="preserve"> Under NPCDCS  Programme Already Demanded in FMR Code 6.2.19.1</t>
  </si>
  <si>
    <t>Continued Activity :
Drugs and supplies for District Tertiary Care Cancer Centre/Day Care Centre for drugs &amp; consumables (Rs. 100000/- Per  TCCC x 38 =38 Lakh for all 38 districts).</t>
  </si>
  <si>
    <t>already demanded FMR Cod 6.1.2.6.1</t>
  </si>
  <si>
    <t>Per Batches</t>
  </si>
  <si>
    <t>Continuied Actvities                                 IDD servey in 14 selected districts @ Rs 50 lakh/District through PMCH, Patna/AIIMS/ other Medical College Hospitals.</t>
  </si>
  <si>
    <t>Per Lab</t>
  </si>
  <si>
    <t>Management cost of 1st Lab- Salt Testing Lab= Rs.1.50 Lakh for Reagents &amp; Consumables. Rs.4.50 Lakh for Salt Sample collection from district to state lab.
Management of  UiE Lab=Rs. 60000 for Reagents &amp; Consumables.
1. Cost of Salt Testing Lab-1.50+4.50=6.00 Lakh).
2.  Cost of UIE Lab-0.60 Lakh.
Total Cost=6.00+0.60=6.60 Lakh</t>
  </si>
  <si>
    <t>19475 equipments</t>
  </si>
  <si>
    <t>The mapping of bio-medical equipment was done in 2015-16 by the agency M/s HLL in which the agency had mapped 19475 equipments costing about Rs. 94 crores. As per estimation, the cost of CMC @ 7% shall be approximately 6.58 crore per annum for all the facilities (District Hospitals and below). Last year, 50% of this amount was approved. However, the tender counld not be finalised. 
Currently, we are in the process of e-tendering for BMMP in PPP mode through our procurement agengy BMSICL. The contract is expected to get executed soon. 
We are proposing a budget of Rs. 6.58 Cr in the PIP. Any additional amount, if needed after finalization of contract, will be demanded in supplementary PIP.</t>
  </si>
  <si>
    <t>Number of patients (Per Capita)</t>
  </si>
  <si>
    <t>Number of participants</t>
  </si>
  <si>
    <t>Per facility</t>
  </si>
  <si>
    <t>Presently, drug procured by BMSICL is being stored at Regional Warehouses, from where it is supplied to the district warehouses and from district warehouse, the district supplies drugs to various facilities within the district through various means. 
To make the supply chain effective within the district, It would be the responsibility of the parent store to take the supplies to the sub stores. In this context, the District warehouse transport the supplies to the  DH, SDHs, RHs, PHCs &amp; UPHCs &amp; the Primary Health Centers transport the supplies to the APHCs &amp; HSCs . 
It is not out of context to mention that the indents of each facility shall be through DVDMS.                                                           
In FY 2019-20 &amp; 2020-21, State has proposed funds under FMR code-14.2.1, to ensure centralized transportation from district drug store to child stores (SDH, RH, Block PHCs) and from Block PHCs to APHCs and HSCs. The funds were approved. Continuing the trend, for FY 2021-22, the state is proposing funds as below-
Transportation from District drug store to UPHCs, PHCs, SDH, RH, DH (Quarterly)
= @ Rs. 600 /- per facility per trip for 4 quarters = 600* 792 (total facility stores)*4  = 19.01 Lakhs
Transportation from Block PHC drug store to APHC, HSC (Bimonthly)
= @ Rs. 300 /- per trip = 300 * 11079 (total APHC+HSC)*6 = 199.42 Lakhs
Total Proposal = 19.01 Lakhs + 199.42 Lakhs = 218.43 Lakhs</t>
  </si>
  <si>
    <t>Staff Qrt</t>
  </si>
  <si>
    <t>HSC Rent</t>
  </si>
  <si>
    <t>Day Care Centre</t>
  </si>
  <si>
    <t>state Planning</t>
  </si>
  <si>
    <t>Dis. Planning</t>
  </si>
  <si>
    <t>Block Planning</t>
  </si>
  <si>
    <t>Continued Activity:- In this Year budget increase due to No of HPD DIstrict is increased .
 (DHAP workshops Rs.20000 per district x 18 Non HPD districts +26000 Per HPD dis.x 20+ Rs.2000 per month per Non HPD and 2600 per month HPD Dis. district for planning related office expednitures like photocopying etc. For mobile re-charging of Rs.400 pm per DPC. Rs. 2518400
Workshop for Planning Activity:-
Block level participants 534*3= 1602(BHM,B.A,BCM)
District Level Partcipants 38*4= 152(DPM,DAM,DPC&amp; D M&amp;E)
Regional Level Participants 9*2= 18 (RPM,RAM)
State Level Participants 7(State Planning Team)*9=63
Total Participants =1835 @ RS.1000= 1835000
State Level Participants Accomodation @ Rs.2500*7*9=157500</t>
  </si>
  <si>
    <t>Continued Activity , additional villages to be taken up for village planning  (Rs.2000 per BHAP * 253Non HPD &amp;  2600 per280 HPD Districts block ). For VHAP and HSC Plans expenses towards calling meetings at HSC/Village level for refreshments and other miscellaneous expenses  for conducting meeting like  markers, chart papers etc shall be facilitated through Untied fund.</t>
  </si>
  <si>
    <t>Continued Activity, 
Vehicle support proposed for 776 Mobile Health Teams+ 38 District Coordinator-RBSK + 1 State 
1- 777 vehicles (776 MHT+1 State) X @ Rs. 30,000/Vehicle X 12 Months = Rs. 27,97,20,000/-
2- 38 vehicles (38 District Coordinator-RBSK) X @ Rs. 18,000/Vehicle X 12 Months = Rs 82,08,000/- 
So, the total amount demanded = (Rs. 27,97,20,000+ Rs. 82,08,000) 
Rs. 28,79,28,000/-</t>
  </si>
  <si>
    <t>Continued Activity, 
834 CUG Connections and Rental Data Card for 776 MHT + 09 DEIC + 38 District Coordinators-RBSK + 09 Hospital Coordinators + 02 State office 
834 CUG Connection @ Rs. 100/ Unit X 12 Months = Rs. 10,00,800/-
834 Data Rental Plan @ Rs. 250/ Unit X 12 Months = Rs.25,02,000/-
So, the total amount demanded = (Rs. 10,00,800+ Rs. 25,02,000) Rs. 35,02,800/-</t>
  </si>
  <si>
    <r>
      <rPr>
        <b/>
        <sz val="11"/>
        <color indexed="8"/>
        <rFont val="Arial Narrow"/>
        <family val="2"/>
      </rPr>
      <t xml:space="preserve">Continued Activity, </t>
    </r>
    <r>
      <rPr>
        <sz val="11"/>
        <color indexed="8"/>
        <rFont val="Arial Narrow"/>
        <family val="2"/>
      </rPr>
      <t xml:space="preserve">
Budget is being proposed for Carrying out PMSMA Activity across the state. Different activities will be carried out to strengthen PMSMA. Like Orientation, IEC, Mobility support, Reagents ,incentives to ASHAs and quarterly review meeting etc. 
(A) ASHA Incentive- Out of 88910 ASHA Incentive Proposed for 40000 ASHA i.e 40000x100x12= 48000000.
(B) Monitoring and Review state level- 25000 per qtr. x 4 = 100000. 
(C) Monitoring and Review District level- 24000 per annum. per District 24000*38= 912000. 
(D) Monitoring and Review RPMU level- 10000 per annum. per RPMU- 9*10000 = 90000.
(E) Capacity Building- 10000 per Dis. = 10000x38= 380000.
(F) Logisitic and supply- 15000 per facility = 15000x600= 9000000. 
</t>
    </r>
    <r>
      <rPr>
        <b/>
        <sz val="11"/>
        <color indexed="8"/>
        <rFont val="Arial Narrow"/>
        <family val="2"/>
      </rPr>
      <t>(G) New Activity:</t>
    </r>
    <r>
      <rPr>
        <sz val="11"/>
        <color indexed="8"/>
        <rFont val="Arial Narrow"/>
        <family val="2"/>
      </rPr>
      <t xml:space="preserve">
PMSMA Visit: Budget is being proposed as travelling expenses for Volunteers Visit on PMSMA Day. An amount of @Rs. 2000 Per PMSMA Day Visit for 150 Volunteers.
(Volunteers travelling expenses  : Rs 2000*12 Months* 150 volunteers = Rs 36,00,000)
</t>
    </r>
    <r>
      <rPr>
        <b/>
        <u/>
        <sz val="11"/>
        <color indexed="8"/>
        <rFont val="Arial Narrow"/>
        <family val="2"/>
      </rPr>
      <t>Detail prosposal Annexed</t>
    </r>
    <r>
      <rPr>
        <sz val="11"/>
        <color indexed="8"/>
        <rFont val="Arial Narrow"/>
        <family val="2"/>
      </rPr>
      <t xml:space="preserve">
Grand Total- Rs.48000000+100000+912000+ 90000+380000+9000000+3600000= 62082000.
</t>
    </r>
  </si>
  <si>
    <r>
      <rPr>
        <b/>
        <sz val="11"/>
        <color indexed="8"/>
        <rFont val="Arial Narrow"/>
        <family val="2"/>
      </rPr>
      <t>Continued Activity,</t>
    </r>
    <r>
      <rPr>
        <sz val="11"/>
        <color indexed="8"/>
        <rFont val="Arial Narrow"/>
        <family val="2"/>
      </rPr>
      <t xml:space="preserve">
Budget is proposed same as proposed in FY-2020-21.</t>
    </r>
  </si>
  <si>
    <r>
      <rPr>
        <b/>
        <sz val="11"/>
        <color theme="1"/>
        <rFont val="Arial Narrow"/>
        <family val="2"/>
      </rPr>
      <t>Continued Activity,</t>
    </r>
    <r>
      <rPr>
        <sz val="11"/>
        <color theme="1"/>
        <rFont val="Arial Narrow"/>
        <family val="2"/>
      </rPr>
      <t xml:space="preserve">
Demand is being made for 1880340 institutional delivery (rural) @ Rs.1400 per benificiary same as being demanded in FY 19-20.
Total Amount- 1880340 *Rs. 1400= Rs. 2632476000.
</t>
    </r>
  </si>
  <si>
    <r>
      <rPr>
        <b/>
        <sz val="11"/>
        <color theme="1"/>
        <rFont val="Arial Narrow"/>
        <family val="2"/>
      </rPr>
      <t>Continued Activity,</t>
    </r>
    <r>
      <rPr>
        <sz val="11"/>
        <color theme="1"/>
        <rFont val="Arial Narrow"/>
        <family val="2"/>
      </rPr>
      <t xml:space="preserve">
Demand is being made for 84386 institutional delivery (urban) @ Rs.1000 per benificiary same as being demanded in FY 19-20.
Total Amount- 84386*Rs. 1000= Rs. 84386000.
 </t>
    </r>
  </si>
  <si>
    <r>
      <rPr>
        <b/>
        <sz val="11"/>
        <color theme="1"/>
        <rFont val="Arial Narrow"/>
        <family val="2"/>
      </rPr>
      <t>Continued Activity.</t>
    </r>
    <r>
      <rPr>
        <sz val="11"/>
        <color theme="1"/>
        <rFont val="Arial Narrow"/>
        <family val="2"/>
      </rPr>
      <t xml:space="preserve">
Budget has been demanded @ Rs. 10000/- per Case (Gynaecologist- 5000,  Anaesthetist - 2000, Paediatrician 1500 and other staff-1500)
1000 case @Rs.10000 = Rs. 10000000.</t>
    </r>
  </si>
  <si>
    <r>
      <t xml:space="preserve">Operating expenses for Facilities </t>
    </r>
    <r>
      <rPr>
        <sz val="11"/>
        <color indexed="8"/>
        <rFont val="Arial Narrow"/>
        <family val="2"/>
      </rPr>
      <t>(e.g. operating cost rent, electricity, stationary, internet, office expense etc.)</t>
    </r>
  </si>
  <si>
    <r>
      <t xml:space="preserve"> </t>
    </r>
    <r>
      <rPr>
        <b/>
        <sz val="11"/>
        <rFont val="Arial Narrow"/>
        <family val="2"/>
      </rPr>
      <t>Continued Activity</t>
    </r>
    <r>
      <rPr>
        <sz val="11"/>
        <rFont val="Arial Narrow"/>
        <family val="2"/>
      </rPr>
      <t xml:space="preserve">
 (Only for Gaya district. for health promotion activity, behaviour change, maintainance of healthy life style, yoga, meditation, Screening of early detection of NCD. 
All arrangements regarding visit of central/state team to Gaya for monitoring the activity and reviewing activity including  T.A./D.A. &amp; Logistics  etc.</t>
    </r>
  </si>
  <si>
    <r>
      <rPr>
        <b/>
        <u/>
        <sz val="11"/>
        <rFont val="Arial Narrow"/>
        <family val="2"/>
      </rPr>
      <t>Continued Activity</t>
    </r>
    <r>
      <rPr>
        <sz val="11"/>
        <rFont val="Arial Narrow"/>
        <family val="2"/>
      </rPr>
      <t xml:space="preserve">
2 lacs PPIUCD cases X Rs 300 = 600 lacs</t>
    </r>
  </si>
  <si>
    <r>
      <rPr>
        <b/>
        <u/>
        <sz val="11"/>
        <rFont val="Arial Narrow"/>
        <family val="2"/>
      </rPr>
      <t>Continued Activity</t>
    </r>
    <r>
      <rPr>
        <sz val="11"/>
        <rFont val="Arial Narrow"/>
        <family val="2"/>
      </rPr>
      <t xml:space="preserve">
2000 PAIUCD cases X Rs 300 = Rs 6 lacs</t>
    </r>
  </si>
  <si>
    <r>
      <rPr>
        <b/>
        <u/>
        <sz val="11"/>
        <rFont val="Arial Narrow"/>
        <family val="2"/>
      </rPr>
      <t>Continued Activity (MPV + Patna)</t>
    </r>
    <r>
      <rPr>
        <sz val="11"/>
        <rFont val="Arial Narrow"/>
        <family val="2"/>
      </rPr>
      <t xml:space="preserve">
3 lacs MPA cases X Rs 100 = Rs 300 lacs</t>
    </r>
  </si>
  <si>
    <r>
      <rPr>
        <b/>
        <sz val="11"/>
        <rFont val="Arial Narrow"/>
        <family val="2"/>
      </rPr>
      <t>Continued activity</t>
    </r>
    <r>
      <rPr>
        <sz val="11"/>
        <rFont val="Arial Narrow"/>
        <family val="2"/>
      </rPr>
      <t xml:space="preserve"> 
As per GOI Guideline 2500 per month per PHCs,  Demanding Rupees 30000 Per Annum for 1379 APHC operational expenses including communication, Monitoring, Office contigency etc. APHCs in Bihar is considered as PHCs.</t>
    </r>
  </si>
  <si>
    <r>
      <rPr>
        <b/>
        <sz val="11"/>
        <rFont val="Arial Narrow"/>
        <family val="2"/>
      </rPr>
      <t>Activity continued from previous year (MPV + Patna at same rate)</t>
    </r>
    <r>
      <rPr>
        <sz val="11"/>
        <rFont val="Arial Narrow"/>
        <family val="2"/>
      </rPr>
      <t xml:space="preserve">
2000 case at public inst. @ Rs 4000 + 500 case at Acc. N. Home @ Rs 3500 + 1500 case by COT @ Rs 5000. Rs 8000000 + 1750000 + 7500000 = Rs 17250000.</t>
    </r>
  </si>
  <si>
    <r>
      <t xml:space="preserve">Honorarium  for Drug Distribution including ASHAs and supervisors involved in MDA (Asha incentive </t>
    </r>
    <r>
      <rPr>
        <b/>
        <sz val="11"/>
        <rFont val="Arial Narrow"/>
        <family val="2"/>
      </rPr>
      <t xml:space="preserve">@600 </t>
    </r>
    <r>
      <rPr>
        <sz val="11"/>
        <rFont val="Arial Narrow"/>
        <family val="2"/>
      </rPr>
      <t>per 50 houses) and supervisor incentive @175 per day for 14 days)</t>
    </r>
  </si>
  <si>
    <r>
      <rPr>
        <b/>
        <sz val="11"/>
        <rFont val="Arial Narrow"/>
        <family val="2"/>
      </rPr>
      <t xml:space="preserve">Continued Activity    </t>
    </r>
    <r>
      <rPr>
        <sz val="11"/>
        <rFont val="Arial Narrow"/>
        <family val="2"/>
      </rPr>
      <t xml:space="preserve">
) Proposed to cover 20 % of all eligible beneficaries (37% of total population) of  Bihar = 127381246 x 37% x 20%=9426212
(a) ASHA incentive @ Rs 10 per CBAC form = 9426212*10 (CBAC Forms + F.F.) 94262120
</t>
    </r>
  </si>
  <si>
    <t xml:space="preserve">1. Incentive for 1st Informant (20% of public notified cases approx 14000* INR 500) </t>
  </si>
  <si>
    <r>
      <rPr>
        <b/>
        <sz val="11"/>
        <rFont val="Arial Narrow"/>
        <family val="2"/>
      </rPr>
      <t xml:space="preserve">Demand is being made for Procurement  of Large Ice Lined Refrigerator (ILR) for storing HIV, Syphilis &amp; Hepatitis kits. 
</t>
    </r>
    <r>
      <rPr>
        <sz val="11"/>
        <rFont val="Arial Narrow"/>
        <family val="2"/>
      </rPr>
      <t xml:space="preserve">2 large ILRs are proposed for 27 large districts and 1 Large ILR for rest 11 districts which are to be installed at district hospitals and for all 534 PHCs for providing kits to VHSND Level.
Total number of Large Ice Lined Refrigerators required-
</t>
    </r>
    <r>
      <rPr>
        <b/>
        <sz val="11"/>
        <rFont val="Arial Narrow"/>
        <family val="2"/>
      </rPr>
      <t>65 for DH + 534 for PHC = 599.</t>
    </r>
    <r>
      <rPr>
        <sz val="11"/>
        <rFont val="Arial Narrow"/>
        <family val="2"/>
      </rPr>
      <t xml:space="preserve">
Unit cost (as per rate contract BMSICL) of each large Ice lined regrigerator is </t>
    </r>
    <r>
      <rPr>
        <b/>
        <sz val="11"/>
        <rFont val="Arial Narrow"/>
        <family val="2"/>
      </rPr>
      <t>Rs. 1,98,240</t>
    </r>
    <r>
      <rPr>
        <sz val="11"/>
        <rFont val="Arial Narrow"/>
        <family val="2"/>
      </rPr>
      <t xml:space="preserve">. 
</t>
    </r>
    <r>
      <rPr>
        <b/>
        <sz val="11"/>
        <rFont val="Arial Narrow"/>
        <family val="2"/>
      </rPr>
      <t>Hence total Budget required = 599 * Rs. 1,98,240.00 
Rs. 118746000</t>
    </r>
  </si>
  <si>
    <r>
      <t>Budge is being proposed for FY 2021-22 
1.Procurement of 100 Radiant warmer@Rs.46000 per RW at NBCC to replace old(more than 6 years) unreparable RW = 46.00 lakh
2. Procurement of 400 Suction Machine@Rs.15000 per Suction Machine at NBCC = 400*Rs.15000 = 60.00 lakh</t>
    </r>
    <r>
      <rPr>
        <sz val="11"/>
        <color rgb="FFFF0000"/>
        <rFont val="Arial Narrow"/>
        <family val="2"/>
      </rPr>
      <t xml:space="preserve"> 
</t>
    </r>
    <r>
      <rPr>
        <sz val="11"/>
        <rFont val="Arial Narrow"/>
        <family val="2"/>
      </rPr>
      <t xml:space="preserve">3. Establishment of 40 CPAP@Rs.250000 per CPAP in 40 SNCU = 100.00 lakh
Total Budget required = 46 + 60 + 100 = 206 lakh 
</t>
    </r>
    <r>
      <rPr>
        <b/>
        <sz val="11"/>
        <rFont val="Arial Narrow"/>
        <family val="2"/>
      </rPr>
      <t>NRC</t>
    </r>
    <r>
      <rPr>
        <sz val="11"/>
        <rFont val="Arial Narrow"/>
        <family val="2"/>
      </rPr>
      <t xml:space="preserve">
1. Procurement of 14 Stadiometer@Rs.3000 per Stadiometer = Rs.0.42 lakh
2. Procurement of 15 Infantometer@Rs.3000 per infanntometer = Rs.0.45 lakh
3. Procurement of 14 Digital baby weighing Scale@Rs.5000 per weighing scale = Rs.0.70 lakh
4. Procurement of 29 LED TVs(42")@Rs. 30000 per LED TV = 29* Rs. 30000 = 8.70 lakh
5.  Procurement of 17 RO water purifiers@Rs. 20000 per RO = 17* Rs. 20000 = 3.40 lakh
6.  Procurement of 18 Refrigerator (more than or equal to 200 liters)@Rs. 20000 per Refrigerator = 18* Rs. 20000 = 3.60 lakh
7. Procurement of 26 Desktop Computer Set (Computer set, printer, mouse, antivirus etc.)@Rs. 60000 per Computer set = 26* Rs. 60000 = 15.60 lakh
Total Budget required = 0.42+ 0.45+0.70+8.70+ 3.40+4.00+ 15.60 = 32.87 lakh
</t>
    </r>
    <r>
      <rPr>
        <b/>
        <sz val="11"/>
        <rFont val="Arial Narrow"/>
        <family val="2"/>
      </rPr>
      <t>IYCF Counsceling Centre  for 111 (New)
1</t>
    </r>
    <r>
      <rPr>
        <sz val="11"/>
        <rFont val="Arial Narrow"/>
        <family val="2"/>
      </rPr>
      <t>. Procurement of 111 Stadiometer@Rs.3000 per Stadiometer = Rs.3.33 lakh
2. Procurement of 111 Infantometer@Rs.3000 per infanntometer = Rs.3.33 lakh
3. Procurement of 111 Digital baby weighing Scale@Rs.5000 per weighing scale = Rs.5.55 lakh
Total Budget = 12.21 lakh
TOTAL BuDGET</t>
    </r>
  </si>
  <si>
    <r>
      <t xml:space="preserve">In FY 2018-19 Rs 2108 lakh was approved. In FY 2019-20 Rs.2920 lakh was In principle recommended, So  the total sanction amount is 5028 Lakh (2108+2920). Regarding the Rs.2920 amount approved in FY 2019-20,  10 % of the recommended amount that is  292 lakh was approved in FY 2019-20 and Rs 657 Lakh approved in FY 2020-21.   Rest 1971 lakh is required for the establishment Of Effluent Treatment Plant  as well  operational  and maintainence  for  6 years of ETP  for  District and subdivisional Hospitals. (as proposed in DPR by the BMSICL) Administrative approval can be given for Rs 1971 lakh and 25% of the amount ie 493 lakh has been proposed in Supplementry PIP, Rest  75% amount that is </t>
    </r>
    <r>
      <rPr>
        <b/>
        <sz val="11"/>
        <rFont val="Arial Narrow"/>
        <family val="2"/>
      </rPr>
      <t>1478</t>
    </r>
    <r>
      <rPr>
        <sz val="11"/>
        <rFont val="Arial Narrow"/>
        <family val="2"/>
      </rPr>
      <t xml:space="preserve"> Lakh can be given.  </t>
    </r>
  </si>
  <si>
    <r>
      <t xml:space="preserve">Continued Activity, 
</t>
    </r>
    <r>
      <rPr>
        <b/>
        <sz val="11"/>
        <rFont val="Arial Narrow"/>
        <family val="2"/>
      </rPr>
      <t>(A)</t>
    </r>
    <r>
      <rPr>
        <sz val="11"/>
        <rFont val="Arial Narrow"/>
        <family val="2"/>
      </rPr>
      <t xml:space="preserve"> Since couple of years NACO had stopped supplying safe delivery kits. To facilitate institutional delivery of Positive pregnant women and for universal precaution, availability of safe delivery to be ensured at all delivery points. (500 Safe delivery kits for HIV positive *1000= Rs.500000. 
</t>
    </r>
    <r>
      <rPr>
        <b/>
        <sz val="11"/>
        <rFont val="Arial Narrow"/>
        <family val="2"/>
      </rPr>
      <t xml:space="preserve">(B) </t>
    </r>
    <r>
      <rPr>
        <sz val="11"/>
        <rFont val="Arial Narrow"/>
        <family val="2"/>
      </rPr>
      <t xml:space="preserve">This drugs is essential for all HIV exposed babies to prevent from any oppertunistic  illnesses. As per PPTCT guideline, all HIV exposed babies should get CPT based on age from 2 month to 18 month of age . 
Therefore one baby is required 5 ml ( average) x 30 days x 16 mths x 1500 babies= 36000 ml (36000 CPT *Rs. 25= Rs.900000).
</t>
    </r>
    <r>
      <rPr>
        <b/>
        <sz val="11"/>
        <rFont val="Arial Narrow"/>
        <family val="2"/>
      </rPr>
      <t>Total amount- Rs.500000+Rs.900000= Rs.1400000.</t>
    </r>
    <r>
      <rPr>
        <sz val="11"/>
        <rFont val="Arial Narrow"/>
        <family val="2"/>
      </rPr>
      <t xml:space="preserve">
</t>
    </r>
    <r>
      <rPr>
        <b/>
        <sz val="11"/>
        <rFont val="Calibri"/>
        <family val="2"/>
        <scheme val="minor"/>
      </rPr>
      <t/>
    </r>
  </si>
  <si>
    <r>
      <rPr>
        <b/>
        <sz val="11"/>
        <color theme="1"/>
        <rFont val="Arial Narrow"/>
        <family val="2"/>
      </rPr>
      <t>Continued Activity, 
(A)</t>
    </r>
    <r>
      <rPr>
        <sz val="11"/>
        <color theme="1"/>
        <rFont val="Arial Narrow"/>
        <family val="2"/>
      </rPr>
      <t xml:space="preserve"> Estimated ANC to be provided at facility level (upto PHCs) is approximately 10,00,000. Therefore, procurement of 10,00,000 RPR Kits @Rs.1.44 per kit is being demanded. (10,00,000*1.44 per kit=14.4 lakhs)   
</t>
    </r>
    <r>
      <rPr>
        <b/>
        <u/>
        <sz val="11"/>
        <color theme="1"/>
        <rFont val="Arial Narrow"/>
        <family val="2"/>
      </rPr>
      <t xml:space="preserve">New Activity    </t>
    </r>
    <r>
      <rPr>
        <b/>
        <sz val="11"/>
        <color theme="1"/>
        <rFont val="Arial Narrow"/>
        <family val="2"/>
      </rPr>
      <t xml:space="preserve">   </t>
    </r>
    <r>
      <rPr>
        <sz val="11"/>
        <color theme="1"/>
        <rFont val="Arial Narrow"/>
        <family val="2"/>
      </rPr>
      <t xml:space="preserve">                 
</t>
    </r>
    <r>
      <rPr>
        <b/>
        <sz val="11"/>
        <color theme="1"/>
        <rFont val="Arial Narrow"/>
        <family val="2"/>
      </rPr>
      <t>(B)</t>
    </r>
    <r>
      <rPr>
        <sz val="11"/>
        <color theme="1"/>
        <rFont val="Arial Narrow"/>
        <family val="2"/>
      </rPr>
      <t xml:space="preserve"> Procurement of 10,00,000 Dual Test kit towrds screening of Syphilis &amp; HIV for PW at VHSND Level @Rs.15 per kit.
10 Lakh POC Kit approved in PIP 2020-21 under process throgh BMSICL. Hence the requirement is of 10 Lakh Dual Test kit.
(Details Dual Test kit Annex) 
(10,00,000*15=150.00 lakhs)
</t>
    </r>
    <r>
      <rPr>
        <b/>
        <sz val="11"/>
        <color theme="1"/>
        <rFont val="Arial Narrow"/>
        <family val="2"/>
      </rPr>
      <t>Total Amount= (A+B) Rs.164.40 lakhs</t>
    </r>
    <r>
      <rPr>
        <sz val="11"/>
        <color theme="1"/>
        <rFont val="Arial Narrow"/>
        <family val="2"/>
      </rPr>
      <t xml:space="preserve">
</t>
    </r>
  </si>
  <si>
    <r>
      <rPr>
        <b/>
        <sz val="11"/>
        <rFont val="Arial Narrow"/>
        <family val="2"/>
      </rPr>
      <t xml:space="preserve">Continued Activity </t>
    </r>
    <r>
      <rPr>
        <sz val="11"/>
        <rFont val="Arial Narrow"/>
        <family val="2"/>
      </rPr>
      <t xml:space="preserve"> 
Provision is made for 2 Kit per 9 RTCs @2000/- per kit and  161 FRUs. 2 kits per training batches to be also procured. vasecomy kits can be provided 1 per 534 PHCs. Total NSV kit required is 376 while Vasectomy kit required is 534. 
Budget required is : 376 NSV kit*Rs.2000 + 534 Vasectomy Kit (534PHC*1) *Rs. 2000= Rs 18.20Lacs</t>
    </r>
  </si>
  <si>
    <r>
      <rPr>
        <b/>
        <sz val="11"/>
        <rFont val="Arial Narrow"/>
        <family val="2"/>
      </rPr>
      <t xml:space="preserve">Continued activity- </t>
    </r>
    <r>
      <rPr>
        <sz val="11"/>
        <rFont val="Arial Narrow"/>
        <family val="2"/>
      </rPr>
      <t xml:space="preserve">
Proposed cost of one android tablet for 50 percent of total expected CHOs i.e. 2929 (5857/2) @ Rs 15000/- per Tablet. 
Total amount is 439350000. 
5857 (1230 + 2014 + 1527 + 1086) CHO expected to be posted . Half of the Number is 2929.</t>
    </r>
  </si>
  <si>
    <r>
      <t xml:space="preserve">Continued Activity
</t>
    </r>
    <r>
      <rPr>
        <sz val="11"/>
        <rFont val="Arial Narrow"/>
        <family val="2"/>
      </rPr>
      <t>Rs. 250 is being proposed for 300000 cases under the head Drop Back for Sterilization clients
The total requried budget is : 300000 case * Rs 250 = 750 lacs.</t>
    </r>
  </si>
  <si>
    <r>
      <rPr>
        <b/>
        <sz val="11"/>
        <rFont val="Arial Narrow"/>
        <family val="2"/>
      </rPr>
      <t xml:space="preserve">Continued Activity. </t>
    </r>
    <r>
      <rPr>
        <sz val="11"/>
        <rFont val="Arial Narrow"/>
        <family val="2"/>
      </rPr>
      <t xml:space="preserve">
Since the number of HPD has been increased from 10 districts in 2017-18 to 20 Districts in 2018-19 therefore the funds has been demanded for 20 districts accordingly. 
(A) Incentive for Identification of HRP: 9752 cases @Rs. 1000= Rs. 9752000.
(B) Incentive proposed for ANM for conducting deliveries at SCs: 6750 cases @Rs. 300= Rs.2025000.
(C) Incentive proposed for ANM/Staff Nurse for conducting deliveries at APHCs: 21600 cases @Rs. 300= Rs. 6480000.
(D) Incentive proposed for HSC team for improving a set of HSC team: 1426 cases @Rs. 5000= Rs.7130000.
Total-A+B+C+D= Rs.25387000</t>
    </r>
  </si>
  <si>
    <r>
      <rPr>
        <b/>
        <i/>
        <sz val="11"/>
        <rFont val="Arial Narrow"/>
        <family val="2"/>
      </rPr>
      <t xml:space="preserve">Continued Activity
</t>
    </r>
    <r>
      <rPr>
        <sz val="11"/>
        <rFont val="Arial Narrow"/>
        <family val="2"/>
      </rPr>
      <t xml:space="preserve">State requests a total amount of 200.00 lacs for PPIUCD incentives for MO/Staff Nurse/ANM for service.
</t>
    </r>
    <r>
      <rPr>
        <b/>
        <i/>
        <sz val="11"/>
        <rFont val="Arial Narrow"/>
        <family val="2"/>
      </rPr>
      <t>The budget proposed under the head is ;</t>
    </r>
    <r>
      <rPr>
        <sz val="11"/>
        <rFont val="Arial Narrow"/>
        <family val="2"/>
      </rPr>
      <t xml:space="preserve">
200000 Case*Rs.150/- = 300.00 lacs</t>
    </r>
  </si>
  <si>
    <r>
      <rPr>
        <b/>
        <i/>
        <sz val="11"/>
        <rFont val="Arial Narrow"/>
        <family val="2"/>
      </rPr>
      <t xml:space="preserve">Continued Activity
</t>
    </r>
    <r>
      <rPr>
        <sz val="11"/>
        <rFont val="Arial Narrow"/>
        <family val="2"/>
      </rPr>
      <t>State requests a total amount of 3.00 lacs for PAIUCD incentives for MO/SN/ANM for Servcie.</t>
    </r>
    <r>
      <rPr>
        <b/>
        <i/>
        <sz val="11"/>
        <rFont val="Arial Narrow"/>
        <family val="2"/>
      </rPr>
      <t xml:space="preserve">
The budget proposed under the head is ;
</t>
    </r>
    <r>
      <rPr>
        <i/>
        <sz val="11"/>
        <rFont val="Arial Narrow"/>
        <family val="2"/>
      </rPr>
      <t>2000 Case*Rs.150/- = 3.0 lacs</t>
    </r>
    <r>
      <rPr>
        <b/>
        <i/>
        <sz val="11"/>
        <rFont val="Arial Narrow"/>
        <family val="2"/>
      </rPr>
      <t xml:space="preserve">
</t>
    </r>
  </si>
  <si>
    <r>
      <rPr>
        <b/>
        <sz val="11"/>
        <rFont val="Arial Narrow"/>
        <family val="2"/>
      </rPr>
      <t xml:space="preserve">1) State level Midwifery Educators: </t>
    </r>
    <r>
      <rPr>
        <sz val="11"/>
        <rFont val="Arial Narrow"/>
        <family val="2"/>
      </rPr>
      <t xml:space="preserve"> 
Addtional Allowances @ 15000/- per month.
as in -service candidates are deputed for Midwifery educator training  (For one year 180000/- per MEs,So Toatl for 6 Participants Rs.1080000/-for 1 year at SMTI (IGIMS), Patna                                                             
 </t>
    </r>
    <r>
      <rPr>
        <b/>
        <sz val="11"/>
        <rFont val="Arial Narrow"/>
        <family val="2"/>
      </rPr>
      <t>2) Program Co-Ordinator :</t>
    </r>
    <r>
      <rPr>
        <sz val="11"/>
        <rFont val="Arial Narrow"/>
        <family val="2"/>
      </rPr>
      <t xml:space="preserve"> 
Incentive @5000/-per month to Principal College of Nursing for Coordination and Management of NPM Course ,So Total Rs.60000/- for an year at SMTI (IGIMS), Patna                                                                    
Gr</t>
    </r>
    <r>
      <rPr>
        <b/>
        <sz val="11"/>
        <rFont val="Arial Narrow"/>
        <family val="2"/>
      </rPr>
      <t>and total=  Rs.1140000/- (Eleven lakh and fourty thousands)</t>
    </r>
  </si>
  <si>
    <r>
      <rPr>
        <b/>
        <sz val="11"/>
        <color theme="1"/>
        <rFont val="Arial Narrow"/>
        <family val="2"/>
      </rPr>
      <t>(a)</t>
    </r>
    <r>
      <rPr>
        <sz val="11"/>
        <color theme="1"/>
        <rFont val="Arial Narrow"/>
        <family val="2"/>
      </rPr>
      <t xml:space="preserve"> One  Day State level Training on MDSR per batch (one batch of 40) for all state programme officers,  convergent departments and all nodal officers in one batch and another batch for OBGY from medical college and FOGSI per batch (one batch of 40)@ Rs 183000 for two batcesh = 366000 =3.66 lakh as per MNM guidelines. 
</t>
    </r>
    <r>
      <rPr>
        <b/>
        <sz val="11"/>
        <color theme="1"/>
        <rFont val="Arial Narrow"/>
        <family val="2"/>
      </rPr>
      <t xml:space="preserve">(b) </t>
    </r>
    <r>
      <rPr>
        <sz val="11"/>
        <color theme="1"/>
        <rFont val="Arial Narrow"/>
        <family val="2"/>
      </rPr>
      <t xml:space="preserve">One day District Level Training of all district programme officers , convergent
departments, OBGY and MOs @ 26500 per batch (one batch of 20) for 38 batches = 26500X38 = 10.07 as per MDSR  guidelines 
</t>
    </r>
    <r>
      <rPr>
        <b/>
        <sz val="11"/>
        <color theme="1"/>
        <rFont val="Arial Narrow"/>
        <family val="2"/>
      </rPr>
      <t>Total: 3.66 Lakhs+ 10.07 Lakhs = 14.36 Lakhs</t>
    </r>
  </si>
  <si>
    <r>
      <rPr>
        <b/>
        <sz val="11"/>
        <rFont val="Arial Narrow"/>
        <family val="2"/>
      </rPr>
      <t>Continued Activity:</t>
    </r>
    <r>
      <rPr>
        <sz val="11"/>
        <rFont val="Arial Narrow"/>
        <family val="2"/>
      </rPr>
      <t xml:space="preserve">
A) Demand is being made for quarterly review meeting of LaQshya @Rs 25000= Rs 1 Lakhs.
B) Proposal is being made for 2 Batches of State Level Capacity Building Workshop on QI for Participants from 52 Facilitites (Quality Circle) to be focused for LaQshya Certification @ Rs 123000 per batch for 2 batches = Rs 2.46 Lakhs.
c) District Level refesher training on LaQshya and Quality Improvment - 28.50
</t>
    </r>
    <r>
      <rPr>
        <b/>
        <sz val="11"/>
        <rFont val="Arial Narrow"/>
        <family val="2"/>
      </rPr>
      <t>Total: 1.00+2.46+28.50= 31.96 Lakhs</t>
    </r>
    <r>
      <rPr>
        <sz val="11"/>
        <rFont val="Arial Narrow"/>
        <family val="2"/>
      </rPr>
      <t xml:space="preserve">
</t>
    </r>
    <r>
      <rPr>
        <b/>
        <sz val="11"/>
        <rFont val="Arial Narrow"/>
        <family val="2"/>
      </rPr>
      <t xml:space="preserve">Detail Annexed.  </t>
    </r>
    <r>
      <rPr>
        <sz val="11"/>
        <rFont val="Arial Narrow"/>
        <family val="2"/>
      </rPr>
      <t xml:space="preserve">
</t>
    </r>
  </si>
  <si>
    <r>
      <rPr>
        <b/>
        <sz val="11"/>
        <rFont val="Arial Narrow"/>
        <family val="2"/>
      </rPr>
      <t>Old Activity:</t>
    </r>
    <r>
      <rPr>
        <sz val="11"/>
        <rFont val="Arial Narrow"/>
        <family val="2"/>
      </rPr>
      <t xml:space="preserve"> Training-cum-review meeting for HMIS &amp; RCH Portal at State level for  state level officials, Regional M&amp; E Officers, HMIS Supervisors &amp; District M &amp; E Officers. </t>
    </r>
  </si>
  <si>
    <r>
      <rPr>
        <b/>
        <sz val="11"/>
        <rFont val="Arial Narrow"/>
        <family val="2"/>
      </rPr>
      <t xml:space="preserve">Old Activity: </t>
    </r>
    <r>
      <rPr>
        <sz val="11"/>
        <rFont val="Arial Narrow"/>
        <family val="2"/>
      </rPr>
      <t>District Level Orientation-cum-Hands on Training on HMS,  RCH Register &amp; RCH Portal.  The Participants will be CS, Dy. Superintendent, RME, HMIS Supervisor, DPM, DME, DCM, MOIC, BHM &amp; Block M&amp;E-cum-DEO. Total participants = 3118 per training for 2 training.</t>
    </r>
  </si>
  <si>
    <r>
      <rPr>
        <b/>
        <sz val="11"/>
        <color theme="1"/>
        <rFont val="Arial Narrow"/>
        <family val="2"/>
      </rPr>
      <t>Continued activity,</t>
    </r>
    <r>
      <rPr>
        <sz val="11"/>
        <color theme="1"/>
        <rFont val="Arial Narrow"/>
        <family val="2"/>
      </rPr>
      <t xml:space="preserve"> Bio-Medical waste Management Training for trainers at state level. 5 participants from all 38 districts  @ 1275 per participants. So Rupees 2.42 lakh  is required </t>
    </r>
  </si>
  <si>
    <r>
      <t xml:space="preserve"> </t>
    </r>
    <r>
      <rPr>
        <b/>
        <sz val="11"/>
        <color theme="1"/>
        <rFont val="Arial Narrow"/>
        <family val="2"/>
      </rPr>
      <t>Continued Activity,</t>
    </r>
    <r>
      <rPr>
        <sz val="11"/>
        <color theme="1"/>
        <rFont val="Arial Narrow"/>
        <family val="2"/>
      </rPr>
      <t xml:space="preserve"> Biomedical waste management training to GNM/ANM and other medical staff @ District Level to ensure proper segregation, Collection, Disposal of BMW and other statutory Complieances. Rupees 50000 is required for all 38 districts thus rupees 19 lakh is required.</t>
    </r>
  </si>
  <si>
    <r>
      <rPr>
        <b/>
        <sz val="11"/>
        <rFont val="Arial Narrow"/>
        <family val="2"/>
      </rPr>
      <t xml:space="preserve">Continiued Activities </t>
    </r>
    <r>
      <rPr>
        <sz val="11"/>
        <rFont val="Arial Narrow"/>
        <family val="2"/>
      </rPr>
      <t xml:space="preserve">                                                                                     5 Days residential training for ASHA ( 30 participants per batch @ 700/- per day per ASHA)                                                                    Amount required 700/- X 5 days X 30000 ASHA = 1050 Lakh and Additionally on day 5 the ANM's food cost is calculated for 4000 numbers of ANM/SN @ 300/- = 12 lakh/-</t>
    </r>
  </si>
  <si>
    <r>
      <rPr>
        <b/>
        <sz val="11"/>
        <rFont val="Arial Narrow"/>
        <family val="2"/>
      </rPr>
      <t>Continued activity :</t>
    </r>
    <r>
      <rPr>
        <sz val="11"/>
        <rFont val="Arial Narrow"/>
        <family val="2"/>
      </rPr>
      <t xml:space="preserve"> SBA ToT @ Rs. Lakhs 150000/- batch to be organised at SIHFW, Patna. This ToT is for the master trainer of SBA Training.</t>
    </r>
  </si>
  <si>
    <r>
      <rPr>
        <b/>
        <sz val="11"/>
        <rFont val="Arial Narrow"/>
        <family val="2"/>
      </rPr>
      <t>Continued activity :</t>
    </r>
    <r>
      <rPr>
        <sz val="11"/>
        <rFont val="Arial Narrow"/>
        <family val="2"/>
      </rPr>
      <t xml:space="preserve"> To enhance the knowledge and skill of the SN, so that they are proficient in the skills needed for managing normal pregnancies, child birth and immediate postnatal period. This includes-(I) Training of Staff Nurses in SBA, Total Budget Rs. Lakhs 99.45 @ Rs. 198900/- batch (total batches 50) and (II) Training of ANMs / LHVs in SBA, Total Budget Rs. Lakhs 298.35 @ Rs. 198900/- batch (total batches 150).</t>
    </r>
  </si>
  <si>
    <r>
      <rPr>
        <b/>
        <sz val="11"/>
        <color theme="1"/>
        <rFont val="Arial Narrow"/>
        <family val="2"/>
      </rPr>
      <t>Continued activity :</t>
    </r>
    <r>
      <rPr>
        <sz val="11"/>
        <color theme="1"/>
        <rFont val="Arial Narrow"/>
        <family val="2"/>
      </rPr>
      <t xml:space="preserve"> To prepare the skilled doctors who may undertake the C-section and after training such doctors may be posted at FRUs. Budget Rs. Lakhs 41.19 @ Rs. 2059400/- batch (total batches 02) </t>
    </r>
  </si>
  <si>
    <r>
      <rPr>
        <b/>
        <sz val="11"/>
        <color theme="1"/>
        <rFont val="Arial Narrow"/>
        <family val="2"/>
      </rPr>
      <t>Continued activity :</t>
    </r>
    <r>
      <rPr>
        <sz val="11"/>
        <color theme="1"/>
        <rFont val="Arial Narrow"/>
        <family val="2"/>
      </rPr>
      <t xml:space="preserve"> To prepare the skilled doctors who may provide support in undertaking the C-section and after the training such doctors may be posted at FRUs. Budget Rs. Lakhs 40.95 @ Rs. 2047400/- batch (total batches 02)</t>
    </r>
  </si>
  <si>
    <r>
      <rPr>
        <b/>
        <sz val="11"/>
        <rFont val="Arial Narrow"/>
        <family val="2"/>
      </rPr>
      <t>Continued activity :</t>
    </r>
    <r>
      <rPr>
        <sz val="11"/>
        <rFont val="Arial Narrow"/>
        <family val="2"/>
      </rPr>
      <t xml:space="preserve"> We will conduct 01 Batch of ToT  wherein we will train 5 Medical Officers per batch and nurses as well. Thereafter these trained Master Trainers will impart the training of doctors who are based at diferent public health facilities. Ipas Development Foundation will provide technical support. Budget Rs. 0.54 Lakhs  @ Rs. 54000/- batch (total batches 01).</t>
    </r>
  </si>
  <si>
    <r>
      <rPr>
        <b/>
        <sz val="11"/>
        <rFont val="Arial Narrow"/>
        <family val="2"/>
      </rPr>
      <t xml:space="preserve">Continued activity : </t>
    </r>
    <r>
      <rPr>
        <sz val="11"/>
        <rFont val="Arial Narrow"/>
        <family val="2"/>
      </rPr>
      <t>To help in reducing maternal deaths due to unsafe abortions.  Budget Rs. 17.55 Lakhs  @ Rs. 117000/- batch (total batches 15).</t>
    </r>
  </si>
  <si>
    <r>
      <t xml:space="preserve">Continued activity: Budget is being proposed for state, district and block level training under IDCF program as below-
1. State level training = 0.67 lakh
2. District level@Rs.32050 per district*38 district = 12.18 lakh
3. Block level@Rs.3000 per district = 534 block*Rs.3000 = 21.36 lakh
Total Budget required = 0.67+12.18+21.36 = </t>
    </r>
    <r>
      <rPr>
        <sz val="11"/>
        <color indexed="8"/>
        <rFont val="Arial Narrow"/>
        <family val="2"/>
      </rPr>
      <t>29.77 lakh</t>
    </r>
    <r>
      <rPr>
        <b/>
        <sz val="11"/>
        <color indexed="8"/>
        <rFont val="Arial Narrow"/>
        <family val="2"/>
      </rPr>
      <t xml:space="preserve">
</t>
    </r>
    <r>
      <rPr>
        <b/>
        <sz val="11"/>
        <rFont val="Arial Narrow"/>
        <family val="2"/>
      </rPr>
      <t xml:space="preserve">SAANS program is planned to be upscale in 12 Aspirational districts in FY 2021-22. Total 71 batch is required to complete the training of all MO and SNs of 12 districts. </t>
    </r>
    <r>
      <rPr>
        <sz val="11"/>
        <rFont val="Arial Narrow"/>
        <family val="2"/>
      </rPr>
      <t>Budget is being Proposed for 50% of 71 batch@242000 per batch = 36*242000 = 87.12 lakh (As per GOI Guideline)
2. District launch@50000 per district = 12 district*50000 = 6.00 lakh
3. State planning&amp; review Meeting = 2.00 lakh
4. district Planning &amp; Review Meeting@20000 = 14 districts*Rs.20000 = 2.80 lakh
Hence Total Budget required = 84.70+6+2+2.8=   = 95.50 lakh
TOTAL BUDGET = 29.77+95.50 = 125.27 lakh</t>
    </r>
    <r>
      <rPr>
        <b/>
        <sz val="11"/>
        <rFont val="Arial Narrow"/>
        <family val="2"/>
      </rPr>
      <t xml:space="preserve">
 </t>
    </r>
  </si>
  <si>
    <r>
      <rPr>
        <b/>
        <sz val="11"/>
        <color theme="1"/>
        <rFont val="Arial Narrow"/>
        <family val="2"/>
      </rPr>
      <t xml:space="preserve">Continues activity </t>
    </r>
    <r>
      <rPr>
        <sz val="11"/>
        <color theme="1"/>
        <rFont val="Arial Narrow"/>
        <family val="2"/>
      </rPr>
      <t>: To enhance the capacity of different staffs at regional level, this fund is needed. This includes- Post Graduate Diploma in Family Mecicine Course for Mos, Budget Rs. Lakhs 5.70 @ Rs. 95000/- batch (total Persons 06)</t>
    </r>
  </si>
  <si>
    <r>
      <rPr>
        <b/>
        <u/>
        <sz val="11"/>
        <color theme="1"/>
        <rFont val="Arial Narrow"/>
        <family val="2"/>
      </rPr>
      <t>Continued Activity :</t>
    </r>
    <r>
      <rPr>
        <sz val="11"/>
        <color theme="1"/>
        <rFont val="Arial Narrow"/>
        <family val="2"/>
      </rPr>
      <t xml:space="preserve">
</t>
    </r>
    <r>
      <rPr>
        <b/>
        <sz val="11"/>
        <color theme="1"/>
        <rFont val="Arial Narrow"/>
        <family val="2"/>
      </rPr>
      <t>Detailed Financial Calculation (Attached Anx-1)</t>
    </r>
    <r>
      <rPr>
        <sz val="11"/>
        <color theme="1"/>
        <rFont val="Arial Narrow"/>
        <family val="2"/>
      </rPr>
      <t xml:space="preserve">
Examination Fees for selection of candidates - Rs.1000 per candidate.
Boarding;loadging and honorium/sustenance for candidate= 10000 per month ,so for 6 month=10000*6=60,000 per candidate.
IGNOU fees (including registration, training materials, contact sessions &amp; training, external assesment/evaluation etc. = Rs. 15,000 per candidate
Transport for practicum - 3000 x 6 = 18000 per candidate
TOTAL - 94000
Miscellaneous - 94000 x 10% - 9400
TOTAL - 1000+60000+15000+18000+9400 = 103400
Grand Total = 103400 x 2100 = 217140000
</t>
    </r>
  </si>
  <si>
    <r>
      <rPr>
        <b/>
        <sz val="11"/>
        <color theme="1"/>
        <rFont val="Arial Narrow"/>
        <family val="2"/>
      </rPr>
      <t>Continued activity :</t>
    </r>
    <r>
      <rPr>
        <sz val="11"/>
        <color theme="1"/>
        <rFont val="Arial Narrow"/>
        <family val="2"/>
      </rPr>
      <t xml:space="preserve"> To enhance the capacity of the public health managerial workforce through the conduct and delivery of a specially designed Post Graduate Diploma Course in Public Health Management. Budget Rs. Lakhs 13.00 @ Rs. 325000/- Per Persons (total Persons 04)</t>
    </r>
  </si>
  <si>
    <r>
      <t>New activity-</t>
    </r>
    <r>
      <rPr>
        <b/>
        <sz val="11"/>
        <color theme="1"/>
        <rFont val="Arial Narrow"/>
        <family val="2"/>
      </rPr>
      <t xml:space="preserve"> Incentive for timely processing of accreditation process under PPP mode. Rs 5000 as incentive to accreditation team X 50 no. Of expected nursing home</t>
    </r>
  </si>
  <si>
    <r>
      <rPr>
        <b/>
        <sz val="11"/>
        <color theme="1"/>
        <rFont val="Arial Narrow"/>
        <family val="2"/>
      </rPr>
      <t xml:space="preserve">Continued activity- </t>
    </r>
    <r>
      <rPr>
        <sz val="11"/>
        <color theme="1"/>
        <rFont val="Arial Narrow"/>
        <family val="2"/>
      </rPr>
      <t xml:space="preserve">
Proposed for strengthening of diagnostic services of HWC 
</t>
    </r>
    <r>
      <rPr>
        <b/>
        <sz val="11"/>
        <color theme="1"/>
        <rFont val="Arial Narrow"/>
        <family val="2"/>
      </rPr>
      <t>1)</t>
    </r>
    <r>
      <rPr>
        <sz val="11"/>
        <color theme="1"/>
        <rFont val="Arial Narrow"/>
        <family val="2"/>
      </rPr>
      <t xml:space="preserve">  Recurring cost for 7974 HWCs (5100 + 2874 proposed for 2021-2022 ) @ Rs. 10,000/ HWCs - Rs. 79740000/-                                                                                                                                                                                                                                                                                                                                                                                                                                                      </t>
    </r>
    <r>
      <rPr>
        <b/>
        <sz val="11"/>
        <color theme="1"/>
        <rFont val="Arial Narrow"/>
        <family val="2"/>
      </rPr>
      <t>2)</t>
    </r>
    <r>
      <rPr>
        <sz val="11"/>
        <color theme="1"/>
        <rFont val="Arial Narrow"/>
        <family val="2"/>
      </rPr>
      <t xml:space="preserve">  Rs 1, 00,000 /- (Non-recurring) per HWC for 2874 HWC (2874 HWCs targetted for FY 2021-2022) 
2874* 100000/-  Rs. 287400000/-
</t>
    </r>
    <r>
      <rPr>
        <b/>
        <sz val="11"/>
        <color theme="1"/>
        <rFont val="Arial Narrow"/>
        <family val="2"/>
      </rPr>
      <t>So the total amount required is Rs.367140000/-</t>
    </r>
  </si>
  <si>
    <r>
      <rPr>
        <b/>
        <sz val="11"/>
        <color theme="1"/>
        <rFont val="Arial Narrow"/>
        <family val="2"/>
      </rPr>
      <t>Total 29 districts:</t>
    </r>
    <r>
      <rPr>
        <sz val="11"/>
        <color theme="1"/>
        <rFont val="Arial Narrow"/>
        <family val="2"/>
      </rPr>
      <t xml:space="preserve"> (9 districts Araria, Banka, Buxar, Kaimur, Khagaria, Madhepura, Nawada, Rohtas and Sitamrhi have been proposed for private sector engagement) and 6 districts under JEET project Darbhnaga, Muzaffarpur, Saran, Madhubani, East champaran and Purnia have to be proposed under PPSA as JEET project end by Mar 2021. 14 Districts (Cluster 1-Patna, Nalanda, Bhojpur, Gaya Cluster 2- Bhagalpur, Munger, Saharsa, Katihar Cluster 3 - Vaishali, Samastipur, Begusarai Cluster4 - West Champaran, Siwan, Gopalganj are running undr PPSA domestic Budget for  improvement in the public health TB case notifications and their public health action through PPSA innovation.</t>
    </r>
  </si>
  <si>
    <r>
      <rPr>
        <b/>
        <sz val="11"/>
        <color theme="1"/>
        <rFont val="Arial Narrow"/>
        <family val="2"/>
      </rPr>
      <t>Old Activity:</t>
    </r>
    <r>
      <rPr>
        <sz val="11"/>
        <color theme="1"/>
        <rFont val="Arial Narrow"/>
        <family val="2"/>
      </rPr>
      <t xml:space="preserve">
1. Internet Connectivity -The office of State health society is fully WiFi enabled campus and 40 Mbps lease line connection taken from BSNL (Annual Cost is Rs.9,44,000/-) &amp; 100 Mbps lease line connection has been also taken from Railtel (Annual Cost is Rs.15,34,000/-)  Hence, the fund of Rs.24.78 Lakh has been proposed for internet connectivity in the office of State Health Society, Bihar. The fund for Internet Connectivity/Data Card facility to all 9 Regional M&amp;E Officers &amp; all 38 District M&amp;E Officers has also been proposed @ Rs.500/- per month for 12 months (Annual Cost is Rs.282000).  
</t>
    </r>
    <r>
      <rPr>
        <b/>
        <sz val="11"/>
        <color theme="1"/>
        <rFont val="Arial Narrow"/>
        <family val="2"/>
      </rPr>
      <t xml:space="preserve">Total fund proposed: 27.60 Lakh. </t>
    </r>
    <r>
      <rPr>
        <sz val="11"/>
        <color theme="1"/>
        <rFont val="Arial Narrow"/>
        <family val="2"/>
      </rPr>
      <t xml:space="preserve">
2. Other Office Expenditure- Need basis expenditure (Rs.1.25 Lakh per month for 12 month) for other IT related expenses as like email service, domain charges, Network equipment, IT related training/meeting, IEC etc.
</t>
    </r>
    <r>
      <rPr>
        <b/>
        <sz val="11"/>
        <color theme="1"/>
        <rFont val="Arial Narrow"/>
        <family val="2"/>
      </rPr>
      <t xml:space="preserve">Total fund proposed: 15 Lakh. </t>
    </r>
  </si>
  <si>
    <r>
      <t xml:space="preserve">State level workshops Rs.200000x3 nos. Monitoring of DHAP implementation by State Rs.40000 in12 months and </t>
    </r>
    <r>
      <rPr>
        <sz val="11"/>
        <color indexed="10"/>
        <rFont val="Arial Narrow"/>
        <family val="2"/>
      </rPr>
      <t>miss. Exp ( Like Repairing , Maintenance exp. cell,printer etc.) Rs.180000</t>
    </r>
    <r>
      <rPr>
        <sz val="11"/>
        <rFont val="Arial Narrow"/>
        <family val="2"/>
      </rPr>
      <t>. Exposure Visit and Training for Planning in other State/NHM Rs. 100000.</t>
    </r>
  </si>
  <si>
    <r>
      <rPr>
        <b/>
        <sz val="11"/>
        <rFont val="Arial Narrow"/>
        <family val="2"/>
      </rPr>
      <t>Old Activity:</t>
    </r>
    <r>
      <rPr>
        <sz val="11"/>
        <rFont val="Arial Narrow"/>
        <family val="2"/>
      </rPr>
      <t xml:space="preserve"> 
1. As per direction and D.O. No-M-11016/6/2020-NHM-1, Dated: 20.08.2020 of Joint Secretary, MOHFW, GoI Bihar State has requested C-DAC, Noida through Letter No. 4044, Dated: 08.09.2020 and NIC, Patna through letter No. 4043, Dated: 08.09.2020 to provide Techno-Financial Proposal for implementation, operationization and maintenance of Hospital Management System in District Hospitals, Sub- Divisional Hospitals, Referral Hospitals and Community Health Centres / Primary Health Centres of Bihar State. But, till date, no any proposal has been received from C-DAC and NIC till date. 
2. The state has upgraded the Sanjeevani System with the modules of appointment for doctors, pharmacy (linkage with DVDMS), Nurse Corner for pre-clinical assessment for capturing of vitals of patients, which is complaint with the necessary standards like ICD-10, HL7, SNOMEDCT etc. 
3. The above upgraded Sanjeevani System has been successfully piloted in two hospitals (GGS Hospital- Patna City and Phulwarisharif- CHC, Patna. 
4. Hence, the fund of Rs. 8751.85 lakh for roll-out of revised Sanjeevani System (revised e-HMS) at 681 health facilities (PHC/RH/CHC/SDH/DH). The detailed budget sheet enclosed as annexure – 17.6 
5. Details enclosed as Annexure  -  Remarks of FMR Code: 17.6. </t>
    </r>
  </si>
  <si>
    <r>
      <rPr>
        <b/>
        <sz val="11"/>
        <rFont val="Arial Narrow"/>
        <family val="2"/>
      </rPr>
      <t>Old Activity</t>
    </r>
    <r>
      <rPr>
        <sz val="11"/>
        <rFont val="Arial Narrow"/>
        <family val="2"/>
      </rPr>
      <t xml:space="preserve">: 
1. Implementation &amp; maintenance of e-HRMIS (Manav Sampada of NIC)- State has implemented Human Resource Information System (HRIS) &amp; it is being used for HR planning/rationalization. But, HRIS is not complete HR life cycle module, hence State has decided and implemented e-HRMS (Manav Sampada) of NIC). The HR records of all contractual employees under NHM have been entered in Manav Sampada System. The Pay-Roll module has also been developed and process of integration with Manv Sampada is going on. For this, NIC has requested to give financial support for deputing DBA and Senior developer through NICSI. Hence, Fund of Rs. 24 Lakh has been proposed for above HR through NICSI, Training and other miscellaneous expences.
</t>
    </r>
    <r>
      <rPr>
        <b/>
        <sz val="11"/>
        <rFont val="Arial Narrow"/>
        <family val="2"/>
      </rPr>
      <t>Total fund proposed: 24 Lakh</t>
    </r>
    <r>
      <rPr>
        <sz val="11"/>
        <rFont val="Arial Narrow"/>
        <family val="2"/>
      </rPr>
      <t xml:space="preserve">
2. Establishment of IT Cell in the office of State Health Society, Bihar - Presently approx 20 web portals of GoI/State are being used for data reporting, analysis and monitoring. But, it is very difficult to customized the applications and analyze the huge data warehouses and monitoring, due to lack of IT HR. Hence, State health Society, Bihar has established one IT Cell on outsourced basis through tender. The discovered unit cost per month is Rs. 4.36 lakh (including GST).
</t>
    </r>
    <r>
      <rPr>
        <b/>
        <sz val="11"/>
        <rFont val="Arial Narrow"/>
        <family val="2"/>
      </rPr>
      <t xml:space="preserve">Hence, Total fund proposed for 12 months : 52.39 Lakh </t>
    </r>
  </si>
  <si>
    <t>Per ID card</t>
  </si>
  <si>
    <t>Continued:
Printing of I-Card for ASHA &amp; ASHA Facilitator for new selection.</t>
  </si>
  <si>
    <t>Continued:- In order to motivate ASHA, 3 ASHA per block are to be awarded. 1st prize - Rs. 1500/-,  2nd prize - Rs. 1000/-, 3rd prize - Rs. 800/- &amp; Rs. 200/- for certificate printing.</t>
  </si>
  <si>
    <t>CUG Sim</t>
  </si>
  <si>
    <t xml:space="preserve">Continued: Total proposed - Rs. 7,88,72,304/-
1. Communication Allowance to ASHA :-
68018 Sims X Rs. 94/- X 12 months = Rs. 7,67,24,304/-
2- Districts Officers (On going activity)
Total Proposed Amount Rs. 21,48,000/- (Rs.5,46,000/- + Rs. 16,02,000/- )
ASHA-: 625 CUG SIMs for HR of ASHA Programme
a) 91 Sims (6 State Level Staff, 9 DAC, 38 DCM &amp; 38 DDA) X Rs. 500/- X 12 months =  Rs. 5,46,000/-
b) 534 Sims for BCM X Rs. 250/- X 12 months = Rs. 16,02,000/- </t>
  </si>
  <si>
    <t>A) CUG mobile monthly bill payment:
 1100 connections *600*12=Rs 7920000/
B) New Activity: For R.I.
NCCMIS portal is to be updated on regular basis for Cold Chain related repair/other work by Cold Chain Technicians. Providing CUG SIM to CCT will improve the updation process of NCCMIS web portal.
Fund Calculation:- CUG SIM:
40 pieces @ Rs 300 per month * 12 Months= Rs 144000/-</t>
  </si>
  <si>
    <t>No. of DH</t>
  </si>
  <si>
    <t xml:space="preserve">To Test the level of Fluoride in the water of affected area, Ionmeter in 11 identified Districts of State is required. </t>
  </si>
  <si>
    <t xml:space="preserve">Continuation of previous activity for 11  Districts namely Vaishali, Muzaffarpur, Rohtas, Kaimur, East Champaran, West Champaran, Banka, Jamui, Gopalganj, Buxar &amp; Purnea .  The total amount of Rs 4,32,95,000/- was received vide (letter No V.19019/35/2013-PH-I(i) Dated 20.03.2014,  Rs 68,06,000/- , Letter No2 - V.19019/35/2013-PH-I(IV) Dated 20.03.2014, Rs 3,60,95,000/- &amp; Letter No3 V.19019/35/2013-PH-I(VII) Dated 20.03.2014 Rs 3,94,000/- ) Administrative approval is desired from GoI for all above disticts (20,00,000X 11, SDH- 50,000X15, CHC 50,000X22, APHC/PHC 563X15,000)
And for Gaya district kindly release Rs. 20,00,000/-.
</t>
  </si>
  <si>
    <t>No. of district</t>
  </si>
  <si>
    <t>Administrative approval is required to spend Rs.600000/- from already released available fund  for 12 Districts, including Gaya. Also administrative approval of Rs.200000 is required at state level for training of ENT Specialist.</t>
  </si>
  <si>
    <t xml:space="preserve">1 lakh per district for training on MO from SDH and block PHC/CHC. </t>
  </si>
  <si>
    <t xml:space="preserve">1 lakh per district for training on MO from APHC/PHC, HWC and RBSK team </t>
  </si>
  <si>
    <t>ToT at maulana Azad medical college, Delhi/ identified regional training centers.</t>
  </si>
  <si>
    <t>No. of District</t>
  </si>
  <si>
    <t xml:space="preserve">Continued activity.To conduct training of Medical and Para medical personnels of the District at District level toidentify,treat, Prevention for Fluorosis cases. </t>
  </si>
  <si>
    <t>No. o district</t>
  </si>
  <si>
    <t>Continued activity,For the coordination meeting with different Department and other stake holder.Rs1500x2 per identified district per anum</t>
  </si>
  <si>
    <t>continued activity,Ffield visit of Fluorosis consultant, lab technician and field worker,-to identify the Fluorosis cases,collect water for lab test and for other related work.</t>
  </si>
  <si>
    <t>Continued Activity …..
Different training under routine immunization (RI). Cost includes different state and district level trainings of DIO, CCH, DEO, ANM,  AEFI, VPD &amp; 3 MO Training. As per NHM norms</t>
  </si>
  <si>
    <t xml:space="preserve">District level 1 day refresher training on Inventory and Stores Management and DVDMS for  MOIC/DS, District/Block Store Keeper/Pharmacist, District/Block M&amp;E Officers from UPHCs /BPHCs /RH /SDH /DH. The refresher training will focus on inventory management practices, storage conditions, Inventory record keeping practices, E-Aushadhi technical skills, Quality control of stored drugs etc. The refresher training will allow new store keepers to develop overall inventory and DVDMS understanding while already trained store keepers can refressh their knowledge and skills. Knowledge and skills retention will be enhanced with this. 
Training will be done by the MOIC District Drug Stores, District Store Keeper (Both nodal for inventory mgmt and DVDMS) and District M&amp;E Officer (nodal for DVDMS). 
Costing
= (Rs 0.01 Lakhs per participant * 2490 total participants) + (venue cost 5000 * 38 districts) = 24.90 Lakhs + 1.90 Lakhs = 26.80 Lakhs
The budget for this activity was not approved in FY2020-21. In FY 2019-20, out of the budget approved, total 23 districts have completed the 1 day inventory training. State is willing to make this a ongoing and continuos process every year under the supply chain capacity building efforts. </t>
  </si>
  <si>
    <t xml:space="preserve">    NEW  Activity- For the running of UIE lab need to procure equipment. Fund Calculation Electronic Weighing Machines- Rs. 25,000, Digital Colorimeter- Rs.15000, Micropipate-Rs. 30000 , Water Bath- Rs.25000, Hot Air oven-Rs. 40000, Auto Buratte-Rs. 20000, Distillation Plant- Rs.50000 , Magnatic Stirrer- Rs.15000 and misclenious 30000 Total Budget-2,50,000
</t>
  </si>
  <si>
    <r>
      <rPr>
        <b/>
        <sz val="11"/>
        <rFont val="Arial Narrow"/>
        <family val="2"/>
      </rPr>
      <t xml:space="preserve">Continued Activity
</t>
    </r>
    <r>
      <rPr>
        <sz val="11"/>
        <rFont val="Arial Narrow"/>
        <family val="2"/>
      </rPr>
      <t xml:space="preserve">State requests a total amount of 200.00 lacs for PPIUCD incentives for ASHAs accompanying client.
</t>
    </r>
    <r>
      <rPr>
        <b/>
        <sz val="11"/>
        <rFont val="Arial Narrow"/>
        <family val="2"/>
      </rPr>
      <t>The budget proposed under the head is ;</t>
    </r>
    <r>
      <rPr>
        <sz val="11"/>
        <rFont val="Arial Narrow"/>
        <family val="2"/>
      </rPr>
      <t xml:space="preserve">
200000 Case*Rs.150/- = 300.00 lacs</t>
    </r>
  </si>
  <si>
    <r>
      <rPr>
        <b/>
        <sz val="11"/>
        <rFont val="Arial Narrow"/>
        <family val="2"/>
      </rPr>
      <t xml:space="preserve">Continued Activity
</t>
    </r>
    <r>
      <rPr>
        <sz val="11"/>
        <rFont val="Arial Narrow"/>
        <family val="2"/>
      </rPr>
      <t>State requests a total amount of 3.00 lacs for PAIUCD incentives for ASHAs accompanying client.</t>
    </r>
    <r>
      <rPr>
        <b/>
        <sz val="11"/>
        <rFont val="Arial Narrow"/>
        <family val="2"/>
      </rPr>
      <t xml:space="preserve">
The budget proposed under the head is ;
</t>
    </r>
    <r>
      <rPr>
        <sz val="11"/>
        <rFont val="Arial Narrow"/>
        <family val="2"/>
      </rPr>
      <t>2000 Case*Rs.150/- = 3.0 lacs</t>
    </r>
    <r>
      <rPr>
        <b/>
        <sz val="11"/>
        <rFont val="Arial Narrow"/>
        <family val="2"/>
      </rPr>
      <t xml:space="preserve">
</t>
    </r>
  </si>
  <si>
    <r>
      <rPr>
        <b/>
        <sz val="11"/>
        <rFont val="Arial Narrow"/>
        <family val="2"/>
      </rPr>
      <t xml:space="preserve">Continued Activity
</t>
    </r>
    <r>
      <rPr>
        <sz val="11"/>
        <rFont val="Arial Narrow"/>
        <family val="2"/>
      </rPr>
      <t>State requests a total amount of 100.0 lacs for ASHAs incentive @ Rs 500 under ESB scheme for promoting spacing of birth for 20000 cases..</t>
    </r>
    <r>
      <rPr>
        <b/>
        <sz val="11"/>
        <rFont val="Arial Narrow"/>
        <family val="2"/>
      </rPr>
      <t xml:space="preserve">
The budget proposed under the head is ;
20</t>
    </r>
    <r>
      <rPr>
        <sz val="11"/>
        <rFont val="Arial Narrow"/>
        <family val="2"/>
      </rPr>
      <t>000 Case * Rs. 500/- = 100.0 lacs</t>
    </r>
  </si>
  <si>
    <r>
      <rPr>
        <b/>
        <sz val="11"/>
        <rFont val="Arial Narrow"/>
        <family val="2"/>
      </rPr>
      <t xml:space="preserve">Continued Activity
</t>
    </r>
    <r>
      <rPr>
        <sz val="11"/>
        <rFont val="Arial Narrow"/>
        <family val="2"/>
      </rPr>
      <t>State requests a total amount of 400.00 lacs for ASHAs incentive @ Rs 1000 under ESB scheme for promoting adoption of limiting method upto two children for 40000 cases.</t>
    </r>
    <r>
      <rPr>
        <b/>
        <sz val="11"/>
        <rFont val="Arial Narrow"/>
        <family val="2"/>
      </rPr>
      <t xml:space="preserve">
The budget proposed under the head is ;
</t>
    </r>
    <r>
      <rPr>
        <sz val="11"/>
        <rFont val="Arial Narrow"/>
        <family val="2"/>
      </rPr>
      <t>40000 Case* Rs. 1000/-= 400 lacs</t>
    </r>
  </si>
  <si>
    <r>
      <rPr>
        <b/>
        <sz val="11"/>
        <rFont val="Arial Narrow"/>
        <family val="2"/>
      </rPr>
      <t xml:space="preserve">Continued Activity </t>
    </r>
    <r>
      <rPr>
        <sz val="11"/>
        <rFont val="Arial Narrow"/>
        <family val="2"/>
      </rPr>
      <t xml:space="preserve">
State estimates Incentive payment @ Rs 100/- per injectabe dose (MPA) per ASHA for  400000 ASHAs for Financial year 2020-21
</t>
    </r>
    <r>
      <rPr>
        <b/>
        <sz val="11"/>
        <rFont val="Arial Narrow"/>
        <family val="2"/>
      </rPr>
      <t>Budget required:</t>
    </r>
    <r>
      <rPr>
        <sz val="11"/>
        <rFont val="Arial Narrow"/>
        <family val="2"/>
      </rPr>
      <t xml:space="preserve">
300000 cases * Rs. 100/ = 300 Lacs
</t>
    </r>
  </si>
  <si>
    <t xml:space="preserve">Continued…
DPMC meeting - As a mechanism for grievance redressal at district  two DPMC meeting (Halfyearly) would be organised (In each committee approx 15 memebrs are participants) for strengthening of CAH process and to discuss and provide solution on issues and gaps emerging from the community action processes.
Fund calculation:
@150/- per meeting  X 2 meeting X 15 members X 5 districts= 22500/- 
B. 
Continued Activity - 
Intersectoral Sensitization on SUMAN
District level Intersectoral (MoIC/ICDS/Education/ Jeevika/PRI etc) Sensitization on SUMAN @ Rs 54000 per district for 38 Districts. Total = 38*54000= Rs 2052000
Note- since FMR Code 3.3.4 was not avalibale on PIP sheet 21-22, therefore the activity has been demanded under FMR 3.2.4.2.     </t>
  </si>
  <si>
    <t xml:space="preserve">Continued Activity:
1. 6 Weeks Training of Nursing Faculty- Fund is proposed for 6 weeks training for Nursing faculty of  all Govt. ANM and GNM institutes at State Nodal Centre, IGIMS. 43 Govt. ANM/GNM Institute are functional in the state. In F.Y. 2020-21 training of 45 nursing faculty from each school in 3 batches (per batch 15 faculty). The budget break-up as follows-
a.  (750 for stay + 300 DA + 250 Refreshment)/ Participants x 42 days x 15 Participants/Batch = 1300 x 42 x 15 = 8,19,000/-
b. Travel Expenses @ 1,000 (as per actuals) x 15 Participants = 1000 x 15 = 15,000/-
c. Principal- Coordinator (One time per training) = 5,000/-
d. Incentives for Master trainer @ Rs. 300 per day (for 2 lectures/day) x 24 day (excluding 12 day clinical + 6 Sunday) = 300 x 24 = 7,200/-
e. DA for clinical preceptor @ Rs. 250 (each clinical preceptor) x 2 preceptor (each shift) x 2 shift (each day) x 12 days = 250 x 2 x 2 x 12 = 12,000/-
f. POL from SNC to clinical area for 12 days = 10,000/-
g. Workshop kit (bag and stationary) @ Rs. 300 x 15 =  4,500/-
h. Teaching aids (Flip charts, markers, VIPP cards and photocopying, betadine, pregnancy kit, etc) = 20,000/-
i. Support staff-Office Boy @ Rs.100/day x 36 days = 100 x 36 = 3,600/-
j. Support staff-Sweeper @ Rs.100/day x 36 days = 100 x 36 = 3,600/-
Sub total amount per training = (8,19,000 + 15,000 + 5,000 + 7,200 + 12,000 + 10,000 + 4,500 + 20,000 + 3,600 + 3,600) = 8,99,900/-
Total amount required for 3 trainings = Rs. 8,99,900 x 3 = Rs. 26,99,700/-
2. Fund for Mentorship Visit of 2 Nursing Midwifery Tutor = Rs.29,000/-
Total fund proposed =  26,99,700 + 29,000 = Rs. 27,28,700/-
</t>
  </si>
  <si>
    <t xml:space="preserve">a. Internal Assessment of Health Facilities:- 
1. DH-Rs. 0.02L*37DH*4 Qtr.= 2.96 L May be approved
2. Internal Assessment of SDH/RH/CHC = Rs. 0.01 L *318*1Facilities = Rs. 3.18L 
3. Internal assessment of PHC &amp; HSC (HWC)- Rs. 0.005Lx 1093*1( PHC &amp; HSC (HWC) = Rs. 5.46L may be approved.
Total Amount Internal Assessment= Rs.  2.96 L+ 3.18L + 5.466L = 11.59 L 
b.  Peer Assessment of Health Facilities:- 
1. Peer Assessment of 100 % of total DH, i.e- 37DH@25000 = 9.25 L 
2.  Peer Assessment of total SDH/RH/CHC, i.e- 318 SDH/RH/CHC @13000 = 41.34 L .
3. Peer Assessment of 1093  of total PHCs and HWC (HSC), @ 5000 = 54.65 L
Total Amount Peer Assessment = Rs.9.25 + Rs.41.34+Rs.54.65 = Rs.105.24 L
c. External Assessment:-
1. External Assessment of DH- Rs. 0.61 L x 12 DH= 22.57 L 
2. External Assessment of SDH/RH/CHC- Rs. 0.35 x 50 SDH/RH/CHC= Rs. 26.25 L May be approved.
3. External Assessment of PHC and HWC (HSC)- Rs. 0.08 L X  152 PHC and HWC = Rs. 22.0 L May be approved.
Total Amount External Assessment = Rs.7.32 + Rs.17.5+Rs.12.16 = Rs.36.98 L
Grand Total:- ( Rs 11.59 + Rs 105.24 + Rs 70.82 L = Rs 187.66 L ) </t>
  </si>
  <si>
    <t xml:space="preserve">A. Kayakalp Award for District Hospital (Winner@50.0 Lx01 Nos.+ Runner Up 01 Nos. @ Rs. 20.0L + Commendation award for 04 Nos. @ Rs. 03 L 
(Total- 50.0+20.0+12.0=82.0 L )
b. Kayakalp- SDH/RH/CHC (Winner Rs. 15.0L + Runner Up 10.0L + Commendation Award @ 10 %    of 318 SDH/RH/CHC- for 32 SDH/RH/CHC @ Rs. 1.0L each  
(Total- 15.0+10.0+32.0=57.0 L)
c. Kayakalp- PHC- Best PHC @ Rs. 2 L x 38 Districts= 76.0 L + Commendation award @ 10% of PHC (977)= 97 x Rs. 0.50 L = 48.5 L
 (Total= 76.0 + 48.5 L= 124.5 L)
d. Kayakalp- HWC (HSC) Best HWC (HSC) @ Rs 1 L * 2 Districts= 2.0 L +Commendation Award for HWC (HSC) (116) = 26 x Rs 0.25 = Rs 6.5L
(Total = Rs.2L+ Rs.6.50L = Rs 8.5 L)
Grand Total= Rs.82.0+Rs.57.0+Rs.124.5+Rs.8.5 = 272 Lakh </t>
  </si>
  <si>
    <r>
      <rPr>
        <b/>
        <sz val="11"/>
        <rFont val="Arial Narrow"/>
        <family val="2"/>
      </rPr>
      <t>Activity continued from previous year (MPV + Patna at same rate)</t>
    </r>
    <r>
      <rPr>
        <sz val="11"/>
        <rFont val="Arial Narrow"/>
        <family val="2"/>
      </rPr>
      <t xml:space="preserve">
2 lac female ster. At public@ Rs 2800 + PPS 35000 case@ Rs 4000 + Accrediated Nursing home 50000 @ Rs 3500 + COT mode 50000 @ Rs 4500 . Rs 560000000 + 140000000 + 175000000 + 225000000 = 110 crores</t>
    </r>
  </si>
  <si>
    <t>Continued…
 Fund has been requested for those sessions where ASHA's are not available including Urban Areas. Mobilization for other Areas where ASHAs are available has already been allotted in FMR code: 3.1.1.6.1 in previous F.Y.2020-21. To avoid duplicacy of the fund we request fund for those areas where ASHA not available.
Total no. of 30517 sites per month where mobilization has been done by Link Worker. Thus fund required :
30517 X 12 X 200/- = 73240800/-</t>
  </si>
  <si>
    <t>Continued Activity Follow up  incentive == 9426212*3%*50=14139318</t>
  </si>
  <si>
    <r>
      <rPr>
        <i/>
        <sz val="11"/>
        <rFont val="Arial Narrow"/>
        <family val="2"/>
      </rPr>
      <t xml:space="preserve">Continued Activity
</t>
    </r>
    <r>
      <rPr>
        <sz val="11"/>
        <rFont val="Arial Narrow"/>
        <family val="2"/>
      </rPr>
      <t>Orientation of ASHAs to be orgnaized  on 4 consecutive ASHA Diwas in a Month on FPLMIS. Budget propsoed under the head is as follows;
  534 PHC * 4  (ASHA DIWAS) @ Rs 5000/Batches = 106.80 lacs</t>
    </r>
  </si>
  <si>
    <t xml:space="preserve">Continued activity  Purchased of  Cancer care  Equipment   for screening (Spatula,Mouth mirror Torch, Cusco's Speculam and Acetic acid  etc                                                                                                                   Demand  All NCD Clinic Dist+CHC and SDH (38 +533+45)=616@25000 per Center   Required Amount 616*25000=154 Lakhs                                            </t>
  </si>
  <si>
    <t>1. AMC/ CMC of the IRL and 3 C&amp;DST Labs in the state (shifted from FIND) 2. For Office equipments, Lab. Equp. Etc. State and District level (Annexure attached).</t>
  </si>
  <si>
    <t>Per Pair Eye Ball</t>
  </si>
  <si>
    <r>
      <t xml:space="preserve">work order for procurement and establishmentof 363 Dental chair in different Sub- Divisional hospitals and Primary Health Center of the state has been given to BMSICL by SHSB letter no. 3237 dated 05/08/2020 against which a supply order was generated by BMSICL on 02/10/2020 by letter no. 5438.                                                    Till date (14/12/2020) out of 363 Dental Chair 361 Dental Chair has been supplied. Out of 361 supplied Dental Chair 322 chairs have been installed. Installation of all the Dental chair likely to be completed in the  Current Financial year.      
 </t>
    </r>
    <r>
      <rPr>
        <b/>
        <sz val="11"/>
        <rFont val="Arial Narrow"/>
        <family val="2"/>
      </rPr>
      <t xml:space="preserve">In the Financial Year 2021-2022 the state is proposing a sum of rupees 20000/- each for 542 Health Facilities for procurement of additional Dental instruments which were left out in in FY 2020-2021 after doing gap analysis.         </t>
    </r>
    <r>
      <rPr>
        <sz val="11"/>
        <rFont val="Arial Narrow"/>
        <family val="2"/>
      </rPr>
      <t xml:space="preserve">                                                              </t>
    </r>
  </si>
  <si>
    <r>
      <t xml:space="preserve">As dental chairs are being installed and instruments being procured , health facility will be delivering Oral care .  With the delivery of oral care in health facility there will be a rise in consumption of consumables.                           </t>
    </r>
    <r>
      <rPr>
        <b/>
        <sz val="11"/>
        <rFont val="Arial Narrow"/>
        <family val="2"/>
      </rPr>
      <t xml:space="preserve">In the Financial Year 2021-2022 the state is proposing a sum of Rupees 30000/- each for 542 health Facilities for procurement of consumables. </t>
    </r>
  </si>
  <si>
    <t xml:space="preserve">continued activity.Rs2.5 Lakhs are required for 11 identified, districts of Bihar to provide medical/Surgical treatment to the patient suffering from Fluorosis cases (Dntal/skeletal etc) as well as to provode equipments  for their rehabilitation.Creaches,Try cycles etc  </t>
  </si>
  <si>
    <t>Training batches</t>
  </si>
  <si>
    <t xml:space="preserve">Training on comprehensive AMB training tool kit (7,567 batches Block Level Trainings of FLWs)
Participants will be all AWWs, Two teach/Schools, all ANMs, all ASHA Facilitators, and all ASHAs.
Per batch training budget is Rs. 1,790 for 7,567 batches= Rs. 1,35.44,930 </t>
  </si>
  <si>
    <t>In the FY 2021-22 State is planning to initiate SHP in 08 more  aspirational districts (Araria, Aurangabad,Banka, Begusarai, Khagaria, Muzaffarpur, Nawada and Sheikhpura) and 01 transformation district (Nalanda) making the total to 14.
In 9 new districts physical training will be organised at State level for DRG. 
At District level for creating BRGs as well as orientation of Principals.  
Total 2 batches will be organised at State Level, 22 at District level and 200 batch of Principal orientation.</t>
  </si>
  <si>
    <t>In the 8 new aspirational districts and 1 transformation district under SHP 8007 schools will be covered.
Total 16014 (2 from each school) Health and Wellness Ambassador will be trained.
534 batches will be organised and 30 participants will be trained in each batch.</t>
  </si>
  <si>
    <t>Developing demonstration districts and model HWCs.</t>
  </si>
  <si>
    <t xml:space="preserve">Continued activity : To enhance the capacity of MBBS doctors posted at 24 x7 PHCs so that they become proficient in identifying and managing basic obstetric complications and also develop the necessary skills and competencies to provide essential obstetric and newborn care at the point of first contact. Budget Rs. Lakhs 11.40  @ Rs. 190000/- batch (total batches 06) </t>
  </si>
  <si>
    <t>Continued activity : By this training the better health services to the children at the facility level may be ensured which may ultimately reduce the IMR in the state. Budget Rs. Lakhs 34.23 @ Rs. 570500/- batch (total batches 06).</t>
  </si>
  <si>
    <t xml:space="preserve">Operational cost of 9 DEICs for 12 months </t>
  </si>
  <si>
    <t xml:space="preserve">Continued Activities 
1- Convergence Meetings- 3 State level convergence meeting @ Rs. 3900/meeting x 3 meetings = Rs. 11,700 /- 
2- 4 State level quarterly meeting of representatives of district (District level personnel involved in the programme). @ Rs. 1,10,600 /meeting x 4 meetings = Rs. 4,42,400 /- 
3. District level Quarterly meeting- District nodal officer, who is ACMO of the district holds monthly meeting with mobile health teams at district level. District level quarterly meeting of 2 representatives (One AYUSH doctor + One Pharmacist) from each mobile health team is important.
For 38 districts x 04 Quarter = 152 meeting needed at the cost of Rs. 6,96,800 /- 
The total cost of Rs. 11,50,900/- (Detail Annexed) 
</t>
  </si>
  <si>
    <t>Continued activity ………..
There are 113 SDH/RH. 
Budget proposed is: Rs.500000*113 = 565 Lacs  
Allocation will be done as per GoI guidelines, taking account of differential allocation.</t>
  </si>
  <si>
    <t>Continued activity
A total of 230 PHCs have been upgraded to CHC and they are functional. Thus, budget proposed is: Rs.500000*246= Rs. 1230 Lacs.  
Allocation will be done as per GoI guidelines, taking account of differential allocation.</t>
  </si>
  <si>
    <t xml:space="preserve">Continued activity..
There are 9949 HSCs functional in the State. 
3 Category:-
1st Health and Wellness Centre (No. of HSCs functional-208 as HWCs &amp; No. of HSCs purposed as HWCs-2893)= 3101 x Rs. 30000 per unit = Rs. 93,030,000
2nd HSCs in Govt. Building @ Rs. 20000 per Unit x 891  HSCs= Rs. 17,820,000
3rd HSCs in Rental Building @ Rs. 10000 per Unit x 5957  HSCs= Rs. 59,570,000
Total Rs. 93,030,000+ Rs. 17,820,000+ Rs. 59,570,000= Rs. 170,420,000
Allocation will be done as per GoI guidelines taking account of differential allocation. 
</t>
  </si>
  <si>
    <t>Continued  activity:                                                                                                                                              Digitization and Complete Screening of CBAC &amp; Family Folder  forms by ANM/data entry operators @ Rs 5 per Complete Screening = 9426212*5= 47131060.</t>
  </si>
  <si>
    <t xml:space="preserve">Continued Activity                                                                           Purchase of  Spirometer ( to diagnose Asthma, COPD and Covid-19) and other Equipment   etc.    Demand  Dist  NCD Clinic =38@50000 per NCD Clinic  Required Amount 38*50000=19 Lakhs                                                                                                                                                                                                            </t>
  </si>
  <si>
    <t>Continued Activity
Purchase of NCD Screening Kit for 2874  Proposed  HWC HSCs                  1.Digital BP Machine,2874*2000=57.48  Lakhs                                    2.Glucometer, Gluco strip, Lancet,  9426212*11=1036.88 Lakhs                                                                                   3.Cotton, Measuring Tape, 2874*100= 2.87                      4.Weighing Machine 2874*600=17.24                     5.Stadiometer 2874*1600==45.98                                       6.Torch,  Gloves, Mouth Mirror, 2874*600=17.24            7.Spatula, Cusco's Speculam and Acetic Acid) etc2874 @ Rs 1200 =34.48                                                                          per NCD Screening Kit.20000*2478=574.80 lakhs</t>
  </si>
  <si>
    <t>Continued Activity :
Purchase of NCD related Drugs as per EDL ( Diabetes, HTN, Asthma, Diuretics, COPD, CKD etc.) for all 38 districts and  1 New Gardinar Hospital   (including 5 IHCI districts). IHCI program is being implemented in 5 distrcits of Bihar which is later going to be scaled in all 38 districts. Drugs required as per IHCI guidelines are Amlodipine, Telmisartan and Hydrochlorothiazide Consumable/ Reagents Gulcostrip,lancet,swabs etc. (=39*600000=234 lakhs</t>
  </si>
  <si>
    <t>Continued Activity :
Purchase of NCD related Drugs as per EDL ( Diabetes, HTN, Asthma, Diuretics etc.) for all 204 CHC and 63 SDHs (converted into CHCs) NCD clinics  (including 5 IHCI districts), NCD related equipment/instruments &amp; Consumables/chemical/reagents  for lab test at 578 (533 CHC+45 SDH)  NCD Clinic and health camp  Rs. 25000/- Per  CHC NCD clinic x 578 =144.5  Lakh for all 38 districts.</t>
  </si>
  <si>
    <t>Purchase of NCD related Drugs/Drugs for hypertension as per the protocol ( Amlodipine, Telmisartan and Hydrochlorothiazide) approved &amp; Consumable/ Reagents Gulcostrip,lancet,swabs for PHC NCD Clinic and health camp  Rs.12000/- 1379  PHCs and  APHC functional   amount Required 1379*12000=165.48</t>
  </si>
  <si>
    <t>Per Advt., Spot etc.</t>
  </si>
  <si>
    <t>Per Hoarding Banner</t>
  </si>
  <si>
    <t xml:space="preserve">Continued Activities:
Publication of SUMAN/ PMSMA Advt./CAC/ Broadcasting of Radio/Video spot/Cinema Slide etc.
(Calculation Sheet is attached as FMR 11.4.1_Annexure)
</t>
  </si>
  <si>
    <t>Intallation of Hoarding Banner- SUMAN/EMTCT/LAQSHYA for awareness among people @ approx Rs. 3500 per unit for total 54*3=162 unit.</t>
  </si>
  <si>
    <t>Per Advt., Spot, video, miking etc.</t>
  </si>
  <si>
    <t>Per Wall Writing, Workshop etc.</t>
  </si>
  <si>
    <t>Per wall writing, Hoarding Banner etc.</t>
  </si>
  <si>
    <t>no. Of activity</t>
  </si>
  <si>
    <t>WPD fortnight</t>
  </si>
  <si>
    <t>NSV fortnight</t>
  </si>
  <si>
    <t>MPV drive</t>
  </si>
  <si>
    <t>activity</t>
  </si>
  <si>
    <t>Per Advt., audio etc.</t>
  </si>
  <si>
    <t>Per IEC Activity</t>
  </si>
  <si>
    <t>Per Selected Dist.</t>
  </si>
  <si>
    <t>Mass/Mid Media Activities of Adolscent, menstruel hygiene etc.</t>
  </si>
  <si>
    <t>In the FY 2020-21 School Health Program is being implemented in 5 selected districts of the State. For awareness creation as well as knowledge dissemination of school health program IEC/BCC activities will be carried out at different level. As per GOI guidelines Rs. 2 Lakhs to be budgeted for each district for IEC/BCC activities under School Health Program.</t>
  </si>
  <si>
    <t>Per Poster, Per Spot, Per Advt., Per Cloth Banner etc.</t>
  </si>
  <si>
    <t>Per Advt.,  spot etc.</t>
  </si>
  <si>
    <t>NIDDCP Programme implementation in all 38 district as third party survey shows that coverage percentage is declineing as a reported to be 75% against NIDDCP survey reports  showing 94% of Coverages. Radio/TV spots, Advt., Pamphlets, Posters, Banner, Broadcasting of audio/video spot, different shows, Sensitisation etc. as per requirement for Community Awareness. Rs. 30000x38 =Rs. 11.40 lakhs</t>
  </si>
  <si>
    <t xml:space="preserve">Organize  Co-ordination Meeting  and  Awarness genration with stackholder  IDD Day </t>
  </si>
  <si>
    <t>Per Stategy</t>
  </si>
  <si>
    <t>For Development of State Communication Strategy</t>
  </si>
  <si>
    <t>Per Unit</t>
  </si>
  <si>
    <t>Per HWC</t>
  </si>
  <si>
    <t>Per mela, health camp etc.</t>
  </si>
  <si>
    <t>Inoovative IEC/BCC strategies including mobile based solution, social media, youth engagement etc.</t>
  </si>
  <si>
    <t>Per hoarding, board etc.</t>
  </si>
  <si>
    <t>Per media</t>
  </si>
  <si>
    <t>Per Campaign</t>
  </si>
  <si>
    <t>Installation of Hoarding/bill board/signages etc. and hiring of hoarding for awareness etc.</t>
  </si>
  <si>
    <t>Various folk media such as Nukkad natak/mobile audio visual services/local radio etc.</t>
  </si>
  <si>
    <t>For Development of IEC Materials.</t>
  </si>
  <si>
    <t>For state level IEC campaign/other IEC campaigns etc. as required.</t>
  </si>
  <si>
    <t>Phcs</t>
  </si>
  <si>
    <t>For 7 Highly Malaria endemic districts @ Rs. 2 lakh/-each, 16 lesser endemic districts @ Rs. 1.5 lakh/-each and rest 15 districts @ 1.2 lakh/-each.Includes IEC/BCC activites on World Malaria Day,  Malaria month i.e. June, before and during DDT spray period in 7 Malaria highly endemic districts and also during epidemic period.</t>
  </si>
  <si>
    <t>Printing of posters, banners, handbills for observance of National Dengue Day, Anti-Dengue Month in all 38 districts including their blocks. IEC/BCC activities includes media compaign, advocacy compaign at state/district level for community awareness and participation in preventive activities. Proposed amount is on the basis of case load of districts.</t>
  </si>
  <si>
    <t>IEC &amp; BCC activities under AES programme.</t>
  </si>
  <si>
    <t>Specific IEC/BCC for Lymphatic Filariasis at State, District, PHC, Sub-Centre and village level</t>
  </si>
  <si>
    <t>State and district level for more awareness.</t>
  </si>
  <si>
    <t>No. of activity</t>
  </si>
  <si>
    <t>State level launch of TB Free Bihar Campaign, District launch for TB Free Campaig. 
District launch for TB Free Campaign</t>
  </si>
  <si>
    <t>For printing of banner and poster under IEC activities.</t>
  </si>
  <si>
    <t xml:space="preserve">Funds Proposed for Radio jingles/spots , Newspaper advertisement,Bannners/Hoardings in each MTC(3),TC(43) and SL(4) </t>
  </si>
  <si>
    <t>Per Activity</t>
  </si>
  <si>
    <t>Continued Activity:
3 Activities per district @ 15000/- for 38 districts. As well as for 10 Medical colleges and 1 Super Speciality Eye Hospital (Rajendranagar).</t>
  </si>
  <si>
    <t>Rs. 25000 per district for 38 district to IEC printing 
 (Banner, Poster, pumplet, leaflet &amp; wall printing/Tin Plate etc.)</t>
  </si>
  <si>
    <t>Hoarding Banner/Hoarding (as required) at all prominent places including Govt. buildings &amp; health institutions, Posters regarding control of tobacco use for govt. institutions including HWCs, Advt., Radio Jingles or another IEC activities etc.</t>
  </si>
  <si>
    <t xml:space="preserve">Continue Activity : Awareness Camps, Banner/Hoarding/Tin Plates, Wall Painting, Miking, Rally etc. </t>
  </si>
  <si>
    <t>IEC/BCC Activities and Printing of Reporting Format, Banner, Guideline Booklet etc.</t>
  </si>
  <si>
    <t>Fund proposed for radio jingles and  priniting of poster and banners for Air pollution and Heat waves for 37 DH and 4 Sentinnel site</t>
  </si>
  <si>
    <t>Per Format</t>
  </si>
  <si>
    <t>Per Booklet</t>
  </si>
  <si>
    <t>Per Case Sheet, Register, Format etc.</t>
  </si>
  <si>
    <t>Per Format, Flip Book, Module, Register etc.</t>
  </si>
  <si>
    <t>Per Flip book, card etc.</t>
  </si>
  <si>
    <t>Per Module</t>
  </si>
  <si>
    <t>Per advt., poster, format, toolkit etc.</t>
  </si>
  <si>
    <t>Per Card</t>
  </si>
  <si>
    <t>Per Handbill/format/Poster etc.</t>
  </si>
  <si>
    <t>Per Toolkit, format, poster etc.</t>
  </si>
  <si>
    <t>Per format, card etc.</t>
  </si>
  <si>
    <t>Per format</t>
  </si>
  <si>
    <t>Per Format, Poster, Register etc.</t>
  </si>
  <si>
    <t>Estimated 30 Lakh compliance card for the newly added in the age group 6-59 months + Estimated 40 Lakhs compliance card for newly added in the age group 5-9 years total = 70,00,000 compliance cards x Rs. 5/Card= Rs 3,50,00,000</t>
  </si>
  <si>
    <t>MPV /special drive</t>
  </si>
  <si>
    <t>Types Of manuals</t>
  </si>
  <si>
    <t>Types of cards</t>
  </si>
  <si>
    <t>No. Of tracking bag</t>
  </si>
  <si>
    <t>Continued Activity :
Printing of  various types of Cards, Folder, Regiser, Format  etc. for reporting etc.</t>
  </si>
  <si>
    <t xml:space="preserve">Per Diary </t>
  </si>
  <si>
    <t>Per Concern District</t>
  </si>
  <si>
    <t xml:space="preserve">Printing of Diary for Peer Educator @ Rs. 100/- each diary, Total Rs. 13,92,000.00
</t>
  </si>
  <si>
    <t>Printing of ANM Training module for AFHC</t>
  </si>
  <si>
    <t xml:space="preserve">As per GOI Guidelines printing of manuals/posters/certificates @ Rs.42 lakhs per district for 9 districts (Araria, Aurangabad,Banka, Begusarai, Khagaria, Muzaffarpur, Nalanda, Nawada and Sheikhpura) </t>
  </si>
  <si>
    <t>Per Card, Register</t>
  </si>
  <si>
    <t>Per Register, Pad etc.</t>
  </si>
  <si>
    <t>Per Beneficiary</t>
  </si>
  <si>
    <t>Continued Activity:
Printing of different type formats etc. @ Rs.20 per beneficiary as per GoI Guideline.</t>
  </si>
  <si>
    <t>Per Register</t>
  </si>
  <si>
    <t>Printing of various types registers/formats etc. as required under Blood Services &amp; disorders.</t>
  </si>
  <si>
    <t>per  workplan</t>
  </si>
  <si>
    <t xml:space="preserve">Printing of forms/registers </t>
  </si>
  <si>
    <t xml:space="preserve">For 38 districts &amp; state HQ Printing of reporting  formats &amp;register. </t>
  </si>
  <si>
    <t>Printing of format, registers etc.</t>
  </si>
  <si>
    <t>No. of printing materials</t>
  </si>
  <si>
    <t xml:space="preserve">IEC printing at state level.
District level printing for IEC as per need </t>
  </si>
  <si>
    <t>Stage level planned printing for TB notification booklet for Private health care providers and other program reporting and recording formats and registers.
district level printing as per need (recording, reporting, forms)</t>
  </si>
  <si>
    <t>Printing of challan books etc. as required.</t>
  </si>
  <si>
    <t>per card</t>
  </si>
  <si>
    <t>As per GoI Guideline Rs. 2500/- for per CHC/PHC required for patient referral cards (For 533 CHCs+ 45 SDH).</t>
  </si>
  <si>
    <t>Printing of NCD Card for All person Screened 9426212*3 per card.</t>
  </si>
  <si>
    <t>Continued Activities :
2874 New PBS Centres- Printing of Various types of reporting formats for facilities, NCD Screening Register  guideline, Training Modules for ANM/GNM, ASHA, Medical Officers, Staff Nurse,  CBAC Form &amp; Family Folder, Various IEC materials such as Banner, Hoarding, Tin Plate, Pamphlets, poster etc.  (Total- 2874 (PBS Centre) x Rs.6000/- = 172.44Lakh)</t>
  </si>
  <si>
    <t xml:space="preserve">Continued Activities 
Based on expected prevalence  and number of health facility we require 700 HTN Rgisters .Treatment protocol : Hypertension -16166, Diabeteies protocol- 16166 .             BP checklist : 16166,   Module MO- 583, Nurse -3242, Pharmasist -339 Tratment card  : 126805 ,Patient ID Card :  126805 for HTN in the program of 5 IHCI districts. </t>
  </si>
  <si>
    <t xml:space="preserve"> Continued Activities :   
    As per  guideline, Budget is  20 lakh at State NCD Cell
 administrative approval for following activities being sought.
(1) 3  days Residential training for NCD Programme manager (1 NCDO+ 1 DPC/FLC)  in 02 Batches
(2 ) 2 days Residential State level TOT for  MO on treatment protocols on Diabetes, HTN, COPD, CKD and cancer  (1 NCDO+2 MO per district) in 04 batches  
(3 ) 2 days  State level induction Training for Physiotherepist on NCDs (all districts) in 01batch
(4) 2 days  State level refresher Training  all M &amp; E and FLC on NCD App  admin portal dashboard, Simple App  and reporting formats  in 1 Batches .
(5) 3 days Residential State level TOT for  Nursing Tutor ( 2 per District) on NCDs.  in 1 Batches.
(6) 2 days  State level induction for counsellor on counselling for common NCD  in Batches                                                         (7) 1 day  State level TOT under IHCI  tratment protocol Diabeties,Hypertansion NCDO,MO,SN, Pharmasist  etc in 01 Batches                                               
(8) Quarterly 1 day  State level review for  NCDOs, and district program management unit ( DPC/DCM/M &amp; E/FLC /DAM) on NPCDCS etc                                                                               ( 9 ) 2 days  State level Orientation training PHC portal PHC App Training for  NCDO, MO  and staff Nurse                          </t>
  </si>
  <si>
    <t>1 trainings per district proposed</t>
  </si>
  <si>
    <t xml:space="preserve">Continued activity,
For procurement of 12 medicines which are not part of State EDL.
Estimated cost for procurement of medicines which are not part of state EDL for each team per month is Rs. 2400.84 /month / refill for medicine kit.
So, the total cost = Rs. 2400.84 x 12 months x 776 team= Rs. 2,23,56,622.08
Detail Annexed
</t>
  </si>
  <si>
    <t>Continued Activity: 
Total Requirement - 55,10,44,551 Blue IFA tablet for 52 dose in year (with 10 % buffer) for targeted 96,33,646 for School going girls and  boys, Tearchers, AWW and ASHA.
For the FY 2021-22 State has budgeted for procurement of  50% tablets i.e 27,55,22,276 @ 0.16 Rs.
Non School going girls will be supplemented with the availble IFA blue tablet.</t>
  </si>
  <si>
    <t>Continued Activity
State is in the process of procument of sanitary napkin through BMSICL. 
State has planned to retain availble budget of FY 2020-21 of Rs. 789.64 lakhs as committed unspent. Thus not proposing any new budget for the FY 2021-22</t>
  </si>
  <si>
    <t xml:space="preserve">(a) 9 District Model Hospital
(b) 12 District Model Hospital </t>
  </si>
  <si>
    <t>(a) For 236 HWC
(b) for 260 HWC</t>
  </si>
  <si>
    <t>(a) MCH Wing 100 bedded 5 nos. and 300 bedded 5 nos.
(b) MCH Wing 100 bedded 6 nos.</t>
  </si>
  <si>
    <t>8000 per district for NRCP review meeting, 25,000 for State level Review meeting , 30000/year/state for vehicle hiring under NRCP monitoring and Surveillance .</t>
  </si>
  <si>
    <t>Continuous Activity:-
Screening and free Spectacles to the School going children @350/-  per spectacles.</t>
  </si>
  <si>
    <t xml:space="preserve">Continuous Activity:-
Screening and free Spectacles to the near work to old Person @ 350/- Per Spectacles.
</t>
  </si>
  <si>
    <t>(Key deliverable- mCPR) Continued activity- 92037 AWC X 1 SBS X Rs 100 per SBS (for all 38 districts)</t>
  </si>
  <si>
    <t>(Key deliverable- mCPR) Continued activity- 88076 ASHA X Rs 100 as incentive for distribution of Nayi pahel kit X 1 kit per ASHA (for all 38 districts)</t>
  </si>
  <si>
    <t>No. Of activity</t>
  </si>
  <si>
    <t xml:space="preserve">Continued Activity (Key deliverable- mCPR)
1 laproscopes set would be provided to 4 selected  District Hopital in the state to introduce Laproscopic services at tertiary center at Medical Collage (IGIMS, GMC, Betiah, KTMCH, Madhepura &amp; VIMS, Pawapuri. 
Budget proposed for this activity is : Rs. 2000000*4 kit: 80 lacs.
</t>
  </si>
  <si>
    <t>Continued Activity(Key deliverable- mCPR &amp; PPIUCD)
534 APHC*2 pcs + 534 PHC*2 pc + 161 FRU*2 pc +9 RTC*1 pc +76 PPIUCD training Batch @ 12 participants= Total 3379 pieces
Hence 3379 Kit is planned for 2020-21@Rs.800=27.08 lacs</t>
  </si>
  <si>
    <t>Continued Activity (Key deliverable- mCPR)
Nayi Pehl Kit is to be provided to ASHAs The requird budget is as follows; 88076 ASHA *1 per ASHA @Rs 250 = 220.19 lakh</t>
  </si>
  <si>
    <t>New activity- Parivaar Niyojan Diwas/ Kushaal Parivaar Diwas at HI upto PHC level. 695 HI X Rs 3000 per PND X 6month</t>
  </si>
  <si>
    <t>no. Of pilot district</t>
  </si>
  <si>
    <t>Inclusion of SHG of Jeevka for promotion of FP prog.</t>
  </si>
  <si>
    <t>5 PP rounds i.e. 2 NIDs &amp; 2 SNIDs + Special activities of Shrawani Mela, Chhath, Sonpur Mela, Holi etc.</t>
  </si>
  <si>
    <t xml:space="preserve">Total proposed amount includes5 (2 NIDs + 2 SNIDs) rounds+ 1Special activity during festival viz. Chhath, Dipawali, Holi, various melas etc. + procurement of Marker pen
Amount proposed for the FY 21-22 is @ 1125/- lakhs per round for Approx 5 rounds Rs. 5625/- lakhs.
</t>
  </si>
  <si>
    <t>Continued Activity …...
Hiring of alternate vaccinator at 72000 session per year for 6 months @ Rs. 450 / session / vaccinator/ for Urban &amp; others Areas where Hired vaccinator required.
=450*36000 = 162/- lakhs</t>
  </si>
  <si>
    <t>No. of Session Sites</t>
  </si>
  <si>
    <t>Continued Activity:
Procurement of 4 lakhs bottles per round @ Rs. 110/ bottle for VAS program including transportation cost  from Ware house to District and upto PHC. Fund requirement: 110X400000 bottles X Round=Rs 44000000/-</t>
  </si>
  <si>
    <t>New Activity….
Steel , Rack &amp; Almirah for Proper record keeping at 10 Model Immunization Centre
@20000/- for 10 Centre = 200000/-</t>
  </si>
  <si>
    <t xml:space="preserve">
For session site Hub Cutter had been suppied before 8 years ago.
Most of sites it became out of service.
This year we proposed Hub Cutter for 5000 pcs @ 2000/-
Fund : requirement: 5000 X 2000= 1,00,00,000/-</t>
  </si>
  <si>
    <t xml:space="preserve">Continued Activity: Budget is being proposed for incentive to ASHA for follow up of SNCU discharge babies and follow up of LBW babies@Rs.200 per babies. As per HMIS data(2018-19), around 1.93 lakh babies are identified as LBW babies in a year. It is assuming that 50% (1 lakh)of them are followed up by ASHA. Similarly  as per SNCU data,  around 45000 newborn are admitted in SNCU per year and 75% of babies are discharged from SNCU, hence 33750 babies are followed up by ASHA. </t>
  </si>
  <si>
    <t>Continued Activity: Budget is being proposed for 1.Incentive to ASHA- Rs 250 (50/visit X 5 visits) X 385000 (50% of total live birth) Children in 13 Aspirational districts=962.50 lakhs &amp; 
2.Monitoring and supervision of ASHA activities  under HBYC program by ASHA facilitator: Rs.500/month/ASHA faclitator X 12 months X 1555 ASHA Fac. = 93.30 lakh
Total Budget required = 962.50 + 93.30 = 1055.80 lakh</t>
  </si>
  <si>
    <t>Continued activity:Budget is being proposed for training of ASHA, ASHA fascilitator and SN/ANM on HBYC program@Rs.139865 per batch in 13 Aspirational districts. Total 590 batches required for complete the training of ASHA/ASHA Facilitator/ANM/SN. Budget required = 590*139865 = 825.20 lakh</t>
  </si>
  <si>
    <t>No. of HBYC-ECD kit</t>
  </si>
  <si>
    <t>New Activity: As per letter received from Additional commissioner, MoHFW, GOI (letter no. Z-28020/177/2017-CH dt. 15th January, 2021) HBYC trained ASHAs should equip with HBYC -ECD kit to ensure the quality implementation of HBYC program. Budget is being proposed for HBYC - ECD kit for HBYC trained ASHAs (aasuming 50% of Total ASHA =30228)is = 15114 * 1000 per kit = 151.14 lakh</t>
  </si>
  <si>
    <t>Budget is being proposed for 
1. 2 day State TOT of SAANS  (As per SAANS Guidline)
of Paedeatrician/MO/SN@Rs.262955 per batch = 1 btach*262955 =2.63 lakh
2. 2 day District TOT of SAANS of Paedeatrician/MO/SN@237600 per batch = 4 batch*237600 = 9.50400 lakh 
 Total budget required = 2.63 + 9.50 = 12.13 lakh
 Annexure attached</t>
  </si>
  <si>
    <t>No. of NBSU</t>
  </si>
  <si>
    <t>New Activity: Budget is being proposed for Data entry management @ 2,000 INR per month per NBSU  for Online data entry in NBSU portal.  Total Budgdet required = 2000*43 NBSU*12 month = 10.32 lakh</t>
  </si>
  <si>
    <t xml:space="preserve">Continued:
ASHA facilitator training 156 batches X Rs. 42,000  = Rs. 65,52,000/-
Budget Annexure attached </t>
  </si>
  <si>
    <t xml:space="preserve">
Rs. 130 Crore was approved in 2020-21 in the PIP which is  under expenditure. This includes the drugs for H&amp;WCs as well. We have made a policy to retain 80% of the approved budget at SHS level to be delivered directly to BMSICL for the supplies to be made to the district and 20% is provided to the districts to meet the emergent situations and for the drugs and consumables not rate contracted by BMSICL. 
The OOPE today is very high and per capita consumption on drugs is very low. We've decided to increase the per capita consumption on free drugs to 20 Rs. for which the budget has been proposed. For calculation, we've taken the OPD/IPD data  of pre Covid period which is OPD  (approx 765 lakhs)/IPD (approx 40 lakhs) figures, totalling approx 8 crores. Therefore, @20 Rs. per patient, it comes to total of 8 Cr x Rs. 20= Rs. 160 Crores which has been proposed. This includes the drugs for H&amp;WC as well.
</t>
  </si>
  <si>
    <t>No. of Satrangi Chadar</t>
  </si>
  <si>
    <t>Continued Activities:
1. Publication of  SAANS Advt. 6 times in a year.               
2. Broadcasting of SAANS Audio spots on local radio channels and video spots on local TV channels.
3. Awareness of SAANS Program through Wall Writing, Hoarding Banner, Banner etc.
Calculation Sheet is attached as Annexure_11.5.4 (FMR)</t>
  </si>
  <si>
    <t>A total amount of Rs 60 Lacs is proposed for Media Mix and Mass Media activities.
The fund propsoed for the purpose is:
1. TV Adv/Cinema @ Rs 5 Lacs * 4 MPV rounds = Rs. 20 lakhs
2. Radio Jingles  @ Rs 5 Lacs* 4 MPV rounds= Rs. 20 lakhs
3. Newspapaer adv 1.80 lacs * 4 MPV rounds = Rs. 7.20 Lacs
4. Mass Media acvitivies for regular publicity - Rs. 12 lakhs
Total Rs. - 20+20+7.20+12= 59.20 lacs, Rounded off demanded Rs. 60 lakhs.</t>
  </si>
  <si>
    <t>Continued Activities:
1. Advt. for Polio, RI, MI, Vitamin A etc. in daily  newspaper (one hindi, one urdu and one english)
2. Radio &amp; Video Spot/Cinema slide etc. of RI/MI//Vaccination/Polio etc.
3.Miking, Nukkad Natak, Wall  Writing, Advt. through Auto Rickshaw/Bus Panel Advt. etc., Tin Plate, Poster, Polio Jacket etc.
4. Poster and Cloth Banner for Polio 4 round and Poster/Handbill etc. for another RI IEC Awareness Activities.
(Calculation sheet is attached as FMR 11.8.1_Annexure)</t>
  </si>
  <si>
    <t>Continued Activities:
1. Newspaper Advt. in Hindi, English &amp; Urdu newspaper of 25x16 cm size, (Quantity 4 times in 3 daily news paper @ 1.70 lakhs per advt., Total cost Rs.6.80 lakhs), 
2. Radio spots on AIR and other local channelsi -, Total Cost Rs. 4.00 lakhs,
3. Video spot DD, News-18 and Zee Bihar,  Total cost Rs.3.00 lakhs.
4. Advt. in Cinema Hall cost Rs. 3 lakhs.
Total cost on above activitiesor others as required Approx Rs. 6.80+4+3+3= 16.80 lakhs.</t>
  </si>
  <si>
    <t>Old Activities:
1. Advt./Tender Notices etc. for providing pathological services  etc. in daily/national newspapers.
2. Printing of various types register, leaflet, another IEC materials etc. for the publicity and implementation of Free Radiology Services &amp; Free Pathology Services</t>
  </si>
  <si>
    <t>Continued activity:
1. Health Camp maximum two time in a year at  all 13 aspirational Dist. of Bihar Rs. 1  lakh for each dist., Total 13 lakhs.
2. Organization of Stall &amp; Exhibion for awareness in Gandhi Maidan, Patna,  Bihar on the eve of Bihar Diwas Rs. 3 lakhs required
3. Organization/Awareness of Pitripaksh Mela &amp; Shravani Mela, Rs. 5 lakhs for Pitripaksh Mela and Rs. 9 lakhs for Shrawani Mela required, Total Rs. 14 lakhs.
4. Stall/Health Camp/ Health Exhibition and awareness during Sonepur Mela for 30 days , total Rs. 21  lakhs. required.
5. Boating ambulance facility, residiential camp for doctors deputed in sonepur mela, Drug Storage , health camp in various places by DHS during Sonepur Mela, Rs. 15 lakhs required..
6. Awareness during other mela/event such as Rajgir Mahotsav, Chath Mahotsav and other mela organized by Dist. and another gathering activities etc. as per requirement Rs. 15 lakhs.
Fund required approx 81 lakhs for above, but demanded only 68 lakhs and as per priority above IEC actitivites will be performed.</t>
  </si>
  <si>
    <t>IEC/ BCC Activities under RNTCP State and Dist. Level .</t>
  </si>
  <si>
    <t>Continued activity:
Amount Required Rs. 2000000/- for Awareness Generation world diabetic day, cancer day, heart day, Bihar Day and other health days,  nukkar natak, rally, walkathon rally, radio jingle,  newspaper advt., Hoarding, flex banner, wall painting, miking, Prize distribution, poster, leaflet, banner etc. 
(All the state level activities to be organised at New Gardner Superspeciality Hospital)</t>
  </si>
  <si>
    <t>Continued activity:
  Amount Required Rs. 100000/- Per District for Observation of world diabetic day, cancer day, heart day, Bihar Diwas, and other health days celebration camp organization, nukkar natak, rally, walkathon rally, radio jingle,  newspaper advt., flex banner, wall painting, miking , Prize Distribution, poster, leaflet, banner etc..</t>
  </si>
  <si>
    <t>To celebreate Ear care Day and  awareness generation at State and district level. Rs. 10000 per district+ rest for state etc.</t>
  </si>
  <si>
    <t>Rs. 2 lakhs for state and Rs. 0.50 lac for 11 identified districts for IEC/BCC activities/materials etc.</t>
  </si>
  <si>
    <t xml:space="preserve">Continued Activity:
Printing of 32 lakhs MCP Card Booklet on art paper @Rs. 20/-  per piece, Total - 3200000x20 = 640.00 lakhs
</t>
  </si>
  <si>
    <t>Printing of MAA/IYCF various items such as Infokit for ASHA and ANM, Flip Book for ASHAs, ANM Training module for  Staff Nurses  and ANM, IYCF Sensitization module, Ten steps of successfully Breastfeeding (Hindi), IMS Act, MAA Monthly reporting format, IYCF Counseling Centre's register and Flip book for IYCF Ccentre etc.
(Calculation sheet is attached as Annexure _FMR 12.1.4)</t>
  </si>
  <si>
    <t xml:space="preserve">Continued Activity: 
1. Printing of AMB  Format, Poster, Toolkit etc. 
2. AMB Awareness through Advt., Radio/video spot etc.
3. Printing of 7 types of Vitamin A formats/IEC materials etc. for one round.
Calculation Sheet is attached as Annexure_FMR 12.2.3
</t>
  </si>
  <si>
    <t>Continuted Activity:
Printing of IDCF 16 types materials such as Checklist, leaflet, format, Poster, Training Module etc.
(Calculation sheet is attached as FMR 12.2.7_Annexure)</t>
  </si>
  <si>
    <t>Continued Activities:
The fund propsoed for the purpose is: 
Printing of various IEC Materials during Mission Parivar Vikash Campaign Rs. 12.50 lakhs for Poster, Banner, Leaflet etc.
For total 4 drives - Rs. 12.50  lakhsx4 times = 50 lakhs.</t>
  </si>
  <si>
    <t>Old activity: The budget is proposed for printing of work plan @ 1 work plan per ASHA per month for 12 months @ Rs.1.50/- per work plan.</t>
  </si>
  <si>
    <t>Printing of Various items under IDSP.</t>
  </si>
  <si>
    <t>District level quarterly review meeting is being proposed  to review the supply chain initiatives, DVDMS compliance at DCS, DH, SDH, RH, PHC, UPHC, APHC &amp; HSC level and EMMS Compliance at DH, SDH, RH &amp; PHC level .  This will take into account the- drug stock updates, availability status, functioning status of equipment, inventory management practices, storage conditions, Inventory record keeping practices, DVDMS/EMMS utilization/usages updates, Quality control of stored drugs, and capacity building on the above subjects. 
Costing 
= (Rs 100 per participant per meeting *  2566 participants per month* 4 quarters) + (Travel allowance Rs 150 per meeting* 1584 participants per month* 4 quarters)   = 10.26 Lakhs + 9.50 Lakhs= 19.76 lakhs</t>
  </si>
  <si>
    <t>Continue Activities:-
Having team of 15 IT resources with Computer operator,  computer set and internet (On outsourced basis) in State Health Society, Bihar for collecting, compiling, analysing and reporting data based on the information required from division/district/blocks/facilities on regular basis. Ensuring timely and completing reporting of accurate data on HMIS/MCTS (RCH Portal), PFMS, Manav Sampada (HRIS), RBSK, Bio Medical Waste Management, VHSND, NRC (etc) web portals. This cell is also used as control room in case of any emergency/Disaster as like flood earthquake etc. This activities approved by MOHFW, GOI from last more than 11 years.
Calculation- 15 x 20451 x 12=36.81 lakh
2. 3 Data entry/updation unit  with Computer operator,  computer set and internet (On outsourced basis)  at each RPMU @ 20451/- per unit, is responsible for collectiong and timely entry/updation the data on HMIS/MCTS (RCH Portal),  Manav Sampada (HRIS), RBSK, Bio Medical Waste Management, VHSND, NRC (etc) web portals.  Data entry/updation unit also responsible for compiling, analysing and reporting of HMIS/RCH Portal reported data along with different information required on regular basis as well as in case of ergency/disaster etc. 
This activities approved by MOHFW, GOI from last more than 8 years
Calculation-27 (3 unit x 9 RPMU) x 12 month x 20451)=66.26 lakh
3. Data entry/updation unit  with Computer operator,  computer set and internet (On outsourced basis) @20200/- per unit  is responsible for collectiong and timely entry/updation the data on HMIS/MCTS (RCH Portal),  Manav Sampada (HRIS), RBSK, Bio Medical Waste Management, VHSND, NRC (etc) web portals.  Data entry/updation unit also responsible for compiling, analyzing and reporting of HMIS/RCH Portal reported data along with different information required on regular basis as well as in case of emergency/disaster etc. 
This activities approved by MOHFW, GOI from last more than 11 years
Calculation- 
20451x691x12 months=1695.80 lakh for DH to PHC
20451x250x12 months=613.53 lakh for APHCs
20451x87x12 months=213.51 lakh
for MCH and other state level offices &amp; concern cells.
Note- As per notification of labour Dept. GoB the rate fixed for highly skilled person is considered for Computer Operator  salary ( by considering 10% extra  because hike of rate  by Labour Dept., GoB in interval of 6 months). The provision of EPF &amp; ESI has also been considered for Computer Operator. This is outsource model hence 18% GST is also included in the rate Rs. 20451/- per month.</t>
  </si>
  <si>
    <t>Per  Dialysis Sesion</t>
  </si>
  <si>
    <t xml:space="preserve">1. A lumpsum amount of Rs. 2,730.20 lacs approx. proposed for radiology services (X-Ray) under PPP mode for District Hospitals, Sub-Divisional Hospitals and Referral Hospitals for a duration of 12 months. (Contract Agreement with the selected agency has been signed and execution for establishment of X-ray services is under process). (Rs.200 is estimated expenditure per patient). 
Remarks: 1. The lumpsum amount has been calculated based on the rate (count) of X-ray performed per day (Approval for the same has been given in PIP for FY 2020-21):-
(a) District Hospital:- Approx 30 X-ray  per day
(b) Sub-Divisional Hospital: Approx 30 X-ray per day
(c) Referral Hospital: Approx 20 X-ray per day
2. Rs. 952.65 Lakhs proposed X-ray films, consumables/ chemicals required in dark room for developing X-ray film with respect to running cost involved in in-house arrangement of 300 mA X-ray machines across 174 CHCs/ PHCs. (An estimated lumpsum amount of Rs. 100 per X-ray film developed inclusive of cost of X-ray film, consumables/ chemicals required in developing fim in dark room is being considerd, with the rate (count) of approx 15 X-ray films developed per X-ray centre per day for a duration of 12 months)
3. A lumpsum amount of Rs. 92.70 Lakhs proposed for 103 Ultrasound Centres in-house mode (78 USG machines approved during FY 2018-19 and approval for procurement of 25 USG machines given during FY 2020-21 and are under process of procurement) as per below calculation estimates:-
1. Lumpsum amount of 7,500/- per USG facility per month for 12 months.
</t>
  </si>
  <si>
    <t>Per Test</t>
  </si>
  <si>
    <t xml:space="preserve">Per batch </t>
  </si>
  <si>
    <t>An approximate amount of Rs. 29.0 lacs proposed for 1 day refresher training programmme for 1,020 laboratory technicians (LTs) to operate Fully Automated Bio-Chemistry Analyzer, Semi-Auto Analyzer and 3-Part Blood Cell Counter. The estimated expenditure inclusive of cost for venue registration, food arrangement, honorarium to the faculty of medical colleges/ lab technicians, training kits, Travelling allowance to the Lab technicians and miscellaneous.</t>
  </si>
  <si>
    <t>3 lakh per district for 7 district. Need to approval (Patna,Darbhanga,Bhojpur, Nalanda, Lakhisarai, Arwal &amp; Jehanbad) to setting up center, furniture, camputer &amp; other facilities etc for strengthing of mental health at all 38 district</t>
  </si>
  <si>
    <t>Rs. 1.5 lakh per district for 7 rest district to procure Psychotherapy Tools for clinical psychologist &amp; psychiatrist basic medical equipments</t>
  </si>
  <si>
    <t xml:space="preserve">Rs. 25000/ thousand per district for 38 district under miscellaneous exp (office expenses) &amp; 5 lakh at state level for vehicle to dictrict visit &amp; 2 lakh for doctor travel exp for psychiatry OPD one district to other. </t>
  </si>
  <si>
    <t>Continue Activities: State Health Society is improving statutory audit system of SHSB. As per norms of government of India, 100% area should be covered of State SHSB, DHS, RPMU, Medical College and 40% area should be covered under audit at Blocks(PHC &amp; FRU) &amp; Audited financial statement should be send to Government of India on or before 31 July. Therefore, State health society is proposing to conduct statutory audit of SHSB, RPMU, DHS, Medical College with 100% coverage with one C.A as a Team leader and minimum one CA-Inter &amp; one B. Com qualified, for 2 working days &amp; 40% coverage of PHC &amp; FRU with one CA- inter as Team leader &amp; one B.Com, for 02 working days. for statutary audit fess: 19.75 lakh and For fund reconciliation of various program under NRHM in SHSB, an opening balance difference lighted in Statutory Audit Report from FY 2007-08, these differences need to be rectified. fund reconcilation fees-60.00 lakh.</t>
  </si>
  <si>
    <t>Continue Activities: State health Society, Bihar has implemented strengthening of current audit system mechanism &amp; appointed concurrent auditors as per approval of executive committee through tender.The control, review &amp; monitoring of current audit is to be done by SHSB. At present, Districts have been divided into 19 assignments (Each assignment comprising of two districts) for the financial year 2021-22. In addition, SHSB shall be considered as a separate single assignment. Hence the concurrent audit covered under 20 assignment package. so, 20 assignment @ 354000 . per quarter concurrent audit fees =283.20 crore.</t>
  </si>
  <si>
    <t>Continue Activies: Since PFMS and online web based application has been implemented across the state and it is mandatory to make all payments through PFMS Only and entry in tally , seamless internet connectivity is required for smooth operations up to block level. To facilitate resilience in internet connectivity (Data) and coordination between state to RPMU, DPMU, Block for Routine daily reporting Activities (Voice Call), 4G/3G CUG sim cards have been provided with daily 3GB data download which will help Accounts &amp; Finance perdonnel(i.e. 38 DAM, 9 RAM, 5 tally support team, Finance &amp; accounts officials i.e. total 52 CUG Sim @ 600 *12 = 3.744 lakh) to utilize it in daily operations of PFMS, and Tally, Accounting, Auditing, taxation, and Other financial Services.</t>
  </si>
  <si>
    <t>Continue Activities:- 25% Approval has been given in FY 2020-21 for Purchese of 185 new Computers/ Laptop out of 742  for all accountants/DAMs/RAMs/BAMs/finance personnel at all level. however, still there is requirement of remaining 556 new Computers/ Laptop(new computer/Laptop verson. window genune, i5/i7 Processor computer with UPS 2 KVA &amp; 1 all in printer) for all accountants at all level i.e. Block, FRU etc..@ 65000/- Per Unit for 556 units i.e. 65000*556=361.40 Lakhs). SHSB has inmplemented the ERP Tally Online Web-based system. GoI will implemant N-FAMS(NHM-financial &amp; accounts management system) software for the FY 2021-21 for rendering transparency and efficiency in financial management on a real time basis vide letter no G.27034/258/2020-21/NHM-F dated 20.01.2021. therefore, needs to be replace all old computers. This will bring data security, integrity of financial data, uniformity in reporting and transparency of financial data at every level of State Health Society. All the above activities cannot be performed with the current old version computer systems available with Regions, Districts and Blocks.  Detail as per attached justification note</t>
  </si>
  <si>
    <t>Continue Activities: SHSB has implemented the Online Web-based application system i.e. online Financial Management Information &amp; reporting System for all health facilities across state. This will bring integrity of financial data, uniformity in reporting and transparency of financial data at every level of across state. for cost of 60 lakh for cost of renewal, upgradation, customization, training &amp; capacity building, establishing central helpdesk and other related activities of software in government health facilities, health department offices and other government facilities in the state working under National Health Mission (NHM). Detail as per attached justification note</t>
  </si>
  <si>
    <t>Continue activities;- Accounting and finance play an essential role in the Organisation. The finance division of SHSB may require strengthens in maintenance of books of accounts, various types of register/format/ forms, latest Financial rule/laws/norms, Information Technology, Financial Guidelines, web bases application software, reporting and monitoring through web based application on real time basis. Present SHSB has implemented e-FMIS Software for recording of Financial Data of SHSB. We are proposing State Level training for capacity building for accounts and finance personnel for sustained skilling and capacity development of the staff, which improves the quality of services provided and effectiveness in planning program activities. GoI has selected as the fifth pilot state i.e. Bihar for N-FAMS(NHM-financial &amp; accounts management system) for this financial year 2020-21 and GOI will roll out/implement across state for N-FAMS(NHM-financial &amp; accounts management system) software for the FY 2021-21 for rendering transparency and efficiency in financial management on a real time basis vide letter no G.27034/258/2020-21/NHM-F dated 20.01.2021. in this regards, training and referesher training will be required for concerned all official person. In as per Justification Note attached.</t>
  </si>
  <si>
    <t>New Activity :
Spectacle for precription and presbyopic patients @ Rs 350 *5000 =Rs  1750000</t>
  </si>
  <si>
    <t>No. of UPHC</t>
  </si>
  <si>
    <t>per ANM</t>
  </si>
  <si>
    <t>No. of ANM</t>
  </si>
  <si>
    <t>no.of Camps</t>
  </si>
  <si>
    <t>Per yoga session</t>
  </si>
  <si>
    <t>per meeting</t>
  </si>
  <si>
    <t xml:space="preserve">Continued Activity 
Proposed for Rs. 250 per UHNDs per month per ANM. 4 UHNDs per ANM per month for 12 month for 500 ANM for existing 100 UPHC-HWC ( Rs 250*4 session*500 ANM *12 months) = Rs 6000000 </t>
  </si>
  <si>
    <t>Continued Activity 
Proposed Rs. 10,000 per Camp for 12 camps for existing 110 UPHCs  (Rs. 10,000*12months *110 UPHCs= Rs 13,200,000) 
Reamining 16 Distrcits- 12 camps /Distrcits = 12*16*10000=1,920,000 
Total = Rs 13200000 +Rs 1,920,000  = Rs 15120000</t>
  </si>
  <si>
    <t>Continued Activity "
Proposed Yoga session @ Rs 250/session for 4 session /UPHC-HWC per month for 110 existing UPHC-HWC
Total= Rs 250*4*12 months*110= 1320000</t>
  </si>
  <si>
    <t>New Activity for NUHM &amp; continued Activity in NHM
Saas Bahu Samelan for promoting RMNCH+A services @ 1500 rs for / quarter = 1500*4*110= Rs 660000</t>
  </si>
  <si>
    <t>per ASHA</t>
  </si>
  <si>
    <t>Continued activity
a) Incentive for CBAC forms filling for individuals - Rs 20.16 Lakh@ Rs 10/CBAC form for 50% target individuals 30and &gt;30 years of age in UPHC catchment per ASHA for 25% of targeted indivuduals
(100*5*1645*10=8225000*25/100)
b) Incentive for follow up of confirmed cases- Rs 8.13 lakh @ Rs 50/biannual for 4% of total targeted individuals 30 and above 30 years of age for 10 HWC for 25% of 4 % confirmed cases (1645*4/100=65 individual per ASHA</t>
  </si>
  <si>
    <t>per Batch</t>
  </si>
  <si>
    <t xml:space="preserve">Continued:
Module Training for 700 ASHA in 24 batches X @Rs. 1,26,000/- per batch = Rs. 25,20,000/- 
Budget Annexure attached </t>
  </si>
  <si>
    <t>per MAS</t>
  </si>
  <si>
    <t>Per ULB</t>
  </si>
  <si>
    <t>Continued Activity : 
Proposed @ 5000 for 101 new to constituted MAS in FY 21-22
Rs. 5000*101 MAS=505,000</t>
  </si>
  <si>
    <t xml:space="preserve">Continued Activity
proposed for ULB Training/ Orientation per district @50000 for  ULB Training/ Orientation for 37 Districts and @ Rs 1 lakh for District patna and @ Rs 1 lakh for State
Total = (50000*37)+100000+100000= 2050000 
</t>
  </si>
  <si>
    <t>Continued Activity 
Proposed Rs. 1,50,000/- for 20 govt. Building UPHC-HWCs.
Total = 150000*20 = Rs 3000000</t>
  </si>
  <si>
    <t xml:space="preserve">Continued Activity 
Proposed Rs. 1,00,000/- per UPHC for 90 existing rented UPHC-HWCs for one year -100000*90 = Rs 9000000 </t>
  </si>
  <si>
    <t>No. of MAS</t>
  </si>
  <si>
    <t>Continued Activity 
Proposed Rs. 5000 Per MAS for existing 843 MAS.
Total = 5000*843 = Rs 4215000</t>
  </si>
  <si>
    <t>Continued Activity 
Proposed Rs. 20000 per month for 90 existing UPHC for 12 month and 30 new UPHC for 03 months.
Sub Total = 20000*90*12 months = Rs 21,600,000
Sub Total = 20000*30*1 month  = Rs 600,000
Total = Rs 21600000 + Rs 600,000 = Rs  22,200,000</t>
  </si>
  <si>
    <t>No.of UPHC</t>
  </si>
  <si>
    <t>For the upgradation &amp; Strehenthening of UPHCs @ Rs 100000/UPHC-HWC as per HWC guideline for 10 UPHCs 
Total = Rs 100000*10=  Rs 1000000</t>
  </si>
  <si>
    <t>per Kit</t>
  </si>
  <si>
    <t>No. fo UPHC</t>
  </si>
  <si>
    <t xml:space="preserve">Continued Activity
Proposed Rs. 50000 per UPHC-HWC for recurring cost for lab services in UPHC-HWCs as per CPHC guideline. 
Total = Rs 50000*110= Rs 5500000 </t>
  </si>
  <si>
    <t>per UPHC</t>
  </si>
  <si>
    <t>per Nayi phal kit</t>
  </si>
  <si>
    <t>Continued Activity:
Tablet for conducting UPHC-HWC related activity for ANM for 865 ANMs @ Rs 15000/tablet 
Total=15000*865 = Rs 12975000
IT support @ 5000 per UPHC-HWC as per HWC guideline (Rs 5000*110= 550000)
Total = Rs 12975000+ Rs 550000 = Rs 13525000
(865 ANM post have been created by State Side for the Urban Areas for CPHC as per NUHM framework by notification number 936(12) date 15.10.2019). Entrance Exam already conducted, ANM would be on board soon. These ANM will provide outreach services as per UPHC-HWC requirements.</t>
  </si>
  <si>
    <t xml:space="preserve">Continued Activity:
Salary for 500 ANM @ Rs 11,500 
Total= 500*115000*12 months=Rs 69000000
</t>
  </si>
  <si>
    <t>per LT</t>
  </si>
  <si>
    <t>Continued Acitivity:
Salary for 100 existing &amp; working LT @ 14,103 *12*100= 16923600
Salary for 10 sanctioned &amp; vaccant position = Rs 14103*6 montns*10= 846,180
Salary for newly proposed  30 position @ 14,103*1*30=423,090
Total =16923060 + 846180+ 423090 = 18192870</t>
  </si>
  <si>
    <t>per Pharmacist</t>
  </si>
  <si>
    <t>Continued Activity :
Salary for in existing 46 pharmacist = 18000 *12*46= 9936000
Salary for 64 vaccacnt position  @ 18000 for 6 months = 18000*6* 64= 6912000
Salary for 30 new proposed pharmacist @ Rs 18,000 for 1 month = 18000*1*30=540,000
Total = 9936000+6912000+ 540,000 = 17388000</t>
  </si>
  <si>
    <t>per staff</t>
  </si>
  <si>
    <t>No. fo MO</t>
  </si>
  <si>
    <t>No of MO</t>
  </si>
  <si>
    <t xml:space="preserve">Continued Activity 
Salary for 05 MO working-1st @ Rs. 60000 for 12 months (Rs 60000*05*12months= Rs 3,600,000)) 
Salary for sanctioned and vaccant 105 MO-1st-@ Rs 60,000 for 6 months (Rs 60000*105* 6months=37,800,000)
Salary for 30 new proposed MO- @ Rs. 60000 for 1 months i (Rs 60000*30*1 months= Rs 1,800,000)
Total =Rs 3600,000+ ,37,800,000 +1,800,000= Rs 43,200,000 
</t>
  </si>
  <si>
    <t xml:space="preserve">Continued Activity 
Salary for 07 MO-2nd  working @ Rs. 55000 for 12 months (Rs 55000*07*12months= Rs 4,620,000)) 
Salary for sanctioned &amp; vaccant 103 MO-2nd-@ Rs 55,000 for 6 months (Rs 55000*103* 6months=33,990,000)
Salary for 30 new proposed MO- @ Rs. 55000 for 1 months (Rs 55000*30*1 months= Rs 1,650,000)
Total =Rs 4,620,000+ ,33,990,000 +1,650,000= Rs 40,260,000 </t>
  </si>
  <si>
    <t>No. of PHM</t>
  </si>
  <si>
    <t>Continued Activity :
Salary for 37 PHM  @ 25,000 for 6 months = 25000*6* 37= 5,550,000</t>
  </si>
  <si>
    <t>per Staff</t>
  </si>
  <si>
    <t>per DEO</t>
  </si>
  <si>
    <t xml:space="preserve">Continued Activity :
Salary for 110 Grade IV @ 9500 for 12 months = 9500*12*110= 12540000
Salary for 110 Security guard @ 9500 for 12 months = 9500*12*110= 12540000
New Position
Salary for 30 Grade IV @ 9500 for 1 months = 9500*1*30= 285000
Salary for 30 Security guard @ 9500 for 1 months = 9500*1*30= 285000
Total = 12540000 +12540000 + 285000+  285000 = 25650000
</t>
  </si>
  <si>
    <t>Continued Activity
Proposed @ Rs 100000 for 30 UPHC-HWC 
 Rs 100000*30=30,00000</t>
  </si>
  <si>
    <t>Per Staff</t>
  </si>
  <si>
    <t>per RKS</t>
  </si>
  <si>
    <t>per participant</t>
  </si>
  <si>
    <t>Continued Activity :
1) Proposed Rs. 1,000/- per staff Training for 1118 employees (ANM-500, SN-330, Pharmacist-110, LT-110, and UH Accountant-31,PHM-37) for existing 110 UPHC-HWCs = 1000*1118= Rs 1118000</t>
  </si>
  <si>
    <t>Continued Activity 
Proposed Rs.4,000/- per RKS Training for 110 UPHCs
110*5000= 5,50000</t>
  </si>
  <si>
    <t>Continued Activity 
Proposed @ Rs.1000 per participant  MO (220) &amp; DEO (110), DM&amp;EO (38), RM&amp;EO (09) and 3 other participants for capacity building on HMIS and other reportings for 110 UPHC-HWCs. At regioan/State level
380*1000= 3,80,000</t>
  </si>
  <si>
    <t xml:space="preserve">Continued Activity :
MO@ Rs 10000/ MO and SN @ Rs 7500/SN
for multi skilling as per CPHC guideline 
(Rs 10000*110=1,100,000 + Rs 7500*165=1237500) = 2337500
</t>
  </si>
  <si>
    <t>Proposed Rs. 10,000 per UPHC for 110 UPHC for publicity and branding etc.</t>
  </si>
  <si>
    <t>Continued Activity : Proposed @ 25000 for 110 UPHCs-HWC as per HWC guideline
Total = Rs 25000*110= Rs 2750000</t>
  </si>
  <si>
    <t>Continued Activity 
Rs. 15 lakh at state level IEC activities (Electronic, print, radio,Theater etc)
Proposed @ 25000 for 110 UPHCs-HWC.
Total = Rs 10000*110= Rs 1100000
Total =1500000+1100000=2600,000</t>
  </si>
  <si>
    <t>Continued Activity :
Printing of required registeres and formats for the UPHC-HWC
@ 25000 /UPHC 
Total = 25000*110=Rs 2750000</t>
  </si>
  <si>
    <t>per assessment</t>
  </si>
  <si>
    <t>Per qualified UPHC</t>
  </si>
  <si>
    <t>New Activity :
Logitic support to maintain supply chain of Drugs, Contraceptives at UPHC  from District Ware House- Rs 6000/year X 110 UPHC= 6.6 lacs</t>
  </si>
  <si>
    <t>per region</t>
  </si>
  <si>
    <t>Continued Activity 
Proposed Rs 2000/ UPHC for 110 existing UPHC for 4 quarters at District Level
Total = 2000*110*4=880,000</t>
  </si>
  <si>
    <t>Continued Activity
@ Rs 40000/ UPHC-HWCs for the independent monitoing as per CPHC guideline</t>
  </si>
  <si>
    <t>per month</t>
  </si>
  <si>
    <t>per CPMU</t>
  </si>
  <si>
    <t>Continued Activity 
Proposed Rs 35000 for SPMU for 12 months</t>
  </si>
  <si>
    <t>Continued Activity 
Proposed Rs 25000 for DPMU for 12 months
Total= Rs 25000*12*22= 66lakh</t>
  </si>
  <si>
    <t>Continued Activity 
Proposed Rs 35000 for CPMU for 12 months</t>
  </si>
  <si>
    <t>Per month</t>
  </si>
  <si>
    <t xml:space="preserve">Continued Activity
Proposed @ Rs 50000/ month </t>
  </si>
  <si>
    <t>Continued Activity
Proposed @ Rs 10000/month for 22 Districts</t>
  </si>
  <si>
    <t>Continued Activity 
Proposed @ Rs 25000/ month for 1 CPMU, Patna</t>
  </si>
  <si>
    <t>Per CUG Sim</t>
  </si>
  <si>
    <t>Continued Activity 
for existing 113 CUG Sim @ Rs 500/month for 12 months 
113*12*500=678000
500 new CUG SIM for ANMs for 12 months - @ Rs 250*500*12 = Rs 1,500,000
Total = 678000+1,500,000 = Rs 2,178,000</t>
  </si>
  <si>
    <t>per position</t>
  </si>
  <si>
    <t>Continued Activity :
EPF for 500 ANM (basic Salary = 11,500), EPF @ 13.36% = Rs 1536.40  for 12 months = 1536.4*12 = Rs 9,218,400
EPF for 110 LT (basic Salary =14,103) EPF @ 13.36 % = Rs 1884.16 for 12 months = 1884.16*12= Rs 2,487,092.26 
EPF for 30 new LT for 1 month (Basic Salary= 14,103) = 1884.16*30*1= Rs 56,524.82
EPF for 46 Pharmacist (basic Salary-12,000) EPF @ 13.36 % = 1603.20 for 12 months = 1603.20*46*12=Rs 884,966.40
EPF for 64 Pharmacist (basic Salary=12000) EPF @ 13.36% for 6 months = 1603.2*6*64= 615,628.80
EPF for 30 new proposed pharmacist @ 1603.2 for 1 month = 1603.2*1*30=48,096
EPF for 31 Urban Health Accountant (basic Salary =15,000) EPF @ 13.36% = Rs 2004 for 6 months = 2004*6*31=Rs 372,744
EPF for 110  Security Guard (Basic Salary Rs 9500) EPF @ 13.36% = Rs 1269.20 for 12 month = 1269.20*12*110 = Rs 1675344
EPF for 30(New)  Security Guard (Basic Salary Rs 9500) EPF @ 13.36% = Rs 1269.20 for 1 month = 1269.20*1*30 = Rs 38076
EPF for 110  IV grade (Basic Salary Rs 9500) EPF @ 13.36% = Rs 1269.20 for 12 month = 1269.20*12*110 = Rs 1675344
EPF for 30  IV grade (Basic Salary Rs 9500) EPF @ 13.36% = Rs 1269.20 for 12 month = 1269.20*1*30 = Rs 38076
Total = 17072216.28</t>
  </si>
  <si>
    <t>Continued:
1. ASHA Sari: 2 sari @ Rs. 500 X 2 X 700 = Rs. 700000/-
2. Mask for ASHA: 6 Mask @ Rs. 25 x 6 x 700 = Rs. 105000/-
3. To motivate ASHA, the best performing 3 ASHA per UPHC are to be awarded @ Rs. 3500/- X 110 UPHC = Rs. 385000/- (1st Prize = Rs. 1500/-, 2nd prize = Rs. 1000/- and 3rd prize = Rs. 800/- &amp; Rs. 200/- for certificate printing). 
4. Communication Allowance to ASHA 700 CUG Sims X Rs. 94/- X 12 months = Rs.789600/-
Total= 700000+105000+385000+789600=1979600</t>
  </si>
  <si>
    <t>Per SN</t>
  </si>
  <si>
    <r>
      <rPr>
        <b/>
        <sz val="11"/>
        <color theme="1"/>
        <rFont val="Arial Narrow"/>
        <family val="2"/>
      </rPr>
      <t xml:space="preserve">Old Activity: Roll-out of e-Aushadhi Software has been under taken in State with effect from 31st March 2017 for the 1st phase till District Hospital level and 2nd phase till PHC level and now in 3rd phase is APHC and HSC level required, so amount of Rs.133.57 lakh has been proposed for payment onsite implementation team , IT Cell of C-DAC, Noida, application software support, application/database hosting  in data centre of C-DAC, Noida. The proposed fund may also be used for establishing and operating monitoring cell for other IT based applications of Govt. of India/Stae Specific.  </t>
    </r>
    <r>
      <rPr>
        <sz val="11"/>
        <color theme="1"/>
        <rFont val="Arial Narrow"/>
        <family val="2"/>
      </rPr>
      <t xml:space="preserve">
B.
Proposal is being submitted for dedicated internet connectivity for drug store to esnure DVDMS usage compliance. Lack of dedicated internet service for drug store has been one of the key challenges. The internet connectivity will be given at District Drug Stores, District hospitals, SDH, RH, BPHCs. 
In the FY 20-21 the budget was proposed &amp; it was approved by the GoI.
Costing
= Total no. of drug stores 732 * Rs 200 per month per drug store * 12 months
= 17.57 Lakhs</t>
    </r>
  </si>
  <si>
    <t>A.Course fee for PGDQHM Course by TISS &amp; NHSRC- Rs. 01 L x 3 Participants = Rs. 3.0L 
TA/DA claim for 03 candidates @ Rs. 1.5L x3 Participants = 4.5 L (20 Days +16 Days + 06 Days Stay + 3 time To &amp; Fro Air Tickets)
(Grand Total= Rs.  3.0L+4.5L= 7.5 L May be approved)                                                              B.Career Accelerator program on healthcare quality (CAP-HCQ)  for 30 participants (DCQAand HM) @ 105000 including 3 months online course and 3 days campus immersion =105000 X 30 = 3150000 L                                  TA/DA claim for 30 candidates @0.1LX 30 participants=3L(3days stay + one time to and fro air ticket)                                                                  Total (31,50,000 + 3,00,000 = 34,50,000)      Grand Total = (7.5 L+ 34.5 L = 42 L)</t>
  </si>
  <si>
    <t>Monitoring and supervision</t>
  </si>
  <si>
    <r>
      <t xml:space="preserve">1. Rs. 2 Lacs for contingency fund for Integrated Day Care Center PMCH Patna &amp; SKMCH Muzaffarpur @ Rs 1 lac per center per year.
2. Rs. 8 Lacs for Leucodepleted blood bags/Bed side filter for Thalassemia patients @Rs. 800 f0r 1000 unit
</t>
    </r>
    <r>
      <rPr>
        <b/>
        <sz val="11"/>
        <rFont val="Arial Narrow"/>
        <family val="2"/>
      </rPr>
      <t>Total Rs. 10 Lacs</t>
    </r>
    <r>
      <rPr>
        <sz val="11"/>
        <rFont val="Arial Narrow"/>
        <family val="2"/>
      </rPr>
      <t xml:space="preserve"> </t>
    </r>
  </si>
  <si>
    <r>
      <rPr>
        <b/>
        <sz val="11"/>
        <rFont val="Arial Narrow"/>
        <family val="2"/>
      </rPr>
      <t>Continued Activity:</t>
    </r>
    <r>
      <rPr>
        <sz val="11"/>
        <rFont val="Arial Narrow"/>
        <family val="2"/>
      </rPr>
      <t xml:space="preserve">
1) Cost of Training of State Level Midwifery Educators:  Cost of Training @ Rs. 4 lakh per educator,So total  cost for 6 Midwifery Educators  traing is 24 lakhs.                                       2)Travel Cost: State to National Institute : One time Travelling Cost Rs.12000/- per Participant,Total 72000/- So Grand Total is </t>
    </r>
    <r>
      <rPr>
        <b/>
        <sz val="11"/>
        <rFont val="Arial Narrow"/>
        <family val="2"/>
      </rPr>
      <t>Rs.2472000</t>
    </r>
    <r>
      <rPr>
        <sz val="11"/>
        <rFont val="Arial Narrow"/>
        <family val="2"/>
      </rPr>
      <t>/- (Twenty Four Lakh Seventy two thousand)</t>
    </r>
  </si>
  <si>
    <r>
      <rPr>
        <b/>
        <sz val="11"/>
        <rFont val="Arial Narrow"/>
        <family val="2"/>
      </rPr>
      <t>Continued Activity:
(1) Organization Cost :</t>
    </r>
    <r>
      <rPr>
        <sz val="11"/>
        <rFont val="Arial Narrow"/>
        <family val="2"/>
      </rPr>
      <t xml:space="preserve">Learning Resource Pakage @5000/-.Stationery @3000/-,Contigency @2000/-Pewr Participant    ,So Rs. 10000/- per participant ,Total for 30 participants Rs.300000/-  (3 Lakhs)  .                    
</t>
    </r>
    <r>
      <rPr>
        <b/>
        <sz val="11"/>
        <rFont val="Arial Narrow"/>
        <family val="2"/>
      </rPr>
      <t>(2) Honorarium for other Faculty:</t>
    </r>
    <r>
      <rPr>
        <sz val="11"/>
        <rFont val="Arial Narrow"/>
        <family val="2"/>
      </rPr>
      <t xml:space="preserve"> Guest Faculty/Clinical preceptor@1000/faulty/day for 100 days in 18 months  training(1 batch per year) </t>
    </r>
    <r>
      <rPr>
        <b/>
        <sz val="11"/>
        <rFont val="Arial Narrow"/>
        <family val="2"/>
      </rPr>
      <t>So Total 100000/-</t>
    </r>
    <r>
      <rPr>
        <sz val="11"/>
        <rFont val="Arial Narrow"/>
        <family val="2"/>
      </rPr>
      <t xml:space="preserve">(One Lakh) .                                 
</t>
    </r>
    <r>
      <rPr>
        <b/>
        <sz val="11"/>
        <rFont val="Arial Narrow"/>
        <family val="2"/>
      </rPr>
      <t>(3) Stipend for Trainees:</t>
    </r>
    <r>
      <rPr>
        <sz val="11"/>
        <rFont val="Arial Narrow"/>
        <family val="2"/>
      </rPr>
      <t xml:space="preserve">Stipend @ 10000/- per month  for partcipants for 18 months,So onepartcipant 180000/-,Total for 30 Trainess </t>
    </r>
    <r>
      <rPr>
        <b/>
        <sz val="11"/>
        <rFont val="Arial Narrow"/>
        <family val="2"/>
      </rPr>
      <t>Rs.5400000/-</t>
    </r>
    <r>
      <rPr>
        <sz val="11"/>
        <rFont val="Arial Narrow"/>
        <family val="2"/>
      </rPr>
      <t xml:space="preserve">(Fifty four Lakhs).                           
 </t>
    </r>
    <r>
      <rPr>
        <b/>
        <sz val="11"/>
        <rFont val="Arial Narrow"/>
        <family val="2"/>
      </rPr>
      <t>(4) Lodging and Boading for Trainees:</t>
    </r>
    <r>
      <rPr>
        <sz val="11"/>
        <rFont val="Arial Narrow"/>
        <family val="2"/>
      </rPr>
      <t xml:space="preserve"> for lodging and Boarding @ 10000/- per month for partcipants for 18 months,So onepartcipant </t>
    </r>
    <r>
      <rPr>
        <b/>
        <sz val="11"/>
        <rFont val="Arial Narrow"/>
        <family val="2"/>
      </rPr>
      <t>180000/-,</t>
    </r>
    <r>
      <rPr>
        <sz val="11"/>
        <rFont val="Arial Narrow"/>
        <family val="2"/>
      </rPr>
      <t xml:space="preserve">Total for 30 Trainess Rs.5400000/-(Fifty four Lakhs)  .    
</t>
    </r>
    <r>
      <rPr>
        <b/>
        <sz val="11"/>
        <rFont val="Arial Narrow"/>
        <family val="2"/>
      </rPr>
      <t>5) Mobility support for Trainees :</t>
    </r>
    <r>
      <rPr>
        <sz val="11"/>
        <rFont val="Arial Narrow"/>
        <family val="2"/>
      </rPr>
      <t xml:space="preserve"> Mobility @ 7500/-Per praticipant ,So total for 30 participants </t>
    </r>
    <r>
      <rPr>
        <b/>
        <sz val="11"/>
        <rFont val="Arial Narrow"/>
        <family val="2"/>
      </rPr>
      <t>Rs.225000/-</t>
    </r>
    <r>
      <rPr>
        <sz val="11"/>
        <rFont val="Arial Narrow"/>
        <family val="2"/>
      </rPr>
      <t xml:space="preserve">(Two Lakhs Twenty Five Thousand)   .                                                          
</t>
    </r>
    <r>
      <rPr>
        <b/>
        <sz val="11"/>
        <rFont val="Arial Narrow"/>
        <family val="2"/>
      </rPr>
      <t>Grand Total is Rs.11425000 (One crore 14 Lakhs 25 Thousand)</t>
    </r>
  </si>
  <si>
    <r>
      <t xml:space="preserve">Continuted Activitiy:
Printing of various types MDSR formats for Maternal Death Surveillance and Response .
</t>
    </r>
    <r>
      <rPr>
        <b/>
        <sz val="12"/>
        <color theme="1"/>
        <rFont val="Arial Narrow"/>
        <family val="2"/>
      </rPr>
      <t>(Calculation Sheet is attached as annexure_FMR 12.1.1)</t>
    </r>
  </si>
  <si>
    <r>
      <t xml:space="preserve">Printing of 4 types SAANS Guidelines/Modules.
</t>
    </r>
    <r>
      <rPr>
        <b/>
        <sz val="12"/>
        <color theme="1"/>
        <rFont val="Arial Narrow"/>
        <family val="2"/>
      </rPr>
      <t>Calculation Sheet is attached as Annexure_FMR 12.2.2</t>
    </r>
  </si>
  <si>
    <r>
      <t xml:space="preserve">Printing of CDR Reporting Format for ASHA and ANM.
</t>
    </r>
    <r>
      <rPr>
        <b/>
        <sz val="12"/>
        <color theme="1"/>
        <rFont val="Arial Narrow"/>
        <family val="2"/>
      </rPr>
      <t>Calculation Sheet is attached as Annexure_FMR 12.2.4</t>
    </r>
  </si>
  <si>
    <r>
      <t xml:space="preserve">Continued Acivity:
Printing of 14 types of material for NDD two round.
</t>
    </r>
    <r>
      <rPr>
        <b/>
        <sz val="12"/>
        <color theme="1"/>
        <rFont val="Arial Narrow"/>
        <family val="2"/>
      </rPr>
      <t>Calculation Sheet is attached as Annexure FMR_12.2.6</t>
    </r>
  </si>
  <si>
    <r>
      <t xml:space="preserve">Continuted Activity:
Printing of Family Participatory Module
</t>
    </r>
    <r>
      <rPr>
        <b/>
        <sz val="12"/>
        <color theme="1"/>
        <rFont val="Arial Narrow"/>
        <family val="2"/>
      </rPr>
      <t>(Calculation sheet is attached as FMR 12.2.9_Annexure)</t>
    </r>
  </si>
  <si>
    <r>
      <t xml:space="preserve">Continued activity:
Printing of 14 types of SNCU formats, Cards, Forms, Registers etc. for existing SNCUs.
</t>
    </r>
    <r>
      <rPr>
        <b/>
        <sz val="12"/>
        <color theme="1"/>
        <rFont val="Arial Narrow"/>
        <family val="2"/>
      </rPr>
      <t>(Calculation Sheet is attached as FMR 12.2.10_Annexure)</t>
    </r>
  </si>
  <si>
    <r>
      <t xml:space="preserve">Continued Activity:
Printing of  HBNC Format/
</t>
    </r>
    <r>
      <rPr>
        <b/>
        <sz val="12"/>
        <color theme="1"/>
        <rFont val="Arial Narrow"/>
        <family val="2"/>
      </rPr>
      <t xml:space="preserve">(Calculation sheet is attached as Annexure_FMR 12.2.11)
</t>
    </r>
  </si>
  <si>
    <r>
      <t xml:space="preserve">Continued Activity:
Printing of  12  types of HBYC Format/poster/register, operational guideline, module etc.
</t>
    </r>
    <r>
      <rPr>
        <b/>
        <sz val="12"/>
        <color theme="1"/>
        <rFont val="Arial Narrow"/>
        <family val="2"/>
      </rPr>
      <t>(Calculation sheet is attached as Annexure_FMR 12.2.12)</t>
    </r>
    <r>
      <rPr>
        <sz val="12"/>
        <color theme="1"/>
        <rFont val="Arial Narrow"/>
        <family val="2"/>
      </rPr>
      <t xml:space="preserve">
</t>
    </r>
  </si>
  <si>
    <r>
      <rPr>
        <b/>
        <sz val="12"/>
        <color theme="1"/>
        <rFont val="Arial Narrow"/>
        <family val="2"/>
      </rPr>
      <t>Continued Activity:</t>
    </r>
    <r>
      <rPr>
        <sz val="12"/>
        <color theme="1"/>
        <rFont val="Arial Narrow"/>
        <family val="2"/>
      </rPr>
      <t xml:space="preserve">
Printing of various types of FP Manual, Guideline etc.
</t>
    </r>
  </si>
  <si>
    <r>
      <t xml:space="preserve">New Activity: </t>
    </r>
    <r>
      <rPr>
        <b/>
        <sz val="12"/>
        <color theme="1"/>
        <rFont val="Arial Narrow"/>
        <family val="2"/>
      </rPr>
      <t>Antara Dose &amp; IUCD insertion  Tracking Bag-</t>
    </r>
    <r>
      <rPr>
        <sz val="12"/>
        <color theme="1"/>
        <rFont val="Arial Narrow"/>
        <family val="2"/>
      </rPr>
      <t xml:space="preserve"> 5000 Units (2500 center X 2 types) (From Medical Collage up to APHC/UPHC and training centers etc) * Rs.200/- = Rs. 10 Lacs</t>
    </r>
  </si>
  <si>
    <r>
      <t xml:space="preserve">Continued Activity:
Printing of 2 types of Screening Card and 5 types of Registers for reporting etc.
</t>
    </r>
    <r>
      <rPr>
        <b/>
        <sz val="12"/>
        <color theme="1"/>
        <rFont val="Arial Narrow"/>
        <family val="2"/>
      </rPr>
      <t xml:space="preserve">Calculation sheet of FMR 12.5.4 Annexure is attached </t>
    </r>
  </si>
  <si>
    <r>
      <t xml:space="preserve">Continued Activity:
Printing of  4 types of Register, 2 types Pad  etc. 
</t>
    </r>
    <r>
      <rPr>
        <b/>
        <sz val="12"/>
        <color theme="1"/>
        <rFont val="Arial Narrow"/>
        <family val="2"/>
      </rPr>
      <t xml:space="preserve">Calculation sheet of FMR 12.5.5 Annexure is attached </t>
    </r>
  </si>
  <si>
    <t>A.State mentoring visits in a year @ Rs 5.4 L   B. District Mentoring visitsin a year  @1.4 L x 38 Districts = 53.20 L                                                           Total = 58.6 L</t>
  </si>
  <si>
    <t>State assessment of 06 DH @ Rs 1.05 L = Rs 6.3 L  National level assessment of 4 DH @ Rs 2 L = Rs 8 L                                                                      State Assessment of 5 CHC @ Rs 0.7 L = Rs 3.5 L            National level assessment of 2 RH @1.4 L = Rs 2.8 L                                                                                  state assessment of 38 PHC @ 0.5L= Rs 19 L             National level assessment of 38 PHCs @ Rs 1.1 L = Rs 41.8 L                                                           Total = Rs 6.3L+Rs 8 L+Rs 2.8 L+Rs 19 L+Rs 41.8 = 77.9 L</t>
  </si>
  <si>
    <r>
      <t>Continued Activity 
Proposed  Rs. 10,000 pm for 12 month for existing 110 UPHC-HWC (Rs 10000*12 months*110= Rs. 13,200,000)
Proposed Rs. 10,000/ per month per UPHC_HWC for 30 New UPHC-HWC in Districts namely (Banka(1),Bhagalpur (1),madhubani (2), Samstipur (2),Madhepura (1), Saharsa (2), Supaul (1), Arwal (1), Aurangabad (1), Gaya (1), Jamui (1), Khagaria (1), Lakhisarai (1), Sheikhpura (1), Buxar (1), Kaimur (1), Nalanda (1), Patna (1), Rohtas (1), Araria (2),Kishanganj (1), Gopalganj (1), Saran (1), Siwan (1), &amp; Sitamarhi (2)  for operational expenses of 3 months.  (Rs 10000*3 months*30= Rs 900000)</t>
    </r>
    <r>
      <rPr>
        <sz val="11"/>
        <color indexed="10"/>
        <rFont val="Arial Narrow"/>
        <family val="2"/>
      </rPr>
      <t xml:space="preserve">
</t>
    </r>
    <r>
      <rPr>
        <sz val="11"/>
        <rFont val="Arial Narrow"/>
        <family val="2"/>
      </rPr>
      <t xml:space="preserve">Proposed one time UPHC-HWC setup cost (Furniture, Computer with printer, etc.) @ Rs. 3,00,000/ for 30 new UPHC-HWCs in above city. (Rs 300000*30= Rs 9000000)
Total = Rs 13200000+ Rs 900000+ Rs 9000000= Rs 23,100,000)
Justification for 30 New UPHC-HWCs is attached as annexure </t>
    </r>
  </si>
  <si>
    <r>
      <rPr>
        <b/>
        <sz val="11"/>
        <rFont val="Arial Narrow"/>
        <family val="2"/>
      </rPr>
      <t>Continued Activity :</t>
    </r>
    <r>
      <rPr>
        <sz val="11"/>
        <rFont val="Arial Narrow"/>
        <family val="2"/>
      </rPr>
      <t xml:space="preserve">
1. Mobilizing and attending UHSND - Rs. 200/-</t>
    </r>
    <r>
      <rPr>
        <sz val="11"/>
        <color rgb="FFFFFF00"/>
        <rFont val="Arial Narrow"/>
        <family val="2"/>
      </rPr>
      <t xml:space="preserve">
</t>
    </r>
    <r>
      <rPr>
        <sz val="11"/>
        <rFont val="Arial Narrow"/>
        <family val="2"/>
      </rPr>
      <t>i) For Immunization of 0-4 Beneficiery = No Incentive
ii) 5 Benefifiery = Rs. 50/-
iii) 6 or more than 6 Beneficiery upto 35 = Rs 10/ per Beneficiary
2. Convening and guiding MAS meeting - Rs. 150/-
3. Attending the UPHC Review meeting -Rs. 150/-
4. Line listing of households done at beginning of the year and updated on monthly basis -Rs. 300/-
5. Maintaining Urban health register and supporting universal registration of births and deaths to be updated on monthly basis -Rs. 300/-
6. Preparation of due list of children to be immunized to be updated on monthly basis -Rs. 300/-
7. Preparation of list of ANC beneficiaries to be updated on monthly basis -Rs. 300/-
8. Preparation of list of eligible couples to be updated on monthly basis - Rs. 300/-</t>
    </r>
  </si>
  <si>
    <r>
      <t xml:space="preserve">(a) </t>
    </r>
    <r>
      <rPr>
        <b/>
        <sz val="11"/>
        <rFont val="Arial Narrow"/>
        <family val="2"/>
      </rPr>
      <t>IUCD kit</t>
    </r>
    <r>
      <rPr>
        <sz val="11"/>
        <rFont val="Arial Narrow"/>
        <family val="2"/>
      </rPr>
      <t xml:space="preserve">- Rs 2500 X 2 kit X 110 UPHC= 5.5 lacs 
(B) </t>
    </r>
    <r>
      <rPr>
        <b/>
        <sz val="11"/>
        <rFont val="Arial Narrow"/>
        <family val="2"/>
      </rPr>
      <t xml:space="preserve">PPIUCD forceps </t>
    </r>
    <r>
      <rPr>
        <sz val="11"/>
        <rFont val="Arial Narrow"/>
        <family val="2"/>
      </rPr>
      <t xml:space="preserve">- Rs 800 X 2 pcs. X 110 UPHC = 1.76 lacs.
</t>
    </r>
    <r>
      <rPr>
        <b/>
        <sz val="11"/>
        <rFont val="Arial Narrow"/>
        <family val="2"/>
      </rPr>
      <t>Total</t>
    </r>
    <r>
      <rPr>
        <sz val="11"/>
        <rFont val="Arial Narrow"/>
        <family val="2"/>
      </rPr>
      <t xml:space="preserve"> - 7.26 lacs</t>
    </r>
  </si>
  <si>
    <r>
      <rPr>
        <b/>
        <sz val="11"/>
        <rFont val="Arial Narrow"/>
        <family val="2"/>
      </rPr>
      <t>Condom box and Display tray</t>
    </r>
    <r>
      <rPr>
        <sz val="11"/>
        <rFont val="Arial Narrow"/>
        <family val="2"/>
      </rPr>
      <t>- 110 UPHC X 2 units X Rs 800/CB &amp; DT = Rs 176000</t>
    </r>
  </si>
  <si>
    <r>
      <rPr>
        <b/>
        <sz val="11"/>
        <rFont val="Arial Narrow"/>
        <family val="2"/>
      </rPr>
      <t>FP review meeting at regional level</t>
    </r>
    <r>
      <rPr>
        <sz val="11"/>
        <rFont val="Arial Narrow"/>
        <family val="2"/>
      </rPr>
      <t xml:space="preserve">- Rs 50000 X 9 division= </t>
    </r>
    <r>
      <rPr>
        <b/>
        <sz val="11"/>
        <rFont val="Arial Narrow"/>
        <family val="2"/>
      </rPr>
      <t>4.5 lacs</t>
    </r>
  </si>
  <si>
    <r>
      <rPr>
        <b/>
        <sz val="11"/>
        <rFont val="Arial Narrow"/>
        <family val="2"/>
      </rPr>
      <t>Activity continued from previous year.</t>
    </r>
    <r>
      <rPr>
        <sz val="11"/>
        <rFont val="Arial Narrow"/>
        <family val="2"/>
      </rPr>
      <t xml:space="preserve">
Proposed budget under FP Indemnity Scheme are as follows-
I. Deaths under FPIS: 10 cases * 2 lac= 20 lac
II)Death following Sterilisation within 8-30 days, under FPIS prposed is: 5 case *50,000= 2.5 lac
III)Failure of Sterilisation ,  
     20 case *30,000= 6 lac
IV)Complications :  5 case *25,000= 1.25 lac
v) Indemnity per doctor:  1 case *2 lac= 2 lac
Total Budget proposed under this scheme is : 20 lac+2.5 lac+6 lac+1.25 lac+2 lac=Rs.31.75 lac</t>
    </r>
  </si>
  <si>
    <r>
      <t xml:space="preserve">Continued Activity.
Demand is being made for Rs 3726000 as ASHA incentive for Linelisting of Severly Anaemic Women.
@ Rs100 Per Pregnant Women for 37260 PW
</t>
    </r>
    <r>
      <rPr>
        <b/>
        <sz val="11"/>
        <rFont val="Arial Narrow"/>
        <family val="2"/>
      </rPr>
      <t>Total Amount- 37260*Rs.100= Rs.3726000.</t>
    </r>
  </si>
  <si>
    <t xml:space="preserve">Continued ….
A. Survelliance Budget @2400/- per case
 i.e. (Case Assistance - 200/-, Investigation - 200/-, Sample Collection - 250/- &amp; Sample Shipment from patient to State HQ - 1750/-) + Sample shipment cost from State to Lab. @600/- per case.
Fund required : - 
Total no. of Cases (AFP+VPD+Measles cases) 7035 X (2400+600)=21105000/-
B.Expenses related to AEFI investigation/ causality assement (Rs. 250/- per AEFI Member for 30 members X 10 Assessment + 1000/- per member TA/DA for 15 members for 10 Assessment + 100000 (Lumpsum) for State level AEFI Workshop/National level workshop TA/DA etc.) i.e. Rs.325000/-(lumpsum)
Total FUnd required : 21105000+325000 = 2,14,30,000/-
</t>
  </si>
  <si>
    <t>Continued Activity:
Alternative vaccine delivery in hard to reach areas  @ Rs. 200 per session for 27112 sessions per month i.e (27112 X 200 X 12= Rs 65068800/-</t>
  </si>
  <si>
    <t>Continued Activity:
Alternative vaccine delivery in very H to R area for visiting through boat/tractor @Rs.450/- per session per month for 3223 session site i.e (3223 X 450 X 12=Rs 17404200/-</t>
  </si>
  <si>
    <t>F.P</t>
  </si>
  <si>
    <t>HWCs</t>
  </si>
  <si>
    <t>Continued Activity
(A) Construction of 9 District Model Hospital. 
* GOI Approved in PIP 2017-18
* GOI Approved Rs. 5 Crore  In ROP 2018-19
* GOI Approved Rs. 18 Crore  In ROP 2019-20
BMSICL provided total estimated cost for 9 Model Hospital Rs 1732746000/-
Amount to be Require  433186500/- 25 % of total estimated cost Rs 1732746000/-
(B) Construction of 12 District Model Hospital. 
* GOI Approved in PIP 2020-21
* GOI Approved Rs. 4 Crore in PIP 2020-21
GOI approved @ 20 Crore per unit in ROP 2020-21 but BMSICL provided total estimated cost for 12 Model Hospital Rs 4068228000/-. The State required administrative approval of Rs. Rs 4068228000/- for construction of 12 District Model Hospitals. 
Amount to be Require Rs 813645600/-,  20% of total estimated cost Rs  4068228000/-
Hence total amount required Rs. 12468.32 Lakh. (433186500+813645600)</t>
  </si>
  <si>
    <t>HSC Rent 
Previously- 
(1) For 1225 Health Sub Center @ Rs. 600.00 per month Total Amount =1225*600*12=8820000.00
(2) For 2247 Health Sub Center @ Rs. 500.00 per month Total Amount =2247*500*12=13482000.00
Total HSC Rent= 8820000+13482000=Rs. 22302000.00
But now to opearte HWC in rented HSC , state need HSC Rent @ 5000 per unit per month.
Hence 5000x3742x12 month=208320000/-</t>
  </si>
  <si>
    <t>New activity:
State requried Staff Quarter 2 DH Nalanda- and  1 Muzaffarpur-Total  unit cost is  @13000000/- per unit Rs. 390 lakhs. State proposed only 50% token money rs.195 lakhs.</t>
  </si>
  <si>
    <t xml:space="preserve">New activity:
New Construction for Day Care Centers at Various places in Bihar. unit cost is  @13000000/- per unit Total Project cost is 1950 lakhs.State proposed only 50% token money rs.975 lakhs.
</t>
  </si>
  <si>
    <t>In Financial Year 2020-2021 budget of rupees one lack per facility have been allocated to District Hospital for procurement of instruments used in Dentistry after doing gap analysis. The procurement work is likely to be completed in December 2020.                                                  In  financial year 2019 -2020  vide SHSB letter no.9081 dated 05/03/2020 work order for procurement and establishment of 37 RVG machine in District hospital was given to BMSICL. A sum of Rupees 2 lack for each district hospital was allocated for the work.  Compliance has not been made due to shortage of funds for  procurement  and establishment of Dental X-Ray machine and RVG machine .    Therefore in the financial year 2021-2022 the state is proposing a sum of rupees 1.5 lack  for each district hospital  for procurement of Dental X- Ray machine ( D.C.).</t>
  </si>
  <si>
    <t>Continued Activity
(A) For construction of 236 HWC
*GOI approved in ROP 2019-20
* GOI approved total cost of Rs. 9440 Lakhs @ Rs 40 Lakh per unit.
GOI approved in ROP 2019-20 Amount of Rs. 2360.00 Lacs of 25% of total project cost. 
GOI approved in ROP 2020-21 Amount of Rs. 2360.00 Lakhs. 
GOI approved in the year 2020-21 revised estimated price of Rs 75 lakh per unit. 
So Total cost for 236 HWC 236x7500000=1770000000/-
Now this FY 2021-22 required amount is Rs. 442500000/- 25% of  1770000000/-. 
(B) For construction of 260 HWC
GOI approved in ROP 2020-21 @ 7500000/-
GOI approved Rs. 4875.00 Lacs of 25% of total project cost. (Total Project Cost is 195 Crore)
Now thi FY 2021-22 is required 4875 Lakh.
Total Amount required 4425+4875=9300 Lacs.</t>
  </si>
  <si>
    <t>Continued Activity:-
(A) Construction of 5 number 100 bedded and 5 number 30 bedded MCH wing:-
GOI approved Rs. 10 Crore in ROP 2018-19 and also Rs. 10 Crore approved in ROP 2019-20.
BMSICL total estimated cost is Rs. 1145473554/- 
Hence an amount Rs. 286368388/-is  required (25% of total estimated cost).
 (B) Construction of 6 number 100 bedded MCH wing
GOI approve @ 22 crore each unit in ROP 2019-20 (220000000x6=1320000000)
and 13 Crore released as tokeny money in same.
 Hence an amount of Rs. 33.00 crore (25%)  is needed in FY 2021-22 for the continuation of above mentioned projects.
So Amount needed (A+B) =286368388+330000000=  Rs. 616368388/-</t>
  </si>
  <si>
    <t xml:space="preserve">Continued  Activity-
As per the DPR prepared by BMSICL the total cost for 9 divisional headquarter DEICs construction was Rs.11,03,19,720/-. 
During the 1st phase construction of 4 DEICs (In Medical College-Gaya &amp; Bhagalpur and in District Hospital-Muzaffarpur and Saharsa) completed by BMSICL and the total amount for construction i.e Rs. 4,91,00,645/- was transferred to BMSICL. 
In the 2nd phase the construction order for rest  5 DEICs (Patna, Saran, Darbhanga, Munger &amp; Purnea), letter was issued to BMSICL through letter No. 6697 dated 07-02-2018 and Rs. 5,81,74,000/- was transferred to BMSICL against the total cost of Rs. 6,12,19,075/-. Balance amount of Rs. 30,45,075/- to be transferred to BMSICL once the construction work is completed. Thus Rs. 30,45,075/- is budgeted in FY 2021-22.
For up gradation of District Early Intervention Centre (DEIC) at  Nalanda Medical College Hospital (NMCH),Patna into center of excellence Rs. 2,50,00,000/- is budgeted in FY 2021-22.
Thus the total budgeted amount under this FMR code is Rs. 2,80,45,075/-  (Rs. 30,45,075+ Rs. 2,50,00,000).
Key Deliverables:- Operationalize all  9 DEIC. Out of 9 DEIC construction of 4 DEIC completed and started functioning from own building. Out of 108, 51 personal are on board. Rest recruitment is under process. 
</t>
  </si>
  <si>
    <t>87 Specialist Medical officers  (Gynecologist) got hands on training on ultrasonography. Specialist doctors have to train in this financial budget too.</t>
  </si>
  <si>
    <t xml:space="preserve">New activity:- 
As Niti Aayoug letter The supportive supervision trainings will be organised in five Aspirational Districts: Araria, Begusarai ,Katihar ,Sheikhpura and Sitamarhi  for the supervisory level staff in health and Integrated Child Development Services (ICDS) departments. The participants of the training will be District Programme Officer (DPO), Child Development Project Officer (CDPO), Lady Supervisors, District Programme Manager (DPM), District Community Mobilizer (DCM), Block Health Manager (BHM), Block Community Mobilizer (BCM), and ASHA facilitators (BCM). In five Aspirational Districts: Araria, Begusarai ,Katihar ,Sheikhpura and Sitamarhi. detail attached.
</t>
  </si>
  <si>
    <t>District Innovation</t>
  </si>
  <si>
    <t>Procurement of Audiometry Van with audiometry room along with Personnel and equipment</t>
  </si>
  <si>
    <t>1. Reducing time of diagnosis among referred cases of VL and PKDL. @20,00,000,     2. What approaches can improve the sensitivity and specificity of the present diagnosis ,processes of VL in a typical OPD setting? @50,00,000,  3. Understanding the reasons for the delay in diagnosis and treatment of VL cases.@20,00,000, 4. What is the best method to reconstruct incidence estimates for the period prior to 2012? @10,00,000</t>
  </si>
  <si>
    <r>
      <t xml:space="preserve">Continued Activity:
1. Advt.+Radio Spot/Jingle+Video spot, Miking, SMS Campaign, Media Workshop etc. of NDD for two Round and IDCF one Round.
2. Advt./Radio and Video spot etc. reg. other child Health Program such as World Pneumonia Day, World Breast Feeding Day, Newborn week etc..
</t>
    </r>
    <r>
      <rPr>
        <b/>
        <sz val="11"/>
        <rFont val="Arial Narrow"/>
        <family val="2"/>
      </rPr>
      <t>(Calculation Sheet is attached as FMR 11.5.1_Annexure)</t>
    </r>
  </si>
  <si>
    <r>
      <t xml:space="preserve">Continued Activities:
1. National Deworming Day Inaugural  launches at District Level, Awareness Workshop at state/district level for  Private Schools for National Deworming Day program.
2. Wall writing of NDD (2 Round) and IDCF Round.                                                                               </t>
    </r>
    <r>
      <rPr>
        <b/>
        <sz val="11"/>
        <rFont val="Arial Narrow"/>
        <family val="2"/>
      </rPr>
      <t>Calculation Sheet is attached as Annexure_11.5.2 (FMR)</t>
    </r>
  </si>
  <si>
    <r>
      <rPr>
        <b/>
        <sz val="11"/>
        <rFont val="Arial Narrow"/>
        <family val="2"/>
      </rPr>
      <t xml:space="preserve">Continued activity- </t>
    </r>
    <r>
      <rPr>
        <sz val="11"/>
        <rFont val="Arial Narrow"/>
        <family val="2"/>
      </rPr>
      <t xml:space="preserve">
Proposed IEC activities for printing of pamphlets , Wall writing &amp; Hoardings, Radio Jingles, Voice messages, Voice SMS, announcement through PA System, cable TV and other network, display of Hypertension &amp; Diabetes treatment protocols at HWCs for                   
 7974 HWCs(5100 + 2874 HWCs in FY 2021-2022) @ Rs. </t>
    </r>
    <r>
      <rPr>
        <sz val="11"/>
        <color theme="1"/>
        <rFont val="Arial Narrow"/>
        <family val="2"/>
      </rPr>
      <t>8,000</t>
    </r>
    <r>
      <rPr>
        <sz val="11"/>
        <rFont val="Arial Narrow"/>
        <family val="2"/>
      </rPr>
      <t>/ HWCs</t>
    </r>
    <r>
      <rPr>
        <sz val="11"/>
        <color rgb="FFFF0000"/>
        <rFont val="Arial Narrow"/>
        <family val="2"/>
      </rPr>
      <t xml:space="preserve">. 
</t>
    </r>
    <r>
      <rPr>
        <b/>
        <sz val="11"/>
        <color theme="1"/>
        <rFont val="Arial Narrow"/>
        <family val="2"/>
      </rPr>
      <t>Total amount is Rs. 63792000/-</t>
    </r>
  </si>
  <si>
    <r>
      <t xml:space="preserve">Continued Activities:
Various Advt./other IEC Activities of different health programs and dist. Allocation for various IEC etc.
</t>
    </r>
    <r>
      <rPr>
        <b/>
        <sz val="11"/>
        <rFont val="Arial Narrow"/>
        <family val="2"/>
      </rPr>
      <t>(Calculation Sheet is attached as Annexure FMR 11.24.4.9 for detail)</t>
    </r>
  </si>
  <si>
    <r>
      <rPr>
        <b/>
        <sz val="11"/>
        <color theme="1"/>
        <rFont val="Arial Narrow"/>
        <family val="2"/>
      </rPr>
      <t>Old Activities:</t>
    </r>
    <r>
      <rPr>
        <sz val="11"/>
        <color theme="1"/>
        <rFont val="Arial Narrow"/>
        <family val="2"/>
      </rPr>
      <t xml:space="preserve">
1. Printing of various types register, leaflet, another IEC materials etc. for the publicity and implementation of Pradhan Mantri National Dialysis program (PMNDPP)</t>
    </r>
  </si>
  <si>
    <r>
      <t xml:space="preserve">Vehicle Hiring, Genset, Stationery, Xerox, Electricity Telephone/Data Card, Furniture/Equipment Purchase, AMC of Computer &amp; Antivirus and other miscellaneous expenses for smooth functioning of official work at (SPMU/RPMU/DPMU/FRU)
</t>
    </r>
    <r>
      <rPr>
        <u/>
        <sz val="11"/>
        <rFont val="Arial Narrow"/>
        <family val="2"/>
      </rPr>
      <t>RPMU:</t>
    </r>
    <r>
      <rPr>
        <sz val="11"/>
        <rFont val="Arial Narrow"/>
        <family val="2"/>
      </rPr>
      <t xml:space="preserve">
Rs. 30,000/- x 12 months x 2 vehicles for  9 Locations= Rs 64,80,000/-
Rs. 25,000/- x 12 months x 9 Locations= Rs 27,00,000/-
</t>
    </r>
    <r>
      <rPr>
        <u/>
        <sz val="11"/>
        <rFont val="Arial Narrow"/>
        <family val="2"/>
      </rPr>
      <t>DPMU:</t>
    </r>
    <r>
      <rPr>
        <sz val="11"/>
        <rFont val="Arial Narrow"/>
        <family val="2"/>
      </rPr>
      <t xml:space="preserve">
1.DPMU Recurring: Rs. 25,000/- x 12 months x 38 Locations= Rs 1,14,00,000/-
2.DPMU Vehicle: Rs. 30,000/- Per Month x 2 vehicle for 12 Months x 38 locations= Rs 2,73,60,000/-
</t>
    </r>
    <r>
      <rPr>
        <u/>
        <sz val="11"/>
        <rFont val="Arial Narrow"/>
        <family val="2"/>
      </rPr>
      <t>BPMU:</t>
    </r>
    <r>
      <rPr>
        <sz val="11"/>
        <rFont val="Arial Narrow"/>
        <family val="2"/>
      </rPr>
      <t xml:space="preserve">
Office Expenses: Rs. 10,000/- x 12 months x 533 Locations= Rs 6,39,60,000/-
Vehicle Hiring Cost: Rs 20,000/- x 12 months x 533 Locations=Rs 12,79,20,000/-
</t>
    </r>
    <r>
      <rPr>
        <u/>
        <sz val="11"/>
        <rFont val="Arial Narrow"/>
        <family val="2"/>
      </rPr>
      <t>FRU:</t>
    </r>
    <r>
      <rPr>
        <sz val="11"/>
        <rFont val="Arial Narrow"/>
        <family val="2"/>
      </rPr>
      <t xml:space="preserve">
Office Expenses: Rs. 5,000/- x 12 months x 149 Locations= Rs 89,40,000/-
</t>
    </r>
    <r>
      <rPr>
        <u/>
        <sz val="11"/>
        <rFont val="Arial Narrow"/>
        <family val="2"/>
      </rPr>
      <t>SPMU:</t>
    </r>
    <r>
      <rPr>
        <sz val="11"/>
        <rFont val="Arial Narrow"/>
        <family val="2"/>
      </rPr>
      <t xml:space="preserve">
* Fourth grade support staff as Driver, Guard, Office Boy, sweeper, electrician, Plumber, Gardener etc.
@Rs 10,00,000 per month * 12= Rs 1,20,00,000/-
* Monthly Vehicle @ Rs 12,50,000/- per month*12=1,50,00,000/-
* On Call Vehicle @ Rs 6,00,000/- per month*12=Rs 72,00,000/-
* Fuel @ Rs 1,20,000/- per month* 12= Rs 14,40,000/-
* Electricity Bill @ Rs 4,00,000/- per month*12= Rs 48,00,000/-
* Air Ticket @ Rs 3,00,000/- per month*12=Rs 36,00,000/-
* Stationery+Cartridge @ Rs 200000/- per month*12=Rs 24,00,000/-
* AC, Lift, Computer, Fire Extinguisher, genset etc.  Maintenance @Rs 1,25,000/-*12=Rs 15,00,000/-
* Meeting &amp; Seminar@ Rs 3,00,000/-per month*12=Rs 36,00,000/-
* Vehicle repairing@ Rs 50,000/-per month*12=Rs 5,00,000/-
* Other Misc. expenditure@ Rs2,00,000/- per month*12=Rs 24,00,000/-
</t>
    </r>
    <r>
      <rPr>
        <u/>
        <sz val="11"/>
        <rFont val="Arial Narrow"/>
        <family val="2"/>
      </rPr>
      <t xml:space="preserve">SVS Bihar:
</t>
    </r>
    <r>
      <rPr>
        <sz val="11"/>
        <rFont val="Arial Narrow"/>
        <family val="2"/>
      </rPr>
      <t>As you are aware that Multi story State Vaccine Store (SVS) has been constructed at Agamkuan, Patna  exclusively for Immunization cell. Fund for hiring 14 staffs of various categories are required for smooth functioning of the office. Details are as below:
3 Security Guards (round the clock-8 hours*3), 3 electrician-cum-genset operator (round the clock-8 hours*3), 2 Peon, 2 Cleaner, 2+2 drivers with helper.
Fund Requirement. 
Rs 12000*12 Months*14 Persons=Rs 2016000/- 
 (Payment will be done as per Approved rate &amp; Agency of SHSB)</t>
    </r>
  </si>
  <si>
    <t xml:space="preserve">ContinuedActivity: 
Budget is proposed for Wall Writing at PHCs/HWCs, Nukkad Natak and 161 Permanent Hoarding at FRUs and Medical Colleges &amp; Hospital, Tin Plate etc. and other activities as required or possible.  Rs. 20 lakhs requried approx.
New Activity :
Various Equipments - Audio/visual equipmants such as LED Screen, PA System, Pen Drive etc.,  Modular designing, Fabricationetc. Costing of each vehicle is approx 5 lakhs, Total 500000x9 (vehicles)=4500000 (One time costing)
Operational Cost -  Rs.1000/- per day (for dirver and technician/conductor)*270 days*9 Van+ For POL- 270 days * Rs.1000/-*9 Van  =  Rs. 1000x9 (Van)x270 (days) = Rs 2430000 + Rs/ 1000x9(Van)x270 (days) = 2430000, Total 4860000.00.
Misc.+AMC etc. per month Rs. 5000 x 9 (Vehicle)x9 (Months) = Rs. 405000
Total Costing on equipment/fabrication etc.+ Operational cost+Misc. = 4500000+4860000.00+405000=Rs.9765000.00
</t>
  </si>
  <si>
    <t xml:space="preserve">1. A lupmsum amount of Rs. 3,000.00 Lakhs approx. proposed for pathological services in PPP mode for DH, SDH and RH for a duration of 6 months. (Tender for providing pathological services in DH, SDH and RH under PPP mode is under process and selection of service provider is estimated to be finalized in FY 2020-21). (Rs.300 estimated cost per patient for an approximately 20 lacs patients turnover per annum across DH, SDH and RH for a duration of 6 months)
1. Per patient cost has been considered @ Rs. 300/- per patient  for an approximately 20 lakhs patient.
2. A lumpsum amount of Rs. 6,49.332 lacs proposed for EDTA vials, consumables, reagents and controls for lab equipments (for inhouse labs operational at government healthcare facilities including 3-Part Blood Cell Counter Machines and Semi-Auto Analyzer machines which will be later limited to PHCs and CHCs upon commencement of PPP projects across DH, SDH and RH.
(a) 36 DH X Rs. 20,000 pm X 6 months = 43,20,000
(b) (46 SDH + 67 RH) X Rs. 15,000 pm X 6 months = 1,01,70,000
(c) 456 PHCs X Rs. 10,000 pm X 12 months = 5,47,20,000
1. Estimated duration for PHCs has been considered 12 months, since commecement of Pathology Services under PPP mode, operation of Semi-Autoanalyzer &amp; 3 Part Blood Cell Counter machines will be limited to PHCs and CHCs.
</t>
  </si>
  <si>
    <r>
      <rPr>
        <sz val="12"/>
        <rFont val="Arial Narrow"/>
        <family val="2"/>
      </rPr>
      <t xml:space="preserve">(1) Contingency and Consumables (Printer cartridge, toner, paper etc)  Rs.25000/-for one year at SMTI,College of Nursing, IGIMS,Patna .So total Rs.25000/-   (Twenty Five Thousand).                                  
 New Activity -
(2) Establishing Midwifery Led Care Unit (MLCU)  at SDH Danapur and GGS Hospital Patna as both facilities are the midwifery Training sites of SMTI CoN, IGIMS,Patna                                                        
(a) Procurement of Furnitures ,equipment &amp; instrument  for MLCU Rs.500000 (5 Lakhs) per facility ,Total for two MLCU is RS.10 lakhs  .                                                                              
(b) One time cost of procurement of Manequnies  &amp; fittings  for Skill Lab at MLCU is Rs.15 lakhs so total for two facility  is Rs.30 lakhs   
</t>
    </r>
    <r>
      <rPr>
        <sz val="14"/>
        <rFont val="Arial Narrow"/>
        <family val="2"/>
      </rPr>
      <t>Grand Total- Rs. 25000+Rs.1000000+Rs.3000000=Rs. 4025000.</t>
    </r>
    <r>
      <rPr>
        <sz val="12"/>
        <rFont val="Arial Narrow"/>
        <family val="2"/>
      </rPr>
      <t xml:space="preserve">
B.
Continued Activity
(1) ESTABLISHMENT OF VIRTUAL CLASSROOM TRAINING:  Bihar is the first state in India to experiment with the idea of setting of Virtual Classroom for strengthening 43 nursing institutions (Spokes)  and one State Nodal Center (Hub). As per the scope of work the agency will be responsible for Equipment procurement, Installation &amp; Integration, Commissioning of Services, Operation &amp; Maintenance, Human resources, Spares &amp; after Sales Service, Insurance, Delivery. The annual recurring cost of the above project is approx.. 2.1 Crore excluding GST. The tender floated is of Rs 2.1 Crore (Approx) as per the market survey. Thus State is proposing Rs. 2.5 Crore (Project Cost + GST) as annual operation &amp; maintenance cost.
Total amount = Rs. 2,50,00,000/-
(2) Fund proposed for CMC after completion of warranty period of equipment, mannequin and models of skills lab in  21 ANM and 4 GNM Schools according to their establishment year 
20 ANM Schools @ Rs. 6,13,908/year per School = (20 x 6,13,908) = 1,22,78,160/-
GNM Schools PMCH Patna and NMCH Patna @ Rs. 7,39,823/year per school = (2 x 7,39,823) = 14,79,646/-
ANM School Islampur @ Rs. 5,58,098/-
GNM School, ANMMCH Gaya and DMCH Darbhanga @ Rs. 6,72,566/year per school = (2 x 6,72,566) = 13,45,132/-  
Fund required for Consumable of Skills lab (do not covered under CMC) at GNM School, Bhagalpur &amp; Muzaffarpur, ANM School, Patna City and State Nodal Centre, college of Nursing, IGIMS @ Rs. 1,00,000/- annual.
Rs. 1,00,000 x 4 = Rs. 4,00,000/-
Total Fund Proposed for CMC (1,22,78,160 + 14,79,646 + 5,58,098 + 13,45,132 + 4,00,000) = Rs. 1,60,61,036/- 
Total fund proposed in above budget head=  2,50,00,000 + 1,60,61,036 = Rs. 4,10,61,036/-
</t>
    </r>
  </si>
  <si>
    <t>Research on climate variable ,developing digital app, statistical analysis, Vulnaribility assesment for disaster management</t>
  </si>
  <si>
    <t xml:space="preserve"> Per District </t>
  </si>
  <si>
    <t>No. of ANM/GNM School</t>
  </si>
  <si>
    <t xml:space="preserve">Continued activity: Establishment of Skills Lab, Library, IT Lab and Other Labs (Nursing Foundation Lab, Community Health Nursing Lab, Nutrition Lab, Pre-Clinical Lab) in Newly Established and functional 1 ANM School, Jale, Darbhanga and 7 GNM School, Banka, Jehanabad, Rohtas (Sasaram), Saharsa, Sheikhpura, Buxar, West Champaran (Betia).
As per “Revised Operational Guidelines 2017 – Strengthening Pre-Service Education for Nursing Midwifery Cadre In India” per unit cost for Labs as follows-
ANM School (Per Unit Cost)
(1) Skills Lab @ Rs. 23,00,000/-
(2) Library including GoI guideline @ Rs. 2,50,000/-
(3) Computer Lab @ Rs. 4,00,000/-
(4) Nursing Foundation Lab @ Rs. 8,00,000/-
(5) Community Health Nursing Lab @ Rs. 2,00,000/-
(6) Nutrition Lab @ Rs. 1,50,000/-
(7) Pre-Clinical Lab @ Rs. 1,50,000/-
Total – 23,00,000 + 2,50,000 + 4,00,000 + 8,00,000 + 2,00,000 + 1,50,000 + 1,50,000 = Rs. 42,50,000/-
GNM School (Per Unit Cost)
(1) Skills Lab @ Rs. 27,00,000/-
(2) Library including GoI guideline @ Rs. 7,50,000/-
(3) Computer Lab @ Rs. 5,00,000/-
(4) Nursing Foundation Lab @ Rs. 8,00,000/-
(5) Community Health Nursing Lab @ Rs. 2,00,000/-
(6) Nutrition Lab @ Rs. 1,50,000/-
(7) Pre-Clinical Lab @ Rs. 1,50,000/-
Total – 27,00,000 + 7,50,000 + 5,00,000 + 8,00,000 + 2,00,000 + 1,50,000 + 1,50,000 = Rs.52,50,000/-
Fund Required – (Rs. 42,50,000 x 1 ANM School) + (52,50,000 x 7 GNM School)
Total Proposed Amount- 42,50,000 + 3,67,50,000 = Rs. 4,10,00,000/-
</t>
  </si>
  <si>
    <t xml:space="preserve">Activity continued from previous year.(Key deliverable- mCPR)
534 PHCs * 16 Fixed day services per year + 2 Fixed day services per year * 142 APHC having more than 8 rooms=  8828 FDS Rs 5000 per fixed day services. 
Total budget proposed for this activity is: 8828 Fixed Day Services * Rs. 5000= Rs.441.40Lacs
</t>
  </si>
  <si>
    <t>Activity continued from previous year. (Key deliverable- mCPR, MPA, PPIUCD &amp; FPLMIS)
 Monitoring of FP Services is done by the state Program Officer, CS, Dist.ACMO, RDD office etc.The detail  is as follows-
I. Monitoring of FP Services at 534 PHCs  by Dist.ACMO/FP Nodal Officer, this fund will be also utilised for mobility for surgeon -Hence budget is earmaarked at District level @Rs.10000/- per dist per month . = Rs.10000*12*38= 45.6 Lacs
i)i 4-5 days monitoring per month by RPMU/ RDD Office in the respective districts. Rs.5000 per division per month*12 mth*9 div = Rs 5.40 lacs
iii) Monitoring of Family Planning programme in the State by State Level Officials. @Rs.35000 pm*1*12 months= Rs 4.20  lakh for monitoring at State level. 
iii) For transportation of FP materials(Condom, OCP,ECP and PTK from State Drug Store to District drug store) @ Rs 25000 per district in a year.= Rs.25,000/-*38= Rs 9.50 lacs
iv) For transportation of FP Materials (contraceptives) from district store of CHC/PHC = Rs.5000/- *534 phc= 26.70lacs/-
iv) For transportation of FP materials(Condom, OCP,ECP and PTK from State Drug Store to Medical College) @ Rs 20000 per Medical College in a year.= Rs.20,000/-*10= Rs 2 lacs
iv) As per GoI Lt. No. 11012/3/2010-FP, dt.10-01-17 for transportation of FP materials(Condom, OCP,ECP and PTK from PHC Drug Store to APHC) @ Rs 1000 per APHC = 13.87 .  This will be used as POL /Vehicle hiring , transportation of FP materails etc. 
(Total Budget in Rs = 45.6+ 5.40+ 4.20+9.50+ 26.70+ 2 + 13.87=  Rs 107.27 lacs. )
No.of dists, division and state has been taken in to account for calculating the unit cost.(38 dist.+9 div.+1 State+10 Medical College + 534 phc+1387 APHC+  ) =1979 health inst.</t>
  </si>
  <si>
    <t>Continued activity (Key deliverable- mCPR)
For Saarthi-Awareness on wheel    534 block X  3 drive X  5 days X Rs 2000 = Rs 160.20 lacs
For Saas Bahu Sammellan:- 92037 AWC *1 SBS* Rs 1500= 1380.56 lacs
For Creating Enabling Environment  -: State Level Meeting 3 lacs + District Biannualy Meeting Rs.50000  *2 round* 38 Distirct. Block Level Qrt.Meeting Rs. 10000/- * 3 Meeting * 534 Block = 201.20 lacs
Total Budget propsoed under the head is:
Grand total= 160.20+ 1380.56 + 201.20 = Rs. 1741.96 lacs</t>
  </si>
  <si>
    <t xml:space="preserve">Continued Activity (Key deliverable- mCPR)
2 IUCD Kit is to be provided at each PHCs, 1 Kit to be provided to all APHCs and 1 kit each to be provided to each HSCs.
161 FRU *3 +534 PHC*2+1387 APHC*1+ 5000 HSC*1 = 7938 IUCD Kit
Per Kit budget is  of Rs 2500/kit . 
Total Budget for this activity is Rs.2500*7938 kits= Rs 198.45 lacs
</t>
  </si>
  <si>
    <t>Continued Activity (Key deliverable- mCPR)
2 Minilap set would be provided at all the 534 PHCs, 2 Minilap sets to be provided to 161 FRUs and 2 sets to be provided to 142 APHCs having 8 or more rooms in the state.
Budget proposed for this activity is : Rs. 7000*1835 kit: 128.45 lacs.</t>
  </si>
  <si>
    <t>Continued Activity (Key deliverable- mCPR)
Condom box @Rs.500/-and contraceptive basket@Rs.300/- is to be procured.
Required Budget is : Condom BOX &amp; Contcraceptive Display tray/ basket- 3028 (161 FRUsX3 + 534 PHC*2 + 1387 APHCX1) 
The Budget proposed for the purpose is = 2938 Units *Rs.800 = Rs 23.50 LAcs</t>
  </si>
  <si>
    <t>Continued activity- 3 lakh at state level FP review + Rs 50000 X 9 division</t>
  </si>
  <si>
    <t>continued activity- fund required for pilotring in phase 1 and scale up fund will be demanded in suppli. PIP if1st phase implemented (Details in write up)</t>
  </si>
  <si>
    <t>126 New post for approval, details as per annexure</t>
  </si>
  <si>
    <t>Details as per attached annexure</t>
  </si>
  <si>
    <t>1 New post for approval, details in attached annexure</t>
  </si>
  <si>
    <t>7 New post for approval</t>
  </si>
  <si>
    <t xml:space="preserve">10 New post For 5 C&amp;DST Lab under NTEP as per NSP 2017-25 </t>
  </si>
  <si>
    <t>For 10 new blood banks and 4 for blood mobile van</t>
  </si>
  <si>
    <t>For blood mobile van</t>
  </si>
  <si>
    <t>7 New post for approval, details as per annexure</t>
  </si>
  <si>
    <t>Other recruitment activity, Incentives for staff on duty in recruitment process (DVT, CBT, etc). 
Group Accident Policy INR 500 per employee for Rs 10 Lakhs/ Medical Health Policy INR 2000 per employee for Rs 2 Lakh ( Details Attached)</t>
  </si>
  <si>
    <t>Per month salary</t>
  </si>
  <si>
    <t>CHO</t>
  </si>
  <si>
    <t>Details as per annexure</t>
  </si>
  <si>
    <t>Group Accident Policy INR 500 per employee for Rs 10 Lakhs/ Medical Health Policy INR 2000 per employee for Rs 2 Lakh ( Details Attached)</t>
  </si>
  <si>
    <t>Construction of 9 unit MO+Staff quarter</t>
  </si>
  <si>
    <t>Construction of 2 unit MO+Staff quarter</t>
  </si>
  <si>
    <t>New Activity
Provision of 1 unit staff quarter in CHC Muzaffarpur, SDH Patouri, CHC Mohanpur, CHC Bithan (Samastipur), CHC Kadwa, Falka and Barari (Katihar), Amas and Paraiya (Gaya)  Bhawanipur (Purnea) needs to be provided due to provision of expansion of Medical facilities in the premises. 
1 Unit staff quarter means 2 MO quarter and 4 Staff quarters.
Approval in this regard is solicited. State need adminstrative approval Total project cost is Rs. 15 Crore  and in this F.Y 2021-22 state demand only token money as 50% total cost.</t>
  </si>
  <si>
    <t>New Activity
Provision of staff quarter in PHC Paro Muzaffarpur needs to be provided due to provision of expansion of Medical facilities in the premises of aforsaid facility (30 bedded MCH Wing).
1 Unit staff quarter means 2 MO quarter and 4 Staff quarters. There is requirement of 2 unit staff quarter in PHC Paro premises which would require an approxmite amount of 3.00 crores (1.5 crore x 2=3.00 crore). State need adminstrative approval Total project cost is Rs. 3 Crore  and in this F.Y 2021-22 state demand only token money as 50% total cost.
Approval in this regards is solicited.</t>
  </si>
  <si>
    <t>Asha/ANM Meeting Hall</t>
  </si>
  <si>
    <r>
      <rPr>
        <b/>
        <u/>
        <sz val="12"/>
        <color theme="1"/>
        <rFont val="Arial Narrow"/>
        <family val="2"/>
      </rPr>
      <t>New Activity :</t>
    </r>
    <r>
      <rPr>
        <sz val="12"/>
        <color theme="1"/>
        <rFont val="Arial Narrow"/>
        <family val="2"/>
      </rPr>
      <t xml:space="preserve">
Printing of 1100 Algorithms card and1100 Flip Book related to Nutrition of Pregnant women for ANM of 3 Aspirational Districts.
</t>
    </r>
    <r>
      <rPr>
        <b/>
        <sz val="12"/>
        <color theme="1"/>
        <rFont val="Arial Narrow"/>
        <family val="2"/>
      </rPr>
      <t>(Calculation sheet is attached as Annexure _FMR 12.1.5)</t>
    </r>
  </si>
  <si>
    <t xml:space="preserve">Continued activity:
Supply of Satrangi (Indradhanushi) Chadar- To create uniformity and maintain cleaniness in all Govt. Health facilities, SHSB allocates fund to all district for purchase of seven colored handloom satrangi Chadar. The proposal has been given as per 60% bed occupancy. 
Total no of bed = 17883
Bed Occupancy =  No. of bed x 60% = 10730 bed
Required no. of Chadar = 10730 x 14 = 1,50,220 Chadar
Satrangi Chadar rate per unit = 365/- 
Total Cost = 150220 x 365 = Rs. 5,48,30,300/- but now requried only 50% so amount is Rs. 274.15 lakhs.
</t>
  </si>
  <si>
    <t>Y</t>
  </si>
  <si>
    <t>District Model Hospital at Saran (Chhapra) District</t>
  </si>
  <si>
    <t>New Activity
Govt. of Bihar, decided to strengthen the health care delivery system to upgrade to DH to model District hospital at Saran (Chhapra). Approx cost of Rs. 40.00 Crore. 
In this financial year 2021-22 needed 10% of total project cost 40.00 Crore. 
Hence to be require 4.00 Crore as a token money.</t>
  </si>
  <si>
    <t xml:space="preserve">Per seat per month  for 104 Call Centre @ Rs.48522/- for 75 seats (30+30+15) including 
Tollfree, PRI line etc cost &amp; others.
+ 
Per GR Cell (Helpdesk) per month  per unit under SUMAN @ Rs.51092/- 
</t>
  </si>
  <si>
    <t>Continue Activity 1:-
A fully operational state-of-the-art call centre based Grievance Redressal System with health helpline has already been established and functional at Patna in ppp mode with PIRAMAL SWASTHYA The whole services will be routed through dedicated toll free number 104. There will be process of recording and escalating grievances to respective stakeholder, provide basic medical advices &amp; counselling, nearest healthcare facilities and directory services. During COVID-19 104 Call Centre declared as a State Control Room . Total 75 seats (30 in 1st shift+30 in 2nd shift+15 in 3rd shift) will be there in the call centre. Total cost requested is Rs 436.70 lacs (Approx 0.49 lakh x 75 seats (30 in 1st shift+30 in 2nd shift+15 in 3rd shift) x 12 months) with tollfree and outgoing call cost as well as SMS cost &amp; etc..
05 seats (dedicated) functional as a ECD Call Centre included in proposed 104 Call Centre cost. 
The 104 call centre run by outsourced agency with CAPEX &amp; OPEX on BOOT model.
Continue Activity 2:- Grievance Redressal Desk - SUMAN
As per SUMAN Conceptual Framework Grievance Redressal Desk has to be established at Facilities through PIRAMAL SWASTHYA with complete integration between GR Help Desk and 104 Call Centre. An amount of Rs 331.07 Lakhs is being demanded for execution &amp; continuity of GR Helpdesk at  38 facilities (36 DHs and 2 facilities at remaing Districts) and 16 new Helpdesk establishment in 16 LaQshay cerified SDH/CHC under SUMAN..
Cost for  continuity of Helpdesk at 1 Facility @ Rs 5.983 Lakhs per annum for 38 Facilities = 38*5.983 Lakhs = 227.35 Lakhs.
Cost for establishment of 16 new Helpdesk at 1 Facility @ Rs 6.48 Lakhs per annum for 16 Facilities = 16*6.48 Lakhs = 103.73 Lakhs.
Grand Total:- 767.77 lakhs (436.70 lakhs + 331.07 lakhs)</t>
  </si>
  <si>
    <t>Continued Activity :
Total Cost for one DMU in UPHC-HWC is Rs. 20451/- (Computer Operator/DEO Salary including EPF and ESI Rs. 14991/-, Charge for Laptop/Computer set with Web Camera, Biometric device, laser jet printer with scanner, data card etc.. Rs. 900/-, Service charge per DMU Rs. 1440/- (Total=Rs. 17731/-), GST @ 18% Rs. 3120) for existing 110 position
 Rs. 20451 *12*110= Rs. 2,69,95,320
For 30 new position = 20451*1 months*30=Rs. 613530
Total =276088850</t>
  </si>
  <si>
    <t>Continued Activity 
Proposed training for QA  for  District (UH consultant-22),UPHC-MO-100, State and other -06 at regional/state level in 4 batches in 4 clusers @ Rs 104000 (State has divided entire state into 5 different clusters as per Kayakalp guideline)
Total= 104000*4= 416,000</t>
  </si>
  <si>
    <t>Continued Activity :
Proposed QA certification/assessemnt of 06 UPHCs 
a) State Level Assessment  @ 50000  for 6 UPHCs- Rs 50000*6= 300,000
 b) National level Assessment @ Rs 96000 *3 = Rs 288,000 
( Total- 300,000+ 288,000 = Rs 588,000</t>
  </si>
  <si>
    <t>Continued Activity :
Proposed @ Rs. 25000 per UPHC-HWC for 09 UPHCs. This fund will be utilised to full fill the gap and strengthening of UPHC under QA- based on gap assessment .</t>
  </si>
  <si>
    <t>Continued Activity :
State has divided all UPHC-HWCs into 4 clusters :
1) Budget of Rs 08 lakh for 4 winning facilities @ 2lakh each
2) Budget of Rs 06 lakh for 4 1st runner up facilities @ Rs 1.5 lakh
3) Budegt of Rs 06 lakh for the commendation award for 12 UPHCs @ 0.50 lakh
Total = Rs 08 lakh+06 lakh+06 lakh= 20 lakh</t>
  </si>
  <si>
    <t>Continued Activity :
Proposed Rs. 10000 per UPHC-HWC for 25 UPHCs. This fund will be utilised to full fill the gap and strengthening of UPHCs under Kayakalp based on the gap.
Total =10000*25=Rs 250,000</t>
  </si>
  <si>
    <t>Continued Activity:
Proposed 9 quality assurance/Kayakalp workshop at regional level @ Rs 25000/workshop
Total= Rs 25000*9=  Rs 225,000</t>
  </si>
  <si>
    <t>Activity continued from previous year. (Key deliverable- mCPR)
All FRUs till SDH across districts are expected to conduct 1 NSV fixed day services every three month (Quarter) i.e 4 FDS every year i.e. 92*4=368 fixed day services.  
Budget: Rs 5000*368 Fixed day services=18.40 lacs</t>
  </si>
  <si>
    <t xml:space="preserve">Continued Activity
As per the revised guidelines of RKSK,  Adolescent Friendly Health Clinics at District Level will be designated as Adolescent Health Resource Center (A-HRC). 
In the FY 2021-22, State has proposed to develop 5 AFHCs as A-HRC. The districts are Araria,  Kishanganj, Saharsa, East Champaran and Sheohar Rs. 100000/- is budgeted for each A-HRC for refurbishment with LED, waiting chair and teapoy,  Water Filter (with clorine filter), Interior decoration and other. This will a one time investment.
</t>
  </si>
  <si>
    <t>- Mentoring programme for outreach ANMs by District mentoring Team members</t>
  </si>
  <si>
    <t>Continued Activity
Fund is required for Microplan @ Rs 100/- for APHC &amp; HSC</t>
  </si>
  <si>
    <t xml:space="preserve"> Continued Activity:                                                                                                                                                      Asha incentive for  Three Month Salt testing  at Comunity level for the  Quality of Iodated salt                                                                  42494 ASHA in 14 Epidemic District @ .50 Rs per test  at least 50 Sample  per month                                                                          Amount Required 42494 *50*.50*3  month =31.87 Lakhs</t>
  </si>
  <si>
    <t>Continued Activity : 
Purchase of salt testing kits for  3 Month comunity level  for Asha and Asha facilatotor 14 Endemic  districts. 3 salt test kits per Asha  for 42494 ASHA @25 per salt testing kit                                                                        
  fund reqired  42494*3*25=31.87 Lakhs</t>
  </si>
  <si>
    <t xml:space="preserve"> Continiued Activites:-State level   Quartly  Review  Meeting
 </t>
  </si>
  <si>
    <t>Continued Activity:
a) An amount of Rs 22.75 Lakhs is being proopsed for Onsite Mentoring at 25 District Hospital/Sub District Hospital/RH/CHC (2nd Phase LaQshya Identified Facilities) through NQAS External Assessors.  Based on the discussion held during NPCC meeting, NQAS External Assesors of NHSRC to be used for mentoring. 10 External assessors to be invloved with 2 -3 visits per Assessors for  FY 2021-22, remainig external assessros from the state to be involved for mentoring. Further from next year onwards the State will use State NHSRC certified External and Internal Assessors for mentoring. Budgeting for the  External Mentors done as per NHSRC norms.
Total Cost for 25 Facilities @ 45500 Per Per Visit =22.75 Lakhs.  
Detail Annexed
b)  Strengthening of labor Room &amp; OT for facilities under SUMAN: 
An amount of Rs 190.00 Lakhs  is being demanded for strengthening of Labor room &amp; Maternity OT at 38Facilities (CEmOC Facilities: 36, EmOC Facilities: 2) @ Rs 5 Lakhs per facility identifed under SUMAN in 1st Phase.  
38 SUMAN Facilities @ Rs 500000= Rs 19000000.  (Based on Gap Annexed)
c) LaQshya Mentoring Visit by State/Region/District Team (Continued Activity): 
Onsite Mentoring VIsit to laQshya facilities: An amount of Rs 77.66 Lakhs  is being demand for Mentoring visit of LaQshya Identified Facilities through State, Regional and District Level mentors.
Total Amount Proposed: 77.66 Lakhs. 
Detail Annexed.  
Total Cost: 22.75 + 190.00+77.66 = 290.41</t>
  </si>
  <si>
    <t>Continued Activity:
1. Comprehensive Abortion Care (CAC) 
(A) First trimester induced abortion services at private accredited Yukti Yojana clinics = Rs.1,000 per case X 10,800 cases = Rs.1,08,00,000.                                                    
(B) Treatment of first trimester incomplete abortion and abortion complications at private accredited Yukti Yojana clinics = Rs.1,000 per case X 10,800 = Rs,1,08,00,000.                             
(C) Transport subsidy to Community Health Intermediaries (ASHAs, ANMs, AWWs) accompanying women at Yukti Yojana accredited sites = Rs.150 per case X 2150 cases = Rs.3,22,500.                                              
(D) Quarterly meeting of District Level Committe in all the 38 districts = Rs.2,500 per meeting X 4 quarters X 38 districts = Rs.3,80,000                                                                
(E) Incentive for provision of CAC services at public health facilities to the MOs@ Rs.500 for government facility MOs for 4,000 cases = Rs.500 per case X 4000 cases = Rs.20,00,000
Total- Rs.1,08,00,000+Rs,1,08,00,000+Rs.3,22,500+Rs.3,80,000+Rs.20,00,000 = Rs.24302500</t>
  </si>
  <si>
    <t>IFA tablets for pregnant and Lactating Mothers to be met from NHM free Drugs.</t>
  </si>
  <si>
    <t>Folic Acid Tablets for pregnant and Lactating Mothers to be met from NHM free Drugs.</t>
  </si>
  <si>
    <t>Calcium Tablets for pregnant and Lactating Mothers to be met from NHM free Drugs.</t>
  </si>
  <si>
    <t>Albendazole Tablets for pregnant and Lactating Mothers to be met from NHM free Drugs.</t>
  </si>
  <si>
    <r>
      <rPr>
        <b/>
        <sz val="11"/>
        <rFont val="Arial Narrow"/>
        <family val="2"/>
      </rPr>
      <t>Continued activity :</t>
    </r>
    <r>
      <rPr>
        <sz val="11"/>
        <rFont val="Arial Narrow"/>
        <family val="2"/>
      </rPr>
      <t xml:space="preserve"> This includes-(I) SBA Training in Private Health Facilities, Budget Rs. Lakhs 54.90, @ Rs. 228735/- batch (total batches 24) and  (II) Training on Survivors of Sexual violence, Budget Rs. Lakhs 4.72 @ Rs. 23600/- batch (total batches 20).
B.
New Activity:
New Activity:
a) Training of Pvt . Health Facilities: In Bihar as per NHFS -5 Institutional Delivery reported from Pvt health Facility 20% whereas on HMIS only 3% Instituional Delivery is being reported. To ensure reporting from Pvt. health Facilities a total number of 430 Private health facilities have been mapped for which ID &amp; Password has been created on New HMIS Portal.In addition to this MDSR training to be imparted to Prvt. Practioners for ensuring reporting.
In this Context training of Pvt Health Facilities on reporting of Instituonal Delivery have been planned across 38 districts @ Rs 60000 Per Batch.
Total Cost: Rs 60000*38= 2280000
</t>
    </r>
  </si>
  <si>
    <t xml:space="preserve">Continued Activity:
a) No of Maternal Death reported and reviewed @1050 per Maternal Death for 2500 Maternal Death (Continued Activity, 2500*1050=26.25 lakhs                                                            b) Quarterly State level review meetings will be conducted including MNM @12,500 per meeting for 4 quarters. (4*12500=0.50akhs)              c) Annual State Level Taskforce review meeting will be conducted once a year @6000.(1*6000=0.06 lakhs)
d) Incentive to First Responder of Maternal Death under SUMAN: An amount of Rs 50 Lakhs is being demanded as an incentive to First Responder of Maternal Death for 4500 Maternal Deaths aganist expected 4700 Maternal Deaths Per Year  .
(4500*1000=4500000) 
Total - 45.00 Lakhs
a+b+c=71.81 lakhs
</t>
  </si>
  <si>
    <t xml:space="preserve">1. DH Begusarai for certification @10,000/bed = Rs 10,000 x 106 =Rs 10.60 L                                                                                                               2. CHC Rafiganj for full certification @Rs 3 L   Total = 10.60 + 3 = Rs 13.60L
B.
Continued Activity:
An amount of Rs 34 Lakhs is being demaded towards  for National Level LaQshya Certification of 11 facilitites. </t>
  </si>
  <si>
    <t>Proposal withdrawn as per discussion in NPCC</t>
  </si>
  <si>
    <t>Continued:- 
1.1)  Monthly rent of internet &amp; Mobile @  Rs1500 /month/district.=  (1500*12*38= 6.84 L)
1.2)  Monthly Travel Cost of consultant @ Rs 1000/month/district = ( 1000*12*38= 04.56 L ) 
1.3) Monthly Review Meeting of DQAU @ Rs 2000/moth/district = (2000*12*38= 9.12 L)
1.4) Contingency @ 2000/district/month= Rs. 2000*12*38= 09.12L 
 (Grand Total= Rs.6.84L+ Rs 04.56 L+9.12 +Rs 09.12L + = 29.64 L)</t>
  </si>
  <si>
    <t>No. of training tools</t>
  </si>
  <si>
    <t xml:space="preserve">scrotal model for NSV/Vasectomy training - 18 Regional training center X Rs 25000 X 1 unit= Rs 4.5 lacs; Gynaecological Simulator (zoe model) - 9 division X 1 unit X Rs 75000= Rs 6.75 lacs. 4.5 lacs + 6.75 lacs= 11.25 lacs </t>
  </si>
  <si>
    <t xml:space="preserve">New activity- maintainance of computer and recurring  expenses to store for FPLMIS implementation- Rs.39.50 lakhs @Rs.1 lakh /district for 38 districts and Rs.1.5 lakh at state level for strenghning of FP supply chain. Total </t>
  </si>
  <si>
    <t>continued activity- Rs 50000 for  activity at 30 old Sehat kendra and  Rs 140000 for establishment &amp; activities of 30 new sehat kendra = Rs 1500000 + 4200000 = Rs 57 lacs</t>
  </si>
  <si>
    <r>
      <t xml:space="preserve">Continued Activity:
(a) State requests for Celebration of World Population Day in the state. For the purpose, an amount of 10000 is proposed for organizing a meeting at district level and an amount of Rs 5000 is proposed  for organizing health mela at block
The fund propsoed for the purpose is 
RS 10000*38 District + RS 5000 *534 PHC+ RS 200000 State = 3.80+26.70+2 = 32.5 lacs        </t>
    </r>
    <r>
      <rPr>
        <sz val="11"/>
        <color rgb="FFFF0000"/>
        <rFont val="Arial Narrow"/>
        <family val="2"/>
      </rPr>
      <t>(b) IUCD camp for promotion of IUCD services at APHC- 1387 APHC X Rs 2000 = 27.74 lacs. Total- (a) 32.5 lacs + (b) 27.74 lacs = 60.24 lacs</t>
    </r>
  </si>
  <si>
    <r>
      <t>Continued Activity:
(a) State requests for Celebration of Vasectomy day in the state. For the purpose, an amount of 10000 is proposed for organizing a meeting at district level and an amount of Rs 5000 is proposed  for organizing health mela at block
The fund propsoed for the purpose is 
RS 10000*38 District + RS 5000 *534 PHC+ RS 200000 State = 3.80+26.70+2 = 32.5 lacs        (b</t>
    </r>
    <r>
      <rPr>
        <sz val="11"/>
        <color rgb="FFFF0000"/>
        <rFont val="Arial Narrow"/>
        <family val="2"/>
      </rPr>
      <t>) IUCD camp for promotion of IUCD services at APHC- 1387 APHC X Rs 2000 = 27.74 lacs. Total- (a) 32.5 lacs + (b) 27.74 lacs = 60.24 lacs</t>
    </r>
  </si>
  <si>
    <r>
      <t>Continued Activity:
(a) State requests for Celebration of Mission Parivar Vikas Drive in the state. For the purpose, an amount of 10000 is proposed for organizing a meeting at district level and an amount of Rs 5000 is proposed  for organizing health mela
The fund propsoed for the purpose is 
RS 10000*38 District + RS 5000 *534 PHC+ RS 200000 State = 3.80+26.70+2 = 32.5 lacs        (</t>
    </r>
    <r>
      <rPr>
        <sz val="11"/>
        <color rgb="FFFF0000"/>
        <rFont val="Arial Narrow"/>
        <family val="2"/>
      </rPr>
      <t>b) IUCD camp for promotion of IUCD services at APHC- 1387 APHC X Rs 2000 = 27.74 lacs. Total- (a) 32.5 lacs + (b) 27.74 lacs = 60.24 lacs X 2 MPV drives = 120.48 lacs</t>
    </r>
  </si>
  <si>
    <t>Continue activity
Transfusion supportto JSSK Beneficiaries
Total Rs 150Lakhs
Earlier Rs. 300 was transferred to RKS against each blood transfusion given to JSSK beneficiaries only. As suggested by blood cell NHM, to provide free blood to all beneficiaries admitted in public health facilities in virtue of zero out of pocket expenditure and transfusion fee Rs. 300 will be transferred to Blood banks for procurement of kits and consumable.</t>
  </si>
  <si>
    <t>Rs. 30 Lac for Trainng of MOs and LT Blood Bank &amp; BSU at National  istitute of bilogical Noida/IGMS Patna
Training / Workshop for Hemoglobinopathies 15 Laks
Monitoring and supportive supervision by blood bank expert to improve quality of blood bank services. Six monthly visits to each blood bank and honorarium @2500 per day for 45 blood banks. 
90 x 2500 = 225000
Total- Rs. 47.5 Lakh</t>
  </si>
  <si>
    <t>1. IEC activity- Rs. 5 Lakh
2. Celebration of World blood donors day, World Thalassemia day, World hemophilia day,  Rewards to blood banks for best performance &amp; other activities - Rs 10 Lakh
Total :- 15 Lakh</t>
  </si>
  <si>
    <t>Number of Patient tested</t>
  </si>
  <si>
    <t>Target population to be tested 45550 in six districts Nalanda (2131), Vaishali (3945), Bhgalpur(7092), Samastipur (8278), Siwan (4637), Gopalganj (4269)</t>
  </si>
  <si>
    <t>Number of Patients</t>
  </si>
  <si>
    <t>Sample transport and testing operational unit cost (LTBI testing)</t>
  </si>
  <si>
    <t>1. Waterproofing of roof (2nd floor-Training Hall and Hostel) TBDC Patna. 2. Water proofing of roof 1st floor- State drug store patna. 3. Establishment of Nodal DRTB centre and centre of Excellence for extrapulmonary and paediatric TB case Mangement at AIIMS Patna. 4. Nodal DR TB centre Initial Establishment at JNKTMCH, madhepura and VIMS Pawapuri Nalanda. 5. IGIMS for LPA labs. 6. Maintenance cost of STC, SDS-2, STDC-2, DTC-38, TU-534, DMC-736, CBNAAT site-70, NDRTBC-6, IRL-1, CDST lab-2 and initial establishment of X ray Units- 28, TU-10, DMC-20, etc. The expnediture can be drawn through pooled budget.</t>
  </si>
  <si>
    <t>More then 15 Years old Vehciles - 90 and 294 new vehicles (64 STLS, 217 STS, 13 DPS-The budget is proposed as mobility support to the TB supervisors @INR 4000/month/supervisor for field visit.</t>
  </si>
  <si>
    <t>Siwan,Saran,Gopalganj is recommeded for Bronze medal for subnational TB free certification</t>
  </si>
  <si>
    <t>Continued activity 
As per GOI guideline (Rs. 100000/-per NCD Clinic x38 districts NCD clinic) for  Mobility.Miscellaneous, and Contingency, etc. (@Rs. 100000 per district= 38 Lakh. TMH can also utilize this fund for Cancer Screening</t>
  </si>
  <si>
    <t>Continued activity
 After NPCC Discussion, demanding 50% of the  fund as in Guideline.
PHCs in Bihar is considered as CHCs.  Proposing for 210 functional CHC for Contingency, operational expenses including communication, Monitoring, Misc. Contingency etc. (@ Rs. 50000 x 210 CHC = 105 Lakh).</t>
  </si>
  <si>
    <t>After NPCC Discussion we are proposing this activity under Innovation head FMR Code -18.4.1</t>
  </si>
  <si>
    <t xml:space="preserve">As per  guideline, Budget is  5 lakh Per  District
 administrative approval for following activities being sought.Continiued Activities    
(1) Training for Program management unit on NCD 38 batch participants( one Per Institution MOIC, BHM and BCM/BAM)@ 0.49335 lakhs per batch  
(2 ) District level training for  MO on treatment protocols of Diabetes, HTN, COPD, CKD and cancer  (MOIC/MO,  Per Institution, ) 38 batch @0.49335 lakhs per batch  
(3) District level training for  Staff Nurse/ANM on Diabetes, HTN and cancer. 152 batch @ 0.49335 lakhs per batch
(4) District level orientation for Block M &amp; E /Incharge  on  Admin Portal , Dashboard and Common trouble shooting  related to NCD App 38 batches ( Per District per Batch) @ 0.49335 lakhs per batch
(5)  State level Asha ToT  of 90 Master trainers in three batches (Each batch 30 participants) on ARC rates. 1.63 Lakh per batch  X 3= 4.89 Lakh  .                                                                                                                                                   (6)1 day District level Orientation training PHC portal PHC App Training for  , MOIC , BMEO and Staff Nurce  etc  @(533*3=1599)   on Diabetes, HTN and Cancer Plan 53 batch (Each batch 30 participants)@.49335 lakhs per batch                                                                               (7) Training on pain and palliative care MO and SN 38 batch (Each batch 30 participants)@.49335 lakhs per batch   </t>
  </si>
  <si>
    <t>Shifted to FMR Code-9.5.19.2</t>
  </si>
  <si>
    <t>Continued Activites:-                            
  As per GoI Guidelines Rs 3 lakhs per district for supervision /Monitoring  &amp; review meeting  of  NPCDCS .Visit of 03 CHC's and 02 HWC per week by NCDO/Consultantant.as per MOHFW.</t>
  </si>
  <si>
    <t xml:space="preserve"> Continiued Activies                                                                                                                                          As  per GoI guidelines Rs 2  Lakhs per district Ncd cell                                                   Amount required 1 .5 Lakhs per District NCD Cell  for  TA/DA etc</t>
  </si>
  <si>
    <t>HSC+APHC</t>
  </si>
  <si>
    <t>Organizing Fixed day services for  NCD Screening  on every Thursday</t>
  </si>
  <si>
    <t xml:space="preserve">New Activity
For strengthening and smooth functioning of  SHP program  meeting of Health and Education Department is important. Half Yearly meetings will be organised at district level in 14 districts  {5 old and 9 new ( 8 aspirational and 1 transformational district) }  for 2 quarters. </t>
  </si>
  <si>
    <t>Continued Activity
Adolescent Health and Wellness Days (AHWDs) to be organised in 5 aspirational district where school health program is being implemented from last financail year. The districts are :-Jamui, Gaya, Katihar, Purnea and Sitamarhi. 
Total 5128 schools are being covered under SHP in these districts so State is proposing to organise 3 AHWD in the FY 2021-22 in each schools.ANM will be responsible to organise such AHWDs..
If needed for 4th quarter the fund will be demanded in supplementary PIP.</t>
  </si>
  <si>
    <t>For  procurement of merchandise for HWA and HWM state is budgeting for 9 districts  @ 14 lakhs per districts as per GOI norms.</t>
  </si>
  <si>
    <t xml:space="preserve">Continued activity- 
Admin approval for untied fund @ Rs. 30,000/- per SHC-HWCs for 3721 SHC-HWCs (Approvals till 2020-21) ie. Rs. 11,16,30,000 sought. 50% of the proposed budget, ie. Rs. 55815000, is sought in ROP 2020-21. Rest of the amount in Supplementary PIP.
Total amount required is 55815000/
B.
Continued activity......
There are  1399 APHCs  functional in the State. 
Budget proposed is: =(952 Govt. building*60,000)+(447 rented building*30,000)
Total Amount needed- Rs. 705.30 Lacs
Allocation will be done as per GoI guidelines taking account of differential allocation. </t>
  </si>
  <si>
    <t>Continued activity- 
Proposed Team based Incentives (For MPW &amp; ASHA) for already proposed 3721 (facilities HSCs approved in 2020-21)
3721* 100000 =Rs. 372100000/-
 Rs. 96000/- per facility allowed annually. rounded off to 100000/- per facility being demanded.
Admin Approval is sought for the total amount ie. Rs. 372100000/-, out of which 50%, ie. Rs. 186050000 is proposed in SPIP 2021-22 and remaining if required shall be sought in supplementary PIPs.
Total amount required is 186050000/-</t>
  </si>
  <si>
    <t>Continued activity- 
Proposed Team based Incentives (For MPW &amp; ASHA) for 1379 APHC-HWCs
1379*100000 =Rs. 137900000/-
 Rs. 96000/- per facility allowed annually, rounded off to Rs. 100000/- per facility being demanded
Admin Approval is sought for the total amount ie. Rs. 137900000/-, out of which 50%, ie. Rs. 68950000 is proposed in SPIP 2021-22 and remaining if required shall be sought in supplementary PIPs.
Total amount required is 68950000/-</t>
  </si>
  <si>
    <t>Continued Activity:
For 7974 HWCs @ Rs.20000/- per HWC for multi skilling of ASHA, ANMs and MPWs ie. Rs.159480000.
Administrative Approval is sought for the total amount ie. Rs. 159480000/-, out of which 50% ie. Rs. 79740000 funds are proposed for approval in SPIP 2021-22 and remaining if required shall be sought in supplementary PIPs.
Total amount required is 79740000/-</t>
  </si>
  <si>
    <t xml:space="preserve">Continued Activity:
Training for MO @Rs.10000 per MO for 690 MOs-( 50% of 1379)  
Total amount required Rs.6900000/-
</t>
  </si>
  <si>
    <t xml:space="preserve">Continued Activity -  Approved in thsi FMR Code in ROP (2020-21)                                                                                                            1). Proposed honoraium for Yoga instructors @ Rs. 250/session  for 10 sessions for 3936 HWCs ( expected to be operational by March 2021) for 06 months.
Total amount required is for  months is Rs 59040000/-                                                                                                                                                          
</t>
  </si>
  <si>
    <t>Continued Activity for supporting 75 new CHCs in ODF blocks to achieve Kayakalp   Total Amount - 19800000 (Fund has been asked within 10 lakhs from the districts hence the amount is different for different district)</t>
  </si>
  <si>
    <r>
      <rPr>
        <u/>
        <sz val="11"/>
        <color theme="1"/>
        <rFont val="Arial Narrow"/>
        <family val="2"/>
      </rPr>
      <t>AMB</t>
    </r>
    <r>
      <rPr>
        <sz val="11"/>
        <color theme="1"/>
        <rFont val="Arial Narrow"/>
        <family val="2"/>
      </rPr>
      <t xml:space="preserve">
 Continued Activity: State has taken decision to use AVD courier system of RI to also supply commonly used medicines,  kits and items at VHSND  sites. State has named this innovation as "Arogya Diwas Green Channel"
 This innovation is already approved by GoI in FY 2020-21 under the FMR Code-14.2.14. of 703.69 lakhs for 6 months.
Incentive for Arogya Diwas Green Channel innovation scale up using AVDs to carry medicines to the
VHSND sites @ Rs. 100  per session.
Total Cost= (Total RI sessions 117282 per Month * Rs. 100 for Arogya Diwas Green Channel Logistics* 12 months for FY 2021-22)
= Rs. 140738400 /- </t>
    </r>
  </si>
  <si>
    <t>Continued activity-      Incentive OF CHOs @ Rs.15000 pm   (maximum)                                                                                        
1) Proposed incentive for CHO ,1230 for 12 months - Rs. 221400000/- 
2)Proposed incentive for CHO ,2014 for 12 months - Rs. 362520000/-  
3)Proposed incentive for CH0 687 (80% of 859- Jan-Jun’20 batch) for 8 months - Rs. 82440000/-  
4) Proposed incentive for CHO 840 for 2 months - Rs. 25200000/- 
5) Proposed incentive for CHO 1086 for 2 months - Rs. 32580000  
Total amount is Rs. 724140000/-50% of the same is proposed .</t>
  </si>
  <si>
    <t>Continiued activity                                                                                    
a) Costing for AIIMS Hub:                                                                             
Remuneration of 3 specialist doctors @ Rs.135994 per month per specialist - Total Cost for one month - Rs.4,07,982/-, 
Total cost for 12 months - Rs.48,95,784/- (AIIMS)
b) Costing for other 6 Medical college Hubs:
Continued Activity - 52 Telemedicine sessions by specialist Doctor per month per medical college @  Rs.2000 per session.
Total Monthly Cost of one Medical college Rs. 1,04,000/-. and for 12 months -   Rs.1248000/-  , Total Annual Cost for 6 Medical college - Rs.74,88,000/-
c) Internet Cost - BSNL lease line 8 mbps - Rs 96345 per HUB per Year . Total cost for 241 HUB is Rs- 23219145/-
d) Miscellaneous - Rs-5000/- per HUB per Year . For 241 HUB ( 7 Medical College , 158 PHC , 76 DH).  Total is Rs - 1205000/-
e) Internet Cost for 2750 Spokes ( 1050 APHC-HWC , 1700 HSC) @ 250 per month. For 12 months Total is Rs 8250000/-
f) Miscellaneous for 2750 Spokes ( 1050 APHC-HWC , 1700 HSC)@ 1000 per Spoke per year. Total is Rs-2750000/-
g) POS Printer @ Rs -5000/-, For 1700 spokes (HSC) units, Total is 8500000/-.
New Activity -
HUB - 375 PHC 
a) Desktop,UPS,All in one Printer ,Web Camera, HeadPhone with Mic @ 80000/- per HUB for 375 units is 30000000/-
b) Internet Cost - BSNL 8 mbps lease line @ Rs-96345/- per year per HUB. For 375 units is 36129375/-
c) Miscellanous for 375 units @ 5000 per unit per year. Total is 1875000/-
Spokes - 8578 (329 APHC , 8249 HSC)
a) POS Printer @ Rs -5000/-. For 8578 units Total is 42890000/-.
b) Miscellanous for 8578 units @ 1000 per unit per year. Total is 8578000/-.
c) Internet for 8578 units @ 250 per month. For 12 months ,Total is 25734000/-.
So total amount for all above activities being proposed is Rs - 195274304/-</t>
  </si>
  <si>
    <t xml:space="preserve">Continued Activity:
1) Mentorship by Medical College faculty @Rs.35000 per month for 15 Medical Colleges for 12 months- Rs 6300000/-
New Activity:
2) Bi-annual District Level Review Meetings on HWC Programme @Rs 10000 per meeting for 38 districts- Rs.760000/-
3). Bi - Annual State levell review meeting on HWC Programme -Proposed for 152 District Programme Managers (DPMs, DPCs &amp; DM&amp;EOs, DFLCs) half yearly orientations &amp; review meetings on HWC program  @ Rs. 250/- per participant - 152 X 2 X Rs. 250/- = Rs. 76,000/-
Totalamount required is Rs -7136000/-
</t>
  </si>
  <si>
    <t>At State Level: 15 days ToT of 200 newly selected District ASHA Trainers @Rs.720750/- per batch = Rs. 720750/- x 8 batches = Rs. 5766000/-</t>
  </si>
  <si>
    <t>New Activity: 
1) Administrative Approval is sought for the Total amount ie - 43927500/- out of which 50 % of funds is Proposed for approval in SPIP and remaining funds, if required, shall be proposed in supplementary PIP.
Proposed for CHO induction training @ Rs. 7500/- per CHO for 2929 CHOs - ( 50 % of 5857 CHOs expected by March 2022). 
Total Rs.21967500/-
2) Administrative Approval is sought for the Total amount i.e. - 26356500/- out of which 25 %  of funds Proposed for approval in SPIP and remaining, if required, shall be proposed in supplementary PIP.
Proposed for Training on Elderly and Palliative Care  for CHO @Rs 4500/- per CHO for 1464 CHOs (25 % of 5857 CHOs expected by March 2022) . Total Rs 6588000/-
3) Administrative Approval is sought for the Total amount ie - 26356500/- out of which 25 % of funds is Proposed for approval in SPIP and remaining, if required, shall be proposed in supplementary PIP.
Proposed for Training on MNS and Substance use Disorder for CHO @Rs 4500/- per CHO for 1464 CHOs (25 % of 5857 CHOs expected by March 2022) . 
Total Rs 6588000/-
4) TOT of  District master Trainers on Elderly and Palliative Care  for CHO - Rs 4500/- per Tariner . Total for 76 Trainers is Rs. 34200/-
5) TOT of  District master Trainers on MNS and Substance use Disorders  for CHO - Rs 4500/- per Tariner . Total for 76 Trainers is Rs. 34200/-
Total amount required is Rs - 35211900</t>
  </si>
  <si>
    <t xml:space="preserve">Old Activity: Old Activity: For Implementation of ANMOL in all 38 districts, the fund is proposed for 4G CUG SIM with Internet Connectivity (2.5 GB Data per day) for 17859 ANMs @ Rs. 236/- (Including GST) per CUG SIM per Month for 12 Months. Note : All BSNL CUG SIMs of ANM have been upgraded in to 4G along with 2.5 GB data per day. </t>
  </si>
  <si>
    <t>Old Activity: One day Block Level Orientation-cum-Hands-on monthly Training on HMIS, RCH Register &amp; RCH Portal for 12 months.  The Participants will be ANM, ASHA Facilitator, concern Block Official along with District/Region/State facilitators, Total participants = 27688 X 12 months @ Rs.300/- per participants and total training = 533 X 12 months.</t>
  </si>
  <si>
    <t>Continued Activity: Budget is being proposed for 38 NRCs(20 beded)@25.13 lakh per NRC per annum (based on 70% bed occupancy rate) = 38 NRC*25.13 lakh =  955.04 lakh 
and for 3 NRCs(10 beded) @13.24 lakh per NRC(based on 70% bed occupancy rate)  = 3 NRC*13.24 lakh = 39.72 lakh. 
 Total budget required = 955.04 + 39.72 = Rs. 994.76 lakh
Detail Annexure attached.</t>
  </si>
  <si>
    <t>Continued Activity: Budget is being proposed for ASHA incentive for referal of SAM children to NRC. For 38 NRC(20 beded), total no. of children admitted in a year = 18240 (based on 100% BOR), It is expected that , 70%(12768) of SAM children admitted in NRC are refered by ASHA, therefore amount of incentive = 12768*Rs.100 = 12.76 lakh. 
Similarly,for 3 NRC(10 beded), total no. of children admitted in a year = 720, (based on 100% BOR), It is expected that  70%(500) of SAM children admitted in NRC are refered by ASHA, therefore amount of incentive = 500*Rs.100= 0.50 lakh
For 38 NRC(20 beded), total no. of children discharged in a year = 10944, As per reported data, 70%(7660) of total dicharged chidren are being follow up by ASHA, therefore amount of incentive = 7660*Rs.25*4 visit = 7.66 lakh. 
Similarly,For 3 NRC(10 beded), total no. of children discharged in a year = 400(60% of total admission), As per reported data, 70%(280) of total dicharged chidren are being follow up by ASHA, therefore amount of incentive = 280*Rs.25*4 visit =0.28 lakh.
Total budget required = 12.76 +0.50+7.66+0.28 = 21.20 lakh</t>
  </si>
  <si>
    <t>Continued Activity: Budget is being proposed as below:
1. 4 days training of newly joined SN/ANM/FD/@
305100 per batch for 6 batch = rs.3.05*6 batch = 18.31 lakh
 2. 3 days training of Medical Officer on SAM manangement@2.42 lakh per batch. For 2 batch = 2.42*2 =4.84 lakh 
3. With objective of upgrading the skills and capacity of medical practitioners, community mobilizer and front line workers, the state is planning to organize two days state level orientation @132,800 for two batches of one pediatrician/ medical officer from all 38 districts on identification, care and treatment of SAM in coordination with CoE-IMSAM, PMCH. Budget required = 2 batch * 132800 = 2.64 lakh
4. They will further train all the MOICs , community moiblizers and health managers of blocks and districts on anthropometry, health check up, assessment of dangers signs and level of care and treatment of children with SAM. Every districts will be provided 36700 Rs to organize one day district level orientation. Budget required = 38 batch*36700 = 13.95 lakh
Hence Total budget required = 18.31+ 4.84 +2..64+13.95 = 39.74 lakh</t>
  </si>
  <si>
    <t xml:space="preserve">* As per GoI guidance, Budget is being proposed for NBSU TOT , Training for MO &amp; SN and NBSU data Management training of MO/SN/DEO as per below details-
(1) Three days State ToT (20 person) on NBSU module on clinical &amp; data management @ Rs 280650/- per batch x 1 batch. Total Amount Rs. 280650/-
(2) Three days State/Regional NBSU Training (20 person).  on Clinical practices to train 1 MO &amp; 1 SN from each NBSU@ 247650 per batch * 2 batch = Rs.990600 
(3) One day on data management of SN/Assigned DEO @ Rs. 101900/- per batch x 2 batches = Rs. 203800/- 
Total Budget = 280650 + 990600 + 203800 = Rs.1475050/- 
</t>
  </si>
  <si>
    <t xml:space="preserve">New Activity: 
Total proposed amount Rs. 26236800/-
i) For attending HSC level Cluster Meeting at 2733  HWC for 17179 ASHA + 4685 ASHA Facilitators per month @Rs. 100/- X 12 months X 21864 = 26236800/-
</t>
  </si>
  <si>
    <t xml:space="preserve">Continued:-  Total Proposed Amount = 94685000+17721300 = 112406300
a) 02 Sari @ Rs. 500 for 90000 ASHA &amp; 4685 ASHA Faclitator = Rs. 9,46,85,000/-
b) Six Cotton Mask each for 90000 ASHA, 4685 ASHA Facilitator and 23457 ANMs @Rs. 25 x 6 x 118142 = Rs. 1,77,21,300/- </t>
  </si>
  <si>
    <t xml:space="preserve">Continued: Total proposed Rs. 26,21,84,000/-
a) Remaining 60000 ASHA X Rs. 700 per ASHA X 6 days = Rs. 25,20,00,000/- (Budget Annexure attached )
b) State Master Trainers Honorarium for Supportive Supervision each district 3 batch per month (38 X 3 X 12 months = 1368) Rs. 6000 X 1368 batches = Rs. 82,08,000/-
c) TA for Master Trainer Rs. 1000 per batch X 1368 batches = Rs. 13,68,000
d) State  Visit for  Monitoring  of ASHA training  in all 38 districts 2 times  in a year for 2 days   = Rs. 6,08,000 (Rs. 4000 X 2 days X 76 Visit) </t>
  </si>
  <si>
    <t xml:space="preserve">Continued: Total proposed amount 
Rs.17751400/-
1. DAC, DCM &amp; DDA Review Meeting @ Rs. 180000/- X 2 =  Rs. 3,60,000/-
2. BCM Meeting  611 Participants (534 BCM + 77 State   (11  person X 7 batches.)  X Rs. 700 X 2 days = Rs. 8,55,400/-
3. For Mobility Cost for ARC Team (Rs.16536000/- for State, Division, District &amp; Block) 
a)  Rs. 30000/- X 12 months =  Rs. 360000/- for State.
b)  Rs. 10000/- X 9 DAC for 12 months = Rs. 1080000/- for Division.
c) Rs. 5000/- X 38 DCM for 12 months = Rs. 2280000/- for District.
d) Rs. 2000/- X 534 BCM for 12 months = Rs. 12816000/- for Block.                                           </t>
  </si>
  <si>
    <t>Training would be organized at District level for Block level staff. ANM and LTs can be given refresher training on IHIP.  At @ of rs 450 *534 fund can be proposed.</t>
  </si>
  <si>
    <t xml:space="preserve">30000 for SSU and 15000 for each 38 DSUs. At State level 30000 is required as we need to organise atleast yearly review meeting with District Epidemiologists. There is no other FMR code where we can spend money on training them.
</t>
  </si>
  <si>
    <t>It is planned to utilise the existing infrastructre by incentivizing the 20 peer educators at ART centre and remaining 18 peer educators from RBSK @Rs-3600</t>
  </si>
  <si>
    <t>Village Health Sanitation and Nutrition Committees (VHSNCs) have been constituted at the Panchayat level in Bihar. The ANM as Secretary and the elected Mukhiya / Ward Member as chairperson are signatories of the committee.  The State Health Society Bihar (SHSB) has initiated the process to revise guidelines for the re-constitution of VHSNCs at the ward level to increase local participation and ownership. So it is proposed to restructure the committees from Panchayat to Ward level on a pilot basis in FY 2021-22. This restructuring will take place in 4 selected districts i.e.  Darbhanga, Nawada, Begusarai, and Sheikhpura on a pilot basis to observe the functioning and later replicate the learning across the state of Bihar (Detailed proposal attached). 
In these 4 districts total 10853 VHSNC to be constituted at ward level. The VHSNCs shall be provided with a fund of Rs 500 to meet out the expenditure related to the reconstitution process (Opening of the bank account with cheque facility, Update KYC, VHSNC meeting register, Letter pad, and Stamp, etc.) and a sum of Rs 5000/- as an untied fund for resolution of local issues pertaining to health, cleanliness, sanitization among others as per the state guidelines. In other 34 district of Bihar there are 7613 VHSNC exist at panchayat level and Rs. 10000/- untied fund to be provided  to each VHSNC. Training of VHSNC at ward level to be provided in next financial year.</t>
  </si>
  <si>
    <t>New for NUHM but continued in NHM- 
Work compensesation for beneficiary 
(A) MPA-Antara - 100 dose per UPHC X Rs 100/dose X110 UPHC= Rs 11 lacs 
(B)  PPIUCD- 12 case per UPHC X Rs 300 X 110 UPHC= Rs 3.96 lacs
(C) PAIUCD- 06 case per UPHC X Rs 300 X 110 UPHC= Rs 1.98 lacs 
Total= 11 +  3.96 + 1.98 lacs= Rs 16.94 lacs</t>
  </si>
  <si>
    <t>New Activity :
Remarks revised as per Pre-NPCC discussion. Proposed Rs 125/per session for 4 session in a month total Rs. 500 for each ANM for every month support for  conducting outreach sessions in Urban Areas
Rs  125*4*500 ANM *12 months =Rs 3000000</t>
  </si>
  <si>
    <t>New for NUHM but continued in NHM- 
Incentive for ASHA  under Family Planning:-
(A) MPA-Antara - 100 dose per UPHC X Rs 100/dose X110 UPHC= Rs 11 lacs 
(B) PPIUCD- 12 case per UPHC X Rs 150 X 110 UPHC=Rs  198000 lacs
(C) PAIUCD- 06 case per UPHC X Rs 150 X 110 UPHC= Rs 99000 
(D) EC survey/CNA/Pre-registration during MPV drives- 700 ASHA X Rs200 X 3 drives=Rs  420000
(E) For NPK(Nayi Pahal Kit) distribution 700 ASHA X 2 NPK X Rs 100/ kit. =Rs 140000
(F) ASHA incentive for Saas Bahu Samelan @ Rs 100/ASHA/Quarter - 700*4*100= Rs 280000
Total= Rs 22.37 lacs
Budget is being proposed for IDCF and NDD round under Child Health. For IDCF round incentive of ASHA@100 per ASHA = 100*700 = 0.70 lakh 
and For NDD round incentive of ASHA@100 per ASHA/round, therefore for 2 round of NDD program = 200*700 ASHA = 1.40 lakh.
Total  = Rs. 0.70 +1.40 = 2.10 lakh</t>
  </si>
  <si>
    <t>Continued Activity :
Rs. 6 lakh is the unit cost for Drugs &amp; consumables for each UPHC-HWC, so the total cost for existing 110 UPHCs-HWC is comes around Rs. 660 lakh (Total = Rs 6,00,000*110 UPHC-HWC= Rs. 6,60,00,000)
Total cost for 110 UPHC-HWC is = Rs. 6, 00,000x110 UPHC-HWC = Rs. 6, 60, 00,000/-. Proposed 50 percent of total cost Rs. 3, 30, 00,000/- for approval and the same will be used for procurement of drugs &amp; consumables for UPHC-HWCs.  Subsequently state will propose the balance amount i.e. 50% (Rs. 3, 30, 00,000/-) in supplementary PIP if required.</t>
  </si>
  <si>
    <t>New Activity:
Remarks revised as per Pre-NPCC discussion. Proposed Rs. 500/- per Bag to ASHA for storing the drugs and the required drugs will be provided by concerned UPHCs</t>
  </si>
  <si>
    <t>Continued  Activity
Remarks revised as per Pre-NPCC discussion. Proposed Rs. 20000 per UPHC-HWC for lab consuambles and  recurring cost for lab services in UPHC-HWCs as per CPHC guideline. 
Total = Rs 20000*110= Rs 22,00,000/-</t>
  </si>
  <si>
    <t>New for NUHM but continued in NHM- 
Remarks revised as per Pre-NPCC discussion. Proposed Nayi pahel kit for newly wed @ Rs. 250* 1400 kit =Rs. 3,50,000 /-</t>
  </si>
  <si>
    <t>Continued Activity:
Annual increment @ 5% for 8 working staff nurse (current salary Rs. 25468/PM*5% annual increment) Rs. 1273*8 SN*12 month= Rs. 1,22,208/-</t>
  </si>
  <si>
    <t>(A) Incentives to Service providers-
 PPIUCD - 12 case per UPHC X Rs 150 per case X 110 UPHC =  Rs 198000
 PAIUCD - 06 case per UPHC X Rs 150 per case X 110 UPHC =  Rs 99000
Total = Rs. 2,97,000
(B) Incentive to nodal consultant for initiation/availability of all FP services at every UPHC in the district. Rs 5000 x 10 such district = Rs 50000 
Grand total - Rs. 297000+Rs. 50000= Rs. 347000</t>
  </si>
  <si>
    <t>per batch</t>
  </si>
  <si>
    <t>Continued Activity 
Proposed training for QA  for  1 batch of potential facilities 
Total= 266000*1= Rs. 2,66,000</t>
  </si>
  <si>
    <t>(A) Integerated IUCD training - 9 batch (1 batch/division) X Rs 1.5 lacs = Rs 13.5 lacs
(B) MPA- Antara &amp; OCP- Chaaya training (including FPLMIS) - 25 batch X Rs 65000 = 16.25 lacs                                                                                                                (C) FPLMIS training for ASHA - Rs 10000  per batch X 17 batch = Rs 1.70 lacs
. Total = Rs 31.45 lacs</t>
  </si>
  <si>
    <t>Continued Activity :
a) Internal Assessment of 110 UPHC-HWCs - Rs 500*110= Rs 55000
b) Peer Assessment of 110 UPHC-HWCs-5000*110=Rs 550,000
c) External Assessment of 25 UPHC-HWCs- Rs 8000*25= Rs 2,00,000
Total = Rs 55000+Rs550,000+Rs 2,00,000= Rs 8,05,000</t>
  </si>
  <si>
    <t>Continued Activity :
Salary for 1 State Urban Health Programme Manager @ Rs 70,196 for 12 month= Rs 70196*12= Rs 842352/-
Salary for 1 State Urban Health Finance manager @ Rs 49,138  for 12 months = Rs 49138*12= Rs 589656/- 
Salary for 1 Urban Health Planning Consultant @ Rs 35000 for 6  months = 35000*6 = Rs 210000
Cost for one DMU at state level  is Rs. 20451/- (Computer Operator/DEO Salary including EPF and ESI Rs. 14991/-, Charge for Laptop/Computer set with Web Camera, Biometric device, laser jet printer with scanner, data card etc.. Rs. 900/-, Service charge per DMU Rs. 1440/- (Total=Rs. 17731/-), GST @ 18% Rs. 3120) for existing  one position.  Rs. 20451 *12*1= Rs. 2,45,412/-
Total = 842352 + 589656 + 210000 + 245412 = 1887420/-</t>
  </si>
  <si>
    <t xml:space="preserve">Continued Acitivity :
Salary for District Urban Health Consultant for exisitng and working 2 consultant @ Rs. 49,138/-* 12 months = Rs. 49138*12= Rs. 1179312/-
Salary for 13 sanctioned  &amp; vaccant positions - 35000*13*9= Rs 4095000
Slalary for 7 New proposed District Urban Health Consultant @ 35000 for 1 months = 35000*1*7 = 245000
Total =  1179312 + 4095000 + 245000 = 5519312
</t>
  </si>
  <si>
    <t>Continued Activity :
Salary for City Urban Health Consultant @ Rs 35000 for 6 months = 35000*6= 210,000
Salary for City Urban Health Finance Consultant @ Rs 30,000 for 6 months = 30,000*6= 180,000
Salary for City Urban health MIS Consultant  @ Rs 30,000 for 6 months = 30,000*6= 180,000
Salary for City Urban Health Community Process Consultant @ 30,000 for 6 months =180,000
Cost for one DMU at CPMU level  is Rs. 20451/- (Computer Operator/DEO Salary including EPF and ESI Rs. 14991/-, Charge for Laptop/Computer set with Web Camera, Biometric device, laser jet printer with scanner, data card etc.. Rs. 900/-, Service charge per DMU Rs. 1440/- (Total=Rs. 17731/-), GST @ 18% Rs. 3120) for existing  one position.  Rs. 20451 *12*1= Rs. 2,45,412/-
Total= 210,000+180,000+180,000+180,000+245,412= Rs 995412/-</t>
  </si>
  <si>
    <t>Continued Activity:
Annual increment @ 5% for 2 working District Urban Health Consultant (current salary Rs. 49138/PM*5% annual increment) Rs. 2457*2 DUHC*12 month= Rs. 58,968/-
Annual increment @ 5% for working State Urban Health Programme Manager (current salary Rs. 70196/PM*5% annual increment) Rs. 3510*1 SPM*12 month= Rs. 42,120/-
Annual increment @ 5% for working State Urban Health Finance Manager (current salary Rs. 49138/PM*5% annual increment) Rs. 2457*1 SFM*12 month= Rs. 29,484/-
Total Rs. 58968 + 42120 + 29484 = Rs. 1,30,572/-</t>
  </si>
  <si>
    <t>New Acitivity :
1) Parivaar Niyojan Diwas (PND)/Khushaal Parivaar Diwas (KPD) at UPHC to establish service of spacing methods (IUCD, Injectables, pills etc) for family planning. - Rs 3000 per PND X 110 UPHC X 6 months= Rs 1980000. 
2) Model FP services for Two UPHCs of the State (Buxar &amp; Bagha)  proposed @ Rs 500000 *2 = Rs. 1000000 (for Strengthening Urban PHC Buxar and Bagha of West Champaran  for provision of Sterilization Services)
Detailed justification sheet is attached</t>
  </si>
  <si>
    <t>e-Round &amp; Telecommunication for AES patients in PICU</t>
  </si>
  <si>
    <t>Medical College</t>
  </si>
  <si>
    <t>e-Round &amp; Telecommunication for AES patients in PICU.A pilpt project by AIIMS ,Patna. Detail Sheet Attached</t>
  </si>
  <si>
    <t xml:space="preserve">Annex.I-List of PICU equipments as per GoI norms,attached. Annex.II- Unit cost of PICU equipments by BMSICL, Patna as per list  decided by GoI attached. Annex.III- Complition of 15 PICU &amp; UC details  by BMSICL,Patna  as per list  decided by GoI attached. Annex.IV- Demand of additional PICU equipments one time as per Revised SOP-2021 attached  for 15 GoM districts @ Rs. 5.00 Lakh each,total Rs. 75.00 Lakh in.   </t>
  </si>
  <si>
    <t>31 PHC+ 7 Dist</t>
  </si>
  <si>
    <t>Budget proposal for awards towards elimination of Kala-azar (1) 31 PHCs are eighter achieved elimination or    (2) 7 districts achieved elimination.</t>
  </si>
  <si>
    <t>IEC &amp; BCC for IRS @6000/- per affeceted PHC /round,10 Lakh for State level IEC</t>
  </si>
  <si>
    <t xml:space="preserve">    (1)94.78Lakh(4months)  IRS mobility during IRS ,         (2)Rs. 65.60. Lakh for remaining 8 month mobility  as per NVBDCP Remark.                                                 (3)  32.48 Lakh rs. for Task force meeting &amp; evening briefing at PHCs level  (As per direction by Nvbdcp.Detail sheet attached)         (4) 14.73 Lakh for Tablet for KTS/VBDS @ Rs. 13000 per Tablet and internet charges @ Rs.200/- month.                                                              (5)   71  lakh for POL/DA   as per direction by NVBDCP vide Letter no. 14-2-NVBDCP/MTD/APPT.-staff                 (6) 11.92 Lac for motorcycle maintenance @8000/-year for KTS.                                                                                                      (7) Total Rs.32.93. Lakh for 33 District,4 ZMO office @ Rs.60000/-Yearly / District &amp; State HQ @Rs.10.83 Lakh yearly for Office Automation/ annual contigency including maintenance of electronic and electrical equipment,walking cooler,Generator maintenance, Generator fuel,Maintenance of ILR in the district.  yearly contigency,(Details sheet attached)                                                         (8)   Rs.146.00 Lakh for replacement of old motor cycle to  new ones  as well as new scooty (Female) for KTS/VBDS  (including insurence &amp; registration ) as per direction given by Joint secreatory ,GoI on virtual meeting held on 30.12.2020 under the chairmanship of Hon'ble H &amp; FW GoI,   14 scooty    for female VBDS and 132 motor cycle for male VBDS.( Detail sheet attached. ) (9) 81.90 Lakh for RMRI pilot project in 4 endemic PHCs of saran and Siwan @ Rs.4095400/- per round .(Detail sheet attached)                               </t>
  </si>
  <si>
    <t>Dist &amp; state</t>
  </si>
  <si>
    <t>Fund proposed for preparedness and containment of out breaks of Dengue and Chikungunya in 2021. As per last three years case load of districts, Rs 2 lakhs each for 3 districts, Rs 1 lakh each for 33 districts and Rs 50,000 each for two districts.                                                        Fund proposed as per direction given in NVBDCP remarks coloumn.</t>
  </si>
  <si>
    <t>This FMR Fund proposed in FMR code 16.1.5.3.9</t>
  </si>
  <si>
    <t>Although, zonal entomological units are not functional in state but at state level one state entomologist is working in IDSP at SHSB, Bihar. Also two insect collectors and one LT are  available. So, we can use their service for entomological work in state. The entomological surveillance is also continuing on regular basis in context with different vector borne diseases at state level under the leadership of State Entomologist (IDSP, SHSB). Therefore, the proposed amount can be approved to support entomological surveillance in state.</t>
  </si>
  <si>
    <t>Dist &amp;State</t>
  </si>
  <si>
    <t>Proposed amount is for mobility support for supervision to 7 high Malaria endemic districts @ Rs 2.4 lakhs each during DDT Spray period(June to October) and  transportation of LLINs from district HQ to PHCs, 11 lesser Malaria districts @ Rs. 50,000/- each and the rest 20 districts @ Rs. 40,000/- each for transportation of RDT Kits from state HQ to district HQ and mobility support during epidemic period. At state level Rs. 13.1 lakhs for transportation of LLINs from State HQ to district HQ, also for State level miscellaneous mobility activities related to the programme.        7 districts X Rs. 2.4 lakhs = 16.8 lakhs            11 districts X Rs. 50,000 = 5.5 lakhs                                                     20 districts X Rs 40,000 = 8.0 lakhs                                             1 X State Rs 13.1 = 13.1 lakhs                                                        Rs 43.4 lakhs                                                                                           As per direction given in NVBDCP remarks coloumn</t>
  </si>
  <si>
    <t>Although, 13 districts reported zero indigenous case in 2020, but actually this is due th very low surveillance work, closer of OPD most of the time in Govt. hospitals due to Corona pandemic in 2020. So, state not propose budget for Malaria elimination certification in FY 2021-22</t>
  </si>
  <si>
    <t>Due to lack of Human Resources in state, it is not possible to utilize 10 lakhs RDT kits in a year. With the present HR, the state can utilize maximum of 3 to 4 lakhs of RDT kits only. The stock of 2.5 lakhs of RDT kits of expiry date August and October 2021 is already available at different PHCs and district hospitals of the state, supplied in 2019 and 2020 by GoI and BMSICL. Due to Corona pandemic in 2020, the surveillance work of Malaria was very low, hence utilization of kit was low.                                                                                         Therefore, state has proposed the amount for 3 lakhs of RDT kits only for FY 2021-22.</t>
  </si>
  <si>
    <t>SSHs</t>
  </si>
  <si>
    <t>For 180 IgM Kits (150 Dengue + 30 Chikungunya) to be supplied by GoI in 2021 @ Rs 11150 per kit.</t>
  </si>
  <si>
    <t>Fund proposed for repairing/maintenance of 107 reparable fogging machine at district HQ and State HQ @ Rs 10,000/- each approximately.                                           Fund proposed as per direction given in NVBDCP remarks coloumn</t>
  </si>
  <si>
    <t>Fund proposed for Indoor space spray for Control of Dengue &amp; Chikungunya expected 4000 to 5000 cases in 2021 (Average of last three years case load of state). The Pyrethrum extract 2% space spray includes the  cost for purchase of 285 Ganesh Hand Sprayer Pump @ Rs 2500/- per piece approx, Cost of 500 litre of Pyrethrum extract 2% @ Rs 1200@litre approximately, Wages for hired labour for space spray work, Cost of about 10,000 litres of Kerosene oil (1:19, 1 litre Pyrethrum : 19 litres Kerosene oil), Mobility cost for space spray work. The average spray cost per Dengue/Chikungunya case is about Rs 500 to Rs 600/-</t>
  </si>
  <si>
    <t>9 SSHs</t>
  </si>
  <si>
    <t>For 9 Dengue &amp; ChikungunyaSSHs in Bihar @Rs1.0lac/- each as operational cost recurrent as per GoI norms.</t>
  </si>
  <si>
    <t>Actually, the proposed amount is to kill the infected Aedes mosquitoes (Vector of Dengue &amp; Chikungunya) by Outdoor Malathion fogging 500 meters around the residence of each of Dengue/ Chikungunya postive case. The proposed amount is based on expected 4000 to 5000 Dengue &amp; Chikungunya case in 2021 (average of last three years cases). In 2020, the low Dengue &amp; Chikungunya cases in the state was due to COVID-19 pandemic. The outdoor Malathion fogging cost includes the cost of Diesel, petrol, wages of hired labour for fogging work and mobility support for fogging work. The average fogging cost per Dengue/Chikungunya case is around Rs 1000/-</t>
  </si>
  <si>
    <t>Active Case Detectection and Regular Surveillance in approx 1080.00 Lakh Population</t>
  </si>
  <si>
    <t>Incentive for Treatment Completion of PB case @ Rs.400/-</t>
  </si>
  <si>
    <t>Incentive for Treatment Completion of MB case @ Rs.600/-</t>
  </si>
  <si>
    <t>Continued Activity-         Proposed for printing of registers, operational guidelines, training materials for 3987(50% of 7974 HWCs 5100 + 2874 HWCs in FY 2021-2022) @ Rs. 4000/- per HWCs 
So the total amount needed Rs. 15948000.00/-</t>
  </si>
  <si>
    <t>After NPCC Discussion, 
We shifted this Activity from FMR code-2.3.2.1 to 18.4.2 under innovation head. Organizing NCD Screening Camp on every Thursday at functional 1700 HSC and APHC. At least 15 person  must be Screened at each camp. 
Amount required  (1700*52*250)=221 Lakhs 
Each Centre will get (52 Weeks *Rs 250 per camp) Rs 13000 per year for Refreshment.</t>
  </si>
  <si>
    <t xml:space="preserve"> After Discussion at NPCC, 
New Activity:   Fund Proposed  for  Universal Screening  of Common NCD  &amp; Awarness Programme with Collaboration  with Tata Memorial Hospital (TMH)   in 14 District (Muzaffarpur, Darbhanga, Madhubani, Vaishali, Siwan, Samastipur, Supoul, Begusarai, Patna, Nalanda, Bhojpur, Aurngabad, Gaya, and  Bhagalpur)
1. Medical Consumable ;Already demanded in FMR Code - 6.2.19.2                                                                            2. Mobilization  Screening Camp   for Vehicle :  1680000                                                                                                       (Vehicle 40000 Per  Month    Per District  for 3 Month (40000*14*3=1680000                                                                                               3. Office Exp  Already demanded in FMR Code - 11.22.2  and 1.3.1.8                                             4. Management of Suspected Cases   :  (360000+120000)=480000                                                                                                     (a) Investigation of Suspected  Cases 400 Per Month   ( Rs 300*3 Month*400 cases )=360000                             
(b) Travelling &amp; Local Conveyance  for  400 Patient  Per Month ( Rs 100* 3 Month *400 Cases )=120000      
Total Requirment of Fund (1680000+480000)=21,60,000   </t>
  </si>
  <si>
    <r>
      <rPr>
        <b/>
        <u/>
        <sz val="11"/>
        <rFont val="Arial Narrow"/>
        <family val="2"/>
      </rPr>
      <t>New Activity :</t>
    </r>
    <r>
      <rPr>
        <sz val="11"/>
        <rFont val="Arial Narrow"/>
        <family val="2"/>
      </rPr>
      <t xml:space="preserve">
The state has identified that owing to multiple practical challenges, there is a need to establish an Integrated System at the state level, to keep close watch over the different service delivery challenges and improve the overall patient experience. Further, the focus is on Orchestration of the complete Health system, including Hospital Excellence, Patient Experience and FLW Service Excellence.
Therefore, the state has decided to undertake Digitization process across 38 Districts.
Details as annexed.
</t>
    </r>
  </si>
  <si>
    <t>Fund proposed for 38 districts</t>
  </si>
  <si>
    <t>Upgradation from PHC to CHC</t>
  </si>
  <si>
    <t>HWC</t>
  </si>
  <si>
    <r>
      <t xml:space="preserve">Continued Activity:
1. State, District &amp; Block Level Training and   Launching of  biannual Vitamin A round at state @ Rs. 1 lakh/round, at District @Rs. 10000/round &amp; Block Level @Rs. 5000/ round
Fund Calculation: Vitamin-A 
A. Supplementation round Inauguration-
(50000 X 1) +(10000 X38X1)+(534X4000X1)
 = 25,66,000/-
B. Orientation meeting-
Block Level : 117501 vaccinator X 1 X 50 = 5878050/-
Total amount= A+B
2566000+5878050 = 8444050/-
</t>
    </r>
    <r>
      <rPr>
        <b/>
        <u/>
        <sz val="11"/>
        <color theme="1"/>
        <rFont val="Arial Narrow"/>
        <family val="2"/>
      </rPr>
      <t>AMB</t>
    </r>
    <r>
      <rPr>
        <b/>
        <sz val="11"/>
        <color theme="1"/>
        <rFont val="Arial Narrow"/>
        <family val="2"/>
      </rPr>
      <t xml:space="preserve">
1. Training on comprehensive AMB training tool kit (5 batches State Level Trainings+151 Batches district level training)
At State level participants will be Health (DIO+DCM+ RPM), ICDS (DPO+1 CDPO), Education DPO (SSA)+DEO and Development Partners and at District level participants will be One BEEO+2 BRP, CDPO+LS, BCM + MOIC. 
Unit cost for one batch training is Rs. 19,164 including Job aid (Pen, Pad, Folder Etc.) + Participants Kit (Photo copy of resource material), Resource fee for the resource person, Lunch, Tea, Snacks to the participants, Audio-Video support (LCD Projector, screen,  mike etc), Venue charge, Banner and Incidental expenses
2. District Level- 63 batch one day refresher training / orientation of DIOs/DCMs/MOICs  District/Block Store Keeper/Pharmacist, Block BHM/BCM on AVD Green channel program to strengthen the AMB IFA supply chain management </t>
    </r>
  </si>
  <si>
    <t>Continued Activity:
A) POL for vaccine delivery from State to district and from district to PHC/CHCs @Rs. 40000- Rs. 65000 per month from RVS-SVS-RVS, @ RS. 2500 per DVS per month, @ Rs. 3000 - Rs. 6000 per district by monthly for logistic shipment and Rs. 1000 per month per DVS to CCP. Calculation has been done on the basis of distance from store to store. Due to erratic logistic supply from GoI and increase in fuel price &amp; labour cost this is the bare minimum cost.
We disburshment the fund for POL on above said basis, GoI has approved Budget for this head @200000/- each districts for the year i.e. 200000 X 38= 7600000/-
B) Earlier most of the vaccines were being supplied on door delivery basis but presently it is being supplied by Air mode (PP + RI). In this situation vaccine transportation cost including handling charges has increased so an amount of Rs 500000/- (five lakhs only) is being requested for this activity.
C) Govt. of India vide e Mail have recently alloted various New cold chain equipments, the supply of which is in pipeline and in FY 2021-2022 DF/ILR/WIC/WIF/Non electrical CCE are also expected to arrive. For transportation of the equipments to districts from State ware house an amount of Rs 2000000/- (twenty lakhs only) is being requested for this activity.
Total Budget  of A+B+C i.e.
7600000 +500000+2000000 = 10100000/- ( One Crore One Lakhs)
D. COVID 19 Vaccine transportation from Airport to SVS - RVS &amp; DVS .
As you are aware that COVID-19 vaccination programme is going on in full swing. Vaccines &amp; Logistics for the COVID-19 vaccination is being supplied through Immunization cell. Due to erractic supply of COVID-19 vaccine, no . trips for vaccine lifting has increased and also COVISHIELD vaccine is not being supplied on door delivery basis. SVS Bihar have to bring the vaccine at its own cost from Airport. Fund Requirement is as below:
Air port to SVS etc. =  30000/- per month X 12 months = 360000/-
For RVS 100000/- per year for 10 RVS = 1000000/-
For DVS 100000/- per DVS for 38 Districts = 3800000/-
Total FUnd required = 10100000 + 360000+1000000+3800000= 1,52,60,000/-</t>
  </si>
  <si>
    <t xml:space="preserve">Continued Activity …...
A.) Alternative Vaccine Delivery in other areas @ Rs. 90 per session for 87166 session sites i.e. 87166 * 90* 12 = Rs 94139280/-
B.) Alternate Vaccine Delivery for COVID 19 Vaccination session site in outreach areas
87280 sessions (per HSC 8 sessions per month) per month for 6 months i.e. 87280 X 90X 6 = 47131200/-
Total Fund required A +B = 94139280+47131200 = 14,12,70,480/-
</t>
  </si>
  <si>
    <t>ontinued Activity:
IIncentive under Routine Immunization
1. Full immunization @ Rs. 100 per beneficiary, for 3000000 beneficiary 
2.Rs. 75/- for complete Immunization,for 2560000 beneficiary  
3.  2nd DPT booster  @ Rs. 50 per beneficiary, for 2200000 beneficiary 
4. Due list preparation @ Rs. 300 per session  for paid mobilizer/link worker where Asha do not work.Total Session without ASHA: 30517
5. Yearly Survey &amp; Monthly updation @ Rs. 300 per session  for paid mobilizer/link worker where Asha do not work. Total Session without ASHA: 30517 i.e. (3000000 X 100)+(2560000X75)+(2200000X50)+(30517X12X300)+(30517X12X300)=821722400/-
Kindly approved Rs. 82.17 Cr., However it is subjected to actual expenditure .state will propose more in supplimentry if needed.</t>
  </si>
  <si>
    <t>As per gap analysis &amp; requirement sent by Blood bank there isrequirement of 24 BBR &amp; 31 Tube sealer in blood bank.
Rs. 26.35 Lac for 31 Table top tube selar @ 85000
Rs. 42.0 Lac for 24 BBR @ Rs 175000
Rs. 7.2 Lac for 72 Hemoglobinometer @ 10000/=
Rs. 30 Lakh for 1 new blood bank in SDH Barh Patna.
2. Rs 15 Lacs for 500 VBD camp @ RS 3000/camp
3. Rs 56.4 lakh for kinds and consumable of 47 blood banks @ Rs 10000/months
Total Rs 176.95 Lacs</t>
  </si>
  <si>
    <t>Continued activities:  
Transportation Cost of JSSK Patients @ Rs. 500/- per delivery x 2150000 (Total number of delivery) = 1,07,50,00,000/-
                   Total  Amount =   Rs. 1,07,50,00,000/-</t>
  </si>
  <si>
    <t xml:space="preserve">(i) Continued activity - 
a) 120 ALSAs (105 ALSAs are already plying under 102. + 15 ALSAs to be inducted in the fleet of 102 which are to be donated by Power Grid Corporation of India before March 2021). For this the proposal of OPEX @ Rs. 1,44,000/- per month per ambulances  for 12 months. 
b) As per NPCC discussion booking of OPEX (including the cost of centralized 102 call centre) of these 744 BLS ambulances will be booked in NHM FMR Code- 7.1 (Free Referral Transport – JSSK for Pregnant Women). Since, these 744 BLS ambulances runs through centralized 102 call centre its expenditure (OPEX) will be booked under JSSK but abovementioned 744 BLS ambulances will be utilized comprehensively for all type of patients.
c) 432 BLSA agency owned BLAs Ambulances. The proposal of OPEX @ Rs. 1,30,000/- per month per ambulances  for 12 months. 
d)  125 Additional Ambulances owned by Districts under various schemes, MP/MLA Lads. The proposal of OPEX @ Rs. 1,20,000/- per month per ambulances  for 12 months. 
e) 93 MVs are already plying under 102. For this the proposal of OPEX @ Rs. 84,000/- per month per ambulances  for 12 months. 
The details are given bellow:-
a) 120 ALSAs x 12 x @ 1,44,000/-    =     20,73,60,000/-
c) 432 (Agency Owned BLSAs) x 12 x @ 1,40,500/-     =    72,83,52,000/-
d)  125 (MPs / MLAs Lad) BLSAs x 12 x @ 1,20,000/- =    18,00,00,000/-
e)    93 MVs   x 12 x @    84,000/-     =       9,37,44,000/-
                    Total  Amount =                 1,20,94,56,000/-
Note: The OPEX rate of BLSA / ALSA / MV in state has been revised by letter no. SHSB/GA/RT/4460/2019/4201 dated 12/09/2020 according to CPI. On the basis of that, increased OPEX rate has been proposed.
(ii) To achieve population proportionately norms that is 1 (one) ALSA for 5 Lakhs population and 1 (one) BLSA for 1 Lakhs population, State is proposing 150 ALSA and 100 BLSA in the existing fleet of ambulances so that the total number of ALSA will be 270 and the number of BLSA will be 1401. So, as per NPCC discussion OPEX and CAPEX cost of 150 ALSA and 100 BLSA for 9 months is given bellow:-
              a) 150 ALSAs x 09 x @ 1,79,000/-   =     24,16,50,000/-
              b) 100 BLSAs x 09 x @ 1,40,500/-   =     12,64,50,000/-
                               Total Amount =     36,81,00,000/- 
           Grand Total (i) + (ii) =              1,57,75,56,000/-
 </t>
  </si>
  <si>
    <t>Continued activity.
1. Direction has been given from SHSB to DHS Darbhanga to initiate tender process for selection of agency to operate 6 MMUs in the Darbhanga district. So OPEX of 6 months has been proposed:- 
            6 MMus x 6 Months  x @ Rs. 2,00,000/-  = Rs. 72,00,000/-
New activity.
1. 6 MMUs provided by SJVN through CSR for Buxar Parliamentary Constituency  to DHS Buxar. So OPEX of 6 months for 6 MMUs has been proposed:-
            6 MMus x 6 Months  x @ Rs. 2,00,000/-  = Rs. 72,00,000/-
Total Amount = 12 MMUs x 6 Months  x @ Rs. 2,00,000/-  = Rs. 1,44,00,000/-</t>
  </si>
  <si>
    <t xml:space="preserve">Rs. 190000 (One lakh ninty thousand) per batch approx ..total target in FY 2021-22 is 29 batches                                                                                                                                                                                                                                    1 : For Primary Health care Centres/CHC/Health and wellness centres- MBBS Medical OfficersTotal number of medical officers to be trained in one year: 600
Duration of training: 3 months 
Each batch 50 Doctors will be trained  (may vary depending on the district)
Mode of training: Blended – 2 days of Onsite training By NIMHANS, Bangalore Psychiatrists at the District Headquarters and Subsequent Online training sessions
Total number of batches in one year : 11 batches .                                                                                                              2 : Training Program for Community Health Officers(CHOs)
Total Number of CHOs to be trained in one year: 900
Duration of training: 2 months
Each batch 50 CHOs will be trained (may vary depending strength of CHOs in the a district)
Mode of training: Blended – 2 days of Onsite training By NIMHANS, Bangalore Psychiatrists at the District Headquarters and Subsequent Online training sessions
Total Number od Batches: 18 batches </t>
  </si>
  <si>
    <t xml:space="preserve">Continued activity-      REMUNERATION OF CHOSs @ 25000 pm                                                                                             
1) Proposed remuneration for CHO ,1230 for 12 months - Rs. 369000000/- 
2)Proposed remuneration for  CHO ,2014 for 12 months - Rs. 604200000/-  
3)Proposed remuneration for new CHO 687 (80% of 859- Jan-Jun’21 batch) for 8 months - Rs. 137400000/-  
4) Proposed remuneration for new CHO 840(80% of 1050- Jul-Dec'21 batch) for 2 months - Rs. 42000000/- 
5) Proposed remuneration for CHO 1086 (BSc integrated) for 2 months - 54300000   
Total amount is Rs. 1206900000
</t>
  </si>
  <si>
    <t>The proposed amount includes 5% of the total HR Budget for  Annual increament and lumpsum amount for Experience Bonus  of existing employee.</t>
  </si>
  <si>
    <t xml:space="preserve">Proposal is only for EPF (Employer's contribution) @ 13.36% for staff drawing salary &lt;= Rs.15000 per month as on 1st April 2015 and any other staff hired at Rs.15000 or less after 1st April 2015. </t>
  </si>
  <si>
    <t>Continued Activity:
Salary for 8 SN - Rs. 25,468= Rs 25468 * 8*12= 24,44,928
for exitsing &amp; vaccant position 322 SN -  @ 20,000 * 06*322 = 38640000
90 SN -for  New Proposed 30 UPHCs  for FY 21-22 ( 20000*1 month *90= Rs 1,800,000)
Total = 24,44,928 + 38,640,000 + 1,800,000= 4,28,84,928</t>
  </si>
  <si>
    <t>1. Lab consumables for LPA (IRL, Patna and JLNMCH, Bhagalpur, VIMS, Pawapuri, Narayana Medical college, Rohtas) and Liquid culture (IRL, patna, JLNMCH, Bhagalpur and IGIMS, Patna) laboratories . Non proprietary items other than Central supply from CTD (LPA cost 1000 sample-3.08 Lakh, LC cost 1000 sample-6.14 lakh, proposed amount is 50% of the estimated optimum utilization cost). In additional consumables required for the National TB Prevalence Survey. 2.sputum microscopy consumables- about 60% of the estimated cost of the consumables because of lab technician involved in COVID works. 3. Presumptive TB cases with Digital X-ray screening for presumptive cases(@10 Xray /machine/day (25 working day*12 month) for 28 X-Ray machine site. 4. 50000 CBNAAT cartridges for Screening vulnerable groups and offering UDST at 70+2(Van) CBNAAT sites in 38 districts (@INR1200)</t>
  </si>
  <si>
    <t xml:space="preserve">As per HMIS Institutional Delivery to be conducted at Public Health Facilites FY 2021-22 is approx.  16,00,000 and expecting 5% increase on Institutional Delivery an approx. 17,00,000 instituional delivery is expected in FY 2021-22.  Out of 17,00,000 deliveries 16,50,000 normal delivery and 50,000 c.section is expected. Based on these budget is being demanded as mentioned below:    </t>
  </si>
  <si>
    <t>Budget is being proposed-</t>
  </si>
  <si>
    <t>(A) Amount for normal delivery - 1650000*350 = Rs.577500000</t>
  </si>
  <si>
    <t>(B) Amount C-Section- 50000*1600=Rs.80000000</t>
  </si>
  <si>
    <t>Total Amount- Rs.577500000+Rs.80000000 =Rs. 657500000</t>
  </si>
  <si>
    <t xml:space="preserve">Continued Activity As per HMIS Institutional Delivery to be conducted at Public Health Facilites FY 2021-22 is approx.  16,00,000 and expecting 5% increase on Institutional Delivery an approx. 17,00,000 instituional delivery is expected in FY 2021-22.  Out of 17,00,000 deliveries 16,50,000 normal delivery and 50,000 c.section is expected. Based on these budget is being demanded as mentioned below:    
Budget is being proposed-
(A) Amount for normal delivery - 1650000*350 = Rs.577500000
(B) Amount C-Section- 50000*1600=Rs.80000000
Total Amount- Rs.577500000+Rs.80000000 =Rs. 657500000. But currently proposal is for only Rs. 5000.00 lakhs
</t>
  </si>
  <si>
    <t xml:space="preserve">Continued Activity.
As per HMIS Institutional Delivery to be conducted at Public Health Facilites FY 2021-22 is approx.  16,00,000 and expecting 5% increase on Institutional Delivery an approx. 17,00,000 instituional delivery is expected in FY 2021-22.  Out of 17,00,000 deliveries 16,50,000 normal delivery and 50,000 c.section is expected. Further demand is also being made for diet for benificaries under PMSMA. Based on these budget is being demanded as mentioned below:   
 Budget is being proposed-
(A) Amount for normal delivery -16,50,000*3*100 = Rs.495000000
(B) Amount C-Section- 50000*7*100=Rs.35000000
(C) PMSMA- Refreshment for 8 lakhs benificiaries @Rs. 50 per benificiaries- 800000*50=   Rs. 40000000.
Detail Proposal Annexed
Total Amount- Rs.495000000+Rs.35000000+Rs.40000000 = Rs. 570000000
</t>
  </si>
  <si>
    <t xml:space="preserve">New Activity
For the construction of Asha/ANM Meeting hall in 239 Blocks of 38 districts @ Rs 75 Lakh per unit. So in this light administrative  Approval is required for 100 unit x 75 Lakh = 750000000. 
Token money @ 25 % of the total cost is required which comes to Rs 18.75 crore/- for this financial Year. </t>
  </si>
  <si>
    <t xml:space="preserve">New Activity
HWC construction of various dist in Bihar @ Rs 75 Lakh per unit. So in this light administrative  Approval is required for 200 unit x 75 Lakh = 1500000000. 
Token money @ 25 % of the total cost is required which comes to Rs 375000000/- for this financial Year. </t>
  </si>
  <si>
    <t xml:space="preserve">The State is falling short of no. of 30 bedded CHC's as per IPHS norms. In order to bridge the existing gap the State is proposing upgradation of 50 PHC's into CHC's at unit cost of 6.97 Crores each.
Administrative approval is required for 
50 unit x 69700000= Rs. 3485000000/
Token money @ 25 % of the total cost is required which comes to Rs 871250000/- for this financial Year.   </t>
  </si>
  <si>
    <t xml:space="preserve">Continued activity:
Various Awareness Generation Activities related to elderly program.
1. Publication of Advt.  (1 time) - Rs. 200000 (In 3 daily newspaper in Hindi, English &amp; Urdu).
2. Broadcasting of Audio/Jingle - Rs. 300000 (In Local Radio Channels)
3. Advt. on Bus Panel Hoarding etc. - Rs. 300000
Total Fund Required = Rs. 200000+300000+300000=800000 
</t>
  </si>
  <si>
    <t>Continued activity:
Fund Required for Celebration of International Elderly Day
1. State Level Celebration - Rs. 300000
2. District Level Celebration @ Rs. 12500/- Per District.
Rs. 12500x38 = 475000
Total Fund Required - Rs. 475000+300000 = Rs. 775000.00</t>
  </si>
  <si>
    <t>Continued Activity:
1. Printing of 3 types of Labour Room Case Sheet for Labour Room and Labour Room Register.
2. Printing of Pre/post-test questionnaire (2 sets per participant, OSCE sheet, Partograph for participants &amp; Case Study, Trainer's Feedback Form, Training skills checklists and session planning format etc. under "LAKSHYA Karyakram"
3. Printing of CAC 5 Items such as Admission Register, Evacuation Register, Consent Form, RMP Opinion Form and Form H.
Approx 500000 rupees required for these items.
(Calculation Sheet is attached as FMR 12.1.3_Annexure)</t>
  </si>
  <si>
    <t>Continuted Activity:
1. Pringing of 1 type of Training calendar and 7 types of training modules.
2. Printing of 8 types NBSU Registers, formats, file folder etc.
(Calculation Sheet attached as FMR 12.2.1_Annexure)</t>
  </si>
  <si>
    <t>Continued Activities:
Printing of 21 types Nursing Books/Modules for ANM six weeks training.</t>
  </si>
  <si>
    <t>Continued Activity:
This fund is required to administer the VAS round. It includes mobilization and providing Vitamin A Syrup to beneficiary. This is the minimum proposed budget for successfully conducting the rounds.
In current  F.Y. fund has been  Last year we faces lots of difficulty due to lack of fund.
Fund Calculation: Rs 100 per day X 4 Days X 1 Round X 117501 Sites) =4,70,00,400/-                                                   ASHA incentives for CAC services @ Rs.150 for 2,000 cases  = Rs.150 X 2000 cases = Rs.3,00,000
Note- The FMR Code in the PIP 20-21 was 3.1.1.1.13 and this time as per GOI instruction the incentive has been asked to include under FMR Code- 3.1.1.6.3 FY 21-22.</t>
  </si>
  <si>
    <t>Internet Lease line</t>
  </si>
  <si>
    <t xml:space="preserve">New Activity: 
10 Mbps Internet Leaseline for 533 PHCs- The fund of Rs.1774.89 lakh has been proposed for 10 Mbps 1:1 dedicated internet leaseline at all 533 Block PHCs to provide better internet facility at PHC level for e-Sanjeevani (Telemedicine), Data Entry/Updation/Report generation/Analysis of Data of different applications as like HMIS/RCH Portal/NCD Application, COVID-19 Application, COVID-19 Vaccination Application, Entry/Updation/Report generation thorugh online Tally, PC &amp; PNDT Portal, FPLMIS, DVDMS, RBSK Portal, PFMS, ICHH-Bihar (Thalassemia, Hemophilia, Sicklecell, Disease) etc. Unit Cost Rs. 3,33,000/- per annum for providing 1:1 dedicated internet leaseline for 533 Block PHCs. </t>
  </si>
  <si>
    <t>Payroll Management System for NHM Employee</t>
  </si>
  <si>
    <t xml:space="preserve">New activity                                                                                                                                       To strengthen public health in state, at one side, gaps in infrastructures, logistics and supplies need to be fulfilled. But, without strengthening knowledge, skills and practices of the ANMs it is not possible to address all components of public health services at grass root level such as, Maternal health, neonatal services, Family Planning, non-communicable disease, Counselling etc.
The  DMT of each facility (District Mentoring Team) are already mentoring the facility nurses including handholding supports on maternal and newborn health care. They  will mentored outreach ANMs in their respective blocks facilities on knowledge, skills and practices required for maternal, newborn, child health, family planning services&amp; non communicable disease screening . To achieve comprehensive services to public at an accessible distance.
</t>
  </si>
  <si>
    <t>new activity-                                                                                                                                       To implement Payroll Management System for NHM employees in the State of Bihar in the areas such as:- GPS enabled Attendance through Mobiles and other, Timely salary payments and Auto-Payslips generation, Statutory Compliances like EPF/TDS/Professional Tax, Employees’ data management, Leave Management system, MIS and advanced features and all types of features as covered in Payroll management system. For this purpose, selection of the agency shall be done through open online tender process. fund is proposed for six months</t>
  </si>
  <si>
    <t xml:space="preserve">1) Active Case Detection and Regular Surveillance in approx 96.00 Lakh Population,                                           (2) Services in Urgan Areas:- Township-24 districts, Medium City-6 districts,  Supportive Drugs, Review and Sensitization, Meeting, IPC Workshop, </t>
  </si>
  <si>
    <t xml:space="preserve"> Rs. 3,224.78 Lacs proposed for providing dialysis services on agreed/approved rate in ROP of 2020-21 as per details given below:-
(38 Districts X 5 dialysis machines X 3 dialysis sessions per day X 365 days X Rs. 1,745 per dialysis session= Rs. 36,30,47,250).
Two Services Provider Agencies have been contracted for 19 Districts each as mentioned in Cluster 1, 2, 3 and 4. The Contract rates of Cluster 2 and 4 (19 Districts) is 1,745/- per Dialysis Session. The contract rates of Cluster 1 and 3 are Rs. 1,720/- and 1,634/- respectively.</t>
  </si>
</sst>
</file>

<file path=xl/styles.xml><?xml version="1.0" encoding="utf-8"?>
<styleSheet xmlns="http://schemas.openxmlformats.org/spreadsheetml/2006/main">
  <numFmts count="6">
    <numFmt numFmtId="43" formatCode="_ * #,##0.00_ ;_ * \-#,##0.00_ ;_ * &quot;-&quot;??_ ;_ @_ "/>
    <numFmt numFmtId="164" formatCode="_(* #,##0.00_);_(* \(#,##0.00\);_(* &quot;-&quot;??_);_(@_)"/>
    <numFmt numFmtId="165" formatCode="0.0"/>
    <numFmt numFmtId="166" formatCode="_(* #,##0_);_(* \(#,##0\);_(* &quot;-&quot;??_);_(@_)"/>
    <numFmt numFmtId="167" formatCode="_-* #,##0.00_-;\-* #,##0.00_-;_-* &quot;-&quot;??_-;_-@_-"/>
    <numFmt numFmtId="168" formatCode="_ * #,##0_ ;_ * \-#,##0_ ;_ * &quot;-&quot;??_ ;_ @_ "/>
  </numFmts>
  <fonts count="11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9"/>
      <name val="Verdana"/>
      <family val="2"/>
    </font>
    <font>
      <sz val="9"/>
      <name val="Verdana"/>
      <family val="2"/>
    </font>
    <font>
      <b/>
      <sz val="10"/>
      <name val="Verdana"/>
      <family val="2"/>
    </font>
    <font>
      <b/>
      <sz val="10"/>
      <name val="Arial"/>
      <family val="2"/>
    </font>
    <font>
      <sz val="8"/>
      <name val="Arial"/>
      <family val="2"/>
    </font>
    <font>
      <sz val="11"/>
      <color theme="1"/>
      <name val="Calibri"/>
      <family val="2"/>
      <scheme val="minor"/>
    </font>
    <font>
      <u/>
      <sz val="10"/>
      <color theme="10"/>
      <name val="Arial"/>
      <family val="2"/>
    </font>
    <font>
      <sz val="10"/>
      <color theme="1"/>
      <name val="Verdana"/>
      <family val="2"/>
    </font>
    <font>
      <b/>
      <sz val="10"/>
      <color theme="1"/>
      <name val="Verdana"/>
      <family val="2"/>
    </font>
    <font>
      <b/>
      <sz val="10"/>
      <color theme="0"/>
      <name val="Verdana"/>
      <family val="2"/>
    </font>
    <font>
      <sz val="10"/>
      <color theme="0"/>
      <name val="Verdana"/>
      <family val="2"/>
    </font>
    <font>
      <u/>
      <sz val="10"/>
      <color theme="10"/>
      <name val="Verdana"/>
      <family val="2"/>
    </font>
    <font>
      <sz val="10"/>
      <color theme="1"/>
      <name val="Arial"/>
      <family val="2"/>
    </font>
    <font>
      <b/>
      <sz val="10"/>
      <color theme="1"/>
      <name val="Arial"/>
      <family val="2"/>
    </font>
    <font>
      <b/>
      <sz val="10"/>
      <color theme="0"/>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name val="Calibri"/>
      <family val="2"/>
      <scheme val="minor"/>
    </font>
    <font>
      <sz val="11"/>
      <name val="Calibri"/>
      <family val="2"/>
      <scheme val="minor"/>
    </font>
    <font>
      <u/>
      <sz val="11"/>
      <color theme="10"/>
      <name val="Calibri"/>
      <family val="2"/>
      <scheme val="minor"/>
    </font>
    <font>
      <b/>
      <sz val="11"/>
      <name val="Calibri"/>
      <family val="2"/>
      <scheme val="minor"/>
    </font>
    <font>
      <b/>
      <i/>
      <sz val="11"/>
      <color theme="1"/>
      <name val="Calibri"/>
      <family val="2"/>
      <scheme val="minor"/>
    </font>
    <font>
      <b/>
      <sz val="11"/>
      <color rgb="FFFF0000"/>
      <name val="Calibri"/>
      <family val="2"/>
      <scheme val="minor"/>
    </font>
    <font>
      <b/>
      <u/>
      <sz val="11"/>
      <color theme="0"/>
      <name val="Calibri"/>
      <family val="2"/>
      <scheme val="minor"/>
    </font>
    <font>
      <u/>
      <sz val="11"/>
      <color theme="1"/>
      <name val="Calibri"/>
      <family val="2"/>
      <scheme val="minor"/>
    </font>
    <font>
      <b/>
      <u/>
      <sz val="11"/>
      <color theme="1"/>
      <name val="Calibri"/>
      <family val="2"/>
      <scheme val="minor"/>
    </font>
    <font>
      <u/>
      <sz val="11"/>
      <name val="Calibri"/>
      <family val="2"/>
      <scheme val="minor"/>
    </font>
    <font>
      <sz val="11"/>
      <name val="Calibri"/>
      <family val="2"/>
    </font>
    <font>
      <b/>
      <i/>
      <sz val="11"/>
      <color theme="0"/>
      <name val="Calibri"/>
      <family val="2"/>
      <scheme val="minor"/>
    </font>
    <font>
      <b/>
      <sz val="16"/>
      <color rgb="FF000000"/>
      <name val="Calibri"/>
      <family val="2"/>
      <scheme val="minor"/>
    </font>
    <font>
      <b/>
      <sz val="11"/>
      <color rgb="FF000000"/>
      <name val="Calibri"/>
      <family val="2"/>
      <scheme val="minor"/>
    </font>
    <font>
      <b/>
      <sz val="11"/>
      <color rgb="FF2F5496"/>
      <name val="Calibri"/>
      <family val="2"/>
      <scheme val="minor"/>
    </font>
    <font>
      <sz val="11"/>
      <color rgb="FF000000"/>
      <name val="Calibri"/>
      <family val="2"/>
      <scheme val="minor"/>
    </font>
    <font>
      <b/>
      <u/>
      <sz val="10"/>
      <color theme="10"/>
      <name val="Arial"/>
      <family val="2"/>
    </font>
    <font>
      <sz val="11"/>
      <color rgb="FF000000"/>
      <name val="Calibri"/>
      <family val="2"/>
    </font>
    <font>
      <sz val="10"/>
      <color rgb="FF000000"/>
      <name val="Arial"/>
      <family val="2"/>
    </font>
    <font>
      <sz val="11"/>
      <color rgb="FF1F497D"/>
      <name val="Calibri"/>
      <family val="2"/>
      <scheme val="minor"/>
    </font>
    <font>
      <vertAlign val="superscript"/>
      <sz val="11"/>
      <color rgb="FF000000"/>
      <name val="Calibri"/>
      <family val="2"/>
      <scheme val="minor"/>
    </font>
    <font>
      <sz val="12"/>
      <color rgb="FF000000"/>
      <name val="Cambria"/>
      <family val="1"/>
    </font>
    <font>
      <b/>
      <u/>
      <sz val="11"/>
      <color theme="0"/>
      <name val="Arial Narrow"/>
      <family val="2"/>
    </font>
    <font>
      <b/>
      <i/>
      <sz val="11"/>
      <color theme="0"/>
      <name val="Arial Narrow"/>
      <family val="2"/>
    </font>
    <font>
      <b/>
      <sz val="11"/>
      <name val="Arial Narrow"/>
      <family val="2"/>
    </font>
    <font>
      <b/>
      <sz val="11"/>
      <color theme="1"/>
      <name val="Arial Narrow"/>
      <family val="2"/>
    </font>
    <font>
      <sz val="11"/>
      <name val="Arial Narrow"/>
      <family val="2"/>
    </font>
    <font>
      <u/>
      <sz val="11"/>
      <color theme="10"/>
      <name val="Arial Narrow"/>
      <family val="2"/>
    </font>
    <font>
      <b/>
      <i/>
      <sz val="11"/>
      <name val="Arial Narrow"/>
      <family val="2"/>
    </font>
    <font>
      <b/>
      <sz val="11"/>
      <color theme="0"/>
      <name val="Arial Narrow"/>
      <family val="2"/>
    </font>
    <font>
      <sz val="11"/>
      <color theme="1"/>
      <name val="Arial Narrow"/>
      <family val="2"/>
    </font>
    <font>
      <sz val="11"/>
      <color theme="0"/>
      <name val="Arial Narrow"/>
      <family val="2"/>
    </font>
    <font>
      <sz val="11"/>
      <color indexed="8"/>
      <name val="Arial Narrow"/>
      <family val="2"/>
    </font>
    <font>
      <b/>
      <sz val="11"/>
      <color indexed="8"/>
      <name val="Arial Narrow"/>
      <family val="2"/>
    </font>
    <font>
      <b/>
      <u/>
      <sz val="11"/>
      <color indexed="8"/>
      <name val="Arial Narrow"/>
      <family val="2"/>
    </font>
    <font>
      <b/>
      <u/>
      <sz val="11"/>
      <color theme="1"/>
      <name val="Arial Narrow"/>
      <family val="2"/>
    </font>
    <font>
      <b/>
      <sz val="11"/>
      <color rgb="FFFF0000"/>
      <name val="Arial Narrow"/>
      <family val="2"/>
    </font>
    <font>
      <sz val="11"/>
      <color rgb="FF222222"/>
      <name val="Arial Narrow"/>
      <family val="2"/>
    </font>
    <font>
      <b/>
      <u/>
      <sz val="11"/>
      <name val="Arial Narrow"/>
      <family val="2"/>
    </font>
    <font>
      <b/>
      <i/>
      <sz val="11"/>
      <color theme="1"/>
      <name val="Arial Narrow"/>
      <family val="2"/>
    </font>
    <font>
      <i/>
      <sz val="11"/>
      <name val="Arial Narrow"/>
      <family val="2"/>
    </font>
    <font>
      <i/>
      <sz val="11"/>
      <color theme="1"/>
      <name val="Arial Narrow"/>
      <family val="2"/>
    </font>
    <font>
      <i/>
      <sz val="11"/>
      <color theme="0"/>
      <name val="Arial Narrow"/>
      <family val="2"/>
    </font>
    <font>
      <b/>
      <sz val="11"/>
      <color rgb="FFFFFFFF"/>
      <name val="Arial Narrow"/>
      <family val="2"/>
    </font>
    <font>
      <b/>
      <sz val="11"/>
      <color rgb="FF000000"/>
      <name val="Arial Narrow"/>
      <family val="2"/>
    </font>
    <font>
      <sz val="11"/>
      <color rgb="FF000000"/>
      <name val="Arial Narrow"/>
      <family val="2"/>
    </font>
    <font>
      <sz val="11"/>
      <color rgb="FFFF0000"/>
      <name val="Arial Narrow"/>
      <family val="2"/>
    </font>
    <font>
      <sz val="11"/>
      <color rgb="FFFFFFFF"/>
      <name val="Arial Narrow"/>
      <family val="2"/>
    </font>
    <font>
      <sz val="11"/>
      <color rgb="FF7030A0"/>
      <name val="Arial Narrow"/>
      <family val="2"/>
    </font>
    <font>
      <b/>
      <sz val="11"/>
      <color rgb="FF9900FF"/>
      <name val="Arial Narrow"/>
      <family val="2"/>
    </font>
    <font>
      <u/>
      <sz val="11"/>
      <color theme="1"/>
      <name val="Arial Narrow"/>
      <family val="2"/>
    </font>
    <font>
      <sz val="11"/>
      <color indexed="10"/>
      <name val="Arial Narrow"/>
      <family val="2"/>
    </font>
    <font>
      <sz val="14"/>
      <name val="Calibri"/>
      <family val="2"/>
      <scheme val="minor"/>
    </font>
    <font>
      <b/>
      <sz val="14"/>
      <name val="Calibri"/>
      <family val="2"/>
      <scheme val="minor"/>
    </font>
    <font>
      <b/>
      <sz val="14"/>
      <color theme="1"/>
      <name val="Calibri"/>
      <family val="2"/>
      <scheme val="minor"/>
    </font>
    <font>
      <sz val="14"/>
      <color theme="1"/>
      <name val="Calibri"/>
      <family val="2"/>
      <scheme val="minor"/>
    </font>
    <font>
      <sz val="12"/>
      <name val="Arial Narrow"/>
      <family val="2"/>
    </font>
    <font>
      <sz val="12"/>
      <color theme="1"/>
      <name val="Arial Narrow"/>
      <family val="2"/>
    </font>
    <font>
      <b/>
      <sz val="12"/>
      <color theme="1"/>
      <name val="Arial Narrow"/>
      <family val="2"/>
    </font>
    <font>
      <u/>
      <sz val="11"/>
      <name val="Arial Narrow"/>
      <family val="2"/>
    </font>
    <font>
      <sz val="10"/>
      <name val="Arial Narrow"/>
      <family val="2"/>
    </font>
    <font>
      <sz val="11"/>
      <color rgb="FFFFFF00"/>
      <name val="Arial Narrow"/>
      <family val="2"/>
    </font>
    <font>
      <u/>
      <sz val="10"/>
      <color theme="10"/>
      <name val="Arial Narrow"/>
      <family val="2"/>
    </font>
    <font>
      <b/>
      <sz val="10"/>
      <color theme="0"/>
      <name val="Arial Narrow"/>
      <family val="2"/>
    </font>
    <font>
      <sz val="14"/>
      <name val="Arial Narrow"/>
      <family val="2"/>
    </font>
    <font>
      <b/>
      <u/>
      <sz val="12"/>
      <color theme="1"/>
      <name val="Arial Narrow"/>
      <family val="2"/>
    </font>
    <font>
      <b/>
      <sz val="11"/>
      <color rgb="FF00B050"/>
      <name val="Arial Narrow"/>
      <family val="2"/>
    </font>
    <font>
      <sz val="11"/>
      <color rgb="FF9900FF"/>
      <name val="Arial Narrow"/>
      <family val="2"/>
    </font>
    <font>
      <sz val="11"/>
      <color rgb="FF00B050"/>
      <name val="Arial Narrow"/>
      <family val="2"/>
    </font>
    <font>
      <sz val="12"/>
      <color theme="1"/>
      <name val="Verdana"/>
      <family val="2"/>
    </font>
    <font>
      <sz val="12"/>
      <color rgb="FF000000"/>
      <name val="Calibri"/>
      <family val="2"/>
    </font>
  </fonts>
  <fills count="56">
    <fill>
      <patternFill patternType="none"/>
    </fill>
    <fill>
      <patternFill patternType="gray125"/>
    </fill>
    <fill>
      <patternFill patternType="solid">
        <fgColor theme="8" tint="0.59999389629810485"/>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2"/>
        <bgColor indexed="64"/>
      </patternFill>
    </fill>
    <fill>
      <patternFill patternType="solid">
        <fgColor theme="4"/>
        <bgColor indexed="64"/>
      </patternFill>
    </fill>
    <fill>
      <patternFill patternType="solid">
        <fgColor rgb="FF66FF99"/>
        <bgColor indexed="64"/>
      </patternFill>
    </fill>
    <fill>
      <patternFill patternType="solid">
        <fgColor rgb="FF002060"/>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7"/>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B050"/>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5B9BD5"/>
        <bgColor indexed="64"/>
      </patternFill>
    </fill>
    <fill>
      <patternFill patternType="solid">
        <fgColor theme="2" tint="-0.499984740745262"/>
        <bgColor indexed="64"/>
      </patternFill>
    </fill>
    <fill>
      <patternFill patternType="solid">
        <fgColor rgb="FFB4C6E7"/>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66FFFF"/>
        <bgColor indexed="64"/>
      </patternFill>
    </fill>
    <fill>
      <patternFill patternType="solid">
        <fgColor rgb="FF00B0F0"/>
        <bgColor indexed="64"/>
      </patternFill>
    </fill>
    <fill>
      <patternFill patternType="solid">
        <fgColor theme="2" tint="-0.89999084444715716"/>
        <bgColor indexed="64"/>
      </patternFill>
    </fill>
    <fill>
      <patternFill patternType="solid">
        <fgColor rgb="FFE7E6E6"/>
        <bgColor indexed="64"/>
      </patternFill>
    </fill>
    <fill>
      <patternFill patternType="solid">
        <fgColor rgb="FFFFFFFF"/>
        <bgColor indexed="64"/>
      </patternFill>
    </fill>
    <fill>
      <patternFill patternType="solid">
        <fgColor rgb="FF203764"/>
        <bgColor indexed="64"/>
      </patternFill>
    </fill>
    <fill>
      <patternFill patternType="solid">
        <fgColor rgb="FFBDD7EE"/>
        <bgColor indexed="64"/>
      </patternFill>
    </fill>
    <fill>
      <patternFill patternType="solid">
        <fgColor rgb="FFACB9CA"/>
        <bgColor indexed="64"/>
      </patternFill>
    </fill>
    <fill>
      <patternFill patternType="solid">
        <fgColor rgb="FFFCE4D6"/>
        <bgColor indexed="64"/>
      </patternFill>
    </fill>
    <fill>
      <patternFill patternType="solid">
        <fgColor rgb="FF000000"/>
        <bgColor indexed="64"/>
      </patternFill>
    </fill>
    <fill>
      <patternFill patternType="solid">
        <fgColor rgb="FFFFF2CC"/>
        <bgColor indexed="64"/>
      </patternFill>
    </fill>
    <fill>
      <patternFill patternType="solid">
        <fgColor rgb="FFD0CECE"/>
        <bgColor indexed="64"/>
      </patternFill>
    </fill>
    <fill>
      <patternFill patternType="solid">
        <fgColor theme="7"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D1F9F8"/>
        <bgColor indexed="64"/>
      </patternFill>
    </fill>
    <fill>
      <patternFill patternType="solid">
        <fgColor rgb="FF92D05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s>
  <cellStyleXfs count="108">
    <xf numFmtId="0" fontId="0" fillId="0" borderId="0"/>
    <xf numFmtId="43" fontId="21" fillId="0" borderId="0" applyFont="0" applyFill="0" applyBorder="0" applyAlignment="0" applyProtection="0"/>
    <xf numFmtId="43" fontId="21" fillId="0" borderId="0" applyFont="0" applyFill="0" applyBorder="0" applyAlignment="0" applyProtection="0"/>
    <xf numFmtId="0" fontId="29" fillId="0" borderId="0" applyNumberFormat="0" applyFill="0" applyBorder="0" applyAlignment="0" applyProtection="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44" fillId="0" borderId="0" applyNumberFormat="0" applyFill="0" applyBorder="0" applyAlignment="0" applyProtection="0"/>
    <xf numFmtId="0" fontId="13" fillId="0" borderId="0"/>
  </cellStyleXfs>
  <cellXfs count="4664">
    <xf numFmtId="0" fontId="0" fillId="0" borderId="0" xfId="0"/>
    <xf numFmtId="0" fontId="0" fillId="0" borderId="0" xfId="0" applyAlignment="1">
      <alignment vertical="center" wrapText="1"/>
    </xf>
    <xf numFmtId="0" fontId="22" fillId="0" borderId="0" xfId="0" applyFont="1" applyAlignment="1">
      <alignment vertical="center" wrapText="1"/>
    </xf>
    <xf numFmtId="0" fontId="22" fillId="0" borderId="1" xfId="0" applyFont="1" applyBorder="1" applyAlignment="1">
      <alignment vertical="center" wrapText="1"/>
    </xf>
    <xf numFmtId="0" fontId="22" fillId="0" borderId="1" xfId="0" applyFont="1" applyBorder="1" applyAlignment="1">
      <alignment horizontal="left" vertical="center" wrapText="1"/>
    </xf>
    <xf numFmtId="0" fontId="0" fillId="0" borderId="0" xfId="0" applyAlignment="1">
      <alignment vertical="center"/>
    </xf>
    <xf numFmtId="0" fontId="22" fillId="0" borderId="0" xfId="0" applyFont="1" applyAlignment="1">
      <alignment horizontal="left" vertical="center" wrapText="1"/>
    </xf>
    <xf numFmtId="0" fontId="0" fillId="0" borderId="0" xfId="0" applyAlignment="1">
      <alignment horizontal="center" vertical="center"/>
    </xf>
    <xf numFmtId="2" fontId="22" fillId="0" borderId="1" xfId="0" applyNumberFormat="1" applyFont="1" applyBorder="1" applyAlignment="1">
      <alignment horizontal="right" vertical="center" wrapText="1"/>
    </xf>
    <xf numFmtId="2" fontId="22" fillId="0" borderId="1" xfId="0" applyNumberFormat="1" applyFont="1" applyBorder="1" applyAlignment="1">
      <alignment vertical="center" wrapText="1"/>
    </xf>
    <xf numFmtId="0" fontId="22" fillId="0" borderId="1" xfId="0" applyFont="1" applyBorder="1" applyAlignment="1">
      <alignment horizontal="right" vertical="center" wrapText="1"/>
    </xf>
    <xf numFmtId="0" fontId="25" fillId="0" borderId="0" xfId="0" applyFont="1" applyAlignment="1">
      <alignment vertical="center" wrapText="1"/>
    </xf>
    <xf numFmtId="2" fontId="22" fillId="0" borderId="1" xfId="0" applyNumberFormat="1" applyFont="1" applyBorder="1" applyAlignment="1">
      <alignment horizontal="left" vertical="center" wrapText="1"/>
    </xf>
    <xf numFmtId="0" fontId="22" fillId="0" borderId="1" xfId="0" applyFont="1" applyFill="1" applyBorder="1" applyAlignment="1">
      <alignment vertical="center" wrapText="1"/>
    </xf>
    <xf numFmtId="0" fontId="34" fillId="13" borderId="1" xfId="3" applyFont="1" applyFill="1" applyBorder="1" applyAlignment="1"/>
    <xf numFmtId="0" fontId="0" fillId="0" borderId="0" xfId="0" applyFill="1" applyAlignment="1">
      <alignment vertical="center"/>
    </xf>
    <xf numFmtId="0" fontId="0" fillId="0" borderId="0" xfId="0" applyAlignment="1">
      <alignment horizontal="center" vertical="center" wrapText="1"/>
    </xf>
    <xf numFmtId="0" fontId="31" fillId="12" borderId="1" xfId="38" applyFont="1" applyFill="1" applyBorder="1" applyAlignment="1">
      <alignment horizontal="center" vertical="center" wrapText="1"/>
    </xf>
    <xf numFmtId="0" fontId="31" fillId="12" borderId="1" xfId="38" applyFont="1" applyFill="1" applyBorder="1" applyAlignment="1">
      <alignment horizontal="left" vertical="center" wrapText="1"/>
    </xf>
    <xf numFmtId="0" fontId="25" fillId="4" borderId="1" xfId="0" applyFont="1" applyFill="1" applyBorder="1" applyAlignment="1">
      <alignment vertical="center" wrapText="1"/>
    </xf>
    <xf numFmtId="0" fontId="25" fillId="4" borderId="1" xfId="0" applyFont="1" applyFill="1" applyBorder="1" applyAlignment="1">
      <alignment horizontal="left" vertical="center" wrapText="1"/>
    </xf>
    <xf numFmtId="0" fontId="0" fillId="0" borderId="1" xfId="0" applyBorder="1" applyAlignment="1">
      <alignment vertical="center"/>
    </xf>
    <xf numFmtId="0" fontId="29" fillId="0" borderId="1" xfId="3" applyFill="1" applyBorder="1" applyAlignment="1">
      <alignment vertical="center"/>
    </xf>
    <xf numFmtId="0" fontId="0" fillId="0" borderId="1" xfId="0" applyBorder="1" applyAlignment="1">
      <alignment vertical="center" wrapText="1"/>
    </xf>
    <xf numFmtId="0" fontId="0" fillId="0" borderId="1" xfId="0" applyBorder="1" applyAlignment="1">
      <alignment horizontal="left" vertical="center" indent="1"/>
    </xf>
    <xf numFmtId="0" fontId="29" fillId="0" borderId="5" xfId="3" applyFill="1" applyBorder="1" applyAlignment="1">
      <alignment vertical="center"/>
    </xf>
    <xf numFmtId="0" fontId="29" fillId="8" borderId="1" xfId="3" applyFill="1" applyBorder="1"/>
    <xf numFmtId="0" fontId="29" fillId="0" borderId="1" xfId="3" applyBorder="1" applyAlignment="1">
      <alignment vertical="center"/>
    </xf>
    <xf numFmtId="0" fontId="34" fillId="8" borderId="1" xfId="3" applyFont="1" applyFill="1" applyBorder="1" applyAlignment="1">
      <alignment vertical="center" wrapText="1"/>
    </xf>
    <xf numFmtId="0" fontId="32" fillId="0" borderId="1" xfId="8" applyFont="1" applyFill="1" applyBorder="1" applyAlignment="1">
      <alignment horizontal="left" vertical="center" wrapText="1"/>
    </xf>
    <xf numFmtId="0" fontId="22" fillId="0" borderId="0" xfId="0" applyFont="1" applyBorder="1" applyAlignment="1">
      <alignment vertical="center" wrapText="1"/>
    </xf>
    <xf numFmtId="0" fontId="32" fillId="7" borderId="1" xfId="0" applyFont="1" applyFill="1" applyBorder="1" applyAlignment="1">
      <alignment horizontal="left" vertical="center" wrapText="1"/>
    </xf>
    <xf numFmtId="0" fontId="25" fillId="2" borderId="1" xfId="0" applyFont="1" applyFill="1" applyBorder="1" applyAlignment="1">
      <alignment horizontal="left" vertical="center" wrapText="1"/>
    </xf>
    <xf numFmtId="0" fontId="32" fillId="17" borderId="1"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2" fillId="4" borderId="1" xfId="0" applyFont="1" applyFill="1" applyBorder="1" applyAlignment="1">
      <alignment horizontal="left" vertical="center" wrapText="1"/>
    </xf>
    <xf numFmtId="2" fontId="31" fillId="12" borderId="1" xfId="38" applyNumberFormat="1" applyFont="1" applyFill="1" applyBorder="1" applyAlignment="1">
      <alignment horizontal="center" vertical="center" wrapText="1"/>
    </xf>
    <xf numFmtId="0" fontId="30" fillId="0" borderId="0" xfId="0" applyFont="1" applyFill="1" applyAlignment="1">
      <alignment vertical="center" wrapText="1"/>
    </xf>
    <xf numFmtId="2" fontId="32" fillId="7" borderId="1" xfId="0" applyNumberFormat="1" applyFont="1" applyFill="1" applyBorder="1" applyAlignment="1">
      <alignment horizontal="right" vertical="center" wrapText="1"/>
    </xf>
    <xf numFmtId="2" fontId="25" fillId="2" borderId="1" xfId="0" applyNumberFormat="1" applyFont="1" applyFill="1" applyBorder="1" applyAlignment="1">
      <alignment horizontal="right" vertical="center" wrapText="1"/>
    </xf>
    <xf numFmtId="2" fontId="25" fillId="4" borderId="1" xfId="0" applyNumberFormat="1" applyFont="1" applyFill="1" applyBorder="1" applyAlignment="1">
      <alignment horizontal="right" vertical="center" wrapText="1"/>
    </xf>
    <xf numFmtId="2" fontId="32" fillId="17" borderId="1" xfId="0" applyNumberFormat="1" applyFont="1" applyFill="1" applyBorder="1" applyAlignment="1">
      <alignment horizontal="right" vertical="center" wrapText="1"/>
    </xf>
    <xf numFmtId="2" fontId="25" fillId="5" borderId="1" xfId="0" applyNumberFormat="1" applyFont="1" applyFill="1" applyBorder="1" applyAlignment="1">
      <alignment horizontal="right" vertical="center" wrapText="1"/>
    </xf>
    <xf numFmtId="2" fontId="22" fillId="4" borderId="1" xfId="0" applyNumberFormat="1" applyFont="1" applyFill="1" applyBorder="1" applyAlignment="1">
      <alignment horizontal="right" vertical="center" wrapText="1"/>
    </xf>
    <xf numFmtId="0" fontId="33" fillId="0" borderId="0" xfId="0" applyFont="1" applyAlignment="1">
      <alignment vertical="center" wrapText="1"/>
    </xf>
    <xf numFmtId="2" fontId="31" fillId="12" borderId="1" xfId="38" applyNumberFormat="1" applyFont="1" applyFill="1" applyBorder="1" applyAlignment="1">
      <alignment horizontal="right" vertical="center" wrapText="1"/>
    </xf>
    <xf numFmtId="0" fontId="25" fillId="0" borderId="1" xfId="0" applyFont="1" applyFill="1" applyBorder="1" applyAlignment="1">
      <alignment horizontal="left" vertical="center" wrapText="1"/>
    </xf>
    <xf numFmtId="0" fontId="25" fillId="0" borderId="1" xfId="0" applyFont="1" applyFill="1" applyBorder="1" applyAlignment="1">
      <alignment horizontal="right" vertical="center" wrapText="1"/>
    </xf>
    <xf numFmtId="2" fontId="25" fillId="2" borderId="1" xfId="0" applyNumberFormat="1" applyFont="1" applyFill="1" applyBorder="1" applyAlignment="1">
      <alignment vertical="center" wrapText="1"/>
    </xf>
    <xf numFmtId="0" fontId="26" fillId="28" borderId="1" xfId="0" applyFont="1" applyFill="1" applyBorder="1" applyAlignment="1">
      <alignment vertical="center"/>
    </xf>
    <xf numFmtId="0" fontId="25" fillId="24" borderId="1" xfId="38" applyFont="1" applyFill="1" applyBorder="1" applyAlignment="1">
      <alignment horizontal="center" vertical="center" wrapText="1"/>
    </xf>
    <xf numFmtId="2" fontId="25" fillId="24" borderId="1" xfId="38" applyNumberFormat="1" applyFont="1" applyFill="1" applyBorder="1" applyAlignment="1">
      <alignment horizontal="center" vertical="center" wrapText="1"/>
    </xf>
    <xf numFmtId="0" fontId="25" fillId="18" borderId="1" xfId="38" applyFont="1" applyFill="1" applyBorder="1" applyAlignment="1">
      <alignment horizontal="center" vertical="center" wrapText="1"/>
    </xf>
    <xf numFmtId="0" fontId="25" fillId="18" borderId="1" xfId="38" applyFont="1" applyFill="1" applyBorder="1" applyAlignment="1" applyProtection="1">
      <alignment horizontal="center" vertical="center" wrapText="1"/>
      <protection locked="0"/>
    </xf>
    <xf numFmtId="0" fontId="25" fillId="5" borderId="1" xfId="38" applyFont="1" applyFill="1" applyBorder="1" applyAlignment="1">
      <alignment horizontal="center" vertical="center" wrapText="1"/>
    </xf>
    <xf numFmtId="2" fontId="25" fillId="5" borderId="1" xfId="38" applyNumberFormat="1" applyFont="1" applyFill="1" applyBorder="1" applyAlignment="1">
      <alignment horizontal="center" vertical="center" wrapText="1"/>
    </xf>
    <xf numFmtId="0" fontId="38" fillId="0" borderId="1" xfId="8" applyFont="1" applyFill="1" applyBorder="1" applyAlignment="1">
      <alignment horizontal="left" vertical="center"/>
    </xf>
    <xf numFmtId="0" fontId="45" fillId="18" borderId="1" xfId="38" applyFont="1" applyFill="1" applyBorder="1" applyAlignment="1">
      <alignment horizontal="center" vertical="center" wrapText="1"/>
    </xf>
    <xf numFmtId="0" fontId="45" fillId="18" borderId="1" xfId="38" applyFont="1" applyFill="1" applyBorder="1" applyAlignment="1" applyProtection="1">
      <alignment horizontal="center" vertical="center" wrapText="1"/>
      <protection locked="0"/>
    </xf>
    <xf numFmtId="0" fontId="45" fillId="24" borderId="1" xfId="38" applyFont="1" applyFill="1" applyBorder="1" applyAlignment="1">
      <alignment horizontal="center" vertical="center" wrapText="1"/>
    </xf>
    <xf numFmtId="0" fontId="45" fillId="5" borderId="1" xfId="38" applyFont="1" applyFill="1" applyBorder="1" applyAlignment="1">
      <alignment horizontal="center" vertical="center" wrapText="1"/>
    </xf>
    <xf numFmtId="0" fontId="43" fillId="0" borderId="0" xfId="0" applyFont="1" applyAlignment="1">
      <alignment horizontal="center"/>
    </xf>
    <xf numFmtId="0" fontId="43" fillId="0" borderId="1" xfId="0" applyFont="1" applyBorder="1" applyAlignment="1" applyProtection="1">
      <alignment horizontal="left" vertical="center" wrapText="1"/>
      <protection locked="0"/>
    </xf>
    <xf numFmtId="0" fontId="43" fillId="0" borderId="1" xfId="0" applyFont="1" applyBorder="1" applyAlignment="1" applyProtection="1">
      <alignment horizontal="left" vertical="center"/>
      <protection locked="0"/>
    </xf>
    <xf numFmtId="0" fontId="43" fillId="0" borderId="0" xfId="0" applyFont="1" applyAlignment="1">
      <alignment horizontal="left" vertical="center"/>
    </xf>
    <xf numFmtId="0" fontId="43" fillId="0" borderId="0" xfId="0" applyFont="1" applyAlignment="1">
      <alignment vertical="center"/>
    </xf>
    <xf numFmtId="0" fontId="43" fillId="0" borderId="1" xfId="0" applyFont="1" applyBorder="1" applyAlignment="1" applyProtection="1">
      <alignment vertical="center"/>
      <protection locked="0"/>
    </xf>
    <xf numFmtId="0" fontId="43" fillId="0" borderId="1" xfId="0" applyFont="1" applyBorder="1" applyAlignment="1" applyProtection="1">
      <alignment vertical="center" wrapText="1"/>
      <protection locked="0"/>
    </xf>
    <xf numFmtId="0" fontId="38" fillId="0" borderId="1" xfId="8" applyFont="1" applyFill="1" applyBorder="1" applyAlignment="1">
      <alignment horizontal="center" vertical="center"/>
    </xf>
    <xf numFmtId="0" fontId="43" fillId="0" borderId="1" xfId="0" applyFont="1" applyBorder="1" applyAlignment="1">
      <alignment horizontal="left" vertical="center" wrapText="1"/>
    </xf>
    <xf numFmtId="0" fontId="43" fillId="0" borderId="0" xfId="0" applyFont="1" applyAlignment="1">
      <alignment vertical="center" wrapText="1"/>
    </xf>
    <xf numFmtId="0" fontId="47" fillId="0"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40" fillId="12" borderId="1" xfId="38" applyFont="1" applyFill="1" applyBorder="1" applyAlignment="1" applyProtection="1">
      <alignment horizontal="center" vertical="center" wrapText="1"/>
    </xf>
    <xf numFmtId="0" fontId="45" fillId="2" borderId="1" xfId="4" applyFont="1" applyFill="1" applyBorder="1" applyAlignment="1" applyProtection="1">
      <alignment horizontal="left" vertical="center" wrapText="1"/>
    </xf>
    <xf numFmtId="0" fontId="20" fillId="0" borderId="1" xfId="38" applyFont="1" applyFill="1" applyBorder="1" applyAlignment="1" applyProtection="1">
      <alignment horizontal="left" vertical="center" wrapText="1"/>
    </xf>
    <xf numFmtId="0" fontId="40" fillId="0" borderId="1" xfId="38" applyFont="1" applyFill="1" applyBorder="1" applyAlignment="1" applyProtection="1">
      <alignment horizontal="left" vertical="center" wrapText="1"/>
      <protection locked="0"/>
    </xf>
    <xf numFmtId="0" fontId="43" fillId="0" borderId="1" xfId="0" applyFont="1" applyBorder="1" applyAlignment="1" applyProtection="1">
      <alignment horizontal="left" vertical="center" wrapText="1"/>
    </xf>
    <xf numFmtId="0" fontId="40" fillId="0" borderId="1" xfId="38" applyFont="1" applyFill="1" applyBorder="1" applyAlignment="1" applyProtection="1">
      <alignment horizontal="left" vertical="center" wrapText="1"/>
    </xf>
    <xf numFmtId="0" fontId="44" fillId="0" borderId="1" xfId="3" applyFont="1" applyFill="1" applyBorder="1" applyAlignment="1">
      <alignment horizontal="center"/>
    </xf>
    <xf numFmtId="0" fontId="43" fillId="0" borderId="0" xfId="0" applyFont="1" applyAlignment="1">
      <alignment horizontal="center" vertical="center" wrapText="1"/>
    </xf>
    <xf numFmtId="0" fontId="45" fillId="2" borderId="1" xfId="4" applyFont="1" applyFill="1" applyBorder="1" applyAlignment="1" applyProtection="1">
      <alignment horizontal="left" vertical="center" wrapText="1"/>
      <protection locked="0"/>
    </xf>
    <xf numFmtId="0" fontId="43" fillId="0" borderId="1" xfId="4" applyFont="1" applyBorder="1" applyAlignment="1" applyProtection="1">
      <alignment horizontal="left" vertical="center" wrapText="1"/>
      <protection locked="0"/>
    </xf>
    <xf numFmtId="2" fontId="43" fillId="0" borderId="1" xfId="0" applyNumberFormat="1" applyFont="1" applyBorder="1" applyAlignment="1">
      <alignment horizontal="left" vertical="center" wrapText="1"/>
    </xf>
    <xf numFmtId="0" fontId="38" fillId="7" borderId="1" xfId="38" applyFont="1" applyFill="1" applyBorder="1" applyAlignment="1" applyProtection="1">
      <alignment horizontal="left" vertical="center" wrapText="1"/>
      <protection locked="0"/>
    </xf>
    <xf numFmtId="0" fontId="45" fillId="4" borderId="1" xfId="8" applyFont="1" applyFill="1" applyBorder="1" applyAlignment="1" applyProtection="1">
      <alignment horizontal="left" vertical="center" wrapText="1"/>
      <protection locked="0"/>
    </xf>
    <xf numFmtId="0" fontId="45" fillId="0" borderId="1" xfId="0" applyFont="1" applyBorder="1" applyAlignment="1" applyProtection="1">
      <alignment horizontal="left" vertical="center" wrapText="1"/>
      <protection locked="0"/>
    </xf>
    <xf numFmtId="1" fontId="43" fillId="0" borderId="1" xfId="0" applyNumberFormat="1" applyFont="1" applyBorder="1" applyAlignment="1" applyProtection="1">
      <alignment horizontal="left" vertical="center" wrapText="1"/>
      <protection locked="0"/>
    </xf>
    <xf numFmtId="0" fontId="45" fillId="0" borderId="1" xfId="8" applyFont="1" applyFill="1" applyBorder="1" applyAlignment="1" applyProtection="1">
      <alignment horizontal="left" vertical="center" wrapText="1"/>
      <protection locked="0"/>
    </xf>
    <xf numFmtId="0" fontId="40" fillId="2" borderId="1" xfId="40" applyFont="1" applyFill="1" applyBorder="1" applyAlignment="1">
      <alignment horizontal="left" vertical="center" wrapText="1"/>
    </xf>
    <xf numFmtId="0" fontId="43" fillId="0" borderId="1" xfId="0" applyFont="1" applyFill="1" applyBorder="1" applyAlignment="1" applyProtection="1">
      <alignment horizontal="left" vertical="center" wrapText="1"/>
    </xf>
    <xf numFmtId="0" fontId="43" fillId="0" borderId="1" xfId="0" applyFont="1" applyFill="1" applyBorder="1" applyAlignment="1" applyProtection="1">
      <alignment horizontal="left" vertical="center" wrapText="1"/>
      <protection locked="0"/>
    </xf>
    <xf numFmtId="0" fontId="43" fillId="0" borderId="0" xfId="0" applyFont="1" applyAlignment="1">
      <alignment horizontal="left" vertical="center" wrapText="1"/>
    </xf>
    <xf numFmtId="0" fontId="44" fillId="8" borderId="1" xfId="3" applyFont="1" applyFill="1" applyBorder="1" applyAlignment="1">
      <alignment horizontal="left" vertical="center" wrapText="1"/>
    </xf>
    <xf numFmtId="0" fontId="40" fillId="2" borderId="1" xfId="40" applyFont="1" applyFill="1" applyBorder="1" applyAlignment="1">
      <alignment horizontal="center" vertical="center" wrapText="1"/>
    </xf>
    <xf numFmtId="43" fontId="45" fillId="24" borderId="1" xfId="1" applyFont="1" applyFill="1" applyBorder="1" applyAlignment="1">
      <alignment horizontal="center" vertical="center" wrapText="1"/>
    </xf>
    <xf numFmtId="43" fontId="43" fillId="0" borderId="1" xfId="1" applyFont="1" applyBorder="1" applyAlignment="1">
      <alignment horizontal="center" vertical="center" wrapText="1"/>
    </xf>
    <xf numFmtId="43" fontId="40" fillId="2" borderId="1" xfId="1" applyFont="1" applyFill="1" applyBorder="1" applyAlignment="1">
      <alignment horizontal="center" vertical="center" wrapText="1"/>
    </xf>
    <xf numFmtId="43" fontId="45" fillId="2" borderId="1" xfId="1" applyFont="1" applyFill="1" applyBorder="1" applyAlignment="1" applyProtection="1">
      <alignment horizontal="center" vertical="center" wrapText="1"/>
      <protection locked="0"/>
    </xf>
    <xf numFmtId="43" fontId="45" fillId="5" borderId="1" xfId="1" applyFont="1" applyFill="1" applyBorder="1" applyAlignment="1">
      <alignment horizontal="center" vertical="center" wrapText="1"/>
    </xf>
    <xf numFmtId="0" fontId="43" fillId="0" borderId="13" xfId="0" applyFont="1" applyFill="1" applyBorder="1" applyAlignment="1">
      <alignment horizontal="left" vertical="center" wrapText="1"/>
    </xf>
    <xf numFmtId="43" fontId="40" fillId="0" borderId="1" xfId="1" applyFont="1" applyFill="1" applyBorder="1" applyAlignment="1">
      <alignment horizontal="center" vertical="center" wrapText="1"/>
    </xf>
    <xf numFmtId="43" fontId="40" fillId="0" borderId="5" xfId="1" applyFont="1" applyFill="1" applyBorder="1" applyAlignment="1">
      <alignment horizontal="center" vertical="center" wrapText="1"/>
    </xf>
    <xf numFmtId="0" fontId="44" fillId="0" borderId="13" xfId="3" applyFont="1" applyFill="1" applyBorder="1" applyAlignment="1">
      <alignment horizontal="left" vertical="center" wrapText="1"/>
    </xf>
    <xf numFmtId="0" fontId="40" fillId="0" borderId="1" xfId="8" applyFont="1" applyBorder="1" applyAlignment="1">
      <alignment horizontal="left" vertical="center"/>
    </xf>
    <xf numFmtId="0" fontId="43" fillId="0" borderId="0" xfId="0" applyFont="1" applyFill="1" applyAlignment="1">
      <alignment wrapText="1"/>
    </xf>
    <xf numFmtId="0" fontId="38" fillId="0" borderId="2" xfId="8" applyFont="1" applyFill="1" applyBorder="1" applyAlignment="1">
      <alignment horizontal="left" vertical="center"/>
    </xf>
    <xf numFmtId="0" fontId="38" fillId="0" borderId="5" xfId="8" applyFont="1" applyFill="1" applyBorder="1" applyAlignment="1">
      <alignment horizontal="left" vertical="center"/>
    </xf>
    <xf numFmtId="0" fontId="43" fillId="0" borderId="0" xfId="0" applyFont="1" applyAlignment="1">
      <alignment wrapText="1"/>
    </xf>
    <xf numFmtId="0" fontId="43" fillId="0" borderId="0" xfId="0" applyFont="1" applyAlignment="1">
      <alignment horizontal="left" wrapText="1"/>
    </xf>
    <xf numFmtId="0" fontId="44" fillId="0" borderId="13" xfId="3" applyFont="1" applyFill="1" applyBorder="1" applyAlignment="1">
      <alignment horizontal="center"/>
    </xf>
    <xf numFmtId="0" fontId="43" fillId="0" borderId="0" xfId="0" applyFont="1" applyAlignment="1">
      <alignment horizontal="center" wrapText="1"/>
    </xf>
    <xf numFmtId="0" fontId="38" fillId="0" borderId="6" xfId="8" applyFont="1" applyFill="1" applyBorder="1" applyAlignment="1">
      <alignment horizontal="center" vertical="center"/>
    </xf>
    <xf numFmtId="43" fontId="38" fillId="0" borderId="1" xfId="1" applyFont="1" applyFill="1" applyBorder="1" applyAlignment="1">
      <alignment horizontal="center" vertical="center"/>
    </xf>
    <xf numFmtId="43" fontId="38" fillId="0" borderId="6" xfId="1" applyFont="1" applyFill="1" applyBorder="1" applyAlignment="1">
      <alignment horizontal="center" vertical="center"/>
    </xf>
    <xf numFmtId="43" fontId="43" fillId="0" borderId="0" xfId="1" applyFont="1" applyAlignment="1">
      <alignment horizontal="center" wrapText="1"/>
    </xf>
    <xf numFmtId="43" fontId="38" fillId="0" borderId="1" xfId="1" applyFont="1" applyFill="1" applyBorder="1" applyAlignment="1">
      <alignment horizontal="right" vertical="center"/>
    </xf>
    <xf numFmtId="43" fontId="38" fillId="0" borderId="2" xfId="1" applyFont="1" applyFill="1" applyBorder="1" applyAlignment="1">
      <alignment horizontal="right" vertical="center"/>
    </xf>
    <xf numFmtId="43" fontId="43" fillId="0" borderId="0" xfId="1" applyFont="1" applyAlignment="1">
      <alignment wrapText="1"/>
    </xf>
    <xf numFmtId="43" fontId="45" fillId="0" borderId="1" xfId="1" applyFont="1" applyFill="1" applyBorder="1" applyAlignment="1">
      <alignment horizontal="center" vertical="center" wrapText="1"/>
    </xf>
    <xf numFmtId="43" fontId="45" fillId="0" borderId="1" xfId="1" applyFont="1" applyFill="1" applyBorder="1" applyAlignment="1">
      <alignment horizontal="right" vertical="center" wrapText="1"/>
    </xf>
    <xf numFmtId="43" fontId="43" fillId="0" borderId="0" xfId="1" applyFont="1" applyAlignment="1">
      <alignment vertical="center"/>
    </xf>
    <xf numFmtId="0" fontId="43" fillId="3" borderId="1" xfId="0" applyFont="1" applyFill="1" applyBorder="1" applyAlignment="1" applyProtection="1">
      <alignment horizontal="left" vertical="center" wrapText="1"/>
      <protection locked="0"/>
    </xf>
    <xf numFmtId="43" fontId="43" fillId="0" borderId="1" xfId="1" applyFont="1" applyBorder="1" applyAlignment="1" applyProtection="1">
      <alignment horizontal="center" vertical="center" wrapText="1"/>
      <protection locked="0"/>
    </xf>
    <xf numFmtId="43" fontId="43" fillId="0" borderId="1" xfId="1" applyFont="1" applyBorder="1" applyAlignment="1" applyProtection="1">
      <alignment horizontal="center" vertical="center"/>
      <protection locked="0"/>
    </xf>
    <xf numFmtId="0" fontId="43" fillId="0" borderId="1" xfId="4" applyFont="1" applyFill="1" applyBorder="1" applyAlignment="1" applyProtection="1">
      <alignment horizontal="left" vertical="center" wrapText="1"/>
      <protection locked="0"/>
    </xf>
    <xf numFmtId="0" fontId="45" fillId="2" borderId="1" xfId="4" applyFont="1" applyFill="1" applyBorder="1" applyAlignment="1" applyProtection="1">
      <alignment horizontal="center" vertical="center" wrapText="1"/>
      <protection locked="0"/>
    </xf>
    <xf numFmtId="0" fontId="45" fillId="4" borderId="1" xfId="8" applyFont="1" applyFill="1" applyBorder="1" applyAlignment="1" applyProtection="1">
      <alignment horizontal="center" vertical="center" wrapText="1"/>
      <protection locked="0"/>
    </xf>
    <xf numFmtId="43" fontId="40" fillId="2" borderId="1" xfId="1" applyFont="1" applyFill="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5" fillId="19" borderId="1" xfId="0" applyFont="1" applyFill="1" applyBorder="1" applyAlignment="1" applyProtection="1">
      <alignment horizontal="left" vertical="center" wrapText="1"/>
      <protection locked="0"/>
    </xf>
    <xf numFmtId="0" fontId="45" fillId="0" borderId="1" xfId="4" applyFont="1" applyFill="1" applyBorder="1" applyAlignment="1" applyProtection="1">
      <alignment horizontal="left" vertical="center" wrapText="1"/>
      <protection locked="0"/>
    </xf>
    <xf numFmtId="0" fontId="43" fillId="0" borderId="1" xfId="0" applyFont="1" applyBorder="1" applyAlignment="1" applyProtection="1">
      <alignment horizontal="center" vertical="center" wrapText="1"/>
    </xf>
    <xf numFmtId="0" fontId="20" fillId="0" borderId="1" xfId="38" applyFont="1" applyFill="1" applyBorder="1" applyAlignment="1" applyProtection="1">
      <alignment horizontal="center" vertical="center" wrapText="1"/>
    </xf>
    <xf numFmtId="43" fontId="40" fillId="0" borderId="1" xfId="1" applyFont="1" applyFill="1" applyBorder="1" applyAlignment="1" applyProtection="1">
      <alignment horizontal="center" vertical="center" wrapText="1"/>
    </xf>
    <xf numFmtId="43" fontId="43" fillId="0" borderId="1" xfId="1" applyFont="1" applyBorder="1" applyAlignment="1" applyProtection="1">
      <alignment horizontal="center" vertical="center" wrapText="1"/>
    </xf>
    <xf numFmtId="0" fontId="0" fillId="0" borderId="0" xfId="0" applyFill="1" applyBorder="1"/>
    <xf numFmtId="0" fontId="40" fillId="2" borderId="1" xfId="38" applyFont="1" applyFill="1" applyBorder="1" applyAlignment="1" applyProtection="1">
      <alignment horizontal="left" vertical="center" wrapText="1"/>
      <protection locked="0"/>
    </xf>
    <xf numFmtId="0" fontId="0" fillId="0" borderId="1" xfId="0" applyBorder="1"/>
    <xf numFmtId="0" fontId="0" fillId="0" borderId="1" xfId="0" applyBorder="1" applyAlignment="1">
      <alignment horizontal="center"/>
    </xf>
    <xf numFmtId="0" fontId="38" fillId="7" borderId="1" xfId="38" applyFont="1" applyFill="1" applyBorder="1" applyAlignment="1" applyProtection="1">
      <alignment horizontal="left" vertical="center" wrapText="1"/>
    </xf>
    <xf numFmtId="0" fontId="39" fillId="0" borderId="1" xfId="0" applyFont="1" applyBorder="1" applyAlignment="1" applyProtection="1">
      <alignment horizontal="left" vertical="center" wrapText="1"/>
      <protection locked="0"/>
    </xf>
    <xf numFmtId="0" fontId="43" fillId="0" borderId="1" xfId="0" applyFont="1" applyFill="1" applyBorder="1" applyAlignment="1" applyProtection="1">
      <alignment horizontal="center" vertical="center" wrapText="1"/>
      <protection locked="0"/>
    </xf>
    <xf numFmtId="0" fontId="39" fillId="0" borderId="1" xfId="0" applyFont="1" applyFill="1" applyBorder="1" applyAlignment="1" applyProtection="1">
      <alignment horizontal="left" vertical="center" wrapText="1"/>
      <protection locked="0"/>
    </xf>
    <xf numFmtId="0" fontId="43" fillId="0" borderId="1" xfId="4" applyFont="1" applyBorder="1" applyAlignment="1" applyProtection="1">
      <alignment vertical="center" wrapText="1"/>
      <protection locked="0"/>
    </xf>
    <xf numFmtId="0" fontId="40" fillId="0" borderId="1" xfId="8" applyFont="1" applyBorder="1" applyAlignment="1" applyProtection="1">
      <alignment horizontal="center" vertical="center" wrapText="1"/>
      <protection locked="0"/>
    </xf>
    <xf numFmtId="0" fontId="45" fillId="0" borderId="1" xfId="0" applyFont="1" applyBorder="1" applyAlignment="1" applyProtection="1">
      <alignment horizontal="center" vertical="center" wrapText="1"/>
      <protection locked="0"/>
    </xf>
    <xf numFmtId="43" fontId="38" fillId="7" borderId="1" xfId="1" applyFont="1" applyFill="1" applyBorder="1" applyAlignment="1" applyProtection="1">
      <alignment horizontal="right" vertical="center" wrapText="1"/>
    </xf>
    <xf numFmtId="43" fontId="40" fillId="2" borderId="1" xfId="1" applyFont="1" applyFill="1" applyBorder="1" applyAlignment="1" applyProtection="1">
      <alignment horizontal="right" vertical="center" wrapText="1"/>
    </xf>
    <xf numFmtId="43" fontId="45" fillId="4" borderId="1" xfId="1" applyFont="1" applyFill="1" applyBorder="1" applyAlignment="1" applyProtection="1">
      <alignment horizontal="right" vertical="center" wrapText="1"/>
    </xf>
    <xf numFmtId="43" fontId="43" fillId="0" borderId="1" xfId="1" applyFont="1" applyBorder="1" applyAlignment="1" applyProtection="1">
      <alignment horizontal="right" vertical="center" wrapText="1"/>
    </xf>
    <xf numFmtId="43" fontId="43" fillId="0" borderId="1" xfId="1" applyFont="1" applyFill="1" applyBorder="1" applyAlignment="1" applyProtection="1">
      <alignment horizontal="right" vertical="center" wrapText="1"/>
    </xf>
    <xf numFmtId="43" fontId="40" fillId="4" borderId="1" xfId="1" applyFont="1" applyFill="1" applyBorder="1" applyAlignment="1" applyProtection="1">
      <alignment horizontal="right" vertical="center" wrapText="1"/>
    </xf>
    <xf numFmtId="0" fontId="38" fillId="7" borderId="1" xfId="8" applyFont="1" applyFill="1" applyBorder="1" applyAlignment="1" applyProtection="1">
      <alignment horizontal="left" vertical="center" wrapText="1"/>
    </xf>
    <xf numFmtId="0" fontId="43" fillId="0" borderId="1" xfId="8" applyFont="1" applyBorder="1" applyAlignment="1" applyProtection="1">
      <alignment horizontal="left" vertical="center" wrapText="1"/>
    </xf>
    <xf numFmtId="0" fontId="43" fillId="0" borderId="1" xfId="8" applyFont="1" applyBorder="1" applyAlignment="1" applyProtection="1">
      <alignment vertical="center" wrapText="1"/>
      <protection locked="0"/>
    </xf>
    <xf numFmtId="0" fontId="43" fillId="0" borderId="1" xfId="8" applyFont="1" applyFill="1" applyBorder="1" applyAlignment="1" applyProtection="1">
      <alignment horizontal="left" vertical="center" wrapText="1"/>
    </xf>
    <xf numFmtId="2" fontId="43" fillId="0" borderId="1" xfId="8" applyNumberFormat="1" applyFont="1" applyFill="1" applyBorder="1" applyAlignment="1" applyProtection="1">
      <alignment horizontal="right" vertical="center" wrapText="1"/>
    </xf>
    <xf numFmtId="0" fontId="43" fillId="0" borderId="1" xfId="8" applyFont="1" applyFill="1" applyBorder="1" applyAlignment="1" applyProtection="1">
      <alignment vertical="center" wrapText="1"/>
      <protection locked="0"/>
    </xf>
    <xf numFmtId="0" fontId="43" fillId="0" borderId="1" xfId="8" applyFont="1" applyFill="1" applyBorder="1" applyAlignment="1" applyProtection="1">
      <alignment horizontal="left" vertical="center" wrapText="1"/>
      <protection locked="0"/>
    </xf>
    <xf numFmtId="0" fontId="45" fillId="0" borderId="1" xfId="8" applyFont="1" applyBorder="1" applyAlignment="1" applyProtection="1">
      <alignment horizontal="left" vertical="center" wrapText="1"/>
      <protection locked="0"/>
    </xf>
    <xf numFmtId="2" fontId="45" fillId="4" borderId="1" xfId="8" applyNumberFormat="1" applyFont="1" applyFill="1" applyBorder="1" applyAlignment="1" applyProtection="1">
      <alignment horizontal="right" vertical="center" wrapText="1"/>
      <protection locked="0"/>
    </xf>
    <xf numFmtId="0" fontId="45" fillId="0" borderId="1" xfId="8" applyFont="1" applyBorder="1" applyAlignment="1" applyProtection="1">
      <alignment vertical="center" wrapText="1"/>
      <protection locked="0"/>
    </xf>
    <xf numFmtId="43" fontId="57" fillId="0" borderId="1" xfId="1" applyFont="1" applyBorder="1" applyAlignment="1">
      <alignment vertical="center" wrapText="1" readingOrder="1"/>
    </xf>
    <xf numFmtId="43" fontId="43" fillId="0" borderId="1" xfId="1" applyFont="1" applyBorder="1" applyAlignment="1">
      <alignment vertical="center" wrapText="1"/>
    </xf>
    <xf numFmtId="43" fontId="52" fillId="0" borderId="1" xfId="1" applyFont="1" applyBorder="1" applyAlignment="1">
      <alignment vertical="center" wrapText="1"/>
    </xf>
    <xf numFmtId="43" fontId="43" fillId="0" borderId="1" xfId="1" applyFont="1" applyBorder="1" applyAlignment="1">
      <alignment vertical="center"/>
    </xf>
    <xf numFmtId="0" fontId="26" fillId="0" borderId="0" xfId="0" applyFont="1" applyFill="1" applyBorder="1"/>
    <xf numFmtId="0" fontId="26" fillId="0" borderId="0" xfId="0" applyFont="1" applyAlignment="1">
      <alignment horizontal="center" vertical="center" wrapText="1"/>
    </xf>
    <xf numFmtId="0" fontId="0" fillId="0" borderId="0" xfId="0" applyFill="1" applyBorder="1" applyAlignment="1"/>
    <xf numFmtId="9" fontId="0" fillId="0" borderId="1" xfId="99" applyFont="1" applyBorder="1"/>
    <xf numFmtId="0" fontId="55" fillId="0" borderId="1" xfId="0" applyFont="1" applyBorder="1" applyAlignment="1">
      <alignment horizontal="left" vertical="center" wrapText="1"/>
    </xf>
    <xf numFmtId="0" fontId="26" fillId="24" borderId="1" xfId="0" applyFont="1" applyFill="1" applyBorder="1" applyAlignment="1">
      <alignment vertical="center"/>
    </xf>
    <xf numFmtId="0" fontId="44" fillId="39" borderId="1" xfId="3" applyFont="1" applyFill="1" applyBorder="1" applyAlignment="1">
      <alignment horizontal="left"/>
    </xf>
    <xf numFmtId="0" fontId="44" fillId="24" borderId="1" xfId="3" applyFont="1" applyFill="1" applyBorder="1" applyAlignment="1">
      <alignment horizontal="left" vertical="center" wrapText="1"/>
    </xf>
    <xf numFmtId="0" fontId="29" fillId="36" borderId="1" xfId="3" applyFill="1" applyBorder="1" applyAlignment="1"/>
    <xf numFmtId="0" fontId="29" fillId="0" borderId="1" xfId="3" applyFill="1" applyBorder="1" applyAlignment="1">
      <alignment horizontal="left" vertical="center"/>
    </xf>
    <xf numFmtId="0" fontId="36" fillId="0" borderId="1" xfId="0" applyFont="1" applyFill="1" applyBorder="1" applyAlignment="1">
      <alignment vertical="center"/>
    </xf>
    <xf numFmtId="0" fontId="35" fillId="0" borderId="0" xfId="0" applyFont="1" applyFill="1" applyAlignment="1">
      <alignment vertical="center"/>
    </xf>
    <xf numFmtId="0" fontId="58" fillId="8" borderId="1" xfId="3" applyFont="1" applyFill="1" applyBorder="1"/>
    <xf numFmtId="0" fontId="55" fillId="36" borderId="1" xfId="0" applyFont="1" applyFill="1" applyBorder="1" applyAlignment="1">
      <alignment horizontal="center" vertical="center" wrapText="1" readingOrder="1"/>
    </xf>
    <xf numFmtId="0" fontId="26" fillId="29" borderId="13" xfId="0" applyFont="1" applyFill="1" applyBorder="1" applyAlignment="1">
      <alignment horizontal="center" vertical="center" wrapText="1"/>
    </xf>
    <xf numFmtId="0" fontId="26" fillId="24" borderId="13" xfId="0" applyFont="1" applyFill="1" applyBorder="1" applyAlignment="1">
      <alignment horizontal="center" vertical="center" wrapText="1"/>
    </xf>
    <xf numFmtId="0" fontId="26" fillId="37" borderId="13" xfId="0" applyFont="1" applyFill="1" applyBorder="1" applyAlignment="1">
      <alignment horizontal="center" vertical="center" wrapText="1"/>
    </xf>
    <xf numFmtId="0" fontId="26" fillId="24" borderId="1" xfId="0" applyFont="1" applyFill="1" applyBorder="1" applyAlignment="1">
      <alignment horizontal="center" vertical="center" wrapText="1"/>
    </xf>
    <xf numFmtId="0" fontId="55" fillId="0" borderId="1" xfId="0" applyFont="1" applyBorder="1" applyAlignment="1">
      <alignment horizontal="center" vertical="center" wrapText="1" readingOrder="1"/>
    </xf>
    <xf numFmtId="0" fontId="0" fillId="0" borderId="1" xfId="0" applyBorder="1" applyAlignment="1">
      <alignment horizontal="center" vertical="center"/>
    </xf>
    <xf numFmtId="0" fontId="14" fillId="0" borderId="1" xfId="8" applyFont="1" applyFill="1" applyBorder="1" applyAlignment="1" applyProtection="1">
      <alignment vertical="center" wrapText="1"/>
      <protection locked="0"/>
    </xf>
    <xf numFmtId="0" fontId="14" fillId="0" borderId="1" xfId="9" applyFont="1" applyBorder="1" applyAlignment="1" applyProtection="1">
      <alignment vertical="center" wrapText="1"/>
      <protection locked="0"/>
    </xf>
    <xf numFmtId="0" fontId="14" fillId="0" borderId="1" xfId="8" applyFont="1" applyBorder="1" applyAlignment="1" applyProtection="1">
      <alignment horizontal="center" vertical="center" wrapText="1"/>
      <protection locked="0"/>
    </xf>
    <xf numFmtId="0" fontId="40" fillId="0" borderId="1" xfId="8" applyFont="1" applyFill="1" applyBorder="1" applyAlignment="1" applyProtection="1">
      <alignment horizontal="center" vertical="center" wrapText="1"/>
      <protection locked="0"/>
    </xf>
    <xf numFmtId="0" fontId="45" fillId="0" borderId="1" xfId="8" applyFont="1" applyFill="1" applyBorder="1" applyAlignment="1" applyProtection="1">
      <alignment vertical="center" wrapText="1"/>
      <protection locked="0"/>
    </xf>
    <xf numFmtId="0" fontId="14" fillId="0" borderId="1" xfId="8" applyFont="1" applyFill="1" applyBorder="1" applyAlignment="1" applyProtection="1">
      <alignment horizontal="center" vertical="center" wrapText="1"/>
      <protection locked="0"/>
    </xf>
    <xf numFmtId="0" fontId="39" fillId="0" borderId="1" xfId="9" applyFont="1" applyFill="1" applyBorder="1" applyAlignment="1" applyProtection="1">
      <alignment vertical="center" wrapText="1"/>
      <protection locked="0"/>
    </xf>
    <xf numFmtId="0" fontId="43" fillId="0" borderId="1" xfId="9" applyFont="1" applyFill="1" applyBorder="1" applyAlignment="1" applyProtection="1">
      <alignment horizontal="left" vertical="center" wrapText="1"/>
      <protection locked="0"/>
    </xf>
    <xf numFmtId="0" fontId="43" fillId="0" borderId="1" xfId="4" applyFont="1" applyFill="1" applyBorder="1" applyAlignment="1" applyProtection="1">
      <alignment vertical="center" wrapText="1"/>
      <protection locked="0"/>
    </xf>
    <xf numFmtId="0" fontId="39" fillId="0" borderId="1" xfId="0" applyFont="1" applyFill="1" applyBorder="1" applyAlignment="1" applyProtection="1">
      <alignment horizontal="center" vertical="center" wrapText="1"/>
      <protection locked="0"/>
    </xf>
    <xf numFmtId="0" fontId="45" fillId="0" borderId="1" xfId="4" applyFont="1" applyFill="1" applyBorder="1" applyAlignment="1" applyProtection="1">
      <alignment vertical="center" wrapText="1"/>
      <protection locked="0"/>
    </xf>
    <xf numFmtId="0" fontId="45" fillId="0" borderId="1" xfId="4" applyFont="1" applyFill="1" applyBorder="1" applyAlignment="1" applyProtection="1">
      <alignment horizontal="center" vertical="center" wrapText="1"/>
      <protection locked="0"/>
    </xf>
    <xf numFmtId="43" fontId="14" fillId="0" borderId="1" xfId="1" applyFont="1" applyBorder="1" applyAlignment="1" applyProtection="1">
      <alignment horizontal="right" vertical="center" wrapText="1"/>
    </xf>
    <xf numFmtId="43" fontId="14" fillId="0" borderId="1" xfId="1" applyFont="1" applyFill="1" applyBorder="1" applyAlignment="1" applyProtection="1">
      <alignment horizontal="right" vertical="center" wrapText="1"/>
    </xf>
    <xf numFmtId="0" fontId="39" fillId="0" borderId="1" xfId="38" applyFont="1" applyFill="1" applyBorder="1" applyAlignment="1" applyProtection="1">
      <alignment horizontal="center" vertical="center" wrapText="1"/>
      <protection locked="0"/>
    </xf>
    <xf numFmtId="0" fontId="45" fillId="2" borderId="1" xfId="8" applyFont="1" applyFill="1" applyBorder="1" applyAlignment="1" applyProtection="1">
      <alignment horizontal="left" vertical="center" wrapText="1"/>
    </xf>
    <xf numFmtId="0" fontId="45" fillId="0" borderId="1" xfId="38" applyFont="1" applyBorder="1" applyAlignment="1" applyProtection="1">
      <alignment horizontal="center" vertical="center" wrapText="1"/>
      <protection locked="0"/>
    </xf>
    <xf numFmtId="0" fontId="43" fillId="0" borderId="1" xfId="87" applyFont="1" applyFill="1" applyBorder="1" applyAlignment="1" applyProtection="1">
      <alignment vertical="center" wrapText="1"/>
      <protection locked="0"/>
    </xf>
    <xf numFmtId="0" fontId="43" fillId="0" borderId="1" xfId="87" applyFont="1" applyFill="1" applyBorder="1" applyAlignment="1" applyProtection="1">
      <alignment horizontal="left" vertical="center" wrapText="1"/>
      <protection locked="0"/>
    </xf>
    <xf numFmtId="0" fontId="14" fillId="0" borderId="1" xfId="87" applyFont="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39" fillId="0" borderId="1" xfId="9" applyFont="1" applyFill="1" applyBorder="1" applyAlignment="1" applyProtection="1">
      <alignment horizontal="left" vertical="center" wrapText="1"/>
      <protection locked="0"/>
    </xf>
    <xf numFmtId="0" fontId="14" fillId="0" borderId="1" xfId="9" applyFont="1" applyBorder="1" applyAlignment="1" applyProtection="1">
      <alignment horizontal="left" vertical="center" wrapText="1"/>
      <protection locked="0"/>
    </xf>
    <xf numFmtId="0" fontId="45" fillId="3" borderId="1" xfId="8" applyFont="1" applyFill="1" applyBorder="1" applyAlignment="1" applyProtection="1">
      <alignment vertical="center" wrapText="1"/>
      <protection locked="0"/>
    </xf>
    <xf numFmtId="0" fontId="14" fillId="0" borderId="1" xfId="8" applyFont="1" applyBorder="1" applyAlignment="1" applyProtection="1">
      <alignment horizontal="left" vertical="center" wrapText="1"/>
    </xf>
    <xf numFmtId="0" fontId="14" fillId="0" borderId="1" xfId="8" applyFont="1" applyFill="1" applyBorder="1" applyAlignment="1" applyProtection="1">
      <alignment horizontal="left" vertical="center" wrapText="1"/>
    </xf>
    <xf numFmtId="0" fontId="40" fillId="0" borderId="1" xfId="9" applyFont="1" applyFill="1" applyBorder="1" applyAlignment="1" applyProtection="1">
      <alignment vertical="center" wrapText="1"/>
      <protection locked="0"/>
    </xf>
    <xf numFmtId="0" fontId="40" fillId="0" borderId="1" xfId="8" applyFont="1" applyFill="1" applyBorder="1" applyAlignment="1" applyProtection="1">
      <alignment horizontal="left" vertical="center" wrapText="1"/>
      <protection locked="0"/>
    </xf>
    <xf numFmtId="2" fontId="45" fillId="2" borderId="1" xfId="8" applyNumberFormat="1" applyFont="1" applyFill="1" applyBorder="1" applyAlignment="1" applyProtection="1">
      <alignment horizontal="right" vertical="center" wrapText="1"/>
      <protection locked="0"/>
    </xf>
    <xf numFmtId="0" fontId="40" fillId="0" borderId="1" xfId="9" applyFont="1" applyBorder="1" applyAlignment="1" applyProtection="1">
      <alignment horizontal="left" vertical="center" wrapText="1"/>
      <protection locked="0"/>
    </xf>
    <xf numFmtId="167" fontId="39" fillId="0" borderId="1" xfId="9" applyNumberFormat="1" applyFont="1" applyFill="1" applyBorder="1" applyAlignment="1" applyProtection="1">
      <alignment vertical="center" wrapText="1"/>
      <protection locked="0"/>
    </xf>
    <xf numFmtId="0" fontId="40" fillId="0" borderId="1" xfId="9" applyFont="1" applyFill="1" applyBorder="1" applyAlignment="1" applyProtection="1">
      <alignment horizontal="center" vertical="center" wrapText="1"/>
      <protection locked="0"/>
    </xf>
    <xf numFmtId="0" fontId="14" fillId="0" borderId="1" xfId="9" applyFont="1" applyFill="1" applyBorder="1" applyAlignment="1" applyProtection="1">
      <alignment vertical="center" wrapText="1"/>
      <protection locked="0"/>
    </xf>
    <xf numFmtId="0" fontId="14" fillId="0" borderId="1" xfId="9" applyFont="1" applyFill="1" applyBorder="1" applyAlignment="1" applyProtection="1">
      <alignment horizontal="left"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left" vertical="center" wrapText="1"/>
      <protection locked="0"/>
    </xf>
    <xf numFmtId="0" fontId="43" fillId="0" borderId="1" xfId="4" applyFont="1" applyBorder="1" applyAlignment="1" applyProtection="1">
      <alignment horizontal="left" vertical="center" wrapText="1"/>
    </xf>
    <xf numFmtId="0" fontId="43" fillId="4" borderId="1" xfId="8" applyFont="1" applyFill="1" applyBorder="1" applyAlignment="1" applyProtection="1">
      <alignment horizontal="left" vertical="center" wrapText="1"/>
    </xf>
    <xf numFmtId="0" fontId="43" fillId="2" borderId="1" xfId="8" applyFont="1" applyFill="1" applyBorder="1" applyAlignment="1" applyProtection="1">
      <alignment horizontal="left" vertical="center" wrapText="1"/>
    </xf>
    <xf numFmtId="0" fontId="43" fillId="0" borderId="1" xfId="62" applyFont="1" applyBorder="1" applyAlignment="1" applyProtection="1">
      <alignment horizontal="right" vertical="center" wrapText="1"/>
      <protection locked="0"/>
    </xf>
    <xf numFmtId="0" fontId="14" fillId="0" borderId="1" xfId="82" applyFont="1" applyBorder="1" applyAlignment="1" applyProtection="1">
      <alignment vertical="center" wrapText="1"/>
      <protection locked="0"/>
    </xf>
    <xf numFmtId="0" fontId="14" fillId="0" borderId="1" xfId="8" applyFont="1" applyBorder="1" applyAlignment="1" applyProtection="1">
      <alignment horizontal="center" vertical="center"/>
      <protection locked="0"/>
    </xf>
    <xf numFmtId="0" fontId="14" fillId="0" borderId="1" xfId="8" applyFont="1" applyFill="1" applyBorder="1" applyAlignment="1" applyProtection="1">
      <alignment horizontal="left" vertical="center"/>
    </xf>
    <xf numFmtId="0" fontId="38" fillId="7" borderId="1" xfId="11" applyFont="1" applyFill="1" applyBorder="1" applyAlignment="1" applyProtection="1">
      <alignment horizontal="left" vertical="center" wrapText="1"/>
    </xf>
    <xf numFmtId="0" fontId="41" fillId="7" borderId="1" xfId="11" applyFont="1" applyFill="1" applyBorder="1" applyAlignment="1" applyProtection="1">
      <alignment horizontal="left" vertical="center" wrapText="1"/>
    </xf>
    <xf numFmtId="2" fontId="38" fillId="7" borderId="1" xfId="11" applyNumberFormat="1" applyFont="1" applyFill="1" applyBorder="1" applyAlignment="1" applyProtection="1">
      <alignment horizontal="right" vertical="center" wrapText="1"/>
    </xf>
    <xf numFmtId="0" fontId="40" fillId="2" borderId="1" xfId="48" applyFont="1" applyFill="1" applyBorder="1" applyAlignment="1" applyProtection="1">
      <alignment horizontal="left" vertical="center" wrapText="1"/>
    </xf>
    <xf numFmtId="0" fontId="14" fillId="0" borderId="1" xfId="0" applyFont="1" applyBorder="1" applyAlignment="1" applyProtection="1">
      <alignment vertical="center" wrapText="1"/>
    </xf>
    <xf numFmtId="0" fontId="14" fillId="0" borderId="1" xfId="4" applyFont="1" applyBorder="1" applyAlignment="1" applyProtection="1">
      <alignment horizontal="left" vertical="center" wrapText="1"/>
    </xf>
    <xf numFmtId="0" fontId="14" fillId="0" borderId="1" xfId="4" applyFont="1" applyBorder="1" applyAlignment="1" applyProtection="1">
      <alignment vertical="center" wrapText="1"/>
    </xf>
    <xf numFmtId="0" fontId="14" fillId="0" borderId="1" xfId="4" applyFont="1" applyFill="1" applyBorder="1" applyAlignment="1" applyProtection="1">
      <alignment vertical="center" wrapText="1"/>
    </xf>
    <xf numFmtId="0" fontId="40" fillId="0" borderId="1" xfId="4" applyFont="1" applyFill="1" applyBorder="1" applyAlignment="1" applyProtection="1">
      <alignment vertical="center" wrapText="1"/>
    </xf>
    <xf numFmtId="43" fontId="40" fillId="2" borderId="1" xfId="1" applyFont="1" applyFill="1" applyBorder="1" applyAlignment="1" applyProtection="1">
      <alignment horizontal="center" vertical="center" wrapText="1"/>
    </xf>
    <xf numFmtId="43" fontId="14" fillId="0" borderId="1" xfId="1" applyFont="1" applyBorder="1" applyAlignment="1" applyProtection="1">
      <alignment horizontal="center" vertical="center" wrapText="1"/>
    </xf>
    <xf numFmtId="43" fontId="14" fillId="0" borderId="1" xfId="1" applyFont="1" applyFill="1" applyBorder="1" applyAlignment="1" applyProtection="1">
      <alignment horizontal="center" vertical="center"/>
    </xf>
    <xf numFmtId="0" fontId="14" fillId="0" borderId="1" xfId="0" applyFont="1" applyBorder="1" applyAlignment="1" applyProtection="1">
      <alignment horizontal="left" vertical="center" wrapText="1"/>
    </xf>
    <xf numFmtId="0" fontId="14" fillId="0" borderId="1" xfId="4" applyFont="1" applyFill="1" applyBorder="1" applyAlignment="1" applyProtection="1">
      <alignment horizontal="left" vertical="center" wrapText="1"/>
    </xf>
    <xf numFmtId="2" fontId="40" fillId="2" borderId="1" xfId="38" applyNumberFormat="1" applyFont="1" applyFill="1" applyBorder="1" applyAlignment="1" applyProtection="1">
      <alignment horizontal="right" vertical="center" wrapText="1"/>
      <protection locked="0"/>
    </xf>
    <xf numFmtId="0" fontId="57" fillId="0" borderId="1" xfId="0" applyFont="1" applyBorder="1" applyAlignment="1" applyProtection="1">
      <alignment vertical="center" wrapText="1"/>
      <protection locked="0"/>
    </xf>
    <xf numFmtId="0" fontId="57" fillId="0" borderId="1" xfId="0" applyFont="1" applyBorder="1" applyAlignment="1" applyProtection="1">
      <alignment horizontal="left" vertical="center" wrapText="1"/>
      <protection locked="0"/>
    </xf>
    <xf numFmtId="2" fontId="43" fillId="14" borderId="1" xfId="8" applyNumberFormat="1" applyFont="1" applyFill="1" applyBorder="1" applyAlignment="1" applyProtection="1">
      <alignment horizontal="right" vertical="center" wrapText="1"/>
    </xf>
    <xf numFmtId="1" fontId="40" fillId="2" borderId="1" xfId="38" applyNumberFormat="1" applyFont="1" applyFill="1" applyBorder="1" applyAlignment="1" applyProtection="1">
      <alignment horizontal="center" vertical="center" wrapText="1"/>
      <protection locked="0"/>
    </xf>
    <xf numFmtId="0" fontId="45" fillId="19" borderId="1" xfId="8" applyFont="1" applyFill="1" applyBorder="1" applyAlignment="1" applyProtection="1">
      <alignment vertical="center" wrapText="1"/>
      <protection locked="0"/>
    </xf>
    <xf numFmtId="0" fontId="45" fillId="27" borderId="1" xfId="0" applyFont="1" applyFill="1" applyBorder="1" applyAlignment="1" applyProtection="1">
      <alignment horizontal="left" vertical="center" wrapText="1"/>
      <protection locked="0"/>
    </xf>
    <xf numFmtId="0" fontId="45" fillId="27" borderId="1" xfId="8" applyFont="1" applyFill="1" applyBorder="1" applyAlignment="1" applyProtection="1">
      <alignment vertical="center" wrapText="1"/>
      <protection locked="0"/>
    </xf>
    <xf numFmtId="0" fontId="47" fillId="2" borderId="1" xfId="0" applyFont="1" applyFill="1" applyBorder="1" applyAlignment="1" applyProtection="1">
      <alignment horizontal="left" vertical="center" wrapText="1"/>
      <protection locked="0"/>
    </xf>
    <xf numFmtId="0" fontId="45" fillId="2" borderId="1" xfId="8" applyFont="1" applyFill="1" applyBorder="1" applyAlignment="1" applyProtection="1">
      <alignment horizontal="center" vertical="center" wrapText="1"/>
      <protection locked="0"/>
    </xf>
    <xf numFmtId="0" fontId="39" fillId="14" borderId="1"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2" fontId="45" fillId="4" borderId="1" xfId="8" applyNumberFormat="1" applyFont="1" applyFill="1" applyBorder="1" applyAlignment="1" applyProtection="1">
      <alignment horizontal="left" vertical="center" wrapText="1"/>
      <protection locked="0"/>
    </xf>
    <xf numFmtId="0" fontId="43" fillId="14" borderId="1" xfId="0" applyFont="1" applyFill="1" applyBorder="1" applyAlignment="1" applyProtection="1">
      <alignment horizontal="center" vertical="center" wrapText="1"/>
      <protection locked="0"/>
    </xf>
    <xf numFmtId="0" fontId="45" fillId="0" borderId="1" xfId="11" applyFont="1" applyFill="1" applyBorder="1" applyAlignment="1" applyProtection="1">
      <alignment horizontal="left" vertical="center" wrapText="1"/>
      <protection locked="0"/>
    </xf>
    <xf numFmtId="0" fontId="43" fillId="0" borderId="1" xfId="87" applyFont="1" applyFill="1" applyBorder="1" applyAlignment="1" applyProtection="1">
      <alignment horizontal="center" vertical="center"/>
      <protection locked="0"/>
    </xf>
    <xf numFmtId="0" fontId="45" fillId="36" borderId="1" xfId="4" applyFont="1" applyFill="1" applyBorder="1" applyAlignment="1" applyProtection="1">
      <alignment vertical="center" wrapText="1"/>
      <protection locked="0"/>
    </xf>
    <xf numFmtId="0" fontId="45" fillId="36" borderId="1" xfId="4" applyFont="1" applyFill="1" applyBorder="1" applyAlignment="1" applyProtection="1">
      <alignment horizontal="left" vertical="center" wrapText="1"/>
      <protection locked="0"/>
    </xf>
    <xf numFmtId="0" fontId="45" fillId="36" borderId="1" xfId="4" applyFont="1" applyFill="1" applyBorder="1" applyAlignment="1" applyProtection="1">
      <alignment horizontal="center" vertical="center" wrapText="1"/>
      <protection locked="0"/>
    </xf>
    <xf numFmtId="0" fontId="43" fillId="0" borderId="1" xfId="4" applyFont="1" applyFill="1" applyBorder="1" applyAlignment="1" applyProtection="1">
      <alignment horizontal="center" vertical="center" wrapText="1"/>
      <protection locked="0"/>
    </xf>
    <xf numFmtId="0" fontId="45" fillId="0" borderId="1" xfId="11" applyFont="1" applyFill="1" applyBorder="1" applyAlignment="1" applyProtection="1">
      <alignment horizontal="center" vertical="center" wrapText="1"/>
      <protection locked="0"/>
    </xf>
    <xf numFmtId="0" fontId="40" fillId="2" borderId="1" xfId="8" applyFont="1" applyFill="1" applyBorder="1" applyAlignment="1" applyProtection="1">
      <alignment horizontal="center" vertical="center" wrapText="1"/>
      <protection locked="0"/>
    </xf>
    <xf numFmtId="0" fontId="43" fillId="0" borderId="1" xfId="9" applyFont="1" applyFill="1" applyBorder="1" applyAlignment="1" applyProtection="1">
      <alignment horizontal="center" vertical="center" wrapText="1"/>
      <protection locked="0"/>
    </xf>
    <xf numFmtId="1" fontId="14" fillId="0" borderId="1" xfId="9" applyNumberFormat="1" applyFont="1" applyFill="1" applyBorder="1" applyAlignment="1" applyProtection="1">
      <alignment horizontal="center" vertical="center" wrapText="1"/>
      <protection locked="0"/>
    </xf>
    <xf numFmtId="0" fontId="40" fillId="36" borderId="1" xfId="8" applyFont="1" applyFill="1" applyBorder="1" applyAlignment="1" applyProtection="1">
      <alignment horizontal="center" vertical="center" wrapText="1"/>
      <protection locked="0"/>
    </xf>
    <xf numFmtId="0" fontId="40" fillId="0" borderId="1" xfId="9" applyFont="1" applyBorder="1" applyAlignment="1" applyProtection="1">
      <alignment vertical="center" wrapText="1"/>
      <protection locked="0"/>
    </xf>
    <xf numFmtId="0" fontId="45" fillId="2" borderId="1" xfId="0" applyFont="1" applyFill="1" applyBorder="1" applyAlignment="1" applyProtection="1">
      <alignment horizontal="right" vertical="center"/>
      <protection locked="0"/>
    </xf>
    <xf numFmtId="0" fontId="47" fillId="2" borderId="1" xfId="9" applyFont="1" applyFill="1" applyBorder="1" applyAlignment="1" applyProtection="1">
      <alignment vertical="center" wrapText="1"/>
      <protection locked="0"/>
    </xf>
    <xf numFmtId="2" fontId="14" fillId="0" borderId="1" xfId="8" applyNumberFormat="1" applyFont="1" applyFill="1" applyBorder="1" applyAlignment="1" applyProtection="1">
      <alignment vertical="center" wrapText="1"/>
      <protection locked="0"/>
    </xf>
    <xf numFmtId="2" fontId="40" fillId="0" borderId="1" xfId="8" applyNumberFormat="1" applyFont="1" applyFill="1" applyBorder="1" applyAlignment="1" applyProtection="1">
      <alignment vertical="center" wrapText="1"/>
      <protection locked="0"/>
    </xf>
    <xf numFmtId="0" fontId="47" fillId="0" borderId="1" xfId="9" applyFont="1" applyFill="1" applyBorder="1" applyAlignment="1" applyProtection="1">
      <alignment vertical="center" wrapText="1"/>
      <protection locked="0"/>
    </xf>
    <xf numFmtId="0" fontId="47" fillId="0" borderId="1" xfId="0" applyFont="1" applyFill="1" applyBorder="1" applyAlignment="1" applyProtection="1">
      <alignment horizontal="left" vertical="center" wrapText="1"/>
      <protection locked="0"/>
    </xf>
    <xf numFmtId="2" fontId="14" fillId="0" borderId="1" xfId="9" applyNumberFormat="1" applyFont="1" applyFill="1" applyBorder="1" applyAlignment="1" applyProtection="1">
      <alignment vertical="center" wrapText="1"/>
      <protection locked="0"/>
    </xf>
    <xf numFmtId="2" fontId="40" fillId="36" borderId="1" xfId="4" applyNumberFormat="1" applyFont="1" applyFill="1" applyBorder="1" applyAlignment="1" applyProtection="1">
      <alignment horizontal="right" vertical="center" wrapText="1"/>
      <protection locked="0"/>
    </xf>
    <xf numFmtId="0" fontId="47" fillId="36" borderId="1" xfId="9" applyFont="1" applyFill="1" applyBorder="1" applyAlignment="1" applyProtection="1">
      <alignment vertical="center" wrapText="1"/>
      <protection locked="0"/>
    </xf>
    <xf numFmtId="167" fontId="47" fillId="36" borderId="1" xfId="9" applyNumberFormat="1" applyFont="1" applyFill="1" applyBorder="1" applyAlignment="1" applyProtection="1">
      <alignment vertical="center" wrapText="1"/>
      <protection locked="0"/>
    </xf>
    <xf numFmtId="0" fontId="47" fillId="36" borderId="1" xfId="0" applyFont="1" applyFill="1" applyBorder="1" applyAlignment="1" applyProtection="1">
      <alignment horizontal="left" vertical="center" wrapText="1"/>
      <protection locked="0"/>
    </xf>
    <xf numFmtId="0" fontId="39" fillId="0" borderId="1" xfId="38" applyFont="1" applyFill="1" applyBorder="1" applyAlignment="1" applyProtection="1">
      <alignment horizontal="left" vertical="center" wrapText="1"/>
      <protection locked="0"/>
    </xf>
    <xf numFmtId="0" fontId="47" fillId="36" borderId="1" xfId="0" applyFont="1" applyFill="1" applyBorder="1" applyAlignment="1" applyProtection="1">
      <alignment horizontal="center" vertical="center" wrapText="1"/>
      <protection locked="0"/>
    </xf>
    <xf numFmtId="0" fontId="47" fillId="36" borderId="1" xfId="38" applyFont="1" applyFill="1" applyBorder="1" applyAlignment="1" applyProtection="1">
      <alignment horizontal="center" vertical="center" wrapText="1"/>
      <protection locked="0"/>
    </xf>
    <xf numFmtId="0" fontId="47" fillId="36" borderId="1" xfId="38" applyFont="1" applyFill="1" applyBorder="1" applyAlignment="1" applyProtection="1">
      <alignment horizontal="left" vertical="center" wrapText="1"/>
      <protection locked="0"/>
    </xf>
    <xf numFmtId="2" fontId="47" fillId="0" borderId="1" xfId="9" applyNumberFormat="1" applyFont="1" applyFill="1" applyBorder="1" applyAlignment="1" applyProtection="1">
      <alignment vertical="center" wrapText="1"/>
      <protection locked="0"/>
    </xf>
    <xf numFmtId="43" fontId="43" fillId="0" borderId="1" xfId="1" applyFont="1" applyFill="1" applyBorder="1" applyAlignment="1" applyProtection="1">
      <alignment horizontal="left" vertical="center" wrapText="1"/>
    </xf>
    <xf numFmtId="0" fontId="26" fillId="10" borderId="13" xfId="0" applyFont="1" applyFill="1" applyBorder="1" applyAlignment="1">
      <alignment horizontal="center" vertical="center" wrapText="1"/>
    </xf>
    <xf numFmtId="43" fontId="60" fillId="0" borderId="1" xfId="1" applyFont="1" applyBorder="1" applyAlignment="1">
      <alignment vertical="center"/>
    </xf>
    <xf numFmtId="43" fontId="0" fillId="0" borderId="1" xfId="1" applyFont="1" applyBorder="1"/>
    <xf numFmtId="43" fontId="59" fillId="0" borderId="1" xfId="1" applyFont="1" applyBorder="1" applyAlignment="1">
      <alignment vertical="center"/>
    </xf>
    <xf numFmtId="43" fontId="43" fillId="0" borderId="2" xfId="1" applyFont="1" applyBorder="1" applyAlignment="1">
      <alignment vertical="center" wrapText="1"/>
    </xf>
    <xf numFmtId="0" fontId="54" fillId="0" borderId="1" xfId="0" applyFont="1" applyBorder="1" applyAlignment="1">
      <alignment vertical="center" wrapText="1"/>
    </xf>
    <xf numFmtId="43" fontId="29" fillId="8" borderId="1" xfId="1" applyFont="1" applyFill="1" applyBorder="1"/>
    <xf numFmtId="43" fontId="29" fillId="36" borderId="1" xfId="1" applyFont="1" applyFill="1" applyBorder="1" applyAlignment="1"/>
    <xf numFmtId="43" fontId="56" fillId="0" borderId="1" xfId="1" applyFont="1" applyBorder="1" applyAlignment="1">
      <alignment horizontal="left" vertical="center" wrapText="1" readingOrder="1"/>
    </xf>
    <xf numFmtId="43" fontId="21" fillId="0" borderId="1" xfId="1" applyFont="1" applyBorder="1" applyAlignment="1">
      <alignment vertical="center"/>
    </xf>
    <xf numFmtId="43" fontId="56" fillId="0" borderId="1" xfId="1" applyFont="1" applyFill="1" applyBorder="1" applyAlignment="1">
      <alignment horizontal="left" vertical="center" wrapText="1" readingOrder="1"/>
    </xf>
    <xf numFmtId="0" fontId="35" fillId="0" borderId="0" xfId="0" applyFont="1"/>
    <xf numFmtId="43" fontId="14" fillId="0" borderId="1" xfId="1" applyFont="1" applyBorder="1" applyAlignment="1">
      <alignment horizontal="justify" vertical="center" wrapText="1" readingOrder="1"/>
    </xf>
    <xf numFmtId="2" fontId="45" fillId="2" borderId="1" xfId="8" applyNumberFormat="1" applyFont="1" applyFill="1" applyBorder="1" applyAlignment="1" applyProtection="1">
      <alignment horizontal="right" vertical="center" wrapText="1"/>
    </xf>
    <xf numFmtId="43" fontId="55" fillId="0" borderId="5" xfId="1" applyFont="1" applyBorder="1" applyAlignment="1">
      <alignment horizontal="left" vertical="center" wrapText="1"/>
    </xf>
    <xf numFmtId="43" fontId="43" fillId="0" borderId="13" xfId="1" applyFont="1" applyBorder="1" applyAlignment="1">
      <alignment vertical="center"/>
    </xf>
    <xf numFmtId="43" fontId="43" fillId="0" borderId="13" xfId="1" applyFont="1" applyBorder="1" applyAlignment="1">
      <alignment vertical="center" wrapText="1"/>
    </xf>
    <xf numFmtId="43" fontId="52" fillId="0" borderId="13" xfId="1" applyFont="1" applyBorder="1" applyAlignment="1">
      <alignment vertical="center"/>
    </xf>
    <xf numFmtId="43" fontId="43" fillId="0" borderId="3" xfId="1" applyFont="1" applyBorder="1" applyAlignment="1">
      <alignment vertical="center"/>
    </xf>
    <xf numFmtId="43" fontId="52" fillId="0" borderId="3" xfId="1" applyFont="1" applyBorder="1" applyAlignment="1">
      <alignment vertical="center"/>
    </xf>
    <xf numFmtId="43" fontId="52" fillId="0" borderId="1" xfId="0" applyNumberFormat="1" applyFont="1" applyBorder="1" applyAlignment="1">
      <alignment vertical="center"/>
    </xf>
    <xf numFmtId="43" fontId="52" fillId="0" borderId="1" xfId="0" applyNumberFormat="1" applyFont="1" applyBorder="1" applyAlignment="1">
      <alignment vertical="center" wrapText="1"/>
    </xf>
    <xf numFmtId="0" fontId="26" fillId="28" borderId="1" xfId="0" applyFont="1" applyFill="1" applyBorder="1" applyAlignment="1">
      <alignment horizontal="left" vertical="center"/>
    </xf>
    <xf numFmtId="0" fontId="58" fillId="36" borderId="1" xfId="3" applyFont="1" applyFill="1" applyBorder="1" applyAlignment="1">
      <alignment horizontal="left"/>
    </xf>
    <xf numFmtId="0" fontId="0" fillId="0" borderId="0" xfId="0" applyAlignment="1">
      <alignment horizontal="left"/>
    </xf>
    <xf numFmtId="43" fontId="55" fillId="0" borderId="1" xfId="1" applyFont="1" applyBorder="1" applyAlignment="1">
      <alignment horizontal="left" wrapText="1"/>
    </xf>
    <xf numFmtId="43" fontId="56" fillId="0" borderId="1" xfId="1" applyFont="1" applyBorder="1" applyAlignment="1">
      <alignment horizontal="left" wrapText="1" readingOrder="1"/>
    </xf>
    <xf numFmtId="43" fontId="56" fillId="0" borderId="1" xfId="1" applyFont="1" applyFill="1" applyBorder="1" applyAlignment="1">
      <alignment horizontal="left" wrapText="1" readingOrder="1"/>
    </xf>
    <xf numFmtId="43" fontId="43" fillId="0" borderId="1" xfId="1" applyFont="1" applyBorder="1" applyAlignment="1" applyProtection="1">
      <alignment horizontal="left" vertical="center" wrapText="1"/>
    </xf>
    <xf numFmtId="43" fontId="43" fillId="0" borderId="1" xfId="1" applyFont="1" applyFill="1" applyBorder="1" applyAlignment="1" applyProtection="1">
      <alignment horizontal="left" vertical="center" wrapText="1"/>
      <protection locked="0"/>
    </xf>
    <xf numFmtId="43" fontId="43" fillId="0" borderId="1" xfId="1" applyFont="1" applyBorder="1" applyAlignment="1" applyProtection="1">
      <alignment vertical="center" wrapText="1"/>
      <protection locked="0"/>
    </xf>
    <xf numFmtId="0" fontId="12" fillId="0" borderId="3" xfId="38" applyFont="1" applyBorder="1" applyAlignment="1">
      <alignment horizontal="left" vertical="center" wrapText="1"/>
    </xf>
    <xf numFmtId="0" fontId="40" fillId="2" borderId="3" xfId="38" applyFont="1" applyFill="1" applyBorder="1" applyAlignment="1">
      <alignment horizontal="center" vertical="center" wrapText="1"/>
    </xf>
    <xf numFmtId="0" fontId="40" fillId="2" borderId="1" xfId="38" applyFont="1" applyFill="1" applyBorder="1" applyAlignment="1">
      <alignment horizontal="center" vertical="center" wrapText="1"/>
    </xf>
    <xf numFmtId="0" fontId="12" fillId="2" borderId="1" xfId="40" applyFont="1" applyFill="1" applyBorder="1" applyAlignment="1">
      <alignment horizontal="center" vertical="center" wrapText="1"/>
    </xf>
    <xf numFmtId="43" fontId="12" fillId="2" borderId="1" xfId="1" applyFont="1" applyFill="1" applyBorder="1" applyAlignment="1">
      <alignment horizontal="center" vertical="center" wrapText="1"/>
    </xf>
    <xf numFmtId="0" fontId="12" fillId="2" borderId="1" xfId="40" applyFont="1" applyFill="1" applyBorder="1" applyAlignment="1">
      <alignment horizontal="left" vertical="center" wrapText="1"/>
    </xf>
    <xf numFmtId="0" fontId="12" fillId="2" borderId="1" xfId="40" applyFont="1" applyFill="1" applyBorder="1" applyAlignment="1" applyProtection="1">
      <alignment horizontal="left" vertical="center" wrapText="1"/>
      <protection locked="0"/>
    </xf>
    <xf numFmtId="43" fontId="40" fillId="2" borderId="1" xfId="1" applyFont="1" applyFill="1" applyBorder="1" applyAlignment="1" applyProtection="1">
      <alignment horizontal="right" vertical="center" wrapText="1"/>
      <protection locked="0"/>
    </xf>
    <xf numFmtId="0" fontId="40" fillId="2" borderId="1" xfId="40" applyFont="1" applyFill="1" applyBorder="1" applyAlignment="1" applyProtection="1">
      <alignment horizontal="left" vertical="center" wrapText="1"/>
      <protection locked="0"/>
    </xf>
    <xf numFmtId="43" fontId="14" fillId="0" borderId="1" xfId="1"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protection locked="0"/>
    </xf>
    <xf numFmtId="0" fontId="40" fillId="2" borderId="1" xfId="0" applyFont="1" applyFill="1" applyBorder="1" applyAlignment="1" applyProtection="1">
      <alignment horizontal="center" vertical="center" wrapText="1"/>
      <protection locked="0"/>
    </xf>
    <xf numFmtId="0" fontId="43" fillId="2" borderId="1" xfId="0" applyFont="1" applyFill="1" applyBorder="1" applyAlignment="1" applyProtection="1">
      <alignment horizontal="left" vertical="center"/>
      <protection locked="0"/>
    </xf>
    <xf numFmtId="43" fontId="43" fillId="2" borderId="1" xfId="1" applyFont="1" applyFill="1" applyBorder="1" applyAlignment="1" applyProtection="1">
      <alignment horizontal="center" vertical="center"/>
      <protection locked="0"/>
    </xf>
    <xf numFmtId="0" fontId="40" fillId="2" borderId="1" xfId="40" applyFont="1" applyFill="1" applyBorder="1" applyAlignment="1" applyProtection="1">
      <alignment horizontal="left" vertical="center" wrapText="1"/>
    </xf>
    <xf numFmtId="0" fontId="40" fillId="2" borderId="1" xfId="40" applyFont="1" applyFill="1" applyBorder="1" applyAlignment="1" applyProtection="1">
      <alignment horizontal="center" vertical="center" wrapText="1"/>
    </xf>
    <xf numFmtId="43" fontId="40" fillId="0" borderId="13" xfId="1" applyFont="1" applyFill="1" applyBorder="1" applyAlignment="1" applyProtection="1">
      <alignment horizontal="center" vertical="center" wrapText="1"/>
    </xf>
    <xf numFmtId="43" fontId="20" fillId="0" borderId="1" xfId="1" applyFont="1" applyFill="1" applyBorder="1" applyAlignment="1" applyProtection="1">
      <alignment horizontal="center" vertical="center" wrapText="1"/>
    </xf>
    <xf numFmtId="43" fontId="14" fillId="0" borderId="1" xfId="1" applyFont="1" applyFill="1" applyBorder="1" applyAlignment="1" applyProtection="1">
      <alignment horizontal="right" vertical="center" wrapText="1"/>
      <protection locked="0"/>
    </xf>
    <xf numFmtId="43" fontId="40" fillId="36" borderId="1" xfId="1" applyFont="1" applyFill="1" applyBorder="1" applyAlignment="1" applyProtection="1">
      <alignment horizontal="right" vertical="center" wrapText="1"/>
    </xf>
    <xf numFmtId="43" fontId="38" fillId="7" borderId="1" xfId="1" applyFont="1" applyFill="1" applyBorder="1" applyAlignment="1" applyProtection="1">
      <alignment horizontal="right" vertical="center" wrapText="1"/>
      <protection locked="0"/>
    </xf>
    <xf numFmtId="43" fontId="43" fillId="0" borderId="1" xfId="1" applyFont="1" applyBorder="1" applyAlignment="1" applyProtection="1">
      <alignment horizontal="right" vertical="center" wrapText="1"/>
      <protection locked="0"/>
    </xf>
    <xf numFmtId="43" fontId="45" fillId="2" borderId="1" xfId="1" applyFont="1" applyFill="1" applyBorder="1" applyAlignment="1" applyProtection="1">
      <alignment horizontal="right" vertical="center" wrapText="1"/>
    </xf>
    <xf numFmtId="43" fontId="43" fillId="0" borderId="1" xfId="1" applyFont="1" applyFill="1" applyBorder="1" applyAlignment="1" applyProtection="1">
      <alignment horizontal="right" vertical="center" wrapText="1"/>
      <protection locked="0"/>
    </xf>
    <xf numFmtId="43" fontId="45" fillId="4" borderId="1" xfId="1" applyFont="1" applyFill="1" applyBorder="1" applyAlignment="1" applyProtection="1">
      <alignment horizontal="right" vertical="center" wrapText="1"/>
      <protection locked="0"/>
    </xf>
    <xf numFmtId="43" fontId="40" fillId="0" borderId="1" xfId="1" applyFont="1" applyFill="1" applyBorder="1" applyAlignment="1" applyProtection="1">
      <alignment horizontal="right" vertical="center" wrapText="1"/>
      <protection locked="0"/>
    </xf>
    <xf numFmtId="43" fontId="45" fillId="0" borderId="1" xfId="1" applyFont="1" applyBorder="1" applyAlignment="1" applyProtection="1">
      <alignment horizontal="right" vertical="center" wrapText="1"/>
      <protection locked="0"/>
    </xf>
    <xf numFmtId="43" fontId="45" fillId="2" borderId="1" xfId="1" applyFont="1" applyFill="1" applyBorder="1" applyAlignment="1" applyProtection="1">
      <alignment horizontal="right" vertical="center" wrapText="1"/>
      <protection locked="0"/>
    </xf>
    <xf numFmtId="0" fontId="26" fillId="0" borderId="2" xfId="0" applyFont="1" applyBorder="1" applyAlignment="1">
      <alignment vertical="center"/>
    </xf>
    <xf numFmtId="0" fontId="55" fillId="34" borderId="1" xfId="0" applyFont="1" applyFill="1" applyBorder="1" applyAlignment="1">
      <alignment horizontal="center" vertical="center" wrapText="1" readingOrder="1"/>
    </xf>
    <xf numFmtId="43" fontId="55" fillId="0" borderId="1" xfId="1" applyFont="1" applyBorder="1" applyAlignment="1">
      <alignment horizontal="center" vertical="center" wrapText="1" readingOrder="1"/>
    </xf>
    <xf numFmtId="0" fontId="54" fillId="0" borderId="2" xfId="0" applyFont="1" applyBorder="1" applyAlignment="1">
      <alignment horizontal="left" vertical="center" wrapText="1"/>
    </xf>
    <xf numFmtId="43" fontId="55" fillId="0" borderId="1" xfId="1" applyFont="1" applyBorder="1" applyAlignment="1">
      <alignment horizontal="left" vertical="center" wrapText="1"/>
    </xf>
    <xf numFmtId="0" fontId="12" fillId="0" borderId="1" xfId="38" applyFont="1" applyFill="1" applyBorder="1" applyAlignment="1" applyProtection="1">
      <alignment horizontal="center" vertical="center" wrapText="1"/>
    </xf>
    <xf numFmtId="0" fontId="45" fillId="2" borderId="1" xfId="4" applyFont="1" applyFill="1" applyBorder="1" applyAlignment="1" applyProtection="1">
      <alignment vertical="center"/>
      <protection locked="0"/>
    </xf>
    <xf numFmtId="0" fontId="45" fillId="2" borderId="1" xfId="4" applyFont="1" applyFill="1" applyBorder="1" applyAlignment="1" applyProtection="1">
      <alignment horizontal="center" vertical="center"/>
      <protection locked="0"/>
    </xf>
    <xf numFmtId="2" fontId="45" fillId="2" borderId="1" xfId="4" applyNumberFormat="1" applyFont="1" applyFill="1" applyBorder="1" applyAlignment="1" applyProtection="1">
      <alignment horizontal="left" vertical="center"/>
    </xf>
    <xf numFmtId="0" fontId="43" fillId="4" borderId="1" xfId="8" applyFont="1" applyFill="1" applyBorder="1" applyAlignment="1" applyProtection="1">
      <alignment vertical="center"/>
      <protection locked="0"/>
    </xf>
    <xf numFmtId="0" fontId="45" fillId="4" borderId="1" xfId="8" applyFont="1" applyFill="1" applyBorder="1" applyAlignment="1" applyProtection="1">
      <alignment horizontal="center" vertical="center"/>
      <protection locked="0"/>
    </xf>
    <xf numFmtId="2" fontId="43" fillId="4" borderId="1" xfId="8" applyNumberFormat="1" applyFont="1" applyFill="1" applyBorder="1" applyAlignment="1" applyProtection="1">
      <alignment horizontal="left" vertical="center"/>
    </xf>
    <xf numFmtId="0" fontId="43" fillId="0" borderId="1" xfId="8" applyFont="1" applyFill="1" applyBorder="1" applyAlignment="1" applyProtection="1">
      <alignment vertical="center"/>
      <protection locked="0"/>
    </xf>
    <xf numFmtId="2" fontId="43" fillId="0" borderId="1" xfId="8" applyNumberFormat="1" applyFont="1" applyFill="1" applyBorder="1" applyAlignment="1" applyProtection="1">
      <alignment horizontal="left" vertical="center"/>
    </xf>
    <xf numFmtId="43" fontId="18" fillId="0" borderId="1" xfId="1" applyFont="1" applyFill="1" applyBorder="1" applyAlignment="1" applyProtection="1">
      <alignment horizontal="right" vertical="center"/>
    </xf>
    <xf numFmtId="1" fontId="43" fillId="0" borderId="1" xfId="8" applyNumberFormat="1" applyFont="1" applyFill="1" applyBorder="1" applyAlignment="1" applyProtection="1">
      <alignment horizontal="left" vertical="center"/>
    </xf>
    <xf numFmtId="2" fontId="43" fillId="0" borderId="1" xfId="8" applyNumberFormat="1" applyFont="1" applyFill="1" applyBorder="1" applyAlignment="1" applyProtection="1">
      <alignment horizontal="right" vertical="center"/>
    </xf>
    <xf numFmtId="2" fontId="43" fillId="0" borderId="1" xfId="8" applyNumberFormat="1" applyFont="1" applyFill="1" applyBorder="1" applyAlignment="1" applyProtection="1">
      <alignment vertical="center"/>
    </xf>
    <xf numFmtId="2" fontId="45" fillId="0" borderId="1" xfId="8" applyNumberFormat="1" applyFont="1" applyFill="1" applyBorder="1" applyAlignment="1" applyProtection="1">
      <alignment vertical="center"/>
    </xf>
    <xf numFmtId="0" fontId="43" fillId="0" borderId="1" xfId="8" applyFont="1" applyBorder="1" applyAlignment="1" applyProtection="1">
      <alignment vertical="center"/>
      <protection locked="0"/>
    </xf>
    <xf numFmtId="0" fontId="18" fillId="0" borderId="1" xfId="8" applyFont="1" applyBorder="1" applyAlignment="1" applyProtection="1">
      <alignment horizontal="center" vertical="center"/>
      <protection locked="0"/>
    </xf>
    <xf numFmtId="43" fontId="18" fillId="0" borderId="1" xfId="1" applyFont="1" applyBorder="1" applyAlignment="1" applyProtection="1">
      <alignment horizontal="right" vertical="center"/>
    </xf>
    <xf numFmtId="1" fontId="43" fillId="0" borderId="1" xfId="8" applyNumberFormat="1" applyFont="1" applyBorder="1" applyAlignment="1" applyProtection="1">
      <alignment horizontal="left" vertical="center"/>
    </xf>
    <xf numFmtId="2" fontId="43" fillId="0" borderId="1" xfId="8" applyNumberFormat="1" applyFont="1" applyBorder="1" applyAlignment="1" applyProtection="1">
      <alignment vertical="center"/>
    </xf>
    <xf numFmtId="1" fontId="43" fillId="4" borderId="1" xfId="8" applyNumberFormat="1" applyFont="1" applyFill="1" applyBorder="1" applyAlignment="1" applyProtection="1">
      <alignment horizontal="left" vertical="center"/>
    </xf>
    <xf numFmtId="2" fontId="45" fillId="4" borderId="1" xfId="8" applyNumberFormat="1" applyFont="1" applyFill="1" applyBorder="1" applyAlignment="1" applyProtection="1">
      <alignment vertical="center"/>
    </xf>
    <xf numFmtId="0" fontId="39" fillId="0" borderId="1" xfId="8" applyFont="1" applyBorder="1" applyAlignment="1" applyProtection="1">
      <alignment vertical="center"/>
      <protection locked="0"/>
    </xf>
    <xf numFmtId="0" fontId="39" fillId="0" borderId="1" xfId="8" applyFont="1" applyBorder="1" applyAlignment="1" applyProtection="1">
      <alignment horizontal="center" vertical="center"/>
      <protection locked="0"/>
    </xf>
    <xf numFmtId="167" fontId="39" fillId="0" borderId="1" xfId="8" applyNumberFormat="1" applyFont="1" applyBorder="1" applyAlignment="1" applyProtection="1">
      <alignment horizontal="right" vertical="center"/>
      <protection locked="0"/>
    </xf>
    <xf numFmtId="0" fontId="43" fillId="0" borderId="1" xfId="8" applyFont="1" applyBorder="1" applyAlignment="1" applyProtection="1">
      <alignment horizontal="left" vertical="center"/>
    </xf>
    <xf numFmtId="1" fontId="45" fillId="2" borderId="1" xfId="4" applyNumberFormat="1" applyFont="1" applyFill="1" applyBorder="1" applyAlignment="1" applyProtection="1">
      <alignment horizontal="left" vertical="center"/>
    </xf>
    <xf numFmtId="1" fontId="45" fillId="4" borderId="1" xfId="4" applyNumberFormat="1" applyFont="1" applyFill="1" applyBorder="1" applyAlignment="1" applyProtection="1">
      <alignment horizontal="left" vertical="center"/>
    </xf>
    <xf numFmtId="0" fontId="43" fillId="0" borderId="1" xfId="8" applyFont="1" applyFill="1" applyBorder="1" applyAlignment="1" applyProtection="1">
      <alignment vertical="center"/>
    </xf>
    <xf numFmtId="2" fontId="45" fillId="0" borderId="1" xfId="8" applyNumberFormat="1" applyFont="1" applyFill="1" applyBorder="1" applyAlignment="1" applyProtection="1">
      <alignment horizontal="right" vertical="center"/>
    </xf>
    <xf numFmtId="43" fontId="14" fillId="0" borderId="1" xfId="1" applyFont="1" applyBorder="1" applyAlignment="1" applyProtection="1">
      <alignment horizontal="right" vertical="center"/>
    </xf>
    <xf numFmtId="1" fontId="43" fillId="10" borderId="1" xfId="8" applyNumberFormat="1" applyFont="1" applyFill="1" applyBorder="1" applyAlignment="1" applyProtection="1">
      <alignment horizontal="left" vertical="center"/>
      <protection locked="0"/>
    </xf>
    <xf numFmtId="2" fontId="43" fillId="10" borderId="1" xfId="8" applyNumberFormat="1" applyFont="1" applyFill="1" applyBorder="1" applyAlignment="1" applyProtection="1">
      <alignment horizontal="right" vertical="center"/>
      <protection locked="0"/>
    </xf>
    <xf numFmtId="2" fontId="43" fillId="10" borderId="1" xfId="8" applyNumberFormat="1" applyFont="1" applyFill="1" applyBorder="1" applyAlignment="1" applyProtection="1">
      <alignment vertical="center"/>
      <protection locked="0"/>
    </xf>
    <xf numFmtId="0" fontId="45" fillId="0" borderId="1" xfId="8" applyFont="1" applyBorder="1" applyAlignment="1" applyProtection="1">
      <alignment vertical="center"/>
      <protection locked="0"/>
    </xf>
    <xf numFmtId="2" fontId="45" fillId="10" borderId="1" xfId="8" applyNumberFormat="1" applyFont="1" applyFill="1" applyBorder="1" applyAlignment="1" applyProtection="1">
      <alignment horizontal="left" vertical="center"/>
      <protection locked="0"/>
    </xf>
    <xf numFmtId="0" fontId="43" fillId="0" borderId="1" xfId="0" applyFont="1" applyBorder="1" applyAlignment="1" applyProtection="1">
      <alignment horizontal="left" vertical="center"/>
    </xf>
    <xf numFmtId="43" fontId="43" fillId="0" borderId="1" xfId="1" applyFont="1" applyBorder="1" applyAlignment="1" applyProtection="1">
      <alignment horizontal="left" vertical="center"/>
    </xf>
    <xf numFmtId="0" fontId="0" fillId="0" borderId="1" xfId="0" applyBorder="1" applyAlignment="1" applyProtection="1">
      <alignment vertical="center" wrapText="1"/>
      <protection locked="0"/>
    </xf>
    <xf numFmtId="0" fontId="0" fillId="0" borderId="1" xfId="0" applyBorder="1" applyAlignment="1" applyProtection="1">
      <alignment vertical="center"/>
      <protection locked="0"/>
    </xf>
    <xf numFmtId="0" fontId="22" fillId="0" borderId="0" xfId="0" applyFont="1" applyBorder="1" applyAlignment="1" applyProtection="1">
      <alignment vertical="center"/>
    </xf>
    <xf numFmtId="0" fontId="24" fillId="0" borderId="0" xfId="0" applyFont="1" applyAlignment="1" applyProtection="1">
      <alignment horizontal="center" vertical="center" wrapText="1"/>
    </xf>
    <xf numFmtId="0" fontId="24" fillId="0" borderId="0" xfId="0" applyFont="1" applyAlignment="1" applyProtection="1">
      <alignment wrapText="1"/>
    </xf>
    <xf numFmtId="0" fontId="24" fillId="0" borderId="0" xfId="0" applyFont="1" applyAlignment="1" applyProtection="1">
      <alignment vertical="center"/>
    </xf>
    <xf numFmtId="0" fontId="23" fillId="0" borderId="0" xfId="0" applyFont="1" applyAlignment="1" applyProtection="1">
      <alignment horizontal="center" vertical="center"/>
    </xf>
    <xf numFmtId="0" fontId="24" fillId="0" borderId="0" xfId="0" applyFont="1" applyProtection="1"/>
    <xf numFmtId="0" fontId="24" fillId="0" borderId="0" xfId="0" applyFont="1" applyFill="1" applyAlignment="1" applyProtection="1">
      <alignment horizontal="center" vertical="center" wrapText="1"/>
    </xf>
    <xf numFmtId="0" fontId="43" fillId="0" borderId="0" xfId="0" applyFont="1" applyAlignment="1" applyProtection="1">
      <alignment vertical="center" wrapText="1"/>
    </xf>
    <xf numFmtId="0" fontId="44" fillId="0" borderId="1" xfId="3" applyFont="1" applyFill="1" applyBorder="1" applyAlignment="1" applyProtection="1">
      <alignment horizontal="left" vertical="center" wrapText="1"/>
    </xf>
    <xf numFmtId="0" fontId="43" fillId="0" borderId="0" xfId="0" applyFont="1" applyFill="1" applyAlignment="1" applyProtection="1">
      <alignment vertical="center" wrapText="1"/>
    </xf>
    <xf numFmtId="0" fontId="44" fillId="0" borderId="1" xfId="3" applyFont="1" applyFill="1" applyBorder="1" applyAlignment="1" applyProtection="1"/>
    <xf numFmtId="0" fontId="40" fillId="0" borderId="1" xfId="8" applyFont="1" applyFill="1" applyBorder="1" applyAlignment="1" applyProtection="1">
      <alignment horizontal="left" vertical="center" wrapText="1"/>
    </xf>
    <xf numFmtId="0" fontId="44" fillId="39" borderId="1" xfId="3" applyFont="1" applyFill="1" applyBorder="1" applyAlignment="1" applyProtection="1">
      <alignment horizontal="left"/>
    </xf>
    <xf numFmtId="43" fontId="45" fillId="0" borderId="1" xfId="1" applyFont="1" applyFill="1" applyBorder="1" applyAlignment="1" applyProtection="1">
      <alignment horizontal="left" vertical="center" wrapText="1"/>
    </xf>
    <xf numFmtId="43" fontId="45" fillId="0" borderId="1" xfId="1" applyFont="1" applyBorder="1" applyAlignment="1" applyProtection="1">
      <alignment horizontal="right" vertical="center" wrapText="1"/>
    </xf>
    <xf numFmtId="2" fontId="40" fillId="0" borderId="1" xfId="8" applyNumberFormat="1" applyFont="1" applyFill="1" applyBorder="1" applyAlignment="1" applyProtection="1">
      <alignment horizontal="left" vertical="center" wrapText="1"/>
    </xf>
    <xf numFmtId="0" fontId="43" fillId="0" borderId="0" xfId="0" applyFont="1" applyAlignment="1" applyProtection="1">
      <alignment horizontal="center" vertical="center" wrapText="1"/>
    </xf>
    <xf numFmtId="0" fontId="43" fillId="0" borderId="0" xfId="0" applyFont="1" applyFill="1" applyAlignment="1" applyProtection="1">
      <alignment horizontal="center" vertical="center" wrapText="1"/>
    </xf>
    <xf numFmtId="0" fontId="32" fillId="9" borderId="1" xfId="38" applyFont="1" applyFill="1" applyBorder="1" applyAlignment="1" applyProtection="1">
      <alignment horizontal="center" vertical="center" wrapText="1"/>
    </xf>
    <xf numFmtId="43" fontId="38" fillId="7" borderId="1" xfId="1"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40" fillId="2" borderId="1" xfId="38" applyFont="1" applyFill="1" applyBorder="1" applyAlignment="1" applyProtection="1">
      <alignment horizontal="left" vertical="center" wrapText="1"/>
    </xf>
    <xf numFmtId="43" fontId="40" fillId="2" borderId="1" xfId="1" applyFont="1" applyFill="1" applyBorder="1" applyAlignment="1" applyProtection="1">
      <alignment horizontal="left" vertical="center" wrapText="1"/>
    </xf>
    <xf numFmtId="0" fontId="57" fillId="0" borderId="1" xfId="0" applyFont="1" applyBorder="1" applyAlignment="1" applyProtection="1">
      <alignment vertical="center" wrapText="1"/>
    </xf>
    <xf numFmtId="0" fontId="57" fillId="0" borderId="1" xfId="0" applyFont="1" applyBorder="1" applyAlignment="1" applyProtection="1">
      <alignment vertical="center"/>
    </xf>
    <xf numFmtId="0" fontId="40"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40" fillId="2" borderId="1" xfId="0" applyFont="1" applyFill="1" applyBorder="1" applyAlignment="1" applyProtection="1">
      <alignment vertical="center" wrapText="1"/>
    </xf>
    <xf numFmtId="0" fontId="14" fillId="0" borderId="1" xfId="0" applyFont="1" applyBorder="1" applyAlignment="1" applyProtection="1">
      <alignment horizontal="center" vertical="center" wrapText="1"/>
    </xf>
    <xf numFmtId="0" fontId="45" fillId="4" borderId="1" xfId="8" applyFont="1" applyFill="1" applyBorder="1" applyAlignment="1" applyProtection="1">
      <alignment horizontal="left" vertical="center" wrapText="1"/>
    </xf>
    <xf numFmtId="43" fontId="40" fillId="4" borderId="1" xfId="1" applyFont="1" applyFill="1" applyBorder="1" applyAlignment="1" applyProtection="1">
      <alignment horizontal="left" vertical="center" wrapText="1"/>
    </xf>
    <xf numFmtId="0" fontId="43" fillId="40" borderId="1" xfId="8" applyFont="1" applyFill="1" applyBorder="1" applyAlignment="1" applyProtection="1">
      <alignment horizontal="left" vertical="center" wrapText="1"/>
    </xf>
    <xf numFmtId="0" fontId="43" fillId="0" borderId="1" xfId="4" applyFont="1" applyBorder="1" applyAlignment="1" applyProtection="1">
      <alignment vertical="center" wrapText="1"/>
    </xf>
    <xf numFmtId="0" fontId="14" fillId="0" borderId="1" xfId="38" applyFont="1" applyFill="1" applyBorder="1" applyAlignment="1" applyProtection="1">
      <alignment horizontal="left" vertical="center" wrapText="1"/>
    </xf>
    <xf numFmtId="0" fontId="12" fillId="0" borderId="1" xfId="0" applyFont="1" applyBorder="1" applyAlignment="1" applyProtection="1">
      <alignment vertical="center" wrapText="1"/>
    </xf>
    <xf numFmtId="0" fontId="14" fillId="0" borderId="1" xfId="38" applyFont="1" applyBorder="1" applyAlignment="1" applyProtection="1">
      <alignment horizontal="left" vertical="center" wrapText="1"/>
    </xf>
    <xf numFmtId="0" fontId="45" fillId="0" borderId="1" xfId="0" applyFont="1" applyBorder="1" applyAlignment="1" applyProtection="1">
      <alignment horizontal="center" vertical="center" wrapText="1"/>
    </xf>
    <xf numFmtId="0" fontId="45" fillId="0" borderId="0" xfId="0" applyFont="1" applyAlignment="1" applyProtection="1">
      <alignment vertical="center" wrapText="1"/>
    </xf>
    <xf numFmtId="0" fontId="45" fillId="0" borderId="1" xfId="0" applyFont="1" applyFill="1" applyBorder="1" applyAlignment="1" applyProtection="1">
      <alignment horizontal="left" vertical="center" wrapText="1"/>
    </xf>
    <xf numFmtId="0" fontId="45" fillId="0" borderId="0" xfId="0" applyFont="1" applyFill="1" applyAlignment="1" applyProtection="1">
      <alignment vertical="center" wrapText="1"/>
    </xf>
    <xf numFmtId="0" fontId="45" fillId="38" borderId="1" xfId="0" applyFont="1" applyFill="1" applyBorder="1" applyAlignment="1" applyProtection="1">
      <alignment horizontal="left" vertical="center" wrapText="1"/>
    </xf>
    <xf numFmtId="0" fontId="45" fillId="38" borderId="1" xfId="4" applyFont="1" applyFill="1" applyBorder="1" applyAlignment="1" applyProtection="1">
      <alignment vertical="center" wrapText="1"/>
    </xf>
    <xf numFmtId="43" fontId="40" fillId="38" borderId="1" xfId="1" applyFont="1" applyFill="1" applyBorder="1" applyAlignment="1" applyProtection="1">
      <alignment horizontal="left" vertical="center" wrapText="1"/>
    </xf>
    <xf numFmtId="43" fontId="40" fillId="38" borderId="1" xfId="1" applyFont="1" applyFill="1" applyBorder="1" applyAlignment="1" applyProtection="1">
      <alignment horizontal="right" vertical="center" wrapText="1"/>
    </xf>
    <xf numFmtId="0" fontId="45" fillId="0" borderId="1" xfId="0" applyFont="1" applyBorder="1" applyAlignment="1" applyProtection="1">
      <alignment horizontal="left" vertical="center" wrapText="1"/>
    </xf>
    <xf numFmtId="0" fontId="40" fillId="38" borderId="1" xfId="0" applyFont="1" applyFill="1" applyBorder="1" applyAlignment="1" applyProtection="1">
      <alignment horizontal="left" vertical="center" wrapText="1"/>
    </xf>
    <xf numFmtId="0" fontId="14" fillId="38" borderId="1" xfId="0" applyFont="1" applyFill="1" applyBorder="1" applyAlignment="1" applyProtection="1">
      <alignment horizontal="left" vertical="center" wrapText="1"/>
    </xf>
    <xf numFmtId="0" fontId="40" fillId="38" borderId="1" xfId="4" applyFont="1" applyFill="1" applyBorder="1" applyAlignment="1" applyProtection="1">
      <alignment vertical="center" wrapText="1"/>
    </xf>
    <xf numFmtId="0" fontId="40" fillId="0" borderId="0" xfId="0" applyFont="1" applyAlignment="1" applyProtection="1">
      <alignment vertical="center" wrapText="1"/>
    </xf>
    <xf numFmtId="0" fontId="14" fillId="0" borderId="0" xfId="0" applyFont="1" applyAlignment="1" applyProtection="1">
      <alignment vertical="center" wrapText="1"/>
    </xf>
    <xf numFmtId="0" fontId="45" fillId="0" borderId="1" xfId="8" applyFont="1" applyBorder="1" applyAlignment="1" applyProtection="1">
      <alignment vertical="center" wrapText="1"/>
    </xf>
    <xf numFmtId="0" fontId="43" fillId="0" borderId="1" xfId="0" applyFont="1" applyBorder="1" applyAlignment="1" applyProtection="1">
      <alignment vertical="center" wrapText="1"/>
    </xf>
    <xf numFmtId="0" fontId="39" fillId="0" borderId="1" xfId="0" applyFont="1" applyBorder="1" applyAlignment="1" applyProtection="1">
      <alignment horizontal="center" vertical="center" wrapText="1"/>
    </xf>
    <xf numFmtId="0" fontId="43" fillId="0" borderId="1" xfId="8" applyFont="1" applyBorder="1" applyAlignment="1" applyProtection="1">
      <alignment vertical="center" wrapText="1"/>
    </xf>
    <xf numFmtId="2" fontId="43" fillId="0" borderId="1" xfId="8" applyNumberFormat="1" applyFont="1" applyBorder="1" applyAlignment="1" applyProtection="1">
      <alignment vertical="center" wrapText="1"/>
    </xf>
    <xf numFmtId="0" fontId="43" fillId="0" borderId="0" xfId="0" applyFont="1" applyBorder="1" applyAlignment="1" applyProtection="1">
      <alignment horizontal="left" vertical="center" wrapText="1"/>
    </xf>
    <xf numFmtId="0" fontId="40" fillId="38" borderId="1" xfId="50" applyFont="1" applyFill="1" applyBorder="1" applyAlignment="1" applyProtection="1">
      <alignment vertical="center" wrapText="1"/>
    </xf>
    <xf numFmtId="0" fontId="14" fillId="0" borderId="1" xfId="5" applyFont="1" applyFill="1" applyBorder="1" applyAlignment="1" applyProtection="1">
      <alignment vertical="center" wrapText="1"/>
    </xf>
    <xf numFmtId="0" fontId="43" fillId="0" borderId="1" xfId="0" applyFont="1" applyFill="1" applyBorder="1" applyAlignment="1" applyProtection="1">
      <alignment horizontal="center" vertical="center" wrapText="1"/>
    </xf>
    <xf numFmtId="0" fontId="57" fillId="0" borderId="1" xfId="0" applyFont="1" applyFill="1" applyBorder="1" applyAlignment="1" applyProtection="1">
      <alignment vertical="center" wrapText="1"/>
    </xf>
    <xf numFmtId="0" fontId="45" fillId="0" borderId="1" xfId="8" applyFont="1" applyFill="1" applyBorder="1" applyAlignment="1" applyProtection="1">
      <alignment horizontal="left" vertical="center" wrapText="1"/>
    </xf>
    <xf numFmtId="0" fontId="43" fillId="0" borderId="0" xfId="0" applyFont="1" applyAlignment="1" applyProtection="1">
      <alignment horizontal="right" vertical="center" wrapText="1"/>
    </xf>
    <xf numFmtId="0" fontId="43" fillId="0" borderId="0" xfId="0" applyFont="1" applyAlignment="1" applyProtection="1">
      <alignment horizontal="left" vertical="center" wrapText="1"/>
    </xf>
    <xf numFmtId="0" fontId="48" fillId="0" borderId="1" xfId="0" applyFont="1" applyFill="1" applyBorder="1" applyAlignment="1" applyProtection="1">
      <alignment horizontal="center" vertical="center" wrapText="1"/>
    </xf>
    <xf numFmtId="0" fontId="42" fillId="29" borderId="1" xfId="0" applyFont="1" applyFill="1" applyBorder="1" applyAlignment="1" applyProtection="1">
      <alignment horizontal="center" vertical="center" wrapText="1"/>
    </xf>
    <xf numFmtId="43" fontId="42" fillId="29" borderId="1" xfId="1" applyFont="1" applyFill="1" applyBorder="1" applyAlignment="1" applyProtection="1">
      <alignment horizontal="center" vertical="center" wrapText="1"/>
    </xf>
    <xf numFmtId="0" fontId="40" fillId="30" borderId="1" xfId="0" applyFont="1" applyFill="1" applyBorder="1" applyAlignment="1" applyProtection="1">
      <alignment horizontal="center" vertical="center" wrapText="1"/>
    </xf>
    <xf numFmtId="43" fontId="40" fillId="30" borderId="1" xfId="1" applyFont="1" applyFill="1" applyBorder="1" applyAlignment="1" applyProtection="1">
      <alignment horizontal="center" vertical="center" wrapText="1"/>
    </xf>
    <xf numFmtId="0" fontId="40" fillId="10" borderId="1" xfId="0" applyFont="1" applyFill="1" applyBorder="1" applyAlignment="1" applyProtection="1">
      <alignment horizontal="center" vertical="center" wrapText="1"/>
    </xf>
    <xf numFmtId="0" fontId="40" fillId="28" borderId="1" xfId="8" applyFont="1" applyFill="1" applyBorder="1" applyAlignment="1" applyProtection="1">
      <alignment horizontal="center" vertical="center"/>
    </xf>
    <xf numFmtId="0" fontId="40" fillId="28" borderId="1" xfId="0" applyFont="1" applyFill="1" applyBorder="1" applyAlignment="1" applyProtection="1">
      <alignment horizontal="center" vertical="center" wrapText="1"/>
    </xf>
    <xf numFmtId="0" fontId="29" fillId="39" borderId="1" xfId="3" applyFill="1" applyBorder="1" applyAlignment="1" applyProtection="1">
      <alignment horizontal="left"/>
    </xf>
    <xf numFmtId="43" fontId="45" fillId="0" borderId="1" xfId="1" applyFont="1" applyFill="1" applyBorder="1" applyAlignment="1" applyProtection="1">
      <alignment horizontal="center" vertical="center" wrapText="1"/>
    </xf>
    <xf numFmtId="0" fontId="45" fillId="18" borderId="1" xfId="38" applyFont="1" applyFill="1" applyBorder="1" applyAlignment="1" applyProtection="1">
      <alignment horizontal="center" vertical="center" wrapText="1"/>
    </xf>
    <xf numFmtId="0" fontId="45" fillId="24" borderId="1" xfId="38" applyFont="1" applyFill="1" applyBorder="1" applyAlignment="1" applyProtection="1">
      <alignment horizontal="center" vertical="center" wrapText="1"/>
    </xf>
    <xf numFmtId="43" fontId="45" fillId="24" borderId="1" xfId="1" applyFont="1" applyFill="1" applyBorder="1" applyAlignment="1" applyProtection="1">
      <alignment horizontal="center" vertical="center" wrapText="1"/>
    </xf>
    <xf numFmtId="0" fontId="45" fillId="5" borderId="1" xfId="38" applyFont="1" applyFill="1" applyBorder="1" applyAlignment="1" applyProtection="1">
      <alignment horizontal="center" vertical="center" wrapText="1"/>
    </xf>
    <xf numFmtId="43" fontId="45" fillId="5" borderId="1" xfId="1" applyFont="1" applyFill="1" applyBorder="1" applyAlignment="1" applyProtection="1">
      <alignment horizontal="center" vertical="center" wrapText="1"/>
    </xf>
    <xf numFmtId="0" fontId="45" fillId="2" borderId="1" xfId="4" applyFont="1" applyFill="1" applyBorder="1" applyAlignment="1" applyProtection="1">
      <alignment horizontal="center" vertical="center" wrapText="1"/>
    </xf>
    <xf numFmtId="0" fontId="43" fillId="2" borderId="1" xfId="4" applyFont="1" applyFill="1" applyBorder="1" applyAlignment="1" applyProtection="1">
      <alignment horizontal="center" vertical="center" wrapText="1"/>
    </xf>
    <xf numFmtId="0" fontId="40" fillId="2" borderId="1" xfId="38" applyFont="1" applyFill="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1" xfId="0" applyFont="1" applyBorder="1" applyAlignment="1" applyProtection="1">
      <alignment horizontal="center" vertical="center"/>
    </xf>
    <xf numFmtId="0" fontId="40" fillId="0" borderId="1" xfId="4" applyFont="1" applyFill="1" applyBorder="1" applyAlignment="1" applyProtection="1">
      <alignment horizontal="left" vertical="center" wrapText="1"/>
    </xf>
    <xf numFmtId="0" fontId="40" fillId="0" borderId="1" xfId="4" applyFont="1" applyBorder="1" applyAlignment="1" applyProtection="1">
      <alignment horizontal="left" vertical="center" wrapText="1"/>
    </xf>
    <xf numFmtId="43" fontId="43" fillId="0" borderId="1" xfId="1" applyFont="1" applyFill="1" applyBorder="1" applyAlignment="1" applyProtection="1">
      <alignment horizontal="center" vertical="center" wrapText="1"/>
    </xf>
    <xf numFmtId="0" fontId="43" fillId="0" borderId="0" xfId="0" applyFont="1" applyFill="1" applyBorder="1" applyAlignment="1" applyProtection="1">
      <alignment vertical="center" wrapText="1"/>
    </xf>
    <xf numFmtId="0" fontId="45" fillId="0" borderId="1" xfId="38" applyFont="1" applyFill="1" applyBorder="1" applyAlignment="1" applyProtection="1">
      <alignment horizontal="center" vertical="center" wrapText="1"/>
    </xf>
    <xf numFmtId="43" fontId="43" fillId="0" borderId="0" xfId="1" applyFont="1" applyAlignment="1" applyProtection="1">
      <alignment horizontal="center" vertical="center" wrapText="1"/>
    </xf>
    <xf numFmtId="0" fontId="38" fillId="0" borderId="1" xfId="8"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43" fontId="40" fillId="0" borderId="1" xfId="1" applyFont="1" applyFill="1" applyBorder="1" applyAlignment="1" applyProtection="1">
      <alignment horizontal="center" vertical="center"/>
    </xf>
    <xf numFmtId="43" fontId="40" fillId="0" borderId="1" xfId="1" applyFont="1" applyFill="1" applyBorder="1" applyAlignment="1" applyProtection="1">
      <alignment vertical="center" wrapText="1"/>
    </xf>
    <xf numFmtId="0" fontId="41" fillId="7" borderId="1" xfId="8" applyFont="1" applyFill="1" applyBorder="1" applyAlignment="1" applyProtection="1">
      <alignment horizontal="left" vertical="center" wrapText="1"/>
    </xf>
    <xf numFmtId="43" fontId="45" fillId="2" borderId="1" xfId="1" applyFont="1" applyFill="1" applyBorder="1" applyAlignment="1" applyProtection="1">
      <alignment horizontal="center" vertical="center" wrapText="1"/>
    </xf>
    <xf numFmtId="0" fontId="43" fillId="0" borderId="1" xfId="4" applyFont="1" applyFill="1" applyBorder="1" applyAlignment="1" applyProtection="1">
      <alignment horizontal="left" vertical="center" wrapText="1"/>
    </xf>
    <xf numFmtId="0" fontId="43" fillId="0" borderId="1" xfId="40" applyFont="1" applyBorder="1" applyAlignment="1" applyProtection="1">
      <alignment horizontal="center" vertical="center" wrapText="1"/>
    </xf>
    <xf numFmtId="0" fontId="45" fillId="10" borderId="1" xfId="8" applyFont="1" applyFill="1" applyBorder="1" applyAlignment="1" applyProtection="1">
      <alignment horizontal="center" vertical="center" wrapText="1"/>
    </xf>
    <xf numFmtId="49" fontId="43" fillId="0" borderId="1" xfId="4" applyNumberFormat="1" applyFont="1" applyBorder="1" applyAlignment="1" applyProtection="1">
      <alignment horizontal="left" vertical="center" wrapText="1"/>
    </xf>
    <xf numFmtId="0" fontId="43" fillId="0" borderId="1" xfId="40" applyFont="1" applyFill="1" applyBorder="1" applyAlignment="1" applyProtection="1">
      <alignment horizontal="center" vertical="center" wrapText="1"/>
    </xf>
    <xf numFmtId="0" fontId="43" fillId="0" borderId="1" xfId="8" applyFont="1" applyFill="1" applyBorder="1" applyAlignment="1" applyProtection="1">
      <alignment horizontal="center" vertical="center" wrapText="1"/>
    </xf>
    <xf numFmtId="0" fontId="38" fillId="0" borderId="1" xfId="8" applyFont="1" applyFill="1" applyBorder="1" applyAlignment="1" applyProtection="1">
      <alignment horizontal="center" vertical="center"/>
    </xf>
    <xf numFmtId="0" fontId="43" fillId="0" borderId="0" xfId="8" applyFont="1" applyAlignment="1" applyProtection="1">
      <alignment vertical="center"/>
    </xf>
    <xf numFmtId="0" fontId="40" fillId="0" borderId="1" xfId="0" applyFont="1" applyFill="1" applyBorder="1" applyAlignment="1" applyProtection="1">
      <alignment horizontal="center" vertical="center"/>
    </xf>
    <xf numFmtId="0" fontId="42" fillId="29" borderId="1" xfId="0" applyFont="1" applyFill="1" applyBorder="1" applyAlignment="1" applyProtection="1">
      <alignment horizontal="center" vertical="center"/>
    </xf>
    <xf numFmtId="43" fontId="42" fillId="29" borderId="1" xfId="1" applyFont="1" applyFill="1" applyBorder="1" applyAlignment="1" applyProtection="1">
      <alignment horizontal="center" vertical="center"/>
    </xf>
    <xf numFmtId="43" fontId="40" fillId="30" borderId="1" xfId="1" applyFont="1" applyFill="1" applyBorder="1" applyAlignment="1" applyProtection="1">
      <alignment horizontal="center" vertical="center"/>
    </xf>
    <xf numFmtId="0" fontId="40" fillId="10" borderId="1" xfId="0" applyFont="1" applyFill="1" applyBorder="1" applyAlignment="1" applyProtection="1">
      <alignment horizontal="center" vertical="center"/>
    </xf>
    <xf numFmtId="0" fontId="43" fillId="0" borderId="0" xfId="0" applyFont="1" applyFill="1" applyAlignment="1" applyProtection="1">
      <alignment vertical="center"/>
    </xf>
    <xf numFmtId="43" fontId="40" fillId="0" borderId="1" xfId="1" applyFont="1" applyFill="1" applyBorder="1" applyAlignment="1" applyProtection="1">
      <alignment vertical="center"/>
    </xf>
    <xf numFmtId="0" fontId="14" fillId="0" borderId="0" xfId="0" applyFont="1" applyFill="1" applyAlignment="1" applyProtection="1">
      <alignment vertical="center"/>
    </xf>
    <xf numFmtId="0" fontId="43" fillId="0" borderId="0" xfId="8" applyFont="1" applyAlignment="1" applyProtection="1">
      <alignment horizontal="center" vertical="center"/>
    </xf>
    <xf numFmtId="0" fontId="45" fillId="18" borderId="1" xfId="38" applyFont="1" applyFill="1" applyBorder="1" applyAlignment="1" applyProtection="1">
      <alignment horizontal="center" vertical="center"/>
    </xf>
    <xf numFmtId="0" fontId="45" fillId="24" borderId="1" xfId="38" applyFont="1" applyFill="1" applyBorder="1" applyAlignment="1" applyProtection="1">
      <alignment horizontal="center" vertical="center"/>
    </xf>
    <xf numFmtId="0" fontId="45" fillId="5" borderId="1" xfId="38" applyFont="1" applyFill="1" applyBorder="1" applyAlignment="1" applyProtection="1">
      <alignment horizontal="center" vertical="center"/>
    </xf>
    <xf numFmtId="0" fontId="38" fillId="7" borderId="1" xfId="8" applyFont="1" applyFill="1" applyBorder="1" applyAlignment="1" applyProtection="1">
      <alignment horizontal="left" vertical="center"/>
    </xf>
    <xf numFmtId="0" fontId="41" fillId="7" borderId="1" xfId="8" applyFont="1" applyFill="1" applyBorder="1" applyAlignment="1" applyProtection="1">
      <alignment horizontal="left" vertical="center"/>
    </xf>
    <xf numFmtId="0" fontId="38" fillId="7" borderId="1" xfId="8" applyFont="1" applyFill="1" applyBorder="1" applyAlignment="1" applyProtection="1">
      <alignment horizontal="center" vertical="center"/>
    </xf>
    <xf numFmtId="43" fontId="45" fillId="7" borderId="1" xfId="1" applyFont="1" applyFill="1" applyBorder="1" applyAlignment="1" applyProtection="1">
      <alignment horizontal="right" vertical="center"/>
    </xf>
    <xf numFmtId="0" fontId="45" fillId="7" borderId="1" xfId="8" applyFont="1" applyFill="1" applyBorder="1" applyAlignment="1" applyProtection="1">
      <alignment horizontal="center" vertical="center"/>
    </xf>
    <xf numFmtId="43" fontId="38" fillId="7" borderId="1" xfId="1" applyFont="1" applyFill="1" applyBorder="1" applyAlignment="1" applyProtection="1">
      <alignment horizontal="right" vertical="center"/>
    </xf>
    <xf numFmtId="2" fontId="38" fillId="7" borderId="1" xfId="8" applyNumberFormat="1" applyFont="1" applyFill="1" applyBorder="1" applyAlignment="1" applyProtection="1">
      <alignment horizontal="left" vertical="center"/>
    </xf>
    <xf numFmtId="2" fontId="38" fillId="7" borderId="1" xfId="8" applyNumberFormat="1" applyFont="1" applyFill="1" applyBorder="1" applyAlignment="1" applyProtection="1">
      <alignment horizontal="right" vertical="center"/>
    </xf>
    <xf numFmtId="2" fontId="43" fillId="0" borderId="0" xfId="8" applyNumberFormat="1" applyFont="1" applyAlignment="1" applyProtection="1">
      <alignment vertical="center"/>
    </xf>
    <xf numFmtId="0" fontId="45" fillId="2" borderId="1" xfId="4" applyFont="1" applyFill="1" applyBorder="1" applyAlignment="1" applyProtection="1">
      <alignment horizontal="left" vertical="center"/>
    </xf>
    <xf numFmtId="0" fontId="43" fillId="2" borderId="1" xfId="4" applyFont="1" applyFill="1" applyBorder="1" applyAlignment="1" applyProtection="1">
      <alignment vertical="center"/>
    </xf>
    <xf numFmtId="0" fontId="45" fillId="2" borderId="1" xfId="4" applyFont="1" applyFill="1" applyBorder="1" applyAlignment="1" applyProtection="1">
      <alignment vertical="center" wrapText="1"/>
    </xf>
    <xf numFmtId="0" fontId="45" fillId="2" borderId="1" xfId="4" applyFont="1" applyFill="1" applyBorder="1" applyAlignment="1" applyProtection="1">
      <alignment horizontal="center" vertical="center"/>
    </xf>
    <xf numFmtId="0" fontId="45" fillId="2" borderId="1" xfId="4" applyFont="1" applyFill="1" applyBorder="1" applyAlignment="1" applyProtection="1">
      <alignment vertical="center"/>
    </xf>
    <xf numFmtId="43" fontId="45" fillId="2" borderId="1" xfId="1" applyFont="1" applyFill="1" applyBorder="1" applyAlignment="1" applyProtection="1">
      <alignment horizontal="right" vertical="center"/>
    </xf>
    <xf numFmtId="2" fontId="45" fillId="2" borderId="1" xfId="4" applyNumberFormat="1" applyFont="1" applyFill="1" applyBorder="1" applyAlignment="1" applyProtection="1">
      <alignment horizontal="right" vertical="center"/>
    </xf>
    <xf numFmtId="0" fontId="45" fillId="4" borderId="1" xfId="8" applyFont="1" applyFill="1" applyBorder="1" applyAlignment="1" applyProtection="1">
      <alignment horizontal="left" vertical="center"/>
    </xf>
    <xf numFmtId="0" fontId="43" fillId="4" borderId="1" xfId="4" applyFont="1" applyFill="1" applyBorder="1" applyAlignment="1" applyProtection="1">
      <alignment vertical="center"/>
    </xf>
    <xf numFmtId="0" fontId="45" fillId="4" borderId="1" xfId="4" applyFont="1" applyFill="1" applyBorder="1" applyAlignment="1" applyProtection="1">
      <alignment vertical="center" wrapText="1"/>
    </xf>
    <xf numFmtId="0" fontId="43" fillId="4" borderId="1" xfId="8" applyFont="1" applyFill="1" applyBorder="1" applyAlignment="1" applyProtection="1">
      <alignment horizontal="center" vertical="center"/>
    </xf>
    <xf numFmtId="0" fontId="43" fillId="4" borderId="1" xfId="8" applyFont="1" applyFill="1" applyBorder="1" applyAlignment="1" applyProtection="1">
      <alignment vertical="center"/>
    </xf>
    <xf numFmtId="43" fontId="43" fillId="4" borderId="1" xfId="1" applyFont="1" applyFill="1" applyBorder="1" applyAlignment="1" applyProtection="1">
      <alignment horizontal="right" vertical="center"/>
    </xf>
    <xf numFmtId="0" fontId="45" fillId="4" borderId="1" xfId="8" applyFont="1" applyFill="1" applyBorder="1" applyAlignment="1" applyProtection="1">
      <alignment horizontal="center" vertical="center"/>
    </xf>
    <xf numFmtId="43" fontId="45" fillId="4" borderId="1" xfId="1" applyFont="1" applyFill="1" applyBorder="1" applyAlignment="1" applyProtection="1">
      <alignment horizontal="right" vertical="center"/>
    </xf>
    <xf numFmtId="2" fontId="45" fillId="4" borderId="1" xfId="8" applyNumberFormat="1" applyFont="1" applyFill="1" applyBorder="1" applyAlignment="1" applyProtection="1">
      <alignment horizontal="right" vertical="center"/>
    </xf>
    <xf numFmtId="0" fontId="45" fillId="0" borderId="1" xfId="8" applyFont="1" applyFill="1" applyBorder="1" applyAlignment="1" applyProtection="1">
      <alignment horizontal="left" vertical="center"/>
    </xf>
    <xf numFmtId="0" fontId="43" fillId="0" borderId="1" xfId="4" applyFont="1" applyFill="1" applyBorder="1" applyAlignment="1" applyProtection="1">
      <alignment vertical="center"/>
    </xf>
    <xf numFmtId="0" fontId="45" fillId="0" borderId="1" xfId="4" applyFont="1" applyFill="1" applyBorder="1" applyAlignment="1" applyProtection="1">
      <alignment vertical="center" wrapText="1"/>
    </xf>
    <xf numFmtId="0" fontId="45" fillId="29" borderId="1" xfId="8" applyFont="1" applyFill="1" applyBorder="1" applyAlignment="1" applyProtection="1">
      <alignment horizontal="center" vertical="center"/>
    </xf>
    <xf numFmtId="0" fontId="43" fillId="0" borderId="1" xfId="8" applyFont="1" applyFill="1" applyBorder="1" applyAlignment="1" applyProtection="1">
      <alignment horizontal="center" vertical="center"/>
    </xf>
    <xf numFmtId="0" fontId="14" fillId="0" borderId="1" xfId="8" applyFont="1" applyFill="1" applyBorder="1" applyAlignment="1" applyProtection="1">
      <alignment horizontal="center" vertical="center"/>
    </xf>
    <xf numFmtId="43" fontId="43" fillId="0" borderId="1" xfId="1" applyFont="1" applyFill="1" applyBorder="1" applyAlignment="1" applyProtection="1">
      <alignment horizontal="right" vertical="center"/>
    </xf>
    <xf numFmtId="0" fontId="45" fillId="0" borderId="1" xfId="8" applyFont="1" applyFill="1" applyBorder="1" applyAlignment="1" applyProtection="1">
      <alignment horizontal="center" vertical="center"/>
    </xf>
    <xf numFmtId="43" fontId="45" fillId="0" borderId="1" xfId="1" applyFont="1" applyFill="1" applyBorder="1" applyAlignment="1" applyProtection="1">
      <alignment horizontal="right" vertical="center"/>
    </xf>
    <xf numFmtId="0" fontId="43" fillId="0" borderId="1" xfId="8" applyFont="1" applyFill="1" applyBorder="1" applyAlignment="1" applyProtection="1">
      <alignment horizontal="left" vertical="center"/>
    </xf>
    <xf numFmtId="0" fontId="43" fillId="21" borderId="0" xfId="8" applyFont="1" applyFill="1" applyAlignment="1" applyProtection="1">
      <alignment vertical="center"/>
    </xf>
    <xf numFmtId="0" fontId="43" fillId="0" borderId="1" xfId="4" applyFont="1" applyFill="1" applyBorder="1" applyAlignment="1" applyProtection="1">
      <alignment vertical="center" wrapText="1"/>
    </xf>
    <xf numFmtId="0" fontId="39" fillId="0" borderId="1" xfId="8" applyFont="1" applyFill="1" applyBorder="1" applyAlignment="1" applyProtection="1">
      <alignment vertical="center"/>
    </xf>
    <xf numFmtId="0" fontId="39" fillId="0" borderId="1" xfId="8" applyFont="1" applyFill="1" applyBorder="1" applyAlignment="1" applyProtection="1">
      <alignment horizontal="center" vertical="center"/>
    </xf>
    <xf numFmtId="167" fontId="39" fillId="0" borderId="1" xfId="8" applyNumberFormat="1" applyFont="1" applyFill="1" applyBorder="1" applyAlignment="1" applyProtection="1">
      <alignment horizontal="right" vertical="center"/>
    </xf>
    <xf numFmtId="0" fontId="39" fillId="0" borderId="1" xfId="0" applyFont="1" applyFill="1" applyBorder="1" applyAlignment="1" applyProtection="1">
      <alignment horizontal="center" vertical="center"/>
    </xf>
    <xf numFmtId="0" fontId="18" fillId="0" borderId="1" xfId="8" applyFont="1" applyFill="1" applyBorder="1" applyAlignment="1" applyProtection="1">
      <alignment horizontal="center" vertical="center"/>
    </xf>
    <xf numFmtId="0" fontId="45" fillId="30" borderId="1" xfId="8" applyFont="1" applyFill="1" applyBorder="1" applyAlignment="1" applyProtection="1">
      <alignment horizontal="center" vertical="center"/>
    </xf>
    <xf numFmtId="0" fontId="45" fillId="10" borderId="1" xfId="8" applyFont="1" applyFill="1" applyBorder="1" applyAlignment="1" applyProtection="1">
      <alignment horizontal="center" vertical="center"/>
    </xf>
    <xf numFmtId="0" fontId="43" fillId="0" borderId="1" xfId="4" applyFont="1" applyFill="1" applyBorder="1" applyAlignment="1" applyProtection="1">
      <alignment horizontal="left" vertical="center"/>
    </xf>
    <xf numFmtId="0" fontId="40" fillId="21" borderId="1" xfId="0" applyFont="1" applyFill="1" applyBorder="1" applyAlignment="1" applyProtection="1">
      <alignment horizontal="center" vertical="center"/>
    </xf>
    <xf numFmtId="0" fontId="43" fillId="0" borderId="1" xfId="9" applyFont="1" applyFill="1" applyBorder="1" applyAlignment="1" applyProtection="1">
      <alignment horizontal="center" vertical="center"/>
    </xf>
    <xf numFmtId="0" fontId="43" fillId="0" borderId="1" xfId="8" applyFont="1" applyBorder="1" applyAlignment="1" applyProtection="1">
      <alignment horizontal="center" vertical="center"/>
    </xf>
    <xf numFmtId="0" fontId="43" fillId="0" borderId="1" xfId="8" applyFont="1" applyBorder="1" applyAlignment="1" applyProtection="1">
      <alignment vertical="center"/>
    </xf>
    <xf numFmtId="43" fontId="43" fillId="0" borderId="1" xfId="1" applyFont="1" applyBorder="1" applyAlignment="1" applyProtection="1">
      <alignment horizontal="right" vertical="center"/>
    </xf>
    <xf numFmtId="2" fontId="43" fillId="0" borderId="1" xfId="8" applyNumberFormat="1" applyFont="1" applyBorder="1" applyAlignment="1" applyProtection="1">
      <alignment horizontal="left" vertical="center"/>
    </xf>
    <xf numFmtId="0" fontId="43" fillId="0" borderId="1" xfId="4" applyFont="1" applyBorder="1" applyAlignment="1" applyProtection="1">
      <alignment vertical="center"/>
    </xf>
    <xf numFmtId="0" fontId="18" fillId="0" borderId="1" xfId="8" applyFont="1" applyBorder="1" applyAlignment="1" applyProtection="1">
      <alignment horizontal="center" vertical="center"/>
    </xf>
    <xf numFmtId="2" fontId="43" fillId="0" borderId="1" xfId="4" applyNumberFormat="1" applyFont="1" applyBorder="1" applyAlignment="1" applyProtection="1">
      <alignment vertical="center"/>
    </xf>
    <xf numFmtId="2" fontId="18" fillId="0" borderId="0" xfId="8" applyNumberFormat="1" applyFont="1" applyAlignment="1" applyProtection="1">
      <alignment vertical="center"/>
    </xf>
    <xf numFmtId="0" fontId="40" fillId="0" borderId="0" xfId="8" applyFont="1" applyAlignment="1" applyProtection="1">
      <alignment vertical="center"/>
    </xf>
    <xf numFmtId="0" fontId="40" fillId="30" borderId="1" xfId="0" applyFont="1" applyFill="1" applyBorder="1" applyAlignment="1" applyProtection="1">
      <alignment horizontal="center" vertical="center"/>
    </xf>
    <xf numFmtId="0" fontId="39" fillId="0" borderId="1" xfId="8" applyFont="1" applyBorder="1" applyAlignment="1" applyProtection="1">
      <alignment vertical="center"/>
    </xf>
    <xf numFmtId="0" fontId="39" fillId="0" borderId="1" xfId="8" applyFont="1" applyBorder="1" applyAlignment="1" applyProtection="1">
      <alignment horizontal="center" vertical="center"/>
    </xf>
    <xf numFmtId="167" fontId="39" fillId="0" borderId="1" xfId="8" applyNumberFormat="1" applyFont="1" applyBorder="1" applyAlignment="1" applyProtection="1">
      <alignment horizontal="right" vertical="center"/>
    </xf>
    <xf numFmtId="2" fontId="40" fillId="0" borderId="0" xfId="8" applyNumberFormat="1" applyFont="1" applyAlignment="1" applyProtection="1">
      <alignment vertical="center"/>
    </xf>
    <xf numFmtId="0" fontId="45" fillId="4" borderId="1" xfId="4" applyFont="1" applyFill="1" applyBorder="1" applyAlignment="1" applyProtection="1">
      <alignment horizontal="left" vertical="center"/>
    </xf>
    <xf numFmtId="0" fontId="45" fillId="4" borderId="1" xfId="4" applyFont="1" applyFill="1" applyBorder="1" applyAlignment="1" applyProtection="1">
      <alignment horizontal="center" vertical="center"/>
    </xf>
    <xf numFmtId="0" fontId="45" fillId="4" borderId="1" xfId="4" applyFont="1" applyFill="1" applyBorder="1" applyAlignment="1" applyProtection="1">
      <alignment vertical="center"/>
    </xf>
    <xf numFmtId="2" fontId="45" fillId="4" borderId="1" xfId="4" applyNumberFormat="1" applyFont="1" applyFill="1" applyBorder="1" applyAlignment="1" applyProtection="1">
      <alignment horizontal="right" vertical="center"/>
    </xf>
    <xf numFmtId="2" fontId="39" fillId="0" borderId="1" xfId="8" applyNumberFormat="1" applyFont="1" applyBorder="1" applyAlignment="1" applyProtection="1">
      <alignment vertical="center"/>
    </xf>
    <xf numFmtId="2" fontId="43" fillId="0" borderId="0" xfId="8" applyNumberFormat="1" applyFont="1" applyFill="1" applyAlignment="1" applyProtection="1">
      <alignment vertical="center"/>
    </xf>
    <xf numFmtId="0" fontId="43" fillId="0" borderId="0" xfId="8" applyFont="1" applyFill="1" applyAlignment="1" applyProtection="1">
      <alignment vertical="center"/>
    </xf>
    <xf numFmtId="0" fontId="45" fillId="28" borderId="1" xfId="8" applyFont="1" applyFill="1" applyBorder="1" applyAlignment="1" applyProtection="1">
      <alignment horizontal="center" vertical="center"/>
    </xf>
    <xf numFmtId="0" fontId="45" fillId="0" borderId="1" xfId="4" applyFont="1" applyFill="1" applyBorder="1" applyAlignment="1" applyProtection="1">
      <alignment horizontal="left" vertical="center"/>
    </xf>
    <xf numFmtId="0" fontId="45" fillId="0" borderId="1" xfId="4" applyFont="1" applyBorder="1" applyAlignment="1" applyProtection="1">
      <alignment horizontal="left" vertical="center"/>
    </xf>
    <xf numFmtId="0" fontId="45" fillId="0" borderId="1" xfId="4" applyFont="1" applyBorder="1" applyAlignment="1" applyProtection="1">
      <alignment vertical="center" wrapText="1"/>
    </xf>
    <xf numFmtId="0" fontId="45" fillId="0" borderId="1" xfId="8" applyFont="1" applyBorder="1" applyAlignment="1" applyProtection="1">
      <alignment horizontal="center" vertical="center"/>
    </xf>
    <xf numFmtId="0" fontId="14" fillId="0" borderId="1" xfId="8" applyFont="1" applyBorder="1" applyAlignment="1" applyProtection="1">
      <alignment horizontal="center" vertical="center"/>
    </xf>
    <xf numFmtId="43" fontId="45" fillId="0" borderId="1" xfId="1" applyFont="1" applyBorder="1" applyAlignment="1" applyProtection="1">
      <alignment horizontal="right" vertical="center"/>
    </xf>
    <xf numFmtId="2" fontId="45" fillId="2" borderId="1" xfId="4" applyNumberFormat="1" applyFont="1" applyFill="1" applyBorder="1" applyAlignment="1" applyProtection="1">
      <alignment vertical="center"/>
    </xf>
    <xf numFmtId="43" fontId="45" fillId="4" borderId="1" xfId="1" applyFont="1" applyFill="1" applyBorder="1" applyAlignment="1" applyProtection="1">
      <alignment vertical="center"/>
    </xf>
    <xf numFmtId="2" fontId="43" fillId="0" borderId="1" xfId="8" applyNumberFormat="1" applyFont="1" applyBorder="1" applyAlignment="1" applyProtection="1">
      <alignment horizontal="right" vertical="center"/>
    </xf>
    <xf numFmtId="0" fontId="45" fillId="0" borderId="1" xfId="4" applyFont="1" applyFill="1" applyBorder="1" applyAlignment="1" applyProtection="1">
      <alignment vertical="center"/>
    </xf>
    <xf numFmtId="0" fontId="40" fillId="0" borderId="1" xfId="8" applyFont="1" applyBorder="1" applyAlignment="1" applyProtection="1">
      <alignment horizontal="center" vertical="center"/>
    </xf>
    <xf numFmtId="0" fontId="45" fillId="0" borderId="0" xfId="8" applyFont="1" applyAlignment="1" applyProtection="1">
      <alignment vertical="center"/>
    </xf>
    <xf numFmtId="0" fontId="43" fillId="0" borderId="0" xfId="8" applyFont="1" applyAlignment="1" applyProtection="1">
      <alignment horizontal="left" vertical="center"/>
    </xf>
    <xf numFmtId="0" fontId="43" fillId="0" borderId="0" xfId="8" applyFont="1" applyAlignment="1" applyProtection="1">
      <alignment vertical="center" wrapText="1"/>
    </xf>
    <xf numFmtId="0" fontId="14" fillId="0" borderId="0" xfId="8" applyFont="1" applyAlignment="1" applyProtection="1">
      <alignment horizontal="center" vertical="center"/>
    </xf>
    <xf numFmtId="43" fontId="43" fillId="0" borderId="0" xfId="1" applyFont="1" applyAlignment="1" applyProtection="1">
      <alignment horizontal="right" vertical="center"/>
    </xf>
    <xf numFmtId="2" fontId="43" fillId="0" borderId="0" xfId="8" applyNumberFormat="1" applyFont="1" applyAlignment="1" applyProtection="1">
      <alignment horizontal="left" vertical="center"/>
    </xf>
    <xf numFmtId="0" fontId="57" fillId="0" borderId="1" xfId="0" applyFont="1" applyBorder="1" applyAlignment="1" applyProtection="1">
      <alignment horizontal="left" vertical="center" wrapText="1"/>
    </xf>
    <xf numFmtId="43" fontId="57" fillId="0" borderId="1" xfId="1" applyFont="1" applyBorder="1" applyAlignment="1" applyProtection="1">
      <alignment horizontal="left" vertical="center" wrapText="1"/>
    </xf>
    <xf numFmtId="0" fontId="38" fillId="0" borderId="0" xfId="8" applyFont="1" applyFill="1" applyBorder="1" applyAlignment="1" applyProtection="1">
      <alignment horizontal="center" vertical="center" wrapText="1"/>
    </xf>
    <xf numFmtId="0" fontId="44" fillId="39" borderId="13" xfId="3" applyFont="1" applyFill="1" applyBorder="1" applyAlignment="1" applyProtection="1">
      <alignment horizontal="left" wrapText="1"/>
    </xf>
    <xf numFmtId="0" fontId="40" fillId="0" borderId="0"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43" fontId="42" fillId="0" borderId="0" xfId="1" applyFont="1" applyFill="1" applyBorder="1" applyAlignment="1" applyProtection="1">
      <alignment horizontal="center" vertical="center" wrapText="1"/>
    </xf>
    <xf numFmtId="43" fontId="40" fillId="0" borderId="0" xfId="1" applyFont="1" applyFill="1" applyBorder="1" applyAlignment="1" applyProtection="1">
      <alignment horizontal="center" vertical="center" wrapText="1"/>
    </xf>
    <xf numFmtId="0" fontId="40" fillId="0" borderId="0" xfId="8" applyFont="1" applyFill="1" applyBorder="1" applyAlignment="1" applyProtection="1">
      <alignment horizontal="center" vertical="center" wrapText="1"/>
    </xf>
    <xf numFmtId="43" fontId="45" fillId="2" borderId="1" xfId="1" applyFont="1" applyFill="1" applyBorder="1" applyAlignment="1" applyProtection="1">
      <alignment horizontal="left" vertical="center" wrapText="1"/>
    </xf>
    <xf numFmtId="2" fontId="45" fillId="4" borderId="1" xfId="8" applyNumberFormat="1" applyFont="1" applyFill="1" applyBorder="1" applyAlignment="1" applyProtection="1">
      <alignment horizontal="right" vertical="center" wrapText="1"/>
    </xf>
    <xf numFmtId="0" fontId="43" fillId="0" borderId="1" xfId="4" applyFont="1" applyFill="1" applyBorder="1" applyAlignment="1" applyProtection="1">
      <alignment horizontal="center" vertical="center" wrapText="1"/>
    </xf>
    <xf numFmtId="0" fontId="14" fillId="0" borderId="1" xfId="8" applyFont="1" applyBorder="1" applyAlignment="1" applyProtection="1">
      <alignment horizontal="center" vertical="center" wrapText="1"/>
    </xf>
    <xf numFmtId="0" fontId="45" fillId="0" borderId="1" xfId="4" applyFont="1" applyFill="1" applyBorder="1" applyAlignment="1" applyProtection="1">
      <alignment horizontal="left" vertical="center" wrapText="1"/>
    </xf>
    <xf numFmtId="0" fontId="43" fillId="0" borderId="1" xfId="4" applyFont="1" applyBorder="1" applyAlignment="1" applyProtection="1">
      <alignment horizontal="center" vertical="center" wrapText="1"/>
    </xf>
    <xf numFmtId="0" fontId="43" fillId="0" borderId="1" xfId="8" applyFont="1" applyFill="1" applyBorder="1" applyAlignment="1" applyProtection="1">
      <alignment vertical="center" wrapText="1"/>
    </xf>
    <xf numFmtId="0" fontId="14" fillId="0" borderId="1" xfId="8" applyFont="1" applyFill="1" applyBorder="1" applyAlignment="1" applyProtection="1">
      <alignment horizontal="center" vertical="center" wrapText="1"/>
    </xf>
    <xf numFmtId="0" fontId="39" fillId="0" borderId="1" xfId="9" applyFont="1" applyFill="1" applyBorder="1" applyAlignment="1" applyProtection="1">
      <alignment vertical="center" wrapText="1"/>
    </xf>
    <xf numFmtId="0" fontId="39" fillId="0" borderId="1" xfId="9" applyFont="1" applyFill="1" applyBorder="1" applyAlignment="1" applyProtection="1">
      <alignment horizontal="center" vertical="center" wrapText="1"/>
    </xf>
    <xf numFmtId="0" fontId="14" fillId="0" borderId="0" xfId="8" applyFont="1" applyAlignment="1" applyProtection="1">
      <alignment vertical="center" wrapText="1"/>
    </xf>
    <xf numFmtId="0" fontId="43" fillId="2" borderId="1" xfId="4" applyFont="1" applyFill="1" applyBorder="1" applyAlignment="1" applyProtection="1">
      <alignment vertical="center" wrapText="1"/>
    </xf>
    <xf numFmtId="0" fontId="40" fillId="28" borderId="1" xfId="8" applyFont="1" applyFill="1" applyBorder="1" applyAlignment="1" applyProtection="1">
      <alignment horizontal="center" vertical="center" wrapText="1"/>
    </xf>
    <xf numFmtId="43" fontId="43" fillId="0" borderId="0" xfId="1" applyFont="1" applyAlignment="1" applyProtection="1">
      <alignment vertical="center" wrapText="1"/>
    </xf>
    <xf numFmtId="43" fontId="43" fillId="0" borderId="0" xfId="1" applyFont="1" applyFill="1" applyAlignment="1" applyProtection="1">
      <alignment vertical="center" wrapText="1"/>
    </xf>
    <xf numFmtId="0" fontId="38" fillId="16" borderId="1" xfId="8" applyFont="1" applyFill="1" applyBorder="1" applyAlignment="1" applyProtection="1">
      <alignment vertical="center" wrapText="1"/>
    </xf>
    <xf numFmtId="0" fontId="43" fillId="0" borderId="0" xfId="0" applyFont="1" applyProtection="1"/>
    <xf numFmtId="0" fontId="40" fillId="0" borderId="1" xfId="0" applyFont="1" applyFill="1" applyBorder="1" applyAlignment="1" applyProtection="1">
      <alignment vertical="center" wrapText="1"/>
    </xf>
    <xf numFmtId="0" fontId="46" fillId="29" borderId="1" xfId="0" applyFont="1" applyFill="1" applyBorder="1" applyAlignment="1" applyProtection="1">
      <alignment horizontal="center" vertical="center" wrapText="1"/>
    </xf>
    <xf numFmtId="2" fontId="40" fillId="0" borderId="1" xfId="3" applyNumberFormat="1" applyFont="1" applyFill="1" applyBorder="1" applyProtection="1"/>
    <xf numFmtId="0" fontId="43" fillId="0" borderId="0" xfId="0" applyFont="1" applyAlignment="1" applyProtection="1">
      <alignment horizontal="center" vertical="center"/>
    </xf>
    <xf numFmtId="2" fontId="45" fillId="24" borderId="1" xfId="38" applyNumberFormat="1" applyFont="1" applyFill="1" applyBorder="1" applyAlignment="1" applyProtection="1">
      <alignment horizontal="center" vertical="center" wrapText="1"/>
    </xf>
    <xf numFmtId="2" fontId="45" fillId="5" borderId="1" xfId="38" applyNumberFormat="1" applyFont="1" applyFill="1" applyBorder="1" applyAlignment="1" applyProtection="1">
      <alignment horizontal="center" vertical="center" wrapText="1"/>
    </xf>
    <xf numFmtId="0" fontId="41" fillId="7" borderId="1" xfId="8" applyFont="1" applyFill="1" applyBorder="1" applyAlignment="1" applyProtection="1">
      <alignment horizontal="center" vertical="center" wrapText="1"/>
    </xf>
    <xf numFmtId="0" fontId="43" fillId="2" borderId="1" xfId="8" applyFont="1" applyFill="1" applyBorder="1" applyAlignment="1" applyProtection="1">
      <alignment horizontal="center" vertical="center" wrapText="1"/>
    </xf>
    <xf numFmtId="0" fontId="43" fillId="2" borderId="1" xfId="8" applyFont="1" applyFill="1" applyBorder="1" applyAlignment="1" applyProtection="1">
      <alignment vertical="center" wrapText="1"/>
    </xf>
    <xf numFmtId="0" fontId="45" fillId="3" borderId="1" xfId="4" applyFont="1" applyFill="1" applyBorder="1" applyAlignment="1" applyProtection="1">
      <alignment vertical="center" wrapText="1"/>
    </xf>
    <xf numFmtId="0" fontId="43" fillId="0" borderId="1" xfId="0" applyFont="1" applyBorder="1" applyProtection="1"/>
    <xf numFmtId="0" fontId="39" fillId="0" borderId="1" xfId="38" applyFont="1" applyFill="1" applyBorder="1" applyAlignment="1" applyProtection="1">
      <alignment horizontal="center" vertical="center" wrapText="1"/>
    </xf>
    <xf numFmtId="0" fontId="43" fillId="0" borderId="1" xfId="0" applyFont="1" applyBorder="1" applyAlignment="1" applyProtection="1">
      <alignment vertical="center"/>
    </xf>
    <xf numFmtId="0" fontId="14" fillId="0" borderId="1" xfId="87" applyFont="1" applyBorder="1" applyAlignment="1" applyProtection="1">
      <alignment horizontal="center" vertical="center" wrapText="1"/>
    </xf>
    <xf numFmtId="0" fontId="14" fillId="0" borderId="0" xfId="62" applyFont="1" applyAlignment="1" applyProtection="1">
      <alignment vertical="center"/>
    </xf>
    <xf numFmtId="0" fontId="14" fillId="0" borderId="0" xfId="62" applyFont="1" applyFill="1" applyAlignment="1" applyProtection="1">
      <alignment vertical="center"/>
    </xf>
    <xf numFmtId="0" fontId="14" fillId="0" borderId="0" xfId="62" applyFont="1" applyAlignment="1" applyProtection="1">
      <alignment horizontal="center" vertical="center"/>
    </xf>
    <xf numFmtId="0" fontId="14" fillId="0" borderId="0" xfId="11" applyFont="1" applyAlignment="1" applyProtection="1">
      <alignment horizontal="center" vertical="center" wrapText="1"/>
    </xf>
    <xf numFmtId="0" fontId="41" fillId="7" borderId="1" xfId="11" applyFont="1" applyFill="1" applyBorder="1" applyAlignment="1" applyProtection="1">
      <alignment horizontal="center" vertical="center" wrapText="1"/>
    </xf>
    <xf numFmtId="0" fontId="45" fillId="7" borderId="1" xfId="11" applyFont="1" applyFill="1" applyBorder="1" applyAlignment="1" applyProtection="1">
      <alignment horizontal="left" vertical="center" wrapText="1"/>
    </xf>
    <xf numFmtId="0" fontId="45" fillId="7" borderId="1" xfId="11" applyFont="1" applyFill="1" applyBorder="1" applyAlignment="1" applyProtection="1">
      <alignment horizontal="center" vertical="center" wrapText="1"/>
    </xf>
    <xf numFmtId="43" fontId="45" fillId="7" borderId="1" xfId="1" applyFont="1" applyFill="1" applyBorder="1" applyAlignment="1" applyProtection="1">
      <alignment horizontal="right" vertical="center" wrapText="1"/>
    </xf>
    <xf numFmtId="0" fontId="14" fillId="0" borderId="0" xfId="11" applyFont="1" applyAlignment="1" applyProtection="1">
      <alignment vertical="center" wrapText="1"/>
    </xf>
    <xf numFmtId="0" fontId="40" fillId="2" borderId="1" xfId="4" applyFont="1" applyFill="1" applyBorder="1" applyAlignment="1" applyProtection="1">
      <alignment horizontal="left" vertical="center" wrapText="1"/>
    </xf>
    <xf numFmtId="0" fontId="14" fillId="2" borderId="1" xfId="4" applyFont="1" applyFill="1" applyBorder="1" applyAlignment="1" applyProtection="1">
      <alignment horizontal="left" vertical="center" wrapText="1"/>
    </xf>
    <xf numFmtId="0" fontId="40" fillId="36" borderId="1" xfId="11" applyFont="1" applyFill="1" applyBorder="1" applyAlignment="1" applyProtection="1">
      <alignment horizontal="left" vertical="center" wrapText="1"/>
    </xf>
    <xf numFmtId="0" fontId="14" fillId="36" borderId="1" xfId="4" applyFont="1" applyFill="1" applyBorder="1" applyAlignment="1" applyProtection="1">
      <alignment vertical="center" wrapText="1"/>
    </xf>
    <xf numFmtId="0" fontId="40" fillId="36" borderId="1" xfId="4" applyFont="1" applyFill="1" applyBorder="1" applyAlignment="1" applyProtection="1">
      <alignment vertical="center" wrapText="1"/>
    </xf>
    <xf numFmtId="0" fontId="43" fillId="36" borderId="1" xfId="4" applyFont="1" applyFill="1" applyBorder="1" applyAlignment="1" applyProtection="1">
      <alignment horizontal="center" vertical="center" wrapText="1"/>
    </xf>
    <xf numFmtId="0" fontId="45" fillId="36" borderId="1" xfId="4" applyFont="1" applyFill="1" applyBorder="1" applyAlignment="1" applyProtection="1">
      <alignment vertical="center" wrapText="1"/>
    </xf>
    <xf numFmtId="0" fontId="45" fillId="36" borderId="1" xfId="4" applyFont="1" applyFill="1" applyBorder="1" applyAlignment="1" applyProtection="1">
      <alignment horizontal="center" vertical="center" wrapText="1"/>
    </xf>
    <xf numFmtId="43" fontId="45" fillId="36" borderId="1" xfId="1" applyFont="1" applyFill="1" applyBorder="1" applyAlignment="1" applyProtection="1">
      <alignment horizontal="right" vertical="center" wrapText="1"/>
    </xf>
    <xf numFmtId="0" fontId="45" fillId="36" borderId="1" xfId="4" applyFont="1" applyFill="1" applyBorder="1" applyAlignment="1" applyProtection="1">
      <alignment horizontal="left" vertical="center" wrapText="1"/>
    </xf>
    <xf numFmtId="0" fontId="14" fillId="0" borderId="0" xfId="87" applyFont="1" applyAlignment="1" applyProtection="1">
      <alignment vertical="center" wrapText="1"/>
    </xf>
    <xf numFmtId="0" fontId="40" fillId="29" borderId="1" xfId="87" applyFont="1" applyFill="1" applyBorder="1" applyAlignment="1" applyProtection="1">
      <alignment horizontal="center" vertical="center"/>
    </xf>
    <xf numFmtId="0" fontId="14" fillId="0" borderId="0" xfId="87" applyFont="1" applyFill="1" applyAlignment="1" applyProtection="1">
      <alignment vertical="center"/>
    </xf>
    <xf numFmtId="0" fontId="14" fillId="0" borderId="0" xfId="87" applyFont="1" applyAlignment="1" applyProtection="1">
      <alignment vertical="center"/>
    </xf>
    <xf numFmtId="0" fontId="14" fillId="0" borderId="1" xfId="87" applyFont="1" applyFill="1" applyBorder="1" applyAlignment="1" applyProtection="1">
      <alignment horizontal="center" vertical="center" wrapText="1"/>
    </xf>
    <xf numFmtId="0" fontId="12" fillId="0" borderId="1" xfId="4" applyFont="1" applyFill="1" applyBorder="1" applyAlignment="1" applyProtection="1">
      <alignment vertical="center" wrapText="1"/>
    </xf>
    <xf numFmtId="0" fontId="13" fillId="0" borderId="1" xfId="87" applyFont="1" applyFill="1" applyBorder="1" applyAlignment="1" applyProtection="1">
      <alignment horizontal="center" vertical="center" wrapText="1"/>
    </xf>
    <xf numFmtId="0" fontId="45" fillId="10" borderId="1" xfId="4" applyFont="1" applyFill="1" applyBorder="1" applyAlignment="1" applyProtection="1">
      <alignment horizontal="center" vertical="center" wrapText="1"/>
    </xf>
    <xf numFmtId="49" fontId="14" fillId="0" borderId="1" xfId="4" applyNumberFormat="1" applyFont="1" applyFill="1" applyBorder="1" applyAlignment="1" applyProtection="1">
      <alignment vertical="center" wrapText="1"/>
    </xf>
    <xf numFmtId="43" fontId="43" fillId="0" borderId="1" xfId="1" applyFont="1" applyFill="1" applyBorder="1" applyAlignment="1" applyProtection="1">
      <alignment vertical="center" wrapText="1"/>
    </xf>
    <xf numFmtId="0" fontId="14" fillId="0" borderId="1" xfId="11" applyFont="1" applyFill="1" applyBorder="1" applyAlignment="1" applyProtection="1">
      <alignment horizontal="left" vertical="center" wrapText="1"/>
    </xf>
    <xf numFmtId="0" fontId="43" fillId="0" borderId="1" xfId="87" applyFont="1" applyFill="1" applyBorder="1" applyAlignment="1" applyProtection="1">
      <alignment horizontal="left" vertical="center"/>
    </xf>
    <xf numFmtId="0" fontId="14" fillId="0" borderId="1" xfId="87" applyFont="1" applyFill="1" applyBorder="1" applyAlignment="1" applyProtection="1">
      <alignment vertical="center" wrapText="1"/>
    </xf>
    <xf numFmtId="0" fontId="45" fillId="28" borderId="1" xfId="11" applyFont="1" applyFill="1" applyBorder="1" applyAlignment="1" applyProtection="1">
      <alignment horizontal="center" vertical="center" wrapText="1"/>
    </xf>
    <xf numFmtId="0" fontId="43" fillId="0" borderId="1" xfId="11" applyFont="1" applyFill="1" applyBorder="1" applyAlignment="1" applyProtection="1">
      <alignment horizontal="center" vertical="center" wrapText="1"/>
    </xf>
    <xf numFmtId="0" fontId="45" fillId="0" borderId="1" xfId="11" applyFont="1" applyFill="1" applyBorder="1" applyAlignment="1" applyProtection="1">
      <alignment horizontal="left" vertical="center" wrapText="1"/>
    </xf>
    <xf numFmtId="0" fontId="14" fillId="0" borderId="1" xfId="4" applyFont="1" applyFill="1" applyBorder="1" applyAlignment="1" applyProtection="1">
      <alignment horizontal="left" vertical="center"/>
    </xf>
    <xf numFmtId="0" fontId="14" fillId="0" borderId="1" xfId="87" applyFont="1" applyFill="1" applyBorder="1" applyAlignment="1" applyProtection="1">
      <alignment vertical="center"/>
    </xf>
    <xf numFmtId="0" fontId="14" fillId="0" borderId="1" xfId="87" applyFont="1" applyBorder="1" applyAlignment="1" applyProtection="1">
      <alignment vertical="center"/>
    </xf>
    <xf numFmtId="0" fontId="14" fillId="0" borderId="1" xfId="87" applyFont="1" applyBorder="1" applyAlignment="1" applyProtection="1">
      <alignment horizontal="left" vertical="center"/>
    </xf>
    <xf numFmtId="0" fontId="14" fillId="0" borderId="0" xfId="87" applyFont="1" applyAlignment="1" applyProtection="1">
      <alignment horizontal="center" vertical="center"/>
    </xf>
    <xf numFmtId="0" fontId="14" fillId="0" borderId="0" xfId="87" applyFont="1" applyAlignment="1" applyProtection="1">
      <alignment horizontal="center" vertical="center" wrapText="1"/>
    </xf>
    <xf numFmtId="43" fontId="14" fillId="0" borderId="0" xfId="1" applyFont="1" applyAlignment="1" applyProtection="1">
      <alignment horizontal="right" vertical="center"/>
    </xf>
    <xf numFmtId="0" fontId="14" fillId="0" borderId="0" xfId="87" applyFont="1" applyAlignment="1" applyProtection="1">
      <alignment horizontal="left" vertical="center"/>
    </xf>
    <xf numFmtId="43" fontId="45" fillId="0" borderId="1" xfId="1" applyFont="1" applyFill="1" applyBorder="1" applyAlignment="1" applyProtection="1">
      <alignment horizontal="right" vertical="center" wrapText="1"/>
      <protection locked="0"/>
    </xf>
    <xf numFmtId="43" fontId="45" fillId="36" borderId="1" xfId="1" applyFont="1" applyFill="1" applyBorder="1" applyAlignment="1" applyProtection="1">
      <alignment horizontal="right" vertical="center" wrapText="1"/>
      <protection locked="0"/>
    </xf>
    <xf numFmtId="43" fontId="45" fillId="0" borderId="1" xfId="1" applyFont="1" applyFill="1" applyBorder="1" applyAlignment="1" applyProtection="1">
      <alignment horizontal="left" vertical="center" wrapText="1"/>
      <protection locked="0"/>
    </xf>
    <xf numFmtId="0" fontId="14" fillId="0" borderId="1" xfId="87" applyFont="1" applyBorder="1" applyAlignment="1" applyProtection="1">
      <alignment horizontal="center" vertical="center"/>
      <protection locked="0"/>
    </xf>
    <xf numFmtId="43" fontId="14" fillId="0" borderId="1" xfId="1" applyFont="1" applyBorder="1" applyAlignment="1" applyProtection="1">
      <alignment horizontal="right" vertical="center"/>
      <protection locked="0"/>
    </xf>
    <xf numFmtId="0" fontId="14" fillId="0" borderId="1" xfId="87" applyFont="1" applyBorder="1" applyAlignment="1" applyProtection="1">
      <alignment horizontal="left" vertical="center"/>
      <protection locked="0"/>
    </xf>
    <xf numFmtId="0" fontId="44" fillId="24" borderId="1" xfId="3" applyFont="1" applyFill="1" applyBorder="1" applyAlignment="1" applyProtection="1">
      <alignment vertical="center" wrapText="1"/>
    </xf>
    <xf numFmtId="0" fontId="40" fillId="0" borderId="0" xfId="8" applyFont="1" applyFill="1" applyBorder="1" applyAlignment="1" applyProtection="1">
      <alignment horizontal="center" vertical="center"/>
    </xf>
    <xf numFmtId="0" fontId="14" fillId="0" borderId="0" xfId="8" applyFont="1" applyAlignment="1" applyProtection="1">
      <alignment vertical="center"/>
    </xf>
    <xf numFmtId="0" fontId="44" fillId="24" borderId="1" xfId="3" applyFont="1" applyFill="1" applyBorder="1" applyAlignment="1" applyProtection="1">
      <alignment horizontal="left" vertical="center" wrapText="1"/>
    </xf>
    <xf numFmtId="0" fontId="14" fillId="0" borderId="0" xfId="8" applyFont="1" applyFill="1" applyAlignment="1" applyProtection="1">
      <alignment vertical="center"/>
    </xf>
    <xf numFmtId="0" fontId="14" fillId="0" borderId="1" xfId="9" applyFont="1" applyBorder="1" applyAlignment="1" applyProtection="1">
      <alignment horizontal="left" vertical="center" wrapText="1"/>
    </xf>
    <xf numFmtId="0" fontId="40" fillId="0" borderId="1" xfId="8" applyFont="1" applyFill="1" applyBorder="1" applyAlignment="1" applyProtection="1">
      <alignment horizontal="left" vertical="center"/>
    </xf>
    <xf numFmtId="0" fontId="14" fillId="0" borderId="0" xfId="8" applyFont="1" applyAlignment="1" applyProtection="1">
      <alignment horizontal="left" vertical="center"/>
    </xf>
    <xf numFmtId="0" fontId="14" fillId="0" borderId="0" xfId="8" applyFont="1" applyAlignment="1" applyProtection="1">
      <alignment horizontal="left" vertical="center" wrapText="1"/>
    </xf>
    <xf numFmtId="0" fontId="14" fillId="0" borderId="0" xfId="8" applyFont="1" applyAlignment="1" applyProtection="1">
      <alignment horizontal="center" vertical="center" wrapText="1"/>
    </xf>
    <xf numFmtId="0" fontId="44" fillId="24" borderId="1" xfId="3" applyFont="1" applyFill="1" applyBorder="1" applyAlignment="1" applyProtection="1">
      <alignment horizontal="center" vertical="center" wrapText="1"/>
    </xf>
    <xf numFmtId="0" fontId="44" fillId="39" borderId="1" xfId="3" applyFont="1" applyFill="1" applyBorder="1" applyAlignment="1" applyProtection="1">
      <alignment horizontal="center" vertical="center"/>
    </xf>
    <xf numFmtId="0" fontId="40" fillId="2" borderId="1" xfId="8" applyFont="1" applyFill="1" applyBorder="1" applyAlignment="1" applyProtection="1">
      <alignment horizontal="center" vertical="center" wrapText="1"/>
    </xf>
    <xf numFmtId="0" fontId="14" fillId="0" borderId="1" xfId="9" applyFont="1" applyBorder="1" applyAlignment="1" applyProtection="1">
      <alignment horizontal="center" vertical="center" wrapText="1"/>
    </xf>
    <xf numFmtId="43" fontId="45" fillId="3" borderId="1" xfId="1" applyFont="1" applyFill="1" applyBorder="1" applyAlignment="1" applyProtection="1">
      <alignment horizontal="center" vertical="center" wrapText="1"/>
    </xf>
    <xf numFmtId="0" fontId="45" fillId="3" borderId="1" xfId="8" applyFont="1" applyFill="1" applyBorder="1" applyAlignment="1" applyProtection="1">
      <alignment horizontal="left" vertical="center" wrapText="1"/>
    </xf>
    <xf numFmtId="0" fontId="45" fillId="3" borderId="1" xfId="8" applyFont="1" applyFill="1" applyBorder="1" applyAlignment="1" applyProtection="1">
      <alignment horizontal="center" vertical="center" wrapText="1"/>
    </xf>
    <xf numFmtId="43" fontId="43" fillId="0" borderId="1" xfId="1" applyFont="1" applyBorder="1" applyAlignment="1" applyProtection="1">
      <alignment horizontal="left" vertical="center" wrapText="1"/>
      <protection locked="0"/>
    </xf>
    <xf numFmtId="2" fontId="40" fillId="0" borderId="1" xfId="3" applyNumberFormat="1" applyFont="1" applyFill="1" applyBorder="1" applyAlignment="1" applyProtection="1">
      <alignment wrapText="1"/>
    </xf>
    <xf numFmtId="0" fontId="40" fillId="0" borderId="0" xfId="8" applyFont="1" applyAlignment="1" applyProtection="1">
      <alignment horizontal="center" vertical="center"/>
    </xf>
    <xf numFmtId="43" fontId="14" fillId="2" borderId="1" xfId="1" applyFont="1" applyFill="1" applyBorder="1" applyAlignment="1" applyProtection="1">
      <alignment vertical="center" wrapText="1"/>
    </xf>
    <xf numFmtId="0" fontId="14" fillId="2" borderId="1" xfId="8" applyFont="1" applyFill="1" applyBorder="1" applyAlignment="1" applyProtection="1">
      <alignment vertical="center" wrapText="1"/>
    </xf>
    <xf numFmtId="43" fontId="40" fillId="2" borderId="1" xfId="1" applyFont="1" applyFill="1" applyBorder="1" applyAlignment="1" applyProtection="1">
      <alignment vertical="center" wrapText="1"/>
    </xf>
    <xf numFmtId="0" fontId="40" fillId="29" borderId="1" xfId="8" applyFont="1" applyFill="1" applyBorder="1" applyAlignment="1" applyProtection="1">
      <alignment horizontal="center" vertical="center"/>
    </xf>
    <xf numFmtId="0" fontId="40" fillId="0" borderId="1" xfId="9" applyFont="1" applyFill="1" applyBorder="1" applyAlignment="1" applyProtection="1">
      <alignment vertical="center" wrapText="1"/>
    </xf>
    <xf numFmtId="43" fontId="14" fillId="0" borderId="1" xfId="1" applyFont="1" applyFill="1" applyBorder="1" applyAlignment="1" applyProtection="1">
      <alignment vertical="center" wrapText="1"/>
    </xf>
    <xf numFmtId="0" fontId="40" fillId="0" borderId="0" xfId="8" applyFont="1" applyFill="1" applyAlignment="1" applyProtection="1">
      <alignment vertical="center"/>
    </xf>
    <xf numFmtId="0" fontId="14" fillId="0" borderId="1" xfId="9" applyFont="1" applyBorder="1" applyAlignment="1" applyProtection="1">
      <alignment vertical="center" wrapText="1"/>
    </xf>
    <xf numFmtId="43" fontId="14" fillId="0" borderId="1" xfId="1" applyFont="1" applyBorder="1" applyAlignment="1" applyProtection="1">
      <alignment vertical="center" wrapText="1"/>
    </xf>
    <xf numFmtId="0" fontId="40" fillId="0" borderId="1" xfId="8" applyFont="1" applyBorder="1" applyAlignment="1" applyProtection="1">
      <alignment horizontal="center" vertical="center" wrapText="1"/>
    </xf>
    <xf numFmtId="0" fontId="40" fillId="0" borderId="1" xfId="9" applyFont="1" applyBorder="1" applyAlignment="1" applyProtection="1">
      <alignment vertical="center" wrapText="1"/>
    </xf>
    <xf numFmtId="43" fontId="40" fillId="0" borderId="1" xfId="1" applyFont="1" applyBorder="1" applyAlignment="1" applyProtection="1">
      <alignment vertical="center" wrapText="1"/>
    </xf>
    <xf numFmtId="0" fontId="40" fillId="0" borderId="1" xfId="8" applyFont="1" applyBorder="1" applyAlignment="1" applyProtection="1">
      <alignment horizontal="left" vertical="center" wrapText="1"/>
    </xf>
    <xf numFmtId="0" fontId="13" fillId="0" borderId="1" xfId="8" applyFont="1" applyBorder="1" applyAlignment="1" applyProtection="1">
      <alignment horizontal="center" vertical="center"/>
    </xf>
    <xf numFmtId="0" fontId="40" fillId="2" borderId="1" xfId="8" applyFont="1" applyFill="1" applyBorder="1" applyAlignment="1" applyProtection="1">
      <alignment horizontal="left" vertical="center"/>
    </xf>
    <xf numFmtId="0" fontId="40" fillId="2" borderId="1" xfId="8" applyFont="1" applyFill="1" applyBorder="1" applyAlignment="1" applyProtection="1">
      <alignment horizontal="center" vertical="center"/>
    </xf>
    <xf numFmtId="0" fontId="45" fillId="2" borderId="1" xfId="0" applyFont="1" applyFill="1" applyBorder="1" applyAlignment="1" applyProtection="1">
      <alignment horizontal="right" vertical="center"/>
    </xf>
    <xf numFmtId="0" fontId="40" fillId="2" borderId="1" xfId="8" applyFont="1" applyFill="1" applyBorder="1" applyAlignment="1" applyProtection="1">
      <alignment horizontal="left" vertical="center" wrapText="1"/>
    </xf>
    <xf numFmtId="0" fontId="43" fillId="36" borderId="1" xfId="4" applyFont="1" applyFill="1" applyBorder="1" applyAlignment="1" applyProtection="1">
      <alignment horizontal="left" vertical="center" wrapText="1"/>
    </xf>
    <xf numFmtId="0" fontId="57" fillId="0" borderId="0" xfId="0" applyFont="1" applyFill="1" applyAlignment="1" applyProtection="1">
      <alignment vertical="center" wrapText="1"/>
    </xf>
    <xf numFmtId="0" fontId="14" fillId="0" borderId="1" xfId="9" applyFont="1" applyFill="1" applyBorder="1" applyAlignment="1" applyProtection="1">
      <alignment vertical="center" wrapText="1"/>
    </xf>
    <xf numFmtId="0" fontId="40" fillId="36" borderId="1" xfId="4" applyFont="1" applyFill="1" applyBorder="1" applyAlignment="1" applyProtection="1">
      <alignment horizontal="left" vertical="center" wrapText="1"/>
    </xf>
    <xf numFmtId="0" fontId="40" fillId="36" borderId="1" xfId="8" applyFont="1" applyFill="1" applyBorder="1" applyAlignment="1" applyProtection="1">
      <alignment horizontal="left" vertical="center"/>
    </xf>
    <xf numFmtId="0" fontId="40" fillId="36" borderId="1" xfId="8" applyFont="1" applyFill="1" applyBorder="1" applyAlignment="1" applyProtection="1">
      <alignment horizontal="center" vertical="center"/>
    </xf>
    <xf numFmtId="0" fontId="40" fillId="36" borderId="1" xfId="8" applyFont="1" applyFill="1" applyBorder="1" applyAlignment="1" applyProtection="1">
      <alignment horizontal="center" vertical="center" wrapText="1"/>
    </xf>
    <xf numFmtId="0" fontId="47" fillId="36" borderId="1" xfId="9" applyFont="1" applyFill="1" applyBorder="1" applyAlignment="1" applyProtection="1">
      <alignment vertical="center" wrapText="1"/>
    </xf>
    <xf numFmtId="0" fontId="47" fillId="36" borderId="1" xfId="9" applyFont="1" applyFill="1" applyBorder="1" applyAlignment="1" applyProtection="1">
      <alignment horizontal="center" vertical="center" wrapText="1"/>
    </xf>
    <xf numFmtId="0" fontId="40" fillId="36" borderId="1" xfId="8" applyFont="1" applyFill="1" applyBorder="1" applyAlignment="1" applyProtection="1">
      <alignment horizontal="left" vertical="center" wrapText="1"/>
    </xf>
    <xf numFmtId="0" fontId="14" fillId="0" borderId="1" xfId="8" applyFont="1" applyFill="1" applyBorder="1" applyAlignment="1" applyProtection="1">
      <alignment vertical="center" wrapText="1"/>
    </xf>
    <xf numFmtId="0" fontId="43" fillId="0" borderId="1" xfId="9" applyFont="1" applyFill="1" applyBorder="1" applyAlignment="1" applyProtection="1">
      <alignment horizontal="left" vertical="center" wrapText="1"/>
    </xf>
    <xf numFmtId="49" fontId="14" fillId="0" borderId="1" xfId="4" applyNumberFormat="1" applyFont="1" applyFill="1" applyBorder="1" applyAlignment="1" applyProtection="1">
      <alignment horizontal="left" vertical="center" wrapText="1"/>
    </xf>
    <xf numFmtId="0" fontId="47" fillId="0" borderId="1" xfId="9" applyFont="1" applyFill="1" applyBorder="1" applyAlignment="1" applyProtection="1">
      <alignment vertical="center" wrapText="1"/>
    </xf>
    <xf numFmtId="1" fontId="39" fillId="0" borderId="1" xfId="4" applyNumberFormat="1" applyFont="1" applyFill="1" applyBorder="1" applyAlignment="1" applyProtection="1">
      <alignment horizontal="center" vertical="center" wrapText="1"/>
    </xf>
    <xf numFmtId="0" fontId="47" fillId="36" borderId="1" xfId="38" applyFont="1" applyFill="1" applyBorder="1" applyAlignment="1" applyProtection="1">
      <alignment horizontal="center" vertical="center" wrapText="1"/>
    </xf>
    <xf numFmtId="43" fontId="40" fillId="36" borderId="1" xfId="1" applyFont="1" applyFill="1" applyBorder="1" applyAlignment="1" applyProtection="1">
      <alignment vertical="center" wrapText="1"/>
    </xf>
    <xf numFmtId="0" fontId="40" fillId="10" borderId="1" xfId="8" applyFont="1" applyFill="1" applyBorder="1" applyAlignment="1" applyProtection="1">
      <alignment horizontal="center" vertical="center"/>
    </xf>
    <xf numFmtId="0" fontId="45" fillId="0" borderId="1" xfId="8" applyFont="1" applyFill="1" applyBorder="1" applyAlignment="1" applyProtection="1">
      <alignment vertical="center" wrapText="1"/>
    </xf>
    <xf numFmtId="49" fontId="14" fillId="0" borderId="1" xfId="4" applyNumberFormat="1" applyFont="1" applyBorder="1" applyAlignment="1" applyProtection="1">
      <alignment horizontal="left" vertical="center" wrapText="1"/>
    </xf>
    <xf numFmtId="0" fontId="40" fillId="0" borderId="1" xfId="9" applyFont="1" applyFill="1" applyBorder="1" applyAlignment="1" applyProtection="1">
      <alignment horizontal="center" vertical="center" wrapText="1"/>
    </xf>
    <xf numFmtId="0" fontId="14" fillId="0" borderId="0" xfId="8" applyFont="1" applyFill="1" applyAlignment="1" applyProtection="1">
      <alignment horizontal="left" vertical="center"/>
    </xf>
    <xf numFmtId="43" fontId="14" fillId="0" borderId="0" xfId="1" applyFont="1" applyAlignment="1" applyProtection="1">
      <alignment vertical="center"/>
    </xf>
    <xf numFmtId="43" fontId="14" fillId="0" borderId="1" xfId="1" applyFont="1" applyFill="1" applyBorder="1" applyAlignment="1" applyProtection="1">
      <alignment vertical="center" wrapText="1"/>
      <protection locked="0"/>
    </xf>
    <xf numFmtId="43" fontId="14" fillId="0" borderId="1" xfId="1" applyFont="1" applyBorder="1" applyAlignment="1" applyProtection="1">
      <alignment horizontal="right" vertical="center" wrapText="1"/>
      <protection locked="0"/>
    </xf>
    <xf numFmtId="43" fontId="14" fillId="0" borderId="1" xfId="1" applyFont="1" applyBorder="1" applyAlignment="1" applyProtection="1">
      <alignment vertical="center" wrapText="1"/>
      <protection locked="0"/>
    </xf>
    <xf numFmtId="43" fontId="40" fillId="0" borderId="1" xfId="1" applyFont="1" applyBorder="1" applyAlignment="1" applyProtection="1">
      <alignment horizontal="right" vertical="center" wrapText="1"/>
      <protection locked="0"/>
    </xf>
    <xf numFmtId="43" fontId="40" fillId="0" borderId="1" xfId="1" applyFont="1" applyBorder="1" applyAlignment="1" applyProtection="1">
      <alignment vertical="center" wrapText="1"/>
      <protection locked="0"/>
    </xf>
    <xf numFmtId="43" fontId="40" fillId="2" borderId="1" xfId="1" applyFont="1" applyFill="1" applyBorder="1" applyAlignment="1" applyProtection="1">
      <alignment vertical="center" wrapText="1"/>
      <protection locked="0"/>
    </xf>
    <xf numFmtId="43" fontId="40" fillId="36" borderId="1" xfId="1" applyFont="1" applyFill="1" applyBorder="1" applyAlignment="1" applyProtection="1">
      <alignment horizontal="right" vertical="center" wrapText="1"/>
      <protection locked="0"/>
    </xf>
    <xf numFmtId="43" fontId="40" fillId="36" borderId="1" xfId="1" applyFont="1" applyFill="1" applyBorder="1" applyAlignment="1" applyProtection="1">
      <alignment vertical="center" wrapText="1"/>
      <protection locked="0"/>
    </xf>
    <xf numFmtId="43" fontId="40" fillId="0" borderId="1" xfId="1" applyFont="1" applyFill="1" applyBorder="1" applyAlignment="1" applyProtection="1">
      <alignment vertical="center" wrapText="1"/>
      <protection locked="0"/>
    </xf>
    <xf numFmtId="0" fontId="43" fillId="0" borderId="1" xfId="38" applyFont="1" applyBorder="1" applyAlignment="1" applyProtection="1">
      <alignment horizontal="left" vertical="center" wrapText="1"/>
    </xf>
    <xf numFmtId="0" fontId="14" fillId="0" borderId="0" xfId="62" applyFont="1" applyAlignment="1" applyProtection="1">
      <alignment horizontal="right" vertical="center" wrapText="1"/>
    </xf>
    <xf numFmtId="0" fontId="14" fillId="0" borderId="0" xfId="62" applyFont="1" applyFill="1" applyAlignment="1" applyProtection="1">
      <alignment horizontal="right" vertical="center" wrapText="1"/>
    </xf>
    <xf numFmtId="0" fontId="44" fillId="39" borderId="1" xfId="3" applyFont="1" applyFill="1" applyBorder="1" applyAlignment="1" applyProtection="1">
      <alignment horizontal="left" wrapText="1"/>
    </xf>
    <xf numFmtId="0" fontId="14" fillId="0" borderId="0" xfId="62" applyFont="1" applyFill="1" applyAlignment="1" applyProtection="1">
      <alignment horizontal="center" vertical="center" wrapText="1"/>
    </xf>
    <xf numFmtId="0" fontId="38" fillId="7" borderId="1" xfId="11" applyFont="1" applyFill="1" applyBorder="1" applyAlignment="1" applyProtection="1">
      <alignment horizontal="center" vertical="center" wrapText="1"/>
    </xf>
    <xf numFmtId="0" fontId="38" fillId="7" borderId="1" xfId="11" applyFont="1" applyFill="1" applyBorder="1" applyAlignment="1" applyProtection="1">
      <alignment horizontal="right" vertical="center" wrapText="1"/>
    </xf>
    <xf numFmtId="0" fontId="14" fillId="0" borderId="0" xfId="11" applyFont="1" applyAlignment="1" applyProtection="1">
      <alignment horizontal="right" vertical="center" wrapText="1"/>
    </xf>
    <xf numFmtId="0" fontId="40" fillId="36" borderId="1" xfId="62" applyFont="1" applyFill="1" applyBorder="1" applyAlignment="1" applyProtection="1">
      <alignment horizontal="left" vertical="center" wrapText="1"/>
    </xf>
    <xf numFmtId="0" fontId="40" fillId="36" borderId="1" xfId="62" applyFont="1" applyFill="1" applyBorder="1" applyAlignment="1" applyProtection="1">
      <alignment horizontal="center" vertical="center" wrapText="1"/>
    </xf>
    <xf numFmtId="0" fontId="40" fillId="36" borderId="1" xfId="62" applyFont="1" applyFill="1" applyBorder="1" applyAlignment="1" applyProtection="1">
      <alignment horizontal="right" vertical="center" wrapText="1"/>
    </xf>
    <xf numFmtId="0" fontId="45" fillId="36" borderId="1" xfId="62" applyFont="1" applyFill="1" applyBorder="1" applyAlignment="1" applyProtection="1">
      <alignment horizontal="right" vertical="center" wrapText="1"/>
    </xf>
    <xf numFmtId="0" fontId="40" fillId="0" borderId="0" xfId="62" applyFont="1" applyAlignment="1" applyProtection="1">
      <alignment horizontal="right" vertical="center" wrapText="1"/>
    </xf>
    <xf numFmtId="0" fontId="14" fillId="0" borderId="1" xfId="62" applyFont="1" applyFill="1" applyBorder="1" applyAlignment="1" applyProtection="1">
      <alignment horizontal="left" vertical="center" wrapText="1"/>
    </xf>
    <xf numFmtId="0" fontId="14" fillId="0" borderId="1" xfId="62" applyFont="1" applyBorder="1" applyAlignment="1" applyProtection="1">
      <alignment horizontal="left" vertical="center" wrapText="1"/>
    </xf>
    <xf numFmtId="0" fontId="45" fillId="29" borderId="1" xfId="4" applyFont="1" applyFill="1" applyBorder="1" applyAlignment="1" applyProtection="1">
      <alignment horizontal="center" vertical="center" wrapText="1"/>
    </xf>
    <xf numFmtId="0" fontId="14" fillId="0" borderId="1" xfId="62" applyFont="1" applyBorder="1" applyAlignment="1" applyProtection="1">
      <alignment horizontal="center" vertical="center" wrapText="1"/>
    </xf>
    <xf numFmtId="0" fontId="14" fillId="0" borderId="0" xfId="62" applyFont="1" applyAlignment="1" applyProtection="1">
      <alignment horizontal="left" vertical="center" wrapText="1"/>
    </xf>
    <xf numFmtId="0" fontId="14" fillId="0" borderId="0" xfId="62" applyFont="1" applyAlignment="1" applyProtection="1">
      <alignment horizontal="center" vertical="center" wrapText="1"/>
    </xf>
    <xf numFmtId="0" fontId="43" fillId="0" borderId="0" xfId="62" applyFont="1" applyAlignment="1" applyProtection="1">
      <alignment horizontal="right" vertical="center" wrapText="1"/>
    </xf>
    <xf numFmtId="43" fontId="14" fillId="0" borderId="0" xfId="1" applyFont="1" applyAlignment="1" applyProtection="1">
      <alignment horizontal="right" vertical="center" wrapText="1"/>
    </xf>
    <xf numFmtId="0" fontId="14" fillId="0" borderId="1" xfId="62" applyFont="1" applyBorder="1" applyAlignment="1" applyProtection="1">
      <alignment horizontal="right" vertical="center" wrapText="1"/>
      <protection locked="0"/>
    </xf>
    <xf numFmtId="0" fontId="40" fillId="36" borderId="1" xfId="62" applyFont="1" applyFill="1" applyBorder="1" applyAlignment="1" applyProtection="1">
      <alignment horizontal="right" vertical="center" wrapText="1"/>
      <protection locked="0"/>
    </xf>
    <xf numFmtId="0" fontId="45" fillId="36" borderId="1" xfId="62" applyFont="1" applyFill="1" applyBorder="1" applyAlignment="1" applyProtection="1">
      <alignment horizontal="right" vertical="center" wrapText="1"/>
      <protection locked="0"/>
    </xf>
    <xf numFmtId="0" fontId="14" fillId="0" borderId="1" xfId="62" applyFont="1" applyBorder="1" applyAlignment="1" applyProtection="1">
      <alignment horizontal="left" vertical="center" wrapText="1"/>
      <protection locked="0"/>
    </xf>
    <xf numFmtId="0" fontId="40" fillId="36" borderId="1" xfId="62" applyFont="1" applyFill="1" applyBorder="1" applyAlignment="1" applyProtection="1">
      <alignment horizontal="left" vertical="center" wrapText="1"/>
      <protection locked="0"/>
    </xf>
    <xf numFmtId="0" fontId="45" fillId="5" borderId="13" xfId="38" applyFont="1" applyFill="1" applyBorder="1" applyAlignment="1" applyProtection="1">
      <alignment horizontal="center" vertical="center" wrapText="1"/>
    </xf>
    <xf numFmtId="0" fontId="14" fillId="0" borderId="0" xfId="62" applyFont="1" applyAlignment="1" applyProtection="1">
      <alignment vertical="center" wrapText="1"/>
    </xf>
    <xf numFmtId="0" fontId="14" fillId="0" borderId="0" xfId="62" applyFont="1" applyFill="1" applyAlignment="1" applyProtection="1">
      <alignment vertical="center" wrapText="1"/>
    </xf>
    <xf numFmtId="0" fontId="44" fillId="39" borderId="1" xfId="3" applyFont="1" applyFill="1" applyBorder="1" applyAlignment="1" applyProtection="1">
      <alignment wrapText="1"/>
    </xf>
    <xf numFmtId="0" fontId="14" fillId="0" borderId="1" xfId="62" applyFont="1" applyFill="1" applyBorder="1" applyAlignment="1" applyProtection="1">
      <alignment vertical="center" wrapText="1"/>
    </xf>
    <xf numFmtId="2" fontId="38" fillId="7" borderId="1" xfId="11" applyNumberFormat="1" applyFont="1" applyFill="1" applyBorder="1" applyAlignment="1" applyProtection="1">
      <alignment horizontal="left" vertical="center" wrapText="1"/>
    </xf>
    <xf numFmtId="0" fontId="40" fillId="36" borderId="1" xfId="82" applyFont="1" applyFill="1" applyBorder="1" applyAlignment="1" applyProtection="1">
      <alignment horizontal="center" vertical="center" wrapText="1"/>
    </xf>
    <xf numFmtId="0" fontId="14" fillId="36" borderId="1" xfId="82" applyFont="1" applyFill="1" applyBorder="1" applyAlignment="1" applyProtection="1">
      <alignment horizontal="center" vertical="center" wrapText="1"/>
    </xf>
    <xf numFmtId="0" fontId="40" fillId="36" borderId="1" xfId="82" applyFont="1" applyFill="1" applyBorder="1" applyAlignment="1" applyProtection="1">
      <alignment vertical="center" wrapText="1"/>
    </xf>
    <xf numFmtId="0" fontId="14" fillId="36" borderId="1" xfId="82" applyFont="1" applyFill="1" applyBorder="1" applyAlignment="1" applyProtection="1">
      <alignment vertical="center" wrapText="1"/>
    </xf>
    <xf numFmtId="0" fontId="43" fillId="36" borderId="1" xfId="82" applyFont="1" applyFill="1" applyBorder="1" applyAlignment="1" applyProtection="1">
      <alignment vertical="center" wrapText="1"/>
    </xf>
    <xf numFmtId="2" fontId="14" fillId="36" borderId="1" xfId="82" applyNumberFormat="1" applyFont="1" applyFill="1" applyBorder="1" applyAlignment="1" applyProtection="1">
      <alignment vertical="center" wrapText="1"/>
    </xf>
    <xf numFmtId="2" fontId="40" fillId="36" borderId="1" xfId="82" applyNumberFormat="1" applyFont="1" applyFill="1" applyBorder="1" applyAlignment="1" applyProtection="1">
      <alignment vertical="center" wrapText="1"/>
    </xf>
    <xf numFmtId="0" fontId="14" fillId="36" borderId="1" xfId="82" applyFont="1" applyFill="1" applyBorder="1" applyAlignment="1" applyProtection="1">
      <alignment horizontal="left" vertical="center" wrapText="1"/>
    </xf>
    <xf numFmtId="0" fontId="14" fillId="0" borderId="0" xfId="82" applyFont="1" applyAlignment="1" applyProtection="1">
      <alignment vertical="center" wrapText="1"/>
    </xf>
    <xf numFmtId="0" fontId="14" fillId="0" borderId="1" xfId="82" applyFont="1" applyFill="1" applyBorder="1" applyAlignment="1" applyProtection="1">
      <alignment horizontal="center" vertical="center" wrapText="1"/>
    </xf>
    <xf numFmtId="0" fontId="14" fillId="0" borderId="1" xfId="82" applyFont="1" applyBorder="1" applyAlignment="1" applyProtection="1">
      <alignment horizontal="center" vertical="center" wrapText="1"/>
    </xf>
    <xf numFmtId="0" fontId="14" fillId="0" borderId="1" xfId="82" applyFont="1" applyBorder="1" applyAlignment="1" applyProtection="1">
      <alignment vertical="center" wrapText="1"/>
    </xf>
    <xf numFmtId="0" fontId="40" fillId="29" borderId="1" xfId="4" applyFont="1" applyFill="1" applyBorder="1" applyAlignment="1" applyProtection="1">
      <alignment horizontal="center" vertical="center" wrapText="1"/>
    </xf>
    <xf numFmtId="0" fontId="14" fillId="0" borderId="1" xfId="82" applyFont="1" applyBorder="1" applyAlignment="1" applyProtection="1">
      <alignment horizontal="center" vertical="center"/>
    </xf>
    <xf numFmtId="2" fontId="14" fillId="0" borderId="1" xfId="82" applyNumberFormat="1" applyFont="1" applyBorder="1" applyAlignment="1" applyProtection="1">
      <alignment vertical="center" wrapText="1"/>
    </xf>
    <xf numFmtId="0" fontId="14" fillId="0" borderId="1" xfId="82" applyFont="1" applyBorder="1" applyAlignment="1" applyProtection="1">
      <alignment horizontal="left" vertical="center" wrapText="1"/>
    </xf>
    <xf numFmtId="0" fontId="40" fillId="10" borderId="1" xfId="82" applyFont="1" applyFill="1" applyBorder="1" applyAlignment="1" applyProtection="1">
      <alignment horizontal="center" vertical="center" wrapText="1"/>
    </xf>
    <xf numFmtId="0" fontId="40" fillId="28" borderId="1" xfId="82" applyFont="1" applyFill="1" applyBorder="1" applyAlignment="1" applyProtection="1">
      <alignment horizontal="center" vertical="center" wrapText="1"/>
    </xf>
    <xf numFmtId="0" fontId="14" fillId="0" borderId="0" xfId="82" applyFont="1" applyAlignment="1" applyProtection="1">
      <alignment horizontal="center" vertical="center" wrapText="1"/>
    </xf>
    <xf numFmtId="0" fontId="40" fillId="0" borderId="0" xfId="82" applyFont="1" applyAlignment="1" applyProtection="1">
      <alignment vertical="center" wrapText="1"/>
    </xf>
    <xf numFmtId="0" fontId="43" fillId="0" borderId="0" xfId="82" applyFont="1" applyAlignment="1" applyProtection="1">
      <alignment vertical="center" wrapText="1"/>
    </xf>
    <xf numFmtId="2" fontId="14" fillId="0" borderId="0" xfId="82" applyNumberFormat="1" applyFont="1" applyAlignment="1" applyProtection="1">
      <alignment vertical="center" wrapText="1"/>
    </xf>
    <xf numFmtId="0" fontId="14" fillId="0" borderId="0" xfId="82" applyFont="1" applyAlignment="1" applyProtection="1">
      <alignment horizontal="left" vertical="center" wrapText="1"/>
    </xf>
    <xf numFmtId="0" fontId="43" fillId="0" borderId="1" xfId="82" applyFont="1" applyBorder="1" applyAlignment="1" applyProtection="1">
      <alignment vertical="center" wrapText="1"/>
      <protection locked="0"/>
    </xf>
    <xf numFmtId="2" fontId="14" fillId="0" borderId="1" xfId="82" applyNumberFormat="1" applyFont="1" applyBorder="1" applyAlignment="1" applyProtection="1">
      <alignment vertical="center" wrapText="1"/>
      <protection locked="0"/>
    </xf>
    <xf numFmtId="0" fontId="14" fillId="36" borderId="1" xfId="82" applyFont="1" applyFill="1" applyBorder="1" applyAlignment="1" applyProtection="1">
      <alignment vertical="center" wrapText="1"/>
      <protection locked="0"/>
    </xf>
    <xf numFmtId="0" fontId="43" fillId="36" borderId="1" xfId="82" applyFont="1" applyFill="1" applyBorder="1" applyAlignment="1" applyProtection="1">
      <alignment vertical="center" wrapText="1"/>
      <protection locked="0"/>
    </xf>
    <xf numFmtId="2" fontId="14" fillId="36" borderId="1" xfId="82" applyNumberFormat="1" applyFont="1" applyFill="1" applyBorder="1" applyAlignment="1" applyProtection="1">
      <alignment vertical="center" wrapText="1"/>
      <protection locked="0"/>
    </xf>
    <xf numFmtId="0" fontId="14" fillId="0" borderId="1" xfId="82" applyFont="1" applyBorder="1" applyAlignment="1" applyProtection="1">
      <alignment horizontal="left" vertical="center" wrapText="1"/>
      <protection locked="0"/>
    </xf>
    <xf numFmtId="0" fontId="14" fillId="36" borderId="1" xfId="82" applyFont="1" applyFill="1" applyBorder="1" applyAlignment="1" applyProtection="1">
      <alignment horizontal="left" vertical="center" wrapText="1"/>
      <protection locked="0"/>
    </xf>
    <xf numFmtId="43" fontId="45" fillId="5" borderId="13" xfId="1" applyFont="1" applyFill="1" applyBorder="1" applyAlignment="1" applyProtection="1">
      <alignment horizontal="center" vertical="center" wrapText="1"/>
    </xf>
    <xf numFmtId="0" fontId="57" fillId="0" borderId="1" xfId="0" applyFont="1" applyBorder="1" applyAlignment="1" applyProtection="1">
      <alignment wrapText="1"/>
    </xf>
    <xf numFmtId="0" fontId="12" fillId="0" borderId="1" xfId="11" applyFont="1" applyFill="1" applyBorder="1" applyAlignment="1" applyProtection="1">
      <alignment horizontal="center" vertical="center" wrapText="1"/>
    </xf>
    <xf numFmtId="0" fontId="40" fillId="0" borderId="1" xfId="8" applyFont="1" applyBorder="1" applyAlignment="1" applyProtection="1">
      <alignment horizontal="left" vertical="center"/>
    </xf>
    <xf numFmtId="0" fontId="40" fillId="2" borderId="1" xfId="11" applyFont="1" applyFill="1" applyBorder="1" applyAlignment="1" applyProtection="1">
      <alignment horizontal="left" vertical="center" wrapText="1"/>
    </xf>
    <xf numFmtId="0" fontId="40" fillId="2" borderId="1" xfId="11" applyFont="1" applyFill="1" applyBorder="1" applyAlignment="1" applyProtection="1">
      <alignment horizontal="center" vertical="center" wrapText="1"/>
    </xf>
    <xf numFmtId="0" fontId="12" fillId="0" borderId="1" xfId="11" applyFont="1" applyFill="1" applyBorder="1" applyAlignment="1" applyProtection="1">
      <alignment horizontal="left" vertical="center" wrapText="1"/>
    </xf>
    <xf numFmtId="0" fontId="43" fillId="0" borderId="0" xfId="0" applyFont="1" applyAlignment="1" applyProtection="1">
      <alignment horizontal="left" vertical="center"/>
    </xf>
    <xf numFmtId="43" fontId="43" fillId="0" borderId="1" xfId="1" applyFont="1" applyBorder="1" applyAlignment="1" applyProtection="1">
      <alignment horizontal="left" vertical="center"/>
      <protection locked="0"/>
    </xf>
    <xf numFmtId="0" fontId="38" fillId="0" borderId="1" xfId="8" applyFont="1" applyFill="1" applyBorder="1" applyAlignment="1" applyProtection="1">
      <alignment horizontal="left" vertical="center" wrapText="1"/>
    </xf>
    <xf numFmtId="2" fontId="40" fillId="0" borderId="5" xfId="8" applyNumberFormat="1" applyFont="1" applyFill="1" applyBorder="1" applyAlignment="1" applyProtection="1">
      <alignment horizontal="left" vertical="center" wrapText="1"/>
    </xf>
    <xf numFmtId="2" fontId="40" fillId="0" borderId="6" xfId="8" applyNumberFormat="1" applyFont="1" applyFill="1" applyBorder="1" applyAlignment="1" applyProtection="1">
      <alignment horizontal="left" vertical="center" wrapText="1"/>
    </xf>
    <xf numFmtId="2" fontId="40" fillId="0" borderId="6" xfId="8" applyNumberFormat="1" applyFont="1" applyFill="1" applyBorder="1" applyAlignment="1" applyProtection="1">
      <alignment horizontal="right" vertical="center" wrapText="1"/>
    </xf>
    <xf numFmtId="2" fontId="38" fillId="7" borderId="1" xfId="38" applyNumberFormat="1" applyFont="1" applyFill="1" applyBorder="1" applyAlignment="1" applyProtection="1">
      <alignment horizontal="right" vertical="center" wrapText="1"/>
    </xf>
    <xf numFmtId="2" fontId="40" fillId="2" borderId="1" xfId="38" applyNumberFormat="1" applyFont="1" applyFill="1" applyBorder="1" applyAlignment="1" applyProtection="1">
      <alignment horizontal="right" vertical="center" wrapText="1"/>
    </xf>
    <xf numFmtId="2" fontId="43" fillId="0" borderId="1" xfId="8" applyNumberFormat="1" applyFont="1" applyBorder="1" applyAlignment="1" applyProtection="1">
      <alignment horizontal="right" vertical="center" wrapText="1"/>
    </xf>
    <xf numFmtId="0" fontId="11" fillId="2" borderId="1" xfId="38" applyFont="1" applyFill="1" applyBorder="1" applyAlignment="1" applyProtection="1">
      <alignment horizontal="left" vertical="center" wrapText="1"/>
    </xf>
    <xf numFmtId="2" fontId="45" fillId="0" borderId="1" xfId="8" applyNumberFormat="1" applyFont="1" applyFill="1" applyBorder="1" applyAlignment="1" applyProtection="1">
      <alignment horizontal="right" vertical="center" wrapText="1"/>
    </xf>
    <xf numFmtId="0" fontId="45" fillId="27" borderId="1" xfId="0" applyFont="1" applyFill="1" applyBorder="1" applyAlignment="1" applyProtection="1">
      <alignment horizontal="left" vertical="center" wrapText="1"/>
    </xf>
    <xf numFmtId="0" fontId="45" fillId="27" borderId="1" xfId="4" applyFont="1" applyFill="1" applyBorder="1" applyAlignment="1" applyProtection="1">
      <alignment vertical="center" wrapText="1"/>
    </xf>
    <xf numFmtId="2" fontId="45" fillId="27" borderId="1" xfId="8" applyNumberFormat="1" applyFont="1" applyFill="1" applyBorder="1" applyAlignment="1" applyProtection="1">
      <alignment horizontal="right" vertical="center" wrapText="1"/>
    </xf>
    <xf numFmtId="2" fontId="45" fillId="0" borderId="1" xfId="8" applyNumberFormat="1" applyFont="1" applyBorder="1" applyAlignment="1" applyProtection="1">
      <alignment horizontal="right" vertical="center" wrapText="1"/>
    </xf>
    <xf numFmtId="0" fontId="45"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2" fontId="45" fillId="3" borderId="1" xfId="8" applyNumberFormat="1" applyFont="1" applyFill="1" applyBorder="1" applyAlignment="1" applyProtection="1">
      <alignment horizontal="right" vertical="center" wrapText="1"/>
    </xf>
    <xf numFmtId="0" fontId="45" fillId="2" borderId="1" xfId="8" applyFont="1" applyFill="1" applyBorder="1" applyAlignment="1" applyProtection="1">
      <alignment horizontal="center" vertical="center" wrapText="1"/>
    </xf>
    <xf numFmtId="2" fontId="45" fillId="4" borderId="1" xfId="8" applyNumberFormat="1" applyFont="1" applyFill="1" applyBorder="1" applyAlignment="1" applyProtection="1">
      <alignment vertical="center" wrapText="1"/>
    </xf>
    <xf numFmtId="0" fontId="45" fillId="19" borderId="1" xfId="0" applyFont="1" applyFill="1" applyBorder="1" applyAlignment="1" applyProtection="1">
      <alignment horizontal="left" vertical="center" wrapText="1"/>
    </xf>
    <xf numFmtId="0" fontId="40" fillId="19" borderId="1" xfId="50" applyFont="1" applyFill="1" applyBorder="1" applyAlignment="1" applyProtection="1">
      <alignment vertical="center" wrapText="1"/>
    </xf>
    <xf numFmtId="2" fontId="45" fillId="19" borderId="1" xfId="8" applyNumberFormat="1" applyFont="1" applyFill="1" applyBorder="1" applyAlignment="1" applyProtection="1">
      <alignment horizontal="right" vertical="center" wrapText="1"/>
    </xf>
    <xf numFmtId="0" fontId="47" fillId="2" borderId="1" xfId="0" applyFont="1" applyFill="1" applyBorder="1" applyAlignment="1" applyProtection="1">
      <alignment horizontal="center" vertical="center" wrapText="1"/>
      <protection locked="0"/>
    </xf>
    <xf numFmtId="0" fontId="45" fillId="2" borderId="1" xfId="8" applyFont="1" applyFill="1" applyBorder="1" applyAlignment="1" applyProtection="1">
      <alignment vertical="center" wrapText="1"/>
      <protection locked="0"/>
    </xf>
    <xf numFmtId="0" fontId="43" fillId="14" borderId="1" xfId="8" applyFont="1" applyFill="1" applyBorder="1" applyAlignment="1" applyProtection="1">
      <alignment vertical="center" wrapText="1"/>
      <protection locked="0"/>
    </xf>
    <xf numFmtId="0" fontId="41" fillId="0" borderId="1" xfId="0" applyFont="1" applyFill="1" applyBorder="1" applyAlignment="1" applyProtection="1">
      <alignment horizontal="left" vertical="center" wrapText="1"/>
      <protection locked="0"/>
    </xf>
    <xf numFmtId="2" fontId="45" fillId="27" borderId="1" xfId="8" applyNumberFormat="1" applyFont="1" applyFill="1" applyBorder="1" applyAlignment="1" applyProtection="1">
      <alignment horizontal="right" vertical="center" wrapText="1"/>
      <protection locked="0"/>
    </xf>
    <xf numFmtId="2" fontId="45" fillId="3" borderId="1" xfId="8" applyNumberFormat="1" applyFont="1" applyFill="1" applyBorder="1" applyAlignment="1" applyProtection="1">
      <alignment horizontal="right" vertical="center" wrapText="1"/>
      <protection locked="0"/>
    </xf>
    <xf numFmtId="0" fontId="39" fillId="14" borderId="1" xfId="0" applyFont="1" applyFill="1" applyBorder="1" applyAlignment="1" applyProtection="1">
      <alignment horizontal="left" vertical="center" wrapText="1"/>
      <protection locked="0"/>
    </xf>
    <xf numFmtId="0" fontId="41" fillId="14" borderId="1" xfId="0" applyFont="1" applyFill="1" applyBorder="1" applyAlignment="1" applyProtection="1">
      <alignment horizontal="left" vertical="center" wrapText="1"/>
      <protection locked="0"/>
    </xf>
    <xf numFmtId="2" fontId="43" fillId="14" borderId="1" xfId="8" applyNumberFormat="1" applyFont="1" applyFill="1" applyBorder="1" applyAlignment="1" applyProtection="1">
      <alignment horizontal="right" vertical="center" wrapText="1"/>
      <protection locked="0"/>
    </xf>
    <xf numFmtId="2" fontId="45" fillId="19" borderId="1" xfId="8" applyNumberFormat="1" applyFont="1" applyFill="1" applyBorder="1" applyAlignment="1" applyProtection="1">
      <alignment horizontal="right" vertical="center" wrapText="1"/>
      <protection locked="0"/>
    </xf>
    <xf numFmtId="0" fontId="43" fillId="14" borderId="1" xfId="0" applyFont="1" applyFill="1" applyBorder="1" applyAlignment="1" applyProtection="1">
      <alignment horizontal="left" vertical="center" wrapText="1"/>
      <protection locked="0"/>
    </xf>
    <xf numFmtId="43" fontId="38" fillId="0" borderId="1" xfId="1" applyFont="1" applyFill="1" applyBorder="1" applyAlignment="1" applyProtection="1">
      <alignment horizontal="left" vertical="center" wrapText="1"/>
    </xf>
    <xf numFmtId="0" fontId="38" fillId="0" borderId="2" xfId="8" applyFont="1" applyFill="1" applyBorder="1" applyAlignment="1" applyProtection="1">
      <alignment horizontal="left" vertical="center" wrapText="1"/>
    </xf>
    <xf numFmtId="0" fontId="38" fillId="0" borderId="5" xfId="8" applyFont="1" applyFill="1" applyBorder="1" applyAlignment="1" applyProtection="1">
      <alignment horizontal="left" vertical="center" wrapText="1"/>
    </xf>
    <xf numFmtId="43" fontId="38" fillId="0" borderId="2" xfId="1" applyFont="1" applyFill="1" applyBorder="1" applyAlignment="1" applyProtection="1">
      <alignment horizontal="left" vertical="center" wrapText="1"/>
    </xf>
    <xf numFmtId="2" fontId="45" fillId="4" borderId="1" xfId="8" applyNumberFormat="1" applyFont="1" applyFill="1" applyBorder="1" applyAlignment="1" applyProtection="1">
      <alignment vertical="center" wrapText="1"/>
      <protection locked="0"/>
    </xf>
    <xf numFmtId="43" fontId="45" fillId="27" borderId="1" xfId="1" applyFont="1" applyFill="1" applyBorder="1" applyAlignment="1" applyProtection="1">
      <alignment horizontal="right" vertical="center" wrapText="1"/>
      <protection locked="0"/>
    </xf>
    <xf numFmtId="43" fontId="45" fillId="3" borderId="1" xfId="1" applyFont="1" applyFill="1" applyBorder="1" applyAlignment="1" applyProtection="1">
      <alignment horizontal="right" vertical="center" wrapText="1"/>
      <protection locked="0"/>
    </xf>
    <xf numFmtId="43" fontId="43" fillId="14" borderId="1" xfId="1" applyFont="1" applyFill="1" applyBorder="1" applyAlignment="1" applyProtection="1">
      <alignment horizontal="right" vertical="center" wrapText="1"/>
      <protection locked="0"/>
    </xf>
    <xf numFmtId="43" fontId="45" fillId="19" borderId="1" xfId="1" applyFont="1" applyFill="1" applyBorder="1" applyAlignment="1" applyProtection="1">
      <alignment horizontal="right" vertical="center" wrapText="1"/>
      <protection locked="0"/>
    </xf>
    <xf numFmtId="0" fontId="38" fillId="0" borderId="1" xfId="0" applyFont="1" applyFill="1" applyBorder="1" applyAlignment="1" applyProtection="1">
      <alignment horizontal="center" vertical="center" wrapText="1"/>
    </xf>
    <xf numFmtId="0" fontId="45" fillId="0" borderId="0" xfId="38"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43" fontId="38" fillId="0" borderId="0" xfId="1" applyFont="1" applyFill="1" applyBorder="1" applyAlignment="1" applyProtection="1">
      <alignment horizontal="center" vertical="center" wrapText="1"/>
    </xf>
    <xf numFmtId="0" fontId="44" fillId="8" borderId="1" xfId="3" applyFont="1" applyFill="1" applyBorder="1" applyAlignment="1" applyProtection="1">
      <alignment horizontal="left" vertical="center" wrapText="1"/>
    </xf>
    <xf numFmtId="0" fontId="44" fillId="39" borderId="1" xfId="3" applyFont="1" applyFill="1" applyBorder="1" applyAlignment="1" applyProtection="1">
      <alignment vertical="center"/>
    </xf>
    <xf numFmtId="0" fontId="40" fillId="0" borderId="5" xfId="8" applyFont="1" applyFill="1" applyBorder="1" applyAlignment="1" applyProtection="1">
      <alignment horizontal="center" vertical="center"/>
    </xf>
    <xf numFmtId="43" fontId="45" fillId="0" borderId="0" xfId="1" applyFont="1" applyFill="1" applyBorder="1" applyAlignment="1" applyProtection="1">
      <alignment horizontal="center" vertical="center" wrapText="1"/>
    </xf>
    <xf numFmtId="0" fontId="44" fillId="0" borderId="13" xfId="3"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xf>
    <xf numFmtId="0" fontId="44" fillId="39" borderId="13" xfId="3" applyFont="1" applyFill="1" applyBorder="1" applyAlignment="1" applyProtection="1">
      <alignment vertical="center"/>
    </xf>
    <xf numFmtId="0" fontId="38" fillId="0" borderId="13" xfId="8" applyFont="1" applyFill="1" applyBorder="1" applyAlignment="1" applyProtection="1">
      <alignment horizontal="center" vertical="center" wrapText="1"/>
    </xf>
    <xf numFmtId="0" fontId="40" fillId="0" borderId="10" xfId="8"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5" fillId="23" borderId="1" xfId="38" applyFont="1" applyFill="1" applyBorder="1" applyAlignment="1" applyProtection="1">
      <alignment horizontal="left" vertical="center" wrapText="1"/>
    </xf>
    <xf numFmtId="0" fontId="45" fillId="23" borderId="1" xfId="38" applyFont="1" applyFill="1" applyBorder="1" applyAlignment="1" applyProtection="1">
      <alignment vertical="center" wrapText="1"/>
    </xf>
    <xf numFmtId="0" fontId="45" fillId="23" borderId="1" xfId="38" applyFont="1" applyFill="1" applyBorder="1" applyAlignment="1" applyProtection="1">
      <alignment horizontal="center" vertical="center" wrapText="1"/>
    </xf>
    <xf numFmtId="43" fontId="45" fillId="23" borderId="1" xfId="1" applyFont="1" applyFill="1" applyBorder="1" applyAlignment="1" applyProtection="1">
      <alignment horizontal="center" vertical="center" wrapText="1"/>
    </xf>
    <xf numFmtId="0" fontId="45" fillId="23" borderId="1" xfId="0" applyFont="1" applyFill="1" applyBorder="1" applyAlignment="1" applyProtection="1">
      <alignment horizontal="center" vertical="center" wrapText="1"/>
    </xf>
    <xf numFmtId="0" fontId="45" fillId="23" borderId="1" xfId="0" applyFont="1" applyFill="1" applyBorder="1" applyAlignment="1" applyProtection="1">
      <alignment horizontal="left" vertical="center" wrapText="1"/>
    </xf>
    <xf numFmtId="0" fontId="45" fillId="2" borderId="1" xfId="38" applyFont="1" applyFill="1" applyBorder="1" applyAlignment="1" applyProtection="1">
      <alignment horizontal="left" vertical="center" wrapText="1"/>
    </xf>
    <xf numFmtId="0" fontId="45" fillId="2" borderId="1" xfId="38" applyFont="1" applyFill="1" applyBorder="1" applyAlignment="1" applyProtection="1">
      <alignment vertical="center" wrapText="1"/>
    </xf>
    <xf numFmtId="0" fontId="45" fillId="2" borderId="1" xfId="38" applyFont="1" applyFill="1" applyBorder="1" applyAlignment="1" applyProtection="1">
      <alignment horizontal="center" vertical="center" wrapText="1"/>
    </xf>
    <xf numFmtId="0" fontId="43" fillId="0" borderId="1" xfId="38"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3" fillId="0" borderId="1" xfId="38" applyFont="1" applyFill="1" applyBorder="1" applyAlignment="1" applyProtection="1">
      <alignment horizontal="left" vertical="center" wrapText="1"/>
    </xf>
    <xf numFmtId="0" fontId="43" fillId="2" borderId="1" xfId="0" applyFont="1" applyFill="1" applyBorder="1" applyAlignment="1" applyProtection="1">
      <alignment horizontal="center" vertical="center" wrapText="1"/>
    </xf>
    <xf numFmtId="43" fontId="43" fillId="2" borderId="1" xfId="1"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5" fillId="2" borderId="1" xfId="11" applyFont="1" applyFill="1" applyBorder="1" applyAlignment="1" applyProtection="1">
      <alignment horizontal="left" vertical="center" wrapText="1"/>
    </xf>
    <xf numFmtId="0" fontId="45" fillId="2" borderId="1" xfId="11"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3" fontId="43" fillId="0" borderId="1" xfId="1" applyFont="1" applyFill="1" applyBorder="1" applyAlignment="1" applyProtection="1">
      <alignment horizontal="center" vertical="center" wrapText="1"/>
      <protection locked="0"/>
    </xf>
    <xf numFmtId="0" fontId="43" fillId="2" borderId="1" xfId="0" applyFont="1" applyFill="1" applyBorder="1" applyAlignment="1" applyProtection="1">
      <alignment horizontal="left" vertical="center" wrapText="1"/>
      <protection locked="0"/>
    </xf>
    <xf numFmtId="43" fontId="43" fillId="2" borderId="1" xfId="1" applyFont="1" applyFill="1" applyBorder="1" applyAlignment="1" applyProtection="1">
      <alignment horizontal="center" vertical="center" wrapText="1"/>
      <protection locked="0"/>
    </xf>
    <xf numFmtId="0" fontId="43" fillId="0" borderId="1" xfId="38" applyFont="1" applyFill="1" applyBorder="1" applyAlignment="1" applyProtection="1">
      <alignment horizontal="left" vertical="center" wrapText="1"/>
      <protection locked="0"/>
    </xf>
    <xf numFmtId="0" fontId="38" fillId="0" borderId="1" xfId="0" applyFont="1" applyFill="1" applyBorder="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5" fillId="12" borderId="1" xfId="38"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wrapText="1"/>
      <protection locked="0"/>
    </xf>
    <xf numFmtId="43" fontId="38" fillId="0" borderId="1" xfId="1" applyFont="1" applyFill="1" applyBorder="1" applyAlignment="1" applyProtection="1">
      <alignment horizontal="center" vertical="center"/>
      <protection locked="0"/>
    </xf>
    <xf numFmtId="0" fontId="38" fillId="0" borderId="1" xfId="0" applyFont="1" applyFill="1" applyBorder="1" applyAlignment="1" applyProtection="1">
      <alignment horizontal="left" vertical="center"/>
      <protection locked="0"/>
    </xf>
    <xf numFmtId="43" fontId="38" fillId="0" borderId="1" xfId="1" applyFont="1" applyFill="1" applyBorder="1" applyAlignment="1" applyProtection="1">
      <alignment vertical="center"/>
      <protection locked="0"/>
    </xf>
    <xf numFmtId="0" fontId="43" fillId="0" borderId="0" xfId="0" applyFont="1" applyFill="1" applyAlignment="1" applyProtection="1">
      <alignment wrapText="1"/>
      <protection locked="0"/>
    </xf>
    <xf numFmtId="0" fontId="38" fillId="0" borderId="0" xfId="0"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0" fontId="40" fillId="12" borderId="5" xfId="38" applyFont="1" applyFill="1" applyBorder="1" applyAlignment="1" applyProtection="1">
      <alignment horizontal="center" vertical="center" wrapText="1"/>
    </xf>
    <xf numFmtId="0" fontId="42" fillId="0" borderId="0" xfId="8" applyFont="1" applyFill="1" applyBorder="1" applyAlignment="1" applyProtection="1">
      <alignment horizontal="center" vertical="center" wrapText="1"/>
    </xf>
    <xf numFmtId="43" fontId="38" fillId="0" borderId="0" xfId="1" applyFont="1" applyFill="1" applyBorder="1" applyAlignment="1" applyProtection="1">
      <alignment horizontal="center" vertical="center"/>
    </xf>
    <xf numFmtId="43" fontId="43" fillId="0" borderId="0" xfId="1" applyFont="1" applyFill="1" applyBorder="1" applyAlignment="1" applyProtection="1">
      <alignment horizontal="center" vertical="center"/>
    </xf>
    <xf numFmtId="0" fontId="43" fillId="0" borderId="0" xfId="0" applyFont="1" applyFill="1" applyBorder="1" applyAlignment="1" applyProtection="1">
      <alignment horizontal="left" vertical="center"/>
    </xf>
    <xf numFmtId="0" fontId="44" fillId="8" borderId="1" xfId="3" applyFont="1" applyFill="1" applyBorder="1" applyAlignment="1" applyProtection="1">
      <alignment horizontal="center" vertical="center" wrapText="1"/>
    </xf>
    <xf numFmtId="0" fontId="44" fillId="0" borderId="0" xfId="3" applyFont="1" applyFill="1" applyBorder="1" applyAlignment="1" applyProtection="1">
      <alignment horizontal="center" vertical="center"/>
    </xf>
    <xf numFmtId="43" fontId="40" fillId="0" borderId="5" xfId="1" applyFont="1" applyFill="1" applyBorder="1" applyAlignment="1" applyProtection="1">
      <alignment horizontal="center" vertical="center" wrapText="1"/>
    </xf>
    <xf numFmtId="43" fontId="40" fillId="0" borderId="0" xfId="8" applyNumberFormat="1" applyFont="1" applyFill="1" applyBorder="1" applyAlignment="1" applyProtection="1">
      <alignment horizontal="center" vertical="center"/>
    </xf>
    <xf numFmtId="43" fontId="45" fillId="0" borderId="0" xfId="0" applyNumberFormat="1" applyFont="1" applyFill="1" applyBorder="1" applyAlignment="1" applyProtection="1">
      <alignment horizontal="center" vertical="center"/>
    </xf>
    <xf numFmtId="43" fontId="40" fillId="0" borderId="0" xfId="1" applyFont="1" applyFill="1" applyBorder="1" applyAlignment="1" applyProtection="1">
      <alignment horizontal="center" vertical="center"/>
    </xf>
    <xf numFmtId="0" fontId="44" fillId="0" borderId="13" xfId="3"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4" fillId="39" borderId="13" xfId="3" applyFont="1" applyFill="1" applyBorder="1" applyAlignment="1" applyProtection="1">
      <alignment horizontal="left"/>
    </xf>
    <xf numFmtId="0" fontId="44" fillId="0" borderId="14" xfId="3" applyFont="1" applyFill="1" applyBorder="1" applyAlignment="1" applyProtection="1">
      <alignment horizontal="center" vertical="center"/>
    </xf>
    <xf numFmtId="0" fontId="40" fillId="0" borderId="13" xfId="8" applyFont="1" applyBorder="1" applyAlignment="1" applyProtection="1">
      <alignment horizontal="center" vertical="center"/>
    </xf>
    <xf numFmtId="43" fontId="40" fillId="0" borderId="10" xfId="1" applyFont="1" applyFill="1" applyBorder="1" applyAlignment="1" applyProtection="1">
      <alignment horizontal="center" vertical="center" wrapText="1"/>
    </xf>
    <xf numFmtId="43" fontId="45" fillId="0" borderId="0" xfId="1" applyFont="1" applyFill="1" applyAlignment="1" applyProtection="1">
      <alignment horizontal="center" vertical="center"/>
    </xf>
    <xf numFmtId="0" fontId="43" fillId="0" borderId="0" xfId="0" applyFont="1" applyFill="1" applyAlignment="1" applyProtection="1">
      <alignment horizontal="center" vertical="center"/>
    </xf>
    <xf numFmtId="43" fontId="43" fillId="0" borderId="0" xfId="1" applyFont="1" applyFill="1" applyAlignment="1" applyProtection="1">
      <alignment horizontal="center" vertical="center"/>
    </xf>
    <xf numFmtId="0" fontId="43" fillId="0" borderId="0" xfId="0" applyFont="1" applyFill="1" applyAlignment="1" applyProtection="1">
      <alignment horizontal="left" vertical="center"/>
    </xf>
    <xf numFmtId="0" fontId="45" fillId="24" borderId="1" xfId="38" applyFont="1" applyFill="1" applyBorder="1" applyAlignment="1" applyProtection="1">
      <alignment horizontal="left" vertical="center" wrapText="1"/>
    </xf>
    <xf numFmtId="0" fontId="45" fillId="5" borderId="1" xfId="38" applyFont="1" applyFill="1" applyBorder="1" applyAlignment="1" applyProtection="1">
      <alignment horizontal="left" vertical="center" wrapText="1"/>
    </xf>
    <xf numFmtId="0" fontId="45" fillId="2" borderId="1" xfId="8" applyFont="1" applyFill="1" applyBorder="1" applyAlignment="1" applyProtection="1">
      <alignment horizontal="center" vertical="center"/>
    </xf>
    <xf numFmtId="0" fontId="45" fillId="2" borderId="1" xfId="8" applyFont="1" applyFill="1" applyBorder="1" applyAlignment="1" applyProtection="1">
      <alignment horizontal="left" vertical="center"/>
    </xf>
    <xf numFmtId="43" fontId="45" fillId="2" borderId="1" xfId="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43" fontId="43" fillId="2" borderId="1" xfId="1" applyFont="1" applyFill="1" applyBorder="1" applyAlignment="1" applyProtection="1">
      <alignment horizontal="center" vertical="center"/>
    </xf>
    <xf numFmtId="0" fontId="43" fillId="2" borderId="1" xfId="0" applyFont="1" applyFill="1" applyBorder="1" applyAlignment="1" applyProtection="1">
      <alignment horizontal="left" vertical="center"/>
    </xf>
    <xf numFmtId="43" fontId="45" fillId="3" borderId="1" xfId="1" applyFont="1" applyFill="1" applyBorder="1" applyAlignment="1" applyProtection="1">
      <alignment horizontal="left" vertical="center" wrapText="1"/>
    </xf>
    <xf numFmtId="0" fontId="45" fillId="38" borderId="1" xfId="4" applyFont="1" applyFill="1" applyBorder="1" applyAlignment="1" applyProtection="1">
      <alignment horizontal="center" vertical="center" wrapText="1"/>
    </xf>
    <xf numFmtId="0" fontId="45" fillId="38" borderId="1" xfId="4" applyFont="1" applyFill="1" applyBorder="1" applyAlignment="1" applyProtection="1">
      <alignment horizontal="left" vertical="center" wrapText="1"/>
    </xf>
    <xf numFmtId="43" fontId="45" fillId="38" borderId="1" xfId="1" applyFont="1" applyFill="1" applyBorder="1" applyAlignment="1" applyProtection="1">
      <alignment horizontal="center" vertical="center" wrapText="1"/>
    </xf>
    <xf numFmtId="0" fontId="45" fillId="38" borderId="1" xfId="0" applyFont="1" applyFill="1" applyBorder="1" applyAlignment="1" applyProtection="1">
      <alignment horizontal="center" vertical="center" wrapText="1"/>
    </xf>
    <xf numFmtId="43" fontId="43" fillId="0" borderId="1" xfId="1" applyFont="1" applyBorder="1" applyAlignment="1" applyProtection="1">
      <alignment horizontal="center" vertical="center"/>
    </xf>
    <xf numFmtId="0" fontId="45" fillId="0" borderId="0" xfId="0" applyFont="1" applyAlignment="1" applyProtection="1">
      <alignment horizontal="center" vertical="center"/>
    </xf>
    <xf numFmtId="0" fontId="45" fillId="38" borderId="1" xfId="0" applyFont="1" applyFill="1" applyBorder="1" applyAlignment="1" applyProtection="1">
      <alignment horizontal="center" vertical="center"/>
    </xf>
    <xf numFmtId="0" fontId="43" fillId="2" borderId="1" xfId="11" applyFont="1" applyFill="1" applyBorder="1" applyAlignment="1" applyProtection="1">
      <alignment horizontal="center" vertical="center" wrapText="1"/>
    </xf>
    <xf numFmtId="43" fontId="43" fillId="0" borderId="0" xfId="1" applyFont="1" applyAlignment="1" applyProtection="1">
      <alignment horizontal="center" vertical="center"/>
    </xf>
    <xf numFmtId="0" fontId="43" fillId="0" borderId="0" xfId="0" applyFont="1" applyAlignment="1" applyProtection="1">
      <alignment vertical="center"/>
    </xf>
    <xf numFmtId="0" fontId="45" fillId="38" borderId="1" xfId="0" applyFont="1" applyFill="1" applyBorder="1" applyAlignment="1" applyProtection="1">
      <alignment horizontal="left" vertical="center"/>
      <protection locked="0"/>
    </xf>
    <xf numFmtId="43" fontId="45" fillId="38" borderId="1" xfId="1" applyFont="1" applyFill="1" applyBorder="1" applyAlignment="1" applyProtection="1">
      <alignment horizontal="center" vertical="center"/>
      <protection locked="0"/>
    </xf>
    <xf numFmtId="43" fontId="45" fillId="38" borderId="1" xfId="1" applyFont="1" applyFill="1" applyBorder="1" applyAlignment="1" applyProtection="1">
      <alignment horizontal="left" vertical="center"/>
      <protection locked="0"/>
    </xf>
    <xf numFmtId="0" fontId="38" fillId="0" borderId="1" xfId="0" applyFont="1" applyFill="1" applyBorder="1" applyAlignment="1" applyProtection="1">
      <alignment horizontal="center" vertical="center"/>
    </xf>
    <xf numFmtId="43" fontId="43" fillId="0" borderId="0" xfId="1" applyFont="1" applyFill="1" applyAlignment="1" applyProtection="1">
      <alignment vertical="center"/>
    </xf>
    <xf numFmtId="0" fontId="44" fillId="39" borderId="1" xfId="3" applyFont="1" applyFill="1" applyBorder="1" applyAlignment="1" applyProtection="1">
      <alignment horizontal="left" vertical="center"/>
    </xf>
    <xf numFmtId="0" fontId="44" fillId="0" borderId="1" xfId="3" applyFont="1" applyFill="1" applyBorder="1" applyAlignment="1" applyProtection="1">
      <alignment horizontal="center" vertical="center"/>
    </xf>
    <xf numFmtId="0" fontId="38" fillId="0" borderId="0" xfId="8" applyFont="1" applyFill="1" applyBorder="1" applyAlignment="1" applyProtection="1">
      <alignment horizontal="center" vertical="center"/>
    </xf>
    <xf numFmtId="0" fontId="44" fillId="39" borderId="13" xfId="3" applyFont="1" applyFill="1" applyBorder="1" applyAlignment="1" applyProtection="1">
      <alignment horizontal="left" vertical="center"/>
    </xf>
    <xf numFmtId="0" fontId="44" fillId="0" borderId="13" xfId="3" applyFont="1" applyFill="1" applyBorder="1" applyAlignment="1" applyProtection="1">
      <alignment horizontal="center" vertical="center"/>
    </xf>
    <xf numFmtId="2" fontId="40" fillId="2" borderId="1" xfId="38" applyNumberFormat="1"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xf>
    <xf numFmtId="43" fontId="12" fillId="2" borderId="1" xfId="1"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15" fillId="0" borderId="0" xfId="0" applyFont="1" applyFill="1" applyAlignment="1" applyProtection="1">
      <alignment horizontal="center" vertical="center"/>
    </xf>
    <xf numFmtId="0" fontId="12" fillId="0" borderId="1" xfId="38" applyFont="1" applyFill="1" applyBorder="1" applyAlignment="1" applyProtection="1">
      <alignment horizontal="left" vertical="center" wrapText="1"/>
    </xf>
    <xf numFmtId="43" fontId="12" fillId="0" borderId="1" xfId="1" applyFont="1" applyFill="1" applyBorder="1" applyAlignment="1" applyProtection="1">
      <alignment horizontal="center" vertical="center" wrapText="1"/>
    </xf>
    <xf numFmtId="0" fontId="12" fillId="2" borderId="1" xfId="8" applyFont="1" applyFill="1" applyBorder="1" applyAlignment="1" applyProtection="1">
      <alignment horizontal="left" vertical="center" wrapText="1"/>
    </xf>
    <xf numFmtId="43" fontId="12" fillId="2" borderId="1" xfId="1" applyFont="1" applyFill="1" applyBorder="1" applyAlignment="1" applyProtection="1">
      <alignment vertical="center"/>
    </xf>
    <xf numFmtId="0" fontId="43" fillId="0" borderId="1" xfId="0" applyFont="1" applyBorder="1" applyAlignment="1" applyProtection="1">
      <alignment horizontal="left" vertical="center"/>
    </xf>
    <xf numFmtId="2" fontId="40" fillId="2" borderId="1" xfId="40" applyNumberFormat="1" applyFont="1" applyFill="1" applyBorder="1" applyAlignment="1" applyProtection="1">
      <alignment horizontal="center" vertical="center" wrapText="1"/>
    </xf>
    <xf numFmtId="0" fontId="12" fillId="2" borderId="1" xfId="11" applyFont="1" applyFill="1" applyBorder="1" applyAlignment="1" applyProtection="1">
      <alignment horizontal="left" vertical="center" wrapText="1"/>
    </xf>
    <xf numFmtId="43" fontId="12" fillId="0" borderId="1" xfId="1" applyFont="1" applyFill="1" applyBorder="1" applyAlignment="1" applyProtection="1">
      <alignment horizontal="left" vertical="center" wrapText="1"/>
    </xf>
    <xf numFmtId="43" fontId="43" fillId="0" borderId="0" xfId="1" applyFont="1" applyAlignment="1" applyProtection="1">
      <alignment vertical="center"/>
    </xf>
    <xf numFmtId="0" fontId="15" fillId="0" borderId="1" xfId="0" applyFont="1" applyFill="1" applyBorder="1" applyAlignment="1" applyProtection="1">
      <alignment horizontal="left" vertical="center"/>
      <protection locked="0"/>
    </xf>
    <xf numFmtId="43" fontId="15" fillId="0" borderId="1" xfId="1" applyFont="1" applyFill="1" applyBorder="1" applyAlignment="1" applyProtection="1">
      <alignment horizontal="center" vertical="center"/>
      <protection locked="0"/>
    </xf>
    <xf numFmtId="0" fontId="12" fillId="2" borderId="1" xfId="0" applyFont="1" applyFill="1" applyBorder="1" applyAlignment="1" applyProtection="1">
      <alignment horizontal="left" vertical="center"/>
      <protection locked="0"/>
    </xf>
    <xf numFmtId="43" fontId="12" fillId="2" borderId="1" xfId="1" applyFont="1" applyFill="1" applyBorder="1" applyAlignment="1" applyProtection="1">
      <alignment vertical="center"/>
      <protection locked="0"/>
    </xf>
    <xf numFmtId="43" fontId="43" fillId="0" borderId="1" xfId="1" applyFont="1" applyBorder="1" applyAlignment="1" applyProtection="1">
      <alignment vertical="center"/>
      <protection locked="0"/>
    </xf>
    <xf numFmtId="0" fontId="12" fillId="0" borderId="1" xfId="0" applyFont="1" applyFill="1" applyBorder="1" applyAlignment="1" applyProtection="1">
      <alignment horizontal="left" vertical="center"/>
      <protection locked="0"/>
    </xf>
    <xf numFmtId="43" fontId="12" fillId="0" borderId="1" xfId="1" applyFont="1" applyFill="1" applyBorder="1" applyAlignment="1" applyProtection="1">
      <alignment vertical="center"/>
      <protection locked="0"/>
    </xf>
    <xf numFmtId="0" fontId="44" fillId="0" borderId="1" xfId="3" applyFont="1" applyFill="1" applyBorder="1" applyAlignment="1" applyProtection="1">
      <alignment horizontal="center" vertical="center" wrapText="1"/>
    </xf>
    <xf numFmtId="2" fontId="40" fillId="0" borderId="1" xfId="38" applyNumberFormat="1" applyFont="1" applyFill="1" applyBorder="1" applyAlignment="1" applyProtection="1">
      <alignment horizontal="center" vertical="center" wrapText="1"/>
    </xf>
    <xf numFmtId="0" fontId="45" fillId="2" borderId="1" xfId="40" applyFont="1" applyFill="1" applyBorder="1" applyAlignment="1" applyProtection="1">
      <alignment horizontal="center" vertical="center" wrapText="1"/>
    </xf>
    <xf numFmtId="0" fontId="45" fillId="2" borderId="1" xfId="40" applyFont="1" applyFill="1" applyBorder="1" applyAlignment="1" applyProtection="1">
      <alignment horizontal="left" vertical="center" wrapText="1"/>
    </xf>
    <xf numFmtId="0" fontId="43" fillId="0" borderId="1" xfId="40" applyFont="1" applyFill="1" applyBorder="1" applyAlignment="1" applyProtection="1">
      <alignment horizontal="left" vertical="center" wrapText="1"/>
    </xf>
    <xf numFmtId="43" fontId="40" fillId="2" borderId="1" xfId="1" applyFont="1" applyFill="1" applyBorder="1" applyAlignment="1" applyProtection="1">
      <alignment horizontal="center" vertical="center"/>
    </xf>
    <xf numFmtId="0" fontId="40" fillId="2" borderId="1" xfId="0" applyFont="1" applyFill="1" applyBorder="1" applyAlignment="1" applyProtection="1">
      <alignment horizontal="left" vertical="center"/>
    </xf>
    <xf numFmtId="0" fontId="43" fillId="0" borderId="1" xfId="0" applyFont="1" applyBorder="1" applyAlignment="1" applyProtection="1">
      <alignment horizontal="center" vertical="center"/>
    </xf>
    <xf numFmtId="0" fontId="43" fillId="0" borderId="1" xfId="0" applyFont="1" applyBorder="1" applyAlignment="1" applyProtection="1">
      <alignment horizontal="center" vertical="center" wrapText="1"/>
    </xf>
    <xf numFmtId="0" fontId="43" fillId="0" borderId="1" xfId="40" applyFont="1" applyFill="1" applyBorder="1" applyAlignment="1" applyProtection="1">
      <alignment horizontal="left" vertical="center" wrapText="1"/>
      <protection locked="0"/>
    </xf>
    <xf numFmtId="43" fontId="43" fillId="0" borderId="1" xfId="1" applyFont="1" applyFill="1" applyBorder="1" applyAlignment="1" applyProtection="1">
      <alignment horizontal="center" vertical="center"/>
      <protection locked="0"/>
    </xf>
    <xf numFmtId="0" fontId="40" fillId="2" borderId="1" xfId="0" applyFont="1" applyFill="1" applyBorder="1" applyAlignment="1" applyProtection="1">
      <alignment horizontal="left" vertical="center"/>
      <protection locked="0"/>
    </xf>
    <xf numFmtId="43" fontId="40" fillId="2" borderId="1" xfId="1" applyFont="1" applyFill="1" applyBorder="1" applyAlignment="1" applyProtection="1">
      <alignment horizontal="center" vertical="center"/>
      <protection locked="0"/>
    </xf>
    <xf numFmtId="0" fontId="38" fillId="0" borderId="0" xfId="0" applyFont="1" applyFill="1" applyBorder="1" applyAlignment="1" applyProtection="1">
      <alignment horizontal="left" vertical="center"/>
    </xf>
    <xf numFmtId="0" fontId="38" fillId="0" borderId="0" xfId="8" applyFont="1" applyFill="1" applyBorder="1" applyAlignment="1" applyProtection="1">
      <alignment horizontal="left" vertical="center" wrapText="1"/>
    </xf>
    <xf numFmtId="0" fontId="40" fillId="0" borderId="13" xfId="8" applyFont="1" applyBorder="1" applyAlignment="1" applyProtection="1">
      <alignment horizontal="left" vertical="center"/>
    </xf>
    <xf numFmtId="2" fontId="40" fillId="0" borderId="13" xfId="38" applyNumberFormat="1" applyFont="1" applyFill="1" applyBorder="1" applyAlignment="1" applyProtection="1">
      <alignment horizontal="center" vertical="center" wrapText="1"/>
    </xf>
    <xf numFmtId="0" fontId="43" fillId="2" borderId="1" xfId="0" applyFont="1" applyFill="1" applyBorder="1" applyAlignment="1" applyProtection="1">
      <alignment vertical="center"/>
    </xf>
    <xf numFmtId="43" fontId="43" fillId="2" borderId="1" xfId="1" applyFont="1" applyFill="1" applyBorder="1" applyAlignment="1" applyProtection="1">
      <alignment vertical="center"/>
    </xf>
    <xf numFmtId="2" fontId="43" fillId="0" borderId="1" xfId="0" applyNumberFormat="1" applyFont="1" applyBorder="1" applyAlignment="1" applyProtection="1">
      <alignment horizontal="left" vertical="center"/>
    </xf>
    <xf numFmtId="2" fontId="43" fillId="0" borderId="1" xfId="0" applyNumberFormat="1" applyFont="1" applyBorder="1" applyAlignment="1" applyProtection="1">
      <alignment horizontal="left" vertical="center" wrapText="1"/>
    </xf>
    <xf numFmtId="1" fontId="43" fillId="0" borderId="1" xfId="0" applyNumberFormat="1" applyFont="1" applyBorder="1" applyAlignment="1" applyProtection="1">
      <alignment horizontal="left" vertical="center" wrapText="1"/>
    </xf>
    <xf numFmtId="1" fontId="43" fillId="0" borderId="1" xfId="0" applyNumberFormat="1" applyFont="1" applyBorder="1" applyAlignment="1" applyProtection="1">
      <alignment horizontal="left" vertical="center"/>
    </xf>
    <xf numFmtId="0" fontId="43" fillId="2" borderId="1" xfId="0" applyFont="1" applyFill="1" applyBorder="1" applyAlignment="1" applyProtection="1">
      <alignment vertical="center"/>
      <protection locked="0"/>
    </xf>
    <xf numFmtId="43" fontId="43" fillId="2" borderId="1" xfId="1" applyFont="1" applyFill="1" applyBorder="1" applyAlignment="1" applyProtection="1">
      <alignment vertical="center"/>
      <protection locked="0"/>
    </xf>
    <xf numFmtId="0" fontId="43" fillId="0" borderId="1" xfId="0" applyFont="1" applyFill="1" applyBorder="1" applyAlignment="1" applyProtection="1">
      <alignment vertical="center"/>
      <protection locked="0"/>
    </xf>
    <xf numFmtId="0" fontId="38" fillId="0" borderId="0" xfId="8" applyFont="1" applyFill="1" applyBorder="1" applyAlignment="1" applyProtection="1">
      <alignment horizontal="left" vertical="center"/>
    </xf>
    <xf numFmtId="0" fontId="12" fillId="2" borderId="1" xfId="40" applyFont="1" applyFill="1" applyBorder="1" applyAlignment="1" applyProtection="1">
      <alignment horizontal="center" vertical="center" wrapText="1"/>
    </xf>
    <xf numFmtId="43" fontId="12" fillId="2" borderId="1" xfId="1" applyFont="1" applyFill="1" applyBorder="1" applyAlignment="1" applyProtection="1">
      <alignment horizontal="center" vertical="center" wrapText="1"/>
    </xf>
    <xf numFmtId="0" fontId="12" fillId="2" borderId="1" xfId="40" applyFont="1" applyFill="1" applyBorder="1" applyAlignment="1" applyProtection="1">
      <alignment horizontal="left" vertical="center" wrapText="1"/>
    </xf>
    <xf numFmtId="0" fontId="12" fillId="2" borderId="1" xfId="0" applyFont="1" applyFill="1" applyBorder="1" applyAlignment="1" applyProtection="1">
      <alignment vertical="center"/>
    </xf>
    <xf numFmtId="43" fontId="12" fillId="2" borderId="1" xfId="1" applyFont="1" applyFill="1" applyBorder="1" applyAlignment="1" applyProtection="1">
      <alignment horizontal="left" vertical="center"/>
    </xf>
    <xf numFmtId="43" fontId="12" fillId="2" borderId="1" xfId="1" applyFont="1" applyFill="1" applyBorder="1" applyAlignment="1" applyProtection="1">
      <alignment horizontal="left" vertical="center"/>
      <protection locked="0"/>
    </xf>
    <xf numFmtId="0" fontId="40" fillId="12" borderId="1" xfId="38" applyFont="1" applyFill="1" applyBorder="1" applyAlignment="1" applyProtection="1">
      <alignment horizontal="left" vertical="center" wrapText="1"/>
    </xf>
    <xf numFmtId="0" fontId="43" fillId="0" borderId="0" xfId="0" applyFont="1" applyFill="1" applyBorder="1" applyAlignment="1" applyProtection="1">
      <alignment vertical="center"/>
    </xf>
    <xf numFmtId="43" fontId="43" fillId="0" borderId="0" xfId="1" applyFont="1" applyFill="1" applyBorder="1" applyAlignment="1" applyProtection="1">
      <alignment vertical="center"/>
    </xf>
    <xf numFmtId="0" fontId="40" fillId="2" borderId="1" xfId="0" applyFont="1" applyFill="1" applyBorder="1" applyAlignment="1" applyProtection="1">
      <alignment horizontal="center" vertical="center"/>
    </xf>
    <xf numFmtId="0" fontId="40" fillId="2" borderId="1" xfId="0" applyFont="1" applyFill="1" applyBorder="1" applyAlignment="1" applyProtection="1">
      <alignment vertical="center"/>
    </xf>
    <xf numFmtId="43" fontId="40" fillId="2" borderId="1" xfId="1" applyFont="1" applyFill="1" applyBorder="1" applyAlignment="1" applyProtection="1">
      <alignment vertical="center"/>
    </xf>
    <xf numFmtId="0" fontId="45" fillId="0" borderId="0" xfId="0" applyFont="1" applyAlignment="1" applyProtection="1">
      <alignment vertical="center"/>
    </xf>
    <xf numFmtId="0" fontId="40" fillId="2" borderId="1" xfId="40" applyFont="1" applyFill="1" applyBorder="1" applyAlignment="1" applyProtection="1">
      <alignment horizontal="left" vertical="center" wrapText="1"/>
    </xf>
    <xf numFmtId="43" fontId="40" fillId="2" borderId="1" xfId="1" applyFont="1" applyFill="1" applyBorder="1" applyAlignment="1" applyProtection="1">
      <alignment vertical="center"/>
      <protection locked="0"/>
    </xf>
    <xf numFmtId="0" fontId="43" fillId="0" borderId="0" xfId="0" applyFont="1" applyAlignment="1" applyProtection="1">
      <alignment horizontal="left" vertical="center"/>
      <protection locked="0"/>
    </xf>
    <xf numFmtId="43" fontId="43" fillId="0" borderId="0" xfId="1" applyFont="1" applyAlignment="1" applyProtection="1">
      <alignment vertical="center"/>
      <protection locked="0"/>
    </xf>
    <xf numFmtId="0" fontId="40" fillId="0" borderId="0" xfId="0" applyFont="1" applyFill="1" applyBorder="1" applyAlignment="1" applyProtection="1">
      <alignment horizontal="center" vertical="center"/>
    </xf>
    <xf numFmtId="43" fontId="43" fillId="0" borderId="0" xfId="1" applyFont="1" applyFill="1" applyAlignment="1" applyProtection="1">
      <alignment horizontal="center" vertical="center" wrapText="1"/>
    </xf>
    <xf numFmtId="0" fontId="43" fillId="0" borderId="0" xfId="0" applyFont="1" applyFill="1" applyAlignment="1" applyProtection="1">
      <alignment horizontal="left" vertical="center" wrapText="1"/>
    </xf>
    <xf numFmtId="0" fontId="43" fillId="2" borderId="1" xfId="40" applyFont="1" applyFill="1" applyBorder="1" applyAlignment="1" applyProtection="1">
      <alignment horizontal="center" vertical="center" wrapText="1"/>
    </xf>
    <xf numFmtId="0" fontId="43" fillId="0" borderId="1" xfId="40" applyFont="1" applyBorder="1" applyAlignment="1" applyProtection="1">
      <alignment horizontal="left" vertical="center" wrapText="1"/>
    </xf>
    <xf numFmtId="2" fontId="43" fillId="0" borderId="1" xfId="0" applyNumberFormat="1" applyFont="1" applyBorder="1" applyAlignment="1" applyProtection="1">
      <alignment horizontal="center" vertical="center" wrapText="1"/>
    </xf>
    <xf numFmtId="0" fontId="43" fillId="0" borderId="0" xfId="0" applyFont="1" applyAlignment="1" applyProtection="1">
      <alignment horizontal="left" vertical="center" wrapText="1"/>
      <protection locked="0"/>
    </xf>
    <xf numFmtId="43" fontId="43" fillId="0" borderId="0" xfId="1" applyFont="1" applyAlignment="1" applyProtection="1">
      <alignment vertical="center" wrapText="1"/>
      <protection locked="0"/>
    </xf>
    <xf numFmtId="0" fontId="43" fillId="11" borderId="1" xfId="0" applyFont="1" applyFill="1" applyBorder="1" applyAlignment="1" applyProtection="1">
      <alignment horizontal="left" vertical="center" wrapText="1"/>
      <protection locked="0"/>
    </xf>
    <xf numFmtId="0" fontId="44" fillId="0" borderId="0" xfId="3" applyFont="1" applyFill="1" applyBorder="1" applyAlignment="1" applyProtection="1">
      <alignment horizontal="center" vertical="center" wrapText="1"/>
    </xf>
    <xf numFmtId="43" fontId="43" fillId="0" borderId="0" xfId="1" applyFont="1" applyAlignment="1" applyProtection="1">
      <alignment horizontal="center" vertical="center" wrapText="1"/>
      <protection locked="0"/>
    </xf>
    <xf numFmtId="0" fontId="38" fillId="0" borderId="0" xfId="0" applyFont="1" applyFill="1" applyBorder="1" applyAlignment="1" applyProtection="1">
      <alignment horizontal="left" vertical="center" wrapText="1"/>
    </xf>
    <xf numFmtId="0" fontId="49" fillId="0" borderId="0" xfId="3" applyFont="1" applyFill="1" applyBorder="1" applyAlignment="1" applyProtection="1">
      <alignment horizontal="center" vertical="center" wrapText="1"/>
    </xf>
    <xf numFmtId="0" fontId="40" fillId="0" borderId="0" xfId="8" applyFont="1" applyFill="1" applyBorder="1" applyAlignment="1" applyProtection="1">
      <alignment horizontal="left" vertical="center" wrapText="1"/>
    </xf>
    <xf numFmtId="0" fontId="19" fillId="0" borderId="0" xfId="0" applyFont="1" applyAlignment="1" applyProtection="1">
      <alignment horizontal="center" vertical="center" wrapText="1"/>
    </xf>
    <xf numFmtId="1" fontId="43" fillId="0" borderId="1" xfId="38" applyNumberFormat="1" applyFont="1" applyFill="1" applyBorder="1" applyAlignment="1" applyProtection="1">
      <alignment horizontal="center" vertical="center" wrapText="1"/>
    </xf>
    <xf numFmtId="0" fontId="43" fillId="0" borderId="1" xfId="38" applyFont="1" applyBorder="1" applyAlignment="1" applyProtection="1">
      <alignment horizontal="center" vertical="center" wrapText="1"/>
    </xf>
    <xf numFmtId="1" fontId="43" fillId="0" borderId="1" xfId="38" applyNumberFormat="1" applyFont="1" applyBorder="1" applyAlignment="1" applyProtection="1">
      <alignment horizontal="center" vertical="center" wrapText="1"/>
    </xf>
    <xf numFmtId="1" fontId="43" fillId="0" borderId="1" xfId="40" applyNumberFormat="1" applyFont="1" applyBorder="1" applyAlignment="1" applyProtection="1">
      <alignment horizontal="center" vertical="center" wrapText="1"/>
    </xf>
    <xf numFmtId="1" fontId="43" fillId="0" borderId="1" xfId="0" applyNumberFormat="1" applyFont="1" applyBorder="1" applyAlignment="1" applyProtection="1">
      <alignment horizontal="center" vertical="center" wrapText="1"/>
    </xf>
    <xf numFmtId="43" fontId="45" fillId="2" borderId="5" xfId="1" applyFont="1" applyFill="1" applyBorder="1" applyAlignment="1" applyProtection="1">
      <alignment horizontal="center" vertical="center" wrapText="1"/>
    </xf>
    <xf numFmtId="1" fontId="43" fillId="0" borderId="1" xfId="40" applyNumberFormat="1" applyFont="1" applyFill="1" applyBorder="1" applyAlignment="1" applyProtection="1">
      <alignment horizontal="center" vertical="center" wrapText="1"/>
    </xf>
    <xf numFmtId="1" fontId="43" fillId="0" borderId="5" xfId="40" applyNumberFormat="1" applyFont="1" applyFill="1" applyBorder="1" applyAlignment="1" applyProtection="1">
      <alignment horizontal="center" vertical="center" wrapText="1"/>
    </xf>
    <xf numFmtId="1" fontId="43" fillId="0" borderId="5" xfId="0" applyNumberFormat="1" applyFont="1" applyBorder="1" applyAlignment="1" applyProtection="1">
      <alignment horizontal="center" vertical="center" wrapText="1"/>
    </xf>
    <xf numFmtId="1" fontId="43" fillId="0" borderId="1" xfId="0" applyNumberFormat="1" applyFont="1" applyFill="1" applyBorder="1" applyAlignment="1" applyProtection="1">
      <alignment horizontal="center" vertical="center" wrapText="1"/>
    </xf>
    <xf numFmtId="1" fontId="43" fillId="0" borderId="5" xfId="0" applyNumberFormat="1" applyFont="1" applyFill="1" applyBorder="1" applyAlignment="1" applyProtection="1">
      <alignment horizontal="center" vertical="center" wrapText="1"/>
    </xf>
    <xf numFmtId="0" fontId="43" fillId="0" borderId="0" xfId="0" applyFont="1" applyBorder="1" applyAlignment="1" applyProtection="1">
      <alignment vertical="center"/>
    </xf>
    <xf numFmtId="43" fontId="43" fillId="0" borderId="0" xfId="1" applyFont="1" applyBorder="1" applyAlignment="1" applyProtection="1">
      <alignment vertical="center"/>
    </xf>
    <xf numFmtId="0" fontId="40" fillId="0" borderId="0" xfId="8" applyFont="1" applyFill="1" applyBorder="1" applyAlignment="1" applyProtection="1">
      <alignment horizontal="left" vertical="center"/>
    </xf>
    <xf numFmtId="0" fontId="40" fillId="0" borderId="13" xfId="8" applyFont="1" applyBorder="1" applyAlignment="1" applyProtection="1">
      <alignment horizontal="left" vertical="center" wrapText="1"/>
    </xf>
    <xf numFmtId="0" fontId="43" fillId="0" borderId="0" xfId="0" applyFont="1" applyBorder="1" applyAlignment="1" applyProtection="1">
      <alignment horizontal="left" vertical="center"/>
    </xf>
    <xf numFmtId="0" fontId="43" fillId="0" borderId="0" xfId="0" applyFont="1" applyBorder="1" applyAlignment="1" applyProtection="1">
      <alignment horizontal="center" vertical="center"/>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xf>
    <xf numFmtId="43" fontId="43" fillId="0" borderId="0" xfId="1" applyFont="1" applyBorder="1" applyAlignment="1" applyProtection="1">
      <alignment horizontal="center" vertical="center"/>
    </xf>
    <xf numFmtId="0" fontId="43" fillId="0" borderId="0" xfId="0" applyFont="1" applyBorder="1" applyAlignment="1" applyProtection="1">
      <alignment vertical="center"/>
      <protection locked="0"/>
    </xf>
    <xf numFmtId="43" fontId="43" fillId="0" borderId="0" xfId="1" applyFont="1" applyBorder="1" applyAlignment="1" applyProtection="1">
      <alignment vertical="center"/>
      <protection locked="0"/>
    </xf>
    <xf numFmtId="0" fontId="48" fillId="0" borderId="0"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wrapText="1"/>
    </xf>
    <xf numFmtId="43" fontId="48" fillId="0" borderId="0" xfId="1" applyFont="1" applyFill="1" applyBorder="1" applyAlignment="1" applyProtection="1">
      <alignment horizontal="center" vertical="center" wrapText="1"/>
    </xf>
    <xf numFmtId="0" fontId="43" fillId="0" borderId="0" xfId="0" applyFont="1" applyAlignment="1" applyProtection="1">
      <alignment wrapText="1"/>
    </xf>
    <xf numFmtId="0" fontId="44" fillId="0" borderId="0" xfId="3" applyFont="1" applyFill="1" applyBorder="1" applyAlignment="1" applyProtection="1">
      <alignment horizontal="center" wrapText="1"/>
    </xf>
    <xf numFmtId="0" fontId="43" fillId="0" borderId="0" xfId="0" applyFont="1" applyFill="1" applyBorder="1" applyAlignment="1" applyProtection="1">
      <alignment wrapText="1"/>
    </xf>
    <xf numFmtId="0" fontId="43" fillId="0" borderId="0" xfId="0" applyFont="1" applyAlignment="1" applyProtection="1">
      <alignment horizontal="center" wrapText="1"/>
    </xf>
    <xf numFmtId="0" fontId="45" fillId="18" borderId="13" xfId="38" applyFont="1" applyFill="1" applyBorder="1" applyAlignment="1" applyProtection="1">
      <alignment horizontal="center" vertical="center" wrapText="1"/>
    </xf>
    <xf numFmtId="0" fontId="45" fillId="24" borderId="13" xfId="38" applyFont="1" applyFill="1" applyBorder="1" applyAlignment="1" applyProtection="1">
      <alignment horizontal="center" vertical="center" wrapText="1"/>
    </xf>
    <xf numFmtId="43" fontId="45" fillId="24" borderId="13" xfId="1" applyFont="1" applyFill="1" applyBorder="1" applyAlignment="1" applyProtection="1">
      <alignment horizontal="center" vertical="center" wrapText="1"/>
    </xf>
    <xf numFmtId="0" fontId="12" fillId="2" borderId="1" xfId="0" applyFont="1" applyFill="1" applyBorder="1" applyAlignment="1" applyProtection="1">
      <alignment wrapText="1"/>
    </xf>
    <xf numFmtId="43" fontId="12" fillId="2" borderId="1" xfId="0" applyNumberFormat="1" applyFont="1" applyFill="1" applyBorder="1" applyAlignment="1" applyProtection="1">
      <alignment wrapText="1"/>
    </xf>
    <xf numFmtId="0" fontId="43" fillId="0" borderId="3" xfId="40" applyFont="1" applyFill="1" applyBorder="1" applyAlignment="1" applyProtection="1">
      <alignment horizontal="left" vertical="center" wrapText="1"/>
    </xf>
    <xf numFmtId="0" fontId="45" fillId="0" borderId="3" xfId="40" applyFont="1" applyFill="1" applyBorder="1" applyAlignment="1" applyProtection="1">
      <alignment horizontal="left" vertical="center" wrapText="1"/>
    </xf>
    <xf numFmtId="0" fontId="43" fillId="0" borderId="3" xfId="40" applyFont="1" applyFill="1" applyBorder="1" applyAlignment="1" applyProtection="1">
      <alignment horizontal="center" vertical="center" wrapText="1"/>
    </xf>
    <xf numFmtId="43" fontId="43" fillId="0" borderId="3" xfId="1" applyFont="1" applyFill="1" applyBorder="1" applyAlignment="1" applyProtection="1">
      <alignment horizontal="center" vertical="center" wrapText="1"/>
    </xf>
    <xf numFmtId="0" fontId="43" fillId="0" borderId="0" xfId="0" applyFont="1" applyFill="1" applyAlignment="1" applyProtection="1">
      <alignment wrapText="1"/>
    </xf>
    <xf numFmtId="0" fontId="19" fillId="0" borderId="13" xfId="38" applyFont="1" applyFill="1" applyBorder="1" applyAlignment="1" applyProtection="1">
      <alignment horizontal="left" vertical="center" wrapText="1"/>
    </xf>
    <xf numFmtId="0" fontId="19" fillId="0" borderId="13" xfId="38" applyFont="1" applyFill="1" applyBorder="1" applyAlignment="1" applyProtection="1">
      <alignment horizontal="center" vertical="center" wrapText="1"/>
    </xf>
    <xf numFmtId="43" fontId="19" fillId="0" borderId="13" xfId="1" applyFont="1" applyFill="1" applyBorder="1" applyAlignment="1" applyProtection="1">
      <alignment horizontal="center" vertical="center" wrapText="1"/>
    </xf>
    <xf numFmtId="0" fontId="19" fillId="0" borderId="1" xfId="38" applyFont="1" applyFill="1" applyBorder="1" applyAlignment="1" applyProtection="1">
      <alignment horizontal="left" vertical="center" wrapText="1"/>
    </xf>
    <xf numFmtId="43" fontId="12" fillId="2" borderId="1" xfId="1" applyFont="1" applyFill="1" applyBorder="1" applyAlignment="1" applyProtection="1">
      <alignment wrapText="1"/>
    </xf>
    <xf numFmtId="0" fontId="12" fillId="2" borderId="1" xfId="0" applyFont="1" applyFill="1" applyBorder="1" applyAlignment="1" applyProtection="1">
      <alignment horizontal="left" wrapText="1"/>
    </xf>
    <xf numFmtId="0" fontId="43" fillId="0" borderId="14" xfId="0" applyFont="1" applyBorder="1" applyAlignment="1" applyProtection="1">
      <alignment horizontal="left" vertical="center" wrapText="1"/>
    </xf>
    <xf numFmtId="0" fontId="43" fillId="0" borderId="14" xfId="0" applyFont="1" applyBorder="1" applyAlignment="1" applyProtection="1">
      <alignment horizontal="center" vertical="center" wrapText="1"/>
    </xf>
    <xf numFmtId="43" fontId="43" fillId="0" borderId="14" xfId="1" applyFont="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43" fillId="0" borderId="3" xfId="0" applyFont="1" applyBorder="1" applyAlignment="1" applyProtection="1">
      <alignment horizontal="left" vertical="center" wrapText="1"/>
    </xf>
    <xf numFmtId="0" fontId="43" fillId="0" borderId="3" xfId="0" applyFont="1" applyBorder="1" applyAlignment="1" applyProtection="1">
      <alignment horizontal="center" vertical="center" wrapText="1"/>
    </xf>
    <xf numFmtId="43" fontId="43" fillId="0" borderId="3" xfId="1" applyFont="1" applyBorder="1" applyAlignment="1" applyProtection="1">
      <alignment horizontal="center" vertical="center" wrapText="1"/>
    </xf>
    <xf numFmtId="0" fontId="43" fillId="0" borderId="0" xfId="0" applyFont="1" applyAlignment="1" applyProtection="1">
      <alignment horizontal="left" wrapText="1"/>
    </xf>
    <xf numFmtId="43" fontId="43" fillId="0" borderId="0" xfId="1" applyFont="1" applyAlignment="1" applyProtection="1">
      <alignment horizontal="center" wrapText="1"/>
    </xf>
    <xf numFmtId="0" fontId="19" fillId="0" borderId="0" xfId="0" applyFont="1" applyAlignment="1" applyProtection="1">
      <alignment horizontal="left" wrapText="1"/>
    </xf>
    <xf numFmtId="43" fontId="19" fillId="0" borderId="0" xfId="1" applyFont="1" applyAlignment="1" applyProtection="1">
      <alignment horizontal="center" wrapText="1"/>
    </xf>
    <xf numFmtId="43" fontId="43" fillId="0" borderId="0" xfId="1" applyFont="1" applyAlignment="1" applyProtection="1">
      <alignment wrapText="1"/>
    </xf>
    <xf numFmtId="0" fontId="43" fillId="0" borderId="1" xfId="0" applyFont="1" applyFill="1" applyBorder="1" applyAlignment="1" applyProtection="1">
      <alignment horizontal="left" wrapText="1"/>
      <protection locked="0"/>
    </xf>
    <xf numFmtId="43" fontId="43" fillId="0" borderId="1" xfId="1" applyFont="1" applyFill="1" applyBorder="1" applyAlignment="1" applyProtection="1">
      <alignment wrapText="1"/>
      <protection locked="0"/>
    </xf>
    <xf numFmtId="0" fontId="43" fillId="0" borderId="1" xfId="0" applyFont="1" applyBorder="1" applyAlignment="1" applyProtection="1">
      <alignment horizontal="left" wrapText="1"/>
      <protection locked="0"/>
    </xf>
    <xf numFmtId="43" fontId="43" fillId="0" borderId="1" xfId="1" applyFont="1" applyBorder="1" applyAlignment="1" applyProtection="1">
      <alignment wrapText="1"/>
      <protection locked="0"/>
    </xf>
    <xf numFmtId="0" fontId="12" fillId="2" borderId="1" xfId="0" applyFont="1" applyFill="1" applyBorder="1" applyAlignment="1" applyProtection="1">
      <alignment horizontal="left" wrapText="1"/>
      <protection locked="0"/>
    </xf>
    <xf numFmtId="43" fontId="12" fillId="2" borderId="1" xfId="1" applyFont="1" applyFill="1" applyBorder="1" applyAlignment="1" applyProtection="1">
      <alignment wrapText="1"/>
      <protection locked="0"/>
    </xf>
    <xf numFmtId="0" fontId="43" fillId="0" borderId="0" xfId="0" applyFont="1" applyAlignment="1" applyProtection="1">
      <alignment wrapText="1"/>
      <protection locked="0"/>
    </xf>
    <xf numFmtId="0" fontId="50" fillId="0" borderId="0" xfId="0"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43" fontId="50" fillId="0" borderId="0" xfId="1" applyFont="1" applyFill="1" applyBorder="1" applyAlignment="1" applyProtection="1">
      <alignment horizontal="center" vertical="center" wrapText="1"/>
    </xf>
    <xf numFmtId="0" fontId="50" fillId="0" borderId="0" xfId="0" applyFont="1" applyFill="1" applyBorder="1" applyAlignment="1" applyProtection="1">
      <alignment horizontal="left" vertical="center" wrapText="1"/>
    </xf>
    <xf numFmtId="0" fontId="12" fillId="2" borderId="1" xfId="0" applyFont="1" applyFill="1" applyBorder="1" applyAlignment="1" applyProtection="1">
      <alignment vertical="center" wrapText="1"/>
    </xf>
    <xf numFmtId="43" fontId="12" fillId="2" borderId="1" xfId="1" applyFont="1" applyFill="1" applyBorder="1" applyAlignment="1" applyProtection="1">
      <alignment vertical="center" wrapText="1"/>
    </xf>
    <xf numFmtId="0" fontId="12" fillId="2" borderId="1" xfId="0" applyFont="1" applyFill="1" applyBorder="1" applyAlignment="1" applyProtection="1">
      <alignment horizontal="left" vertical="center" wrapText="1"/>
    </xf>
    <xf numFmtId="0" fontId="12" fillId="2" borderId="1" xfId="0" applyFont="1" applyFill="1" applyBorder="1" applyAlignment="1" applyProtection="1">
      <alignment horizontal="left" vertical="center" wrapText="1"/>
      <protection locked="0"/>
    </xf>
    <xf numFmtId="43" fontId="12" fillId="2" borderId="1" xfId="1" applyFont="1" applyFill="1" applyBorder="1" applyAlignment="1" applyProtection="1">
      <alignment vertical="center" wrapText="1"/>
      <protection locked="0"/>
    </xf>
    <xf numFmtId="0" fontId="48" fillId="0" borderId="4"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43" fontId="43" fillId="0" borderId="0" xfId="1" applyFont="1" applyFill="1" applyBorder="1" applyAlignment="1" applyProtection="1">
      <alignment horizontal="center" vertical="center" wrapText="1"/>
    </xf>
    <xf numFmtId="0" fontId="43" fillId="0" borderId="0" xfId="0" applyFont="1" applyFill="1" applyBorder="1" applyAlignment="1" applyProtection="1">
      <alignment horizontal="left" vertical="center" wrapText="1"/>
    </xf>
    <xf numFmtId="43" fontId="43" fillId="0" borderId="0" xfId="1" applyFont="1" applyFill="1" applyBorder="1" applyAlignment="1" applyProtection="1">
      <alignment vertical="center" wrapText="1"/>
    </xf>
    <xf numFmtId="0" fontId="44" fillId="0" borderId="2" xfId="3"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43" fontId="19" fillId="0" borderId="0" xfId="1" applyFont="1" applyFill="1" applyBorder="1" applyAlignment="1" applyProtection="1">
      <alignment horizontal="center" vertical="center" wrapText="1"/>
    </xf>
    <xf numFmtId="0" fontId="19" fillId="0" borderId="0" xfId="0" applyFont="1" applyFill="1" applyBorder="1" applyAlignment="1" applyProtection="1">
      <alignment horizontal="left" vertical="center" wrapText="1"/>
    </xf>
    <xf numFmtId="43" fontId="19" fillId="0" borderId="0" xfId="1" applyFont="1" applyFill="1" applyBorder="1" applyAlignment="1" applyProtection="1">
      <alignment vertical="center" wrapText="1"/>
    </xf>
    <xf numFmtId="0" fontId="19" fillId="0" borderId="0" xfId="0" applyFont="1" applyFill="1" applyBorder="1" applyAlignment="1" applyProtection="1">
      <alignment vertical="center" wrapText="1"/>
    </xf>
    <xf numFmtId="0" fontId="44" fillId="0" borderId="11" xfId="3" applyFont="1" applyFill="1" applyBorder="1" applyAlignment="1" applyProtection="1">
      <alignment horizontal="center" vertical="center" wrapText="1"/>
    </xf>
    <xf numFmtId="0" fontId="40" fillId="0" borderId="13" xfId="8" applyFont="1" applyBorder="1" applyAlignment="1" applyProtection="1">
      <alignment horizontal="center" vertical="center" wrapText="1"/>
    </xf>
    <xf numFmtId="0" fontId="40" fillId="0" borderId="7" xfId="8" applyFont="1" applyFill="1" applyBorder="1" applyAlignment="1" applyProtection="1">
      <alignment horizontal="center" vertical="center" wrapText="1"/>
    </xf>
    <xf numFmtId="0" fontId="19" fillId="0" borderId="0" xfId="0" applyFont="1" applyFill="1" applyAlignment="1" applyProtection="1">
      <alignment horizontal="center" vertical="center" wrapText="1"/>
    </xf>
    <xf numFmtId="43" fontId="40" fillId="0" borderId="7" xfId="1" applyFont="1" applyFill="1" applyBorder="1" applyAlignment="1" applyProtection="1">
      <alignment horizontal="center" vertical="center" wrapText="1"/>
    </xf>
    <xf numFmtId="43" fontId="19" fillId="0" borderId="0" xfId="1" applyFont="1" applyFill="1" applyAlignment="1" applyProtection="1">
      <alignment horizontal="center" vertical="center" wrapText="1"/>
    </xf>
    <xf numFmtId="0" fontId="19" fillId="0" borderId="0" xfId="0" applyFont="1" applyFill="1" applyAlignment="1" applyProtection="1">
      <alignment horizontal="left" vertical="center" wrapText="1"/>
    </xf>
    <xf numFmtId="43" fontId="19" fillId="0" borderId="0" xfId="1" applyFont="1" applyFill="1" applyAlignment="1" applyProtection="1">
      <alignment vertical="center" wrapText="1"/>
    </xf>
    <xf numFmtId="0" fontId="19" fillId="0" borderId="0" xfId="0" applyFont="1" applyFill="1" applyAlignment="1" applyProtection="1">
      <alignment vertical="center" wrapText="1"/>
    </xf>
    <xf numFmtId="0" fontId="45" fillId="0" borderId="1" xfId="40" applyFont="1" applyFill="1" applyBorder="1" applyAlignment="1" applyProtection="1">
      <alignment horizontal="left" vertical="center" wrapText="1"/>
    </xf>
    <xf numFmtId="43" fontId="12" fillId="2" borderId="1" xfId="1" applyFont="1" applyFill="1" applyBorder="1" applyAlignment="1" applyProtection="1">
      <alignment horizontal="center" vertical="center" wrapText="1"/>
      <protection locked="0"/>
    </xf>
    <xf numFmtId="43" fontId="19" fillId="0" borderId="0" xfId="1" applyFont="1" applyAlignment="1" applyProtection="1">
      <alignment horizontal="center" vertical="center" wrapText="1"/>
    </xf>
    <xf numFmtId="0" fontId="19" fillId="0" borderId="0" xfId="0" applyFont="1" applyAlignment="1" applyProtection="1">
      <alignment horizontal="left" vertical="center" wrapText="1"/>
    </xf>
    <xf numFmtId="0" fontId="19" fillId="0" borderId="0" xfId="0" applyFont="1" applyAlignment="1" applyProtection="1">
      <alignment vertical="center" wrapText="1"/>
    </xf>
    <xf numFmtId="2" fontId="40" fillId="2" borderId="1" xfId="0" applyNumberFormat="1" applyFont="1" applyFill="1" applyBorder="1" applyAlignment="1" applyProtection="1">
      <alignment horizontal="center" vertical="center" wrapText="1"/>
    </xf>
    <xf numFmtId="0" fontId="38" fillId="0" borderId="0" xfId="0" applyFont="1" applyFill="1" applyBorder="1" applyAlignment="1" applyProtection="1">
      <alignment vertical="center" wrapText="1"/>
    </xf>
    <xf numFmtId="43" fontId="40" fillId="12" borderId="1" xfId="1" applyFont="1" applyFill="1" applyBorder="1" applyAlignment="1" applyProtection="1">
      <alignment horizontal="center" vertical="center" wrapText="1"/>
    </xf>
    <xf numFmtId="0" fontId="44" fillId="0" borderId="0" xfId="3" applyFont="1" applyFill="1" applyBorder="1" applyAlignment="1" applyProtection="1">
      <alignment wrapText="1"/>
    </xf>
    <xf numFmtId="43" fontId="40" fillId="0" borderId="1" xfId="1" applyFont="1" applyBorder="1" applyAlignment="1" applyProtection="1">
      <alignment horizontal="left" vertical="center" wrapText="1"/>
    </xf>
    <xf numFmtId="0" fontId="17" fillId="0" borderId="0" xfId="0" applyFont="1" applyFill="1" applyBorder="1" applyAlignment="1" applyProtection="1">
      <alignment horizontal="center" vertical="center" wrapText="1"/>
    </xf>
    <xf numFmtId="43" fontId="17" fillId="0" borderId="0" xfId="1" applyFont="1" applyFill="1" applyBorder="1" applyAlignment="1" applyProtection="1">
      <alignment horizontal="center" vertical="center" wrapText="1"/>
    </xf>
    <xf numFmtId="0" fontId="17" fillId="0" borderId="0" xfId="0" applyFont="1" applyFill="1" applyBorder="1" applyAlignment="1" applyProtection="1">
      <alignment horizontal="left" vertical="center" wrapText="1"/>
    </xf>
    <xf numFmtId="0" fontId="17" fillId="0" borderId="0" xfId="0" applyFont="1" applyFill="1" applyBorder="1" applyAlignment="1" applyProtection="1">
      <alignment vertical="center" wrapText="1"/>
    </xf>
    <xf numFmtId="43" fontId="40" fillId="0" borderId="13" xfId="1" applyFont="1" applyBorder="1" applyAlignment="1" applyProtection="1">
      <alignment horizontal="left" vertical="center" wrapText="1"/>
    </xf>
    <xf numFmtId="0" fontId="16" fillId="0" borderId="0" xfId="0" applyFont="1" applyFill="1" applyBorder="1" applyAlignment="1" applyProtection="1">
      <alignment horizontal="center" vertical="center" wrapText="1"/>
    </xf>
    <xf numFmtId="0" fontId="40" fillId="0" borderId="0" xfId="0" applyFont="1" applyFill="1" applyBorder="1" applyAlignment="1" applyProtection="1">
      <alignment horizontal="left" vertical="center" wrapText="1"/>
    </xf>
    <xf numFmtId="43" fontId="16" fillId="0" borderId="0" xfId="1" applyFont="1" applyFill="1" applyBorder="1" applyAlignment="1" applyProtection="1">
      <alignment horizontal="center" vertical="center" wrapText="1"/>
    </xf>
    <xf numFmtId="0" fontId="49" fillId="0" borderId="1" xfId="3" applyFont="1" applyFill="1" applyBorder="1" applyAlignment="1" applyProtection="1">
      <alignment horizontal="center" vertical="center" wrapText="1"/>
    </xf>
    <xf numFmtId="43" fontId="43" fillId="0" borderId="3" xfId="1" applyFont="1" applyBorder="1" applyAlignment="1" applyProtection="1">
      <alignment horizontal="left" vertical="center" wrapText="1"/>
    </xf>
    <xf numFmtId="0" fontId="43" fillId="0" borderId="13" xfId="0" applyFont="1" applyBorder="1" applyAlignment="1" applyProtection="1">
      <alignment horizontal="left" vertical="center" wrapText="1"/>
    </xf>
    <xf numFmtId="43" fontId="43" fillId="0" borderId="13" xfId="1" applyFont="1" applyBorder="1" applyAlignment="1" applyProtection="1">
      <alignment horizontal="left" vertical="center" wrapText="1"/>
    </xf>
    <xf numFmtId="43" fontId="43" fillId="0" borderId="14" xfId="1" applyFont="1" applyBorder="1" applyAlignment="1" applyProtection="1">
      <alignment horizontal="left" vertical="center" wrapText="1"/>
    </xf>
    <xf numFmtId="0" fontId="40" fillId="2" borderId="1" xfId="40" quotePrefix="1" applyFont="1" applyFill="1" applyBorder="1" applyAlignment="1" applyProtection="1">
      <alignment horizontal="left" vertical="center" wrapText="1"/>
    </xf>
    <xf numFmtId="0" fontId="12" fillId="2" borderId="1"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left" wrapText="1"/>
    </xf>
    <xf numFmtId="43" fontId="16" fillId="0" borderId="0" xfId="1" applyFont="1" applyFill="1" applyBorder="1" applyAlignment="1" applyProtection="1">
      <alignment wrapText="1"/>
    </xf>
    <xf numFmtId="0" fontId="16" fillId="0" borderId="0" xfId="0" applyFont="1" applyFill="1" applyBorder="1" applyAlignment="1" applyProtection="1">
      <alignment wrapText="1"/>
    </xf>
    <xf numFmtId="0" fontId="40" fillId="0" borderId="0" xfId="0" applyFont="1" applyFill="1" applyBorder="1" applyAlignment="1" applyProtection="1">
      <alignment horizontal="left" vertical="center"/>
    </xf>
    <xf numFmtId="0" fontId="16" fillId="0" borderId="0" xfId="0" applyFont="1" applyFill="1" applyBorder="1" applyAlignment="1" applyProtection="1">
      <alignment vertical="center"/>
    </xf>
    <xf numFmtId="0" fontId="49" fillId="0" borderId="1" xfId="3" applyFont="1" applyFill="1" applyBorder="1" applyAlignment="1" applyProtection="1">
      <alignment horizontal="center" vertical="center"/>
    </xf>
    <xf numFmtId="0" fontId="12" fillId="2" borderId="1" xfId="0" applyFont="1" applyFill="1" applyBorder="1" applyAlignment="1" applyProtection="1">
      <alignment vertical="center"/>
      <protection locked="0"/>
    </xf>
    <xf numFmtId="0" fontId="49" fillId="0" borderId="13" xfId="3" applyFont="1" applyFill="1" applyBorder="1" applyAlignment="1" applyProtection="1">
      <alignment horizontal="center" vertical="center" wrapText="1"/>
    </xf>
    <xf numFmtId="0" fontId="16" fillId="0" borderId="0" xfId="0" applyFont="1" applyFill="1" applyBorder="1" applyAlignment="1" applyProtection="1">
      <alignment horizontal="left" vertical="center" wrapText="1"/>
    </xf>
    <xf numFmtId="0" fontId="16" fillId="0" borderId="0" xfId="0" applyFont="1" applyFill="1" applyBorder="1" applyAlignment="1" applyProtection="1">
      <alignment vertical="center" wrapText="1"/>
    </xf>
    <xf numFmtId="0" fontId="40" fillId="0" borderId="1" xfId="0" applyFont="1" applyFill="1" applyBorder="1" applyAlignment="1" applyProtection="1">
      <alignment vertical="center"/>
    </xf>
    <xf numFmtId="0" fontId="40" fillId="0" borderId="0" xfId="0" applyFont="1" applyFill="1" applyBorder="1" applyAlignment="1" applyProtection="1">
      <alignment vertical="center"/>
    </xf>
    <xf numFmtId="0" fontId="16" fillId="0" borderId="0" xfId="0" applyFont="1" applyFill="1" applyBorder="1" applyProtection="1"/>
    <xf numFmtId="43" fontId="40" fillId="0" borderId="0" xfId="1" applyFont="1" applyFill="1" applyBorder="1" applyAlignment="1" applyProtection="1">
      <alignment vertical="center"/>
    </xf>
    <xf numFmtId="43" fontId="16" fillId="0" borderId="0" xfId="1" applyFont="1" applyFill="1" applyBorder="1" applyProtection="1"/>
    <xf numFmtId="0" fontId="49" fillId="0" borderId="1" xfId="3" applyFont="1" applyFill="1" applyBorder="1" applyAlignment="1" applyProtection="1"/>
    <xf numFmtId="43" fontId="40" fillId="0" borderId="0" xfId="1" applyFont="1" applyFill="1" applyBorder="1" applyAlignment="1" applyProtection="1">
      <alignment horizontal="left" vertical="center"/>
    </xf>
    <xf numFmtId="0" fontId="40" fillId="0" borderId="0" xfId="8" applyFont="1" applyFill="1" applyBorder="1" applyAlignment="1" applyProtection="1">
      <alignment horizontal="right" vertical="center"/>
    </xf>
    <xf numFmtId="0" fontId="49" fillId="0" borderId="13" xfId="3" applyFont="1" applyFill="1" applyBorder="1" applyAlignment="1" applyProtection="1"/>
    <xf numFmtId="43" fontId="40" fillId="0" borderId="13" xfId="1" applyFont="1" applyFill="1" applyBorder="1" applyAlignment="1" applyProtection="1">
      <alignment vertical="center" wrapText="1"/>
    </xf>
    <xf numFmtId="0" fontId="40" fillId="2" borderId="1" xfId="0" applyFont="1" applyFill="1" applyBorder="1" applyAlignment="1" applyProtection="1">
      <alignment horizontal="center"/>
    </xf>
    <xf numFmtId="43" fontId="40" fillId="2" borderId="1" xfId="1" applyFont="1" applyFill="1" applyBorder="1" applyAlignment="1" applyProtection="1">
      <alignment horizontal="center"/>
    </xf>
    <xf numFmtId="0" fontId="40" fillId="2" borderId="1" xfId="0" applyFont="1" applyFill="1" applyBorder="1" applyAlignment="1" applyProtection="1">
      <alignment horizontal="left"/>
    </xf>
    <xf numFmtId="0" fontId="43" fillId="0" borderId="1" xfId="0" applyFont="1" applyBorder="1" applyAlignment="1" applyProtection="1">
      <alignment horizontal="left"/>
    </xf>
    <xf numFmtId="0" fontId="43" fillId="0" borderId="1" xfId="0" applyFont="1" applyBorder="1" applyAlignment="1" applyProtection="1">
      <alignment horizontal="center"/>
    </xf>
    <xf numFmtId="43" fontId="43" fillId="0" borderId="1" xfId="1" applyFont="1" applyBorder="1" applyAlignment="1" applyProtection="1">
      <alignment horizontal="center"/>
    </xf>
    <xf numFmtId="43" fontId="43" fillId="0" borderId="0" xfId="1" applyFont="1" applyAlignment="1" applyProtection="1">
      <alignment horizontal="left" vertical="center"/>
    </xf>
    <xf numFmtId="43" fontId="43" fillId="0" borderId="0" xfId="1" applyFont="1" applyProtection="1"/>
    <xf numFmtId="0" fontId="43" fillId="0" borderId="1" xfId="0" applyFont="1" applyBorder="1" applyAlignment="1" applyProtection="1">
      <alignment horizontal="left"/>
      <protection locked="0"/>
    </xf>
    <xf numFmtId="43" fontId="43" fillId="0" borderId="1" xfId="1" applyFont="1" applyBorder="1" applyProtection="1">
      <protection locked="0"/>
    </xf>
    <xf numFmtId="0" fontId="40" fillId="2" borderId="1" xfId="0" applyFont="1" applyFill="1" applyBorder="1" applyAlignment="1" applyProtection="1">
      <alignment horizontal="left"/>
      <protection locked="0"/>
    </xf>
    <xf numFmtId="43" fontId="40" fillId="2" borderId="1" xfId="1" applyFont="1" applyFill="1" applyBorder="1" applyAlignment="1" applyProtection="1">
      <alignment horizontal="center"/>
      <protection locked="0"/>
    </xf>
    <xf numFmtId="0" fontId="45" fillId="0" borderId="0" xfId="0" applyFont="1" applyFill="1" applyBorder="1" applyAlignment="1" applyProtection="1">
      <alignment vertical="center"/>
    </xf>
    <xf numFmtId="43" fontId="45" fillId="0" borderId="0" xfId="1" applyFont="1" applyFill="1" applyBorder="1" applyAlignment="1" applyProtection="1">
      <alignment vertical="center"/>
    </xf>
    <xf numFmtId="0" fontId="51" fillId="0" borderId="0" xfId="3" applyFont="1" applyFill="1" applyBorder="1" applyAlignment="1" applyProtection="1">
      <alignment horizontal="center"/>
    </xf>
    <xf numFmtId="43" fontId="40" fillId="0" borderId="1" xfId="1" applyNumberFormat="1" applyFont="1" applyFill="1" applyBorder="1" applyAlignment="1" applyProtection="1">
      <alignment horizontal="right" vertical="center" wrapText="1"/>
    </xf>
    <xf numFmtId="0" fontId="45" fillId="0" borderId="0" xfId="8" applyFont="1" applyFill="1" applyBorder="1" applyAlignment="1" applyProtection="1">
      <alignment horizontal="center" vertical="center"/>
    </xf>
    <xf numFmtId="0" fontId="45" fillId="0" borderId="0" xfId="8" applyFont="1" applyFill="1" applyBorder="1" applyAlignment="1" applyProtection="1">
      <alignment vertical="center"/>
    </xf>
    <xf numFmtId="43" fontId="45" fillId="0" borderId="0" xfId="1" applyFont="1" applyFill="1" applyBorder="1" applyAlignment="1" applyProtection="1">
      <alignment horizontal="right" vertical="center"/>
    </xf>
    <xf numFmtId="0" fontId="12" fillId="2" borderId="1" xfId="40" applyFont="1" applyFill="1" applyBorder="1" applyAlignment="1" applyProtection="1">
      <alignment vertical="center" wrapText="1"/>
    </xf>
    <xf numFmtId="43" fontId="12" fillId="2" borderId="1" xfId="1" applyFont="1" applyFill="1" applyBorder="1" applyAlignment="1" applyProtection="1">
      <alignment horizontal="right" vertical="center"/>
    </xf>
    <xf numFmtId="0" fontId="12" fillId="0" borderId="1" xfId="40" applyFont="1" applyFill="1" applyBorder="1" applyAlignment="1" applyProtection="1">
      <alignment horizontal="center" vertical="center" wrapText="1"/>
    </xf>
    <xf numFmtId="0" fontId="12" fillId="0" borderId="1" xfId="40"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protection locked="0"/>
    </xf>
    <xf numFmtId="43" fontId="12" fillId="0" borderId="1" xfId="1" applyFont="1" applyFill="1" applyBorder="1" applyAlignment="1" applyProtection="1">
      <alignment vertical="center" wrapText="1"/>
      <protection locked="0"/>
    </xf>
    <xf numFmtId="0" fontId="45" fillId="0" borderId="0" xfId="0" applyFont="1" applyFill="1" applyBorder="1" applyAlignment="1" applyProtection="1">
      <alignment horizontal="center" vertical="center" wrapText="1"/>
    </xf>
    <xf numFmtId="0" fontId="45" fillId="0" borderId="0" xfId="0" applyFont="1" applyFill="1" applyBorder="1" applyAlignment="1" applyProtection="1">
      <alignment horizontal="left" vertical="center" wrapText="1"/>
    </xf>
    <xf numFmtId="0" fontId="51" fillId="0" borderId="0" xfId="3" applyFont="1" applyFill="1" applyBorder="1" applyAlignment="1" applyProtection="1">
      <alignment horizontal="center" wrapText="1"/>
    </xf>
    <xf numFmtId="0" fontId="45" fillId="0" borderId="0" xfId="8" applyFont="1" applyFill="1" applyBorder="1" applyAlignment="1" applyProtection="1">
      <alignment horizontal="left" vertical="center" wrapText="1"/>
    </xf>
    <xf numFmtId="0" fontId="40" fillId="2" borderId="3" xfId="40" applyFont="1" applyFill="1" applyBorder="1" applyAlignment="1" applyProtection="1">
      <alignment horizontal="center" vertical="center" wrapText="1"/>
    </xf>
    <xf numFmtId="0" fontId="12" fillId="2" borderId="3" xfId="40" applyFont="1" applyFill="1" applyBorder="1" applyAlignment="1" applyProtection="1">
      <alignment horizontal="center" vertical="center" wrapText="1"/>
    </xf>
    <xf numFmtId="43" fontId="12" fillId="2" borderId="3" xfId="1" applyFont="1" applyFill="1" applyBorder="1" applyAlignment="1" applyProtection="1">
      <alignment horizontal="center" vertical="center" wrapText="1"/>
    </xf>
    <xf numFmtId="43" fontId="40" fillId="2" borderId="3" xfId="1" applyFont="1" applyFill="1" applyBorder="1" applyAlignment="1" applyProtection="1">
      <alignment horizontal="center" vertical="center" wrapText="1"/>
    </xf>
    <xf numFmtId="0" fontId="12" fillId="2" borderId="3" xfId="40" applyFont="1" applyFill="1" applyBorder="1" applyAlignment="1" applyProtection="1">
      <alignment horizontal="left" vertical="center" wrapText="1"/>
    </xf>
    <xf numFmtId="0" fontId="12" fillId="2" borderId="3" xfId="0" applyFont="1" applyFill="1" applyBorder="1" applyAlignment="1" applyProtection="1">
      <alignment vertical="center" wrapText="1"/>
    </xf>
    <xf numFmtId="43" fontId="12" fillId="2" borderId="3" xfId="1" applyFont="1" applyFill="1" applyBorder="1" applyAlignment="1" applyProtection="1">
      <alignment vertical="center" wrapText="1"/>
    </xf>
    <xf numFmtId="0" fontId="12" fillId="2" borderId="3" xfId="0" applyFont="1" applyFill="1" applyBorder="1" applyAlignment="1" applyProtection="1">
      <alignment horizontal="left" vertical="center" wrapText="1"/>
    </xf>
    <xf numFmtId="0" fontId="40" fillId="2" borderId="3" xfId="8" applyFont="1" applyFill="1" applyBorder="1" applyAlignment="1" applyProtection="1">
      <alignment horizontal="center" vertical="center" wrapText="1"/>
    </xf>
    <xf numFmtId="0" fontId="40" fillId="2" borderId="3" xfId="8" applyFont="1" applyFill="1" applyBorder="1" applyAlignment="1" applyProtection="1">
      <alignment horizontal="left" vertical="center" wrapText="1"/>
    </xf>
    <xf numFmtId="0" fontId="40" fillId="2" borderId="3" xfId="11" applyFont="1" applyFill="1" applyBorder="1" applyAlignment="1" applyProtection="1">
      <alignment horizontal="center" vertical="center" wrapText="1"/>
    </xf>
    <xf numFmtId="0" fontId="40" fillId="2" borderId="3" xfId="11" applyFont="1" applyFill="1" applyBorder="1" applyAlignment="1" applyProtection="1">
      <alignment horizontal="left" vertical="center" wrapText="1"/>
    </xf>
    <xf numFmtId="0" fontId="19" fillId="0" borderId="1" xfId="87" applyFont="1" applyBorder="1" applyAlignment="1" applyProtection="1">
      <alignment horizontal="left" vertical="center" wrapText="1"/>
    </xf>
    <xf numFmtId="0" fontId="19" fillId="0" borderId="1" xfId="87" applyFont="1" applyBorder="1" applyAlignment="1" applyProtection="1">
      <alignment horizontal="center" vertical="center" wrapText="1"/>
    </xf>
    <xf numFmtId="43" fontId="19" fillId="0" borderId="1" xfId="1" applyFont="1" applyBorder="1" applyAlignment="1" applyProtection="1">
      <alignment horizontal="center" vertical="center" wrapText="1"/>
    </xf>
    <xf numFmtId="0" fontId="40" fillId="2" borderId="3" xfId="0" applyFont="1" applyFill="1" applyBorder="1" applyAlignment="1" applyProtection="1">
      <alignment horizontal="center" vertical="center" wrapText="1"/>
    </xf>
    <xf numFmtId="0" fontId="40" fillId="2" borderId="3" xfId="0" applyFont="1" applyFill="1" applyBorder="1" applyAlignment="1" applyProtection="1">
      <alignment horizontal="left" vertical="center" wrapText="1"/>
    </xf>
    <xf numFmtId="0" fontId="12" fillId="2" borderId="3" xfId="0" applyFont="1" applyFill="1" applyBorder="1" applyAlignment="1" applyProtection="1">
      <alignment horizontal="left" vertical="center" wrapText="1"/>
      <protection locked="0"/>
    </xf>
    <xf numFmtId="43" fontId="12" fillId="2" borderId="3" xfId="1" applyFont="1" applyFill="1" applyBorder="1" applyAlignment="1" applyProtection="1">
      <alignment vertical="center" wrapText="1"/>
      <protection locked="0"/>
    </xf>
    <xf numFmtId="0" fontId="40" fillId="36" borderId="1" xfId="107" applyFont="1" applyFill="1" applyBorder="1" applyAlignment="1" applyProtection="1">
      <alignment horizontal="center" vertical="center" wrapText="1"/>
    </xf>
    <xf numFmtId="0" fontId="10" fillId="0" borderId="1" xfId="107" applyFont="1" applyBorder="1" applyAlignment="1" applyProtection="1">
      <alignment vertical="center" wrapText="1"/>
    </xf>
    <xf numFmtId="0" fontId="10" fillId="0" borderId="1" xfId="107" applyFont="1" applyBorder="1" applyAlignment="1" applyProtection="1">
      <alignment vertical="center"/>
    </xf>
    <xf numFmtId="0" fontId="57" fillId="43" borderId="1" xfId="107" applyFont="1" applyFill="1" applyBorder="1" applyAlignment="1" applyProtection="1">
      <alignment vertical="center" wrapText="1"/>
    </xf>
    <xf numFmtId="0" fontId="10" fillId="43" borderId="1" xfId="107" applyFont="1" applyFill="1" applyBorder="1" applyAlignment="1" applyProtection="1">
      <alignment vertical="center" wrapText="1"/>
    </xf>
    <xf numFmtId="0" fontId="57" fillId="0" borderId="1" xfId="107" applyFont="1" applyBorder="1" applyAlignment="1" applyProtection="1">
      <alignment vertical="center" wrapText="1"/>
    </xf>
    <xf numFmtId="0" fontId="57" fillId="0" borderId="1" xfId="107" applyFont="1" applyBorder="1" applyAlignment="1" applyProtection="1">
      <alignment horizontal="center" vertical="center" wrapText="1"/>
    </xf>
    <xf numFmtId="0" fontId="40" fillId="0" borderId="1" xfId="107" applyFont="1" applyBorder="1" applyAlignment="1" applyProtection="1">
      <alignment vertical="center" wrapText="1"/>
    </xf>
    <xf numFmtId="0" fontId="55" fillId="0" borderId="1" xfId="107" applyFont="1" applyBorder="1" applyAlignment="1" applyProtection="1">
      <alignment vertical="center" wrapText="1"/>
    </xf>
    <xf numFmtId="9" fontId="57" fillId="0" borderId="1" xfId="107" applyNumberFormat="1" applyFont="1" applyBorder="1" applyAlignment="1" applyProtection="1">
      <alignment vertical="center"/>
    </xf>
    <xf numFmtId="0" fontId="57" fillId="0" borderId="1" xfId="107" applyFont="1" applyBorder="1" applyAlignment="1" applyProtection="1">
      <alignment vertical="center"/>
    </xf>
    <xf numFmtId="9" fontId="10" fillId="0" borderId="1" xfId="107" applyNumberFormat="1" applyFont="1" applyBorder="1" applyAlignment="1" applyProtection="1">
      <alignment vertical="center"/>
    </xf>
    <xf numFmtId="0" fontId="43" fillId="13" borderId="1" xfId="0" applyFont="1" applyFill="1" applyBorder="1" applyAlignment="1" applyProtection="1">
      <alignment vertical="center"/>
    </xf>
    <xf numFmtId="0" fontId="43" fillId="13" borderId="0" xfId="0" applyFont="1" applyFill="1" applyAlignment="1" applyProtection="1">
      <alignment vertical="center"/>
    </xf>
    <xf numFmtId="0" fontId="63" fillId="0" borderId="1" xfId="0" applyFont="1" applyBorder="1" applyAlignment="1" applyProtection="1">
      <alignment wrapText="1"/>
    </xf>
    <xf numFmtId="0" fontId="10" fillId="0" borderId="1" xfId="107" applyFont="1" applyBorder="1" applyAlignment="1" applyProtection="1">
      <alignment vertical="center" wrapText="1"/>
      <protection locked="0"/>
    </xf>
    <xf numFmtId="0" fontId="57" fillId="43" borderId="1" xfId="107" applyFont="1" applyFill="1" applyBorder="1" applyAlignment="1" applyProtection="1">
      <alignment vertical="center" wrapText="1"/>
      <protection locked="0"/>
    </xf>
    <xf numFmtId="0" fontId="57" fillId="0" borderId="1" xfId="107" applyFont="1" applyBorder="1" applyAlignment="1" applyProtection="1">
      <alignment vertical="center" wrapText="1"/>
      <protection locked="0"/>
    </xf>
    <xf numFmtId="0" fontId="10" fillId="0" borderId="1" xfId="107" applyFont="1" applyBorder="1" applyAlignment="1" applyProtection="1">
      <alignment vertical="center"/>
      <protection locked="0"/>
    </xf>
    <xf numFmtId="9" fontId="57" fillId="0" borderId="1" xfId="107" applyNumberFormat="1" applyFont="1" applyBorder="1" applyAlignment="1" applyProtection="1">
      <alignment vertical="center"/>
      <protection locked="0"/>
    </xf>
    <xf numFmtId="43" fontId="55" fillId="0" borderId="1" xfId="1" applyFont="1" applyBorder="1" applyAlignment="1">
      <alignment horizontal="center" vertical="center" wrapText="1" readingOrder="1"/>
    </xf>
    <xf numFmtId="0" fontId="43" fillId="0" borderId="1" xfId="0" applyFont="1" applyBorder="1" applyAlignment="1" applyProtection="1">
      <alignment horizontal="center" vertical="center" wrapText="1"/>
    </xf>
    <xf numFmtId="0" fontId="43" fillId="0" borderId="1" xfId="0" applyFont="1" applyBorder="1" applyAlignment="1" applyProtection="1">
      <alignment horizontal="left" vertical="center" wrapText="1"/>
    </xf>
    <xf numFmtId="0" fontId="43" fillId="0" borderId="2" xfId="0" applyFont="1" applyBorder="1" applyAlignment="1" applyProtection="1">
      <alignment vertical="center"/>
      <protection locked="0"/>
    </xf>
    <xf numFmtId="0" fontId="12" fillId="2" borderId="1" xfId="0" applyFont="1" applyFill="1" applyBorder="1" applyAlignment="1" applyProtection="1">
      <alignment horizontal="right" vertical="center"/>
    </xf>
    <xf numFmtId="0" fontId="0" fillId="36" borderId="1" xfId="0" applyFill="1" applyBorder="1" applyAlignment="1">
      <alignment horizontal="center"/>
    </xf>
    <xf numFmtId="0" fontId="0" fillId="0" borderId="0" xfId="0" applyFill="1" applyBorder="1" applyAlignment="1">
      <alignment horizontal="center"/>
    </xf>
    <xf numFmtId="0" fontId="0" fillId="0" borderId="0" xfId="0" applyAlignment="1">
      <alignment horizontal="center"/>
    </xf>
    <xf numFmtId="2" fontId="0" fillId="0" borderId="1" xfId="0" applyNumberFormat="1" applyBorder="1" applyAlignment="1">
      <alignment horizontal="center"/>
    </xf>
    <xf numFmtId="0" fontId="43" fillId="0" borderId="1" xfId="0" applyFont="1" applyBorder="1" applyAlignment="1" applyProtection="1">
      <alignment horizontal="center" vertical="center"/>
    </xf>
    <xf numFmtId="0" fontId="43" fillId="0" borderId="1" xfId="38" applyFont="1" applyFill="1" applyBorder="1" applyAlignment="1" applyProtection="1">
      <alignment horizontal="left" vertical="center" wrapText="1"/>
    </xf>
    <xf numFmtId="0" fontId="43" fillId="0" borderId="1" xfId="0" applyFont="1" applyBorder="1" applyAlignment="1" applyProtection="1">
      <alignment horizontal="center" vertical="center" wrapText="1"/>
    </xf>
    <xf numFmtId="0" fontId="43" fillId="0" borderId="1" xfId="0" applyFont="1" applyBorder="1" applyAlignment="1" applyProtection="1">
      <alignment horizontal="left" vertical="center" wrapText="1"/>
    </xf>
    <xf numFmtId="0" fontId="43" fillId="0" borderId="1" xfId="38" applyFont="1" applyBorder="1" applyAlignment="1" applyProtection="1">
      <alignment horizontal="left" vertical="center" wrapText="1"/>
    </xf>
    <xf numFmtId="0" fontId="43" fillId="2" borderId="1" xfId="0" applyFont="1" applyFill="1" applyBorder="1" applyAlignment="1" applyProtection="1">
      <alignment vertical="center" wrapText="1"/>
    </xf>
    <xf numFmtId="0" fontId="43" fillId="52" borderId="1" xfId="4" applyFont="1" applyFill="1" applyBorder="1" applyAlignment="1" applyProtection="1">
      <alignment vertical="center" wrapText="1"/>
    </xf>
    <xf numFmtId="0" fontId="43" fillId="52" borderId="1" xfId="8" applyFont="1" applyFill="1" applyBorder="1" applyAlignment="1" applyProtection="1">
      <alignment horizontal="left" vertical="center"/>
    </xf>
    <xf numFmtId="0" fontId="43" fillId="52" borderId="1" xfId="4" applyFont="1" applyFill="1" applyBorder="1" applyAlignment="1" applyProtection="1">
      <alignment vertical="center"/>
    </xf>
    <xf numFmtId="0" fontId="40" fillId="52" borderId="1" xfId="8" applyFont="1" applyFill="1" applyBorder="1" applyAlignment="1" applyProtection="1">
      <alignment horizontal="center" vertical="center"/>
    </xf>
    <xf numFmtId="0" fontId="43" fillId="52" borderId="1" xfId="8" applyFont="1" applyFill="1" applyBorder="1" applyAlignment="1" applyProtection="1">
      <alignment horizontal="center" vertical="center"/>
    </xf>
    <xf numFmtId="0" fontId="43" fillId="52" borderId="1" xfId="8" applyFont="1" applyFill="1" applyBorder="1" applyAlignment="1" applyProtection="1">
      <alignment vertical="center"/>
      <protection locked="0"/>
    </xf>
    <xf numFmtId="0" fontId="0" fillId="52" borderId="1" xfId="0" applyFill="1" applyBorder="1" applyAlignment="1" applyProtection="1">
      <alignment horizontal="center" vertical="center" wrapText="1"/>
      <protection locked="0"/>
    </xf>
    <xf numFmtId="0" fontId="0" fillId="52" borderId="1" xfId="0" applyFill="1" applyBorder="1" applyAlignment="1" applyProtection="1">
      <alignment horizontal="center" vertical="center"/>
      <protection locked="0"/>
    </xf>
    <xf numFmtId="43" fontId="18" fillId="52" borderId="1" xfId="1" applyFont="1" applyFill="1" applyBorder="1" applyAlignment="1" applyProtection="1">
      <alignment horizontal="right" vertical="center"/>
    </xf>
    <xf numFmtId="43" fontId="43" fillId="52" borderId="1" xfId="1" applyFont="1" applyFill="1" applyBorder="1" applyAlignment="1" applyProtection="1">
      <alignment horizontal="right" vertical="center"/>
    </xf>
    <xf numFmtId="1" fontId="43" fillId="52" borderId="1" xfId="8" applyNumberFormat="1" applyFont="1" applyFill="1" applyBorder="1" applyAlignment="1" applyProtection="1">
      <alignment horizontal="left" vertical="center"/>
    </xf>
    <xf numFmtId="2" fontId="43" fillId="52" borderId="1" xfId="8" applyNumberFormat="1" applyFont="1" applyFill="1" applyBorder="1" applyAlignment="1" applyProtection="1">
      <alignment horizontal="right" vertical="center"/>
    </xf>
    <xf numFmtId="2" fontId="43" fillId="52" borderId="0" xfId="8" applyNumberFormat="1" applyFont="1" applyFill="1" applyAlignment="1" applyProtection="1">
      <alignment vertical="center"/>
    </xf>
    <xf numFmtId="0" fontId="43" fillId="52" borderId="0" xfId="8" applyFont="1" applyFill="1" applyAlignment="1" applyProtection="1">
      <alignment vertical="center"/>
    </xf>
    <xf numFmtId="0" fontId="68" fillId="0" borderId="0" xfId="0" applyFont="1" applyAlignment="1" applyProtection="1">
      <alignment vertical="center" wrapText="1"/>
    </xf>
    <xf numFmtId="0" fontId="68" fillId="0" borderId="0" xfId="0" applyFont="1" applyFill="1" applyAlignment="1" applyProtection="1">
      <alignment horizontal="center" vertical="center" wrapText="1"/>
    </xf>
    <xf numFmtId="0" fontId="70" fillId="29" borderId="1" xfId="0" applyFont="1" applyFill="1" applyBorder="1" applyAlignment="1" applyProtection="1">
      <alignment horizontal="center" vertical="center" wrapText="1"/>
    </xf>
    <xf numFmtId="43" fontId="70" fillId="29" borderId="1" xfId="1" applyFont="1" applyFill="1" applyBorder="1" applyAlignment="1" applyProtection="1">
      <alignment horizontal="center" vertical="center" wrapText="1"/>
    </xf>
    <xf numFmtId="0" fontId="67" fillId="30" borderId="1" xfId="0" applyFont="1" applyFill="1" applyBorder="1" applyAlignment="1" applyProtection="1">
      <alignment horizontal="center" vertical="center" wrapText="1"/>
    </xf>
    <xf numFmtId="43" fontId="67" fillId="30" borderId="1" xfId="1" applyFont="1" applyFill="1" applyBorder="1" applyAlignment="1" applyProtection="1">
      <alignment horizontal="center" vertical="center" wrapText="1"/>
    </xf>
    <xf numFmtId="0" fontId="67" fillId="10" borderId="1" xfId="0" applyFont="1" applyFill="1" applyBorder="1" applyAlignment="1" applyProtection="1">
      <alignment horizontal="center" vertical="center" wrapText="1"/>
    </xf>
    <xf numFmtId="0" fontId="67" fillId="28" borderId="1" xfId="8" applyFont="1" applyFill="1" applyBorder="1" applyAlignment="1" applyProtection="1">
      <alignment horizontal="center" vertical="center"/>
    </xf>
    <xf numFmtId="0" fontId="67" fillId="28" borderId="1" xfId="0" applyFont="1" applyFill="1" applyBorder="1" applyAlignment="1" applyProtection="1">
      <alignment horizontal="center" vertical="center" wrapText="1"/>
    </xf>
    <xf numFmtId="43" fontId="66" fillId="0" borderId="1" xfId="1" applyFont="1" applyFill="1" applyBorder="1" applyAlignment="1" applyProtection="1">
      <alignment horizontal="left" vertical="center" wrapText="1"/>
    </xf>
    <xf numFmtId="0" fontId="69" fillId="39" borderId="1" xfId="3" applyFont="1" applyFill="1" applyBorder="1" applyAlignment="1" applyProtection="1">
      <alignment horizontal="left"/>
    </xf>
    <xf numFmtId="0" fontId="66" fillId="18" borderId="1" xfId="38" applyFont="1" applyFill="1" applyBorder="1" applyAlignment="1" applyProtection="1">
      <alignment horizontal="center" vertical="center" wrapText="1"/>
    </xf>
    <xf numFmtId="0" fontId="66" fillId="24" borderId="1" xfId="38" applyFont="1" applyFill="1" applyBorder="1" applyAlignment="1" applyProtection="1">
      <alignment horizontal="center" vertical="center" wrapText="1"/>
    </xf>
    <xf numFmtId="43" fontId="66" fillId="24" borderId="1" xfId="1" applyFont="1" applyFill="1" applyBorder="1" applyAlignment="1" applyProtection="1">
      <alignment horizontal="center" vertical="center" wrapText="1"/>
    </xf>
    <xf numFmtId="0" fontId="66" fillId="5" borderId="1" xfId="38" applyFont="1" applyFill="1" applyBorder="1" applyAlignment="1" applyProtection="1">
      <alignment horizontal="center" vertical="center" wrapText="1"/>
    </xf>
    <xf numFmtId="43" fontId="66" fillId="5" borderId="1" xfId="1" applyFont="1" applyFill="1" applyBorder="1" applyAlignment="1" applyProtection="1">
      <alignment horizontal="center" vertical="center" wrapText="1"/>
    </xf>
    <xf numFmtId="43" fontId="71" fillId="7" borderId="1" xfId="1" applyFont="1" applyFill="1" applyBorder="1" applyAlignment="1" applyProtection="1">
      <alignment horizontal="center" vertical="center" wrapText="1"/>
    </xf>
    <xf numFmtId="43" fontId="71" fillId="7" borderId="1" xfId="1" applyFont="1" applyFill="1" applyBorder="1" applyAlignment="1" applyProtection="1">
      <alignment horizontal="right" vertical="center" wrapText="1"/>
    </xf>
    <xf numFmtId="0" fontId="68" fillId="2" borderId="1" xfId="4" applyFont="1" applyFill="1" applyBorder="1" applyAlignment="1" applyProtection="1">
      <alignment horizontal="left" vertical="center" wrapText="1"/>
    </xf>
    <xf numFmtId="0" fontId="66" fillId="2" borderId="1" xfId="4" applyFont="1" applyFill="1" applyBorder="1" applyAlignment="1" applyProtection="1">
      <alignment horizontal="left" vertical="center" wrapText="1"/>
    </xf>
    <xf numFmtId="0" fontId="66" fillId="2" borderId="1" xfId="4" applyFont="1" applyFill="1" applyBorder="1" applyAlignment="1" applyProtection="1">
      <alignment horizontal="center" vertical="center" wrapText="1"/>
    </xf>
    <xf numFmtId="0" fontId="68" fillId="2" borderId="1" xfId="4" applyFont="1" applyFill="1" applyBorder="1" applyAlignment="1" applyProtection="1">
      <alignment horizontal="center" vertical="center" wrapText="1"/>
    </xf>
    <xf numFmtId="43" fontId="72" fillId="2" borderId="1" xfId="1" applyFont="1" applyFill="1" applyBorder="1" applyAlignment="1" applyProtection="1">
      <alignment horizontal="center" vertical="center" wrapText="1"/>
    </xf>
    <xf numFmtId="43" fontId="67" fillId="2" borderId="1" xfId="1" applyFont="1" applyFill="1" applyBorder="1" applyAlignment="1" applyProtection="1">
      <alignment horizontal="center" vertical="center" wrapText="1"/>
    </xf>
    <xf numFmtId="43" fontId="67" fillId="2" borderId="1" xfId="1" applyFont="1" applyFill="1" applyBorder="1" applyAlignment="1" applyProtection="1">
      <alignment horizontal="right" vertical="center" wrapText="1"/>
    </xf>
    <xf numFmtId="0" fontId="68" fillId="4" borderId="1" xfId="4" applyFont="1" applyFill="1" applyBorder="1" applyAlignment="1" applyProtection="1">
      <alignment horizontal="left" vertical="center" wrapText="1"/>
    </xf>
    <xf numFmtId="0" fontId="66" fillId="4" borderId="1" xfId="4" applyFont="1" applyFill="1" applyBorder="1" applyAlignment="1" applyProtection="1">
      <alignment horizontal="left" vertical="center" wrapText="1"/>
    </xf>
    <xf numFmtId="0" fontId="68" fillId="4" borderId="1" xfId="4" applyFont="1" applyFill="1" applyBorder="1" applyAlignment="1" applyProtection="1">
      <alignment horizontal="center" vertical="center" wrapText="1"/>
    </xf>
    <xf numFmtId="0" fontId="66" fillId="4" borderId="1" xfId="4" applyFont="1" applyFill="1" applyBorder="1" applyAlignment="1" applyProtection="1">
      <alignment horizontal="center" vertical="center" wrapText="1"/>
    </xf>
    <xf numFmtId="43" fontId="66" fillId="4" borderId="1" xfId="1" applyFont="1" applyFill="1" applyBorder="1" applyAlignment="1" applyProtection="1">
      <alignment horizontal="center" vertical="center" wrapText="1"/>
    </xf>
    <xf numFmtId="43" fontId="66" fillId="4" borderId="1" xfId="1" applyFont="1" applyFill="1" applyBorder="1" applyAlignment="1" applyProtection="1">
      <alignment horizontal="right" vertical="center" wrapText="1"/>
    </xf>
    <xf numFmtId="0" fontId="68" fillId="0" borderId="1" xfId="0" applyFont="1" applyFill="1" applyBorder="1" applyAlignment="1" applyProtection="1">
      <alignment horizontal="left" vertical="center" wrapText="1"/>
    </xf>
    <xf numFmtId="0" fontId="72" fillId="0" borderId="1" xfId="4" applyFont="1" applyBorder="1" applyAlignment="1" applyProtection="1">
      <alignment horizontal="left" vertical="center" wrapText="1"/>
    </xf>
    <xf numFmtId="0" fontId="67" fillId="29" borderId="1" xfId="0" applyFont="1" applyFill="1" applyBorder="1" applyAlignment="1" applyProtection="1">
      <alignment horizontal="center" vertical="center" wrapText="1"/>
    </xf>
    <xf numFmtId="0" fontId="72" fillId="0" borderId="1" xfId="0" applyFont="1" applyBorder="1" applyAlignment="1" applyProtection="1">
      <alignment horizontal="center" vertical="center" wrapText="1"/>
    </xf>
    <xf numFmtId="0" fontId="68" fillId="0" borderId="1" xfId="8" applyFont="1" applyBorder="1" applyAlignment="1" applyProtection="1">
      <alignment horizontal="center" vertical="center" wrapText="1"/>
      <protection locked="0"/>
    </xf>
    <xf numFmtId="0" fontId="68" fillId="54" borderId="1" xfId="0" applyFont="1" applyFill="1" applyBorder="1" applyAlignment="1" applyProtection="1">
      <alignment horizontal="center" vertical="center" wrapText="1"/>
      <protection locked="0"/>
    </xf>
    <xf numFmtId="0" fontId="68" fillId="0" borderId="1" xfId="0" applyFont="1" applyBorder="1" applyAlignment="1" applyProtection="1">
      <alignment horizontal="left" vertical="center" wrapText="1"/>
    </xf>
    <xf numFmtId="43" fontId="68" fillId="0" borderId="1" xfId="1" applyFont="1" applyBorder="1" applyAlignment="1" applyProtection="1">
      <alignment horizontal="left" vertical="center" wrapText="1"/>
    </xf>
    <xf numFmtId="0" fontId="68" fillId="0" borderId="1" xfId="0" applyFont="1" applyBorder="1" applyAlignment="1" applyProtection="1">
      <alignment horizontal="center" vertical="center" wrapText="1"/>
      <protection locked="0"/>
    </xf>
    <xf numFmtId="0" fontId="72" fillId="0" borderId="1" xfId="8" applyFont="1" applyBorder="1" applyAlignment="1" applyProtection="1">
      <alignment horizontal="center" vertical="center" wrapText="1"/>
      <protection locked="0"/>
    </xf>
    <xf numFmtId="0" fontId="74" fillId="0" borderId="1" xfId="0" applyFont="1" applyBorder="1" applyAlignment="1" applyProtection="1">
      <alignment horizontal="left" vertical="center" wrapText="1"/>
      <protection locked="0"/>
    </xf>
    <xf numFmtId="0" fontId="72" fillId="0" borderId="1" xfId="4" applyFont="1" applyFill="1" applyBorder="1" applyAlignment="1" applyProtection="1">
      <alignment horizontal="left" vertical="center" wrapText="1"/>
    </xf>
    <xf numFmtId="2" fontId="68" fillId="0" borderId="1" xfId="0" applyNumberFormat="1" applyFont="1" applyBorder="1" applyAlignment="1" applyProtection="1">
      <alignment horizontal="center" vertical="center" wrapText="1"/>
      <protection locked="0"/>
    </xf>
    <xf numFmtId="0" fontId="66" fillId="29"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43" fontId="67" fillId="6" borderId="1" xfId="1" applyFont="1" applyFill="1" applyBorder="1" applyAlignment="1" applyProtection="1">
      <alignment horizontal="right" vertical="center" wrapText="1"/>
    </xf>
    <xf numFmtId="0" fontId="72"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protection locked="0"/>
    </xf>
    <xf numFmtId="43" fontId="72" fillId="0" borderId="1" xfId="1" applyFont="1" applyFill="1" applyBorder="1" applyAlignment="1" applyProtection="1">
      <alignment horizontal="center" vertical="center" wrapText="1"/>
    </xf>
    <xf numFmtId="43" fontId="68" fillId="0" borderId="1" xfId="1" applyFont="1" applyFill="1" applyBorder="1" applyAlignment="1" applyProtection="1">
      <alignment horizontal="left" vertical="center" wrapText="1"/>
    </xf>
    <xf numFmtId="0" fontId="68" fillId="11" borderId="1" xfId="0" applyFont="1" applyFill="1" applyBorder="1" applyAlignment="1" applyProtection="1">
      <alignment horizontal="center" vertical="center" wrapText="1"/>
      <protection locked="0"/>
    </xf>
    <xf numFmtId="0" fontId="67" fillId="0" borderId="1" xfId="4" applyFont="1" applyFill="1" applyBorder="1" applyAlignment="1" applyProtection="1">
      <alignment horizontal="left" vertical="center" wrapText="1"/>
    </xf>
    <xf numFmtId="0" fontId="68" fillId="0" borderId="1" xfId="4" applyFont="1" applyBorder="1" applyAlignment="1" applyProtection="1">
      <alignment horizontal="left" vertical="center" wrapText="1"/>
    </xf>
    <xf numFmtId="0" fontId="68" fillId="10" borderId="1" xfId="0" applyFont="1" applyFill="1" applyBorder="1" applyAlignment="1" applyProtection="1">
      <alignment horizontal="left" vertical="center" wrapText="1"/>
      <protection locked="0"/>
    </xf>
    <xf numFmtId="43" fontId="68" fillId="10" borderId="1" xfId="1" applyFont="1" applyFill="1" applyBorder="1" applyAlignment="1" applyProtection="1">
      <alignment horizontal="right" vertical="center" wrapText="1"/>
      <protection locked="0"/>
    </xf>
    <xf numFmtId="0" fontId="67" fillId="6" borderId="1" xfId="0" applyFont="1" applyFill="1" applyBorder="1" applyAlignment="1" applyProtection="1">
      <alignment horizontal="left" vertical="center" wrapText="1"/>
    </xf>
    <xf numFmtId="0" fontId="68" fillId="0" borderId="1" xfId="8" applyFont="1" applyBorder="1" applyAlignment="1" applyProtection="1">
      <alignment horizontal="center" vertical="center" wrapText="1"/>
    </xf>
    <xf numFmtId="0" fontId="72" fillId="11" borderId="1" xfId="4" applyFont="1" applyFill="1" applyBorder="1" applyAlignment="1" applyProtection="1">
      <alignment horizontal="left" vertical="center" wrapText="1"/>
    </xf>
    <xf numFmtId="0" fontId="68" fillId="0" borderId="1" xfId="0" applyFont="1" applyBorder="1" applyAlignment="1" applyProtection="1">
      <alignment horizontal="center" wrapText="1"/>
      <protection locked="0"/>
    </xf>
    <xf numFmtId="43" fontId="67" fillId="0" borderId="1" xfId="1" applyFont="1" applyFill="1" applyBorder="1" applyAlignment="1" applyProtection="1">
      <alignment horizontal="center" vertical="center" wrapText="1"/>
    </xf>
    <xf numFmtId="43" fontId="67" fillId="0" borderId="1" xfId="1" applyFont="1" applyFill="1" applyBorder="1" applyAlignment="1" applyProtection="1">
      <alignment horizontal="right" vertical="center" wrapText="1"/>
    </xf>
    <xf numFmtId="0" fontId="67" fillId="0" borderId="1" xfId="0" applyFont="1" applyFill="1" applyBorder="1" applyAlignment="1" applyProtection="1">
      <alignment horizontal="center" vertical="center" wrapText="1"/>
    </xf>
    <xf numFmtId="0" fontId="67" fillId="4" borderId="1" xfId="0" applyFont="1" applyFill="1" applyBorder="1" applyAlignment="1" applyProtection="1">
      <alignment horizontal="center" vertical="center" wrapText="1"/>
    </xf>
    <xf numFmtId="43" fontId="67" fillId="4" borderId="1" xfId="1" applyFont="1" applyFill="1" applyBorder="1" applyAlignment="1" applyProtection="1">
      <alignment horizontal="right" vertical="center" wrapText="1"/>
    </xf>
    <xf numFmtId="0" fontId="74" fillId="0" borderId="1" xfId="0" applyFont="1" applyBorder="1" applyAlignment="1" applyProtection="1">
      <alignment horizontal="left" vertical="top" wrapText="1"/>
      <protection locked="0"/>
    </xf>
    <xf numFmtId="43" fontId="68" fillId="0" borderId="0" xfId="1" applyFont="1" applyAlignment="1" applyProtection="1">
      <alignment horizontal="right" vertical="center" wrapText="1"/>
    </xf>
    <xf numFmtId="0" fontId="66" fillId="11" borderId="1" xfId="0" applyFont="1" applyFill="1" applyBorder="1" applyAlignment="1" applyProtection="1">
      <alignment horizontal="center" vertical="center" wrapText="1"/>
      <protection locked="0"/>
    </xf>
    <xf numFmtId="0" fontId="67" fillId="11" borderId="1" xfId="8" applyFont="1" applyFill="1" applyBorder="1" applyAlignment="1" applyProtection="1">
      <alignment horizontal="center" vertical="center" wrapText="1"/>
      <protection locked="0"/>
    </xf>
    <xf numFmtId="0" fontId="72" fillId="0" borderId="1" xfId="0" applyFont="1" applyBorder="1" applyAlignment="1" applyProtection="1">
      <alignment horizontal="left" vertical="center" wrapText="1"/>
      <protection locked="0"/>
    </xf>
    <xf numFmtId="0" fontId="68" fillId="0" borderId="1" xfId="0" applyFont="1" applyBorder="1" applyAlignment="1" applyProtection="1">
      <alignment horizontal="left" vertical="center" wrapText="1"/>
      <protection locked="0"/>
    </xf>
    <xf numFmtId="0" fontId="68" fillId="0" borderId="1" xfId="0" applyFont="1" applyFill="1" applyBorder="1" applyAlignment="1" applyProtection="1">
      <alignment vertical="center" wrapText="1"/>
      <protection locked="0"/>
    </xf>
    <xf numFmtId="0" fontId="68" fillId="0" borderId="1" xfId="0" applyFont="1" applyBorder="1" applyAlignment="1" applyProtection="1">
      <alignment vertical="center" wrapText="1"/>
      <protection locked="0"/>
    </xf>
    <xf numFmtId="2" fontId="68" fillId="0" borderId="1" xfId="4" applyNumberFormat="1" applyFont="1" applyFill="1" applyBorder="1" applyAlignment="1" applyProtection="1">
      <alignment horizontal="left" vertical="top" wrapText="1"/>
      <protection locked="0"/>
    </xf>
    <xf numFmtId="0" fontId="81" fillId="29" borderId="1" xfId="0" applyFont="1" applyFill="1" applyBorder="1" applyAlignment="1" applyProtection="1">
      <alignment horizontal="center" vertical="center" wrapText="1"/>
    </xf>
    <xf numFmtId="43" fontId="66" fillId="29" borderId="1" xfId="1" applyFont="1" applyFill="1" applyBorder="1" applyAlignment="1" applyProtection="1">
      <alignment horizontal="center" vertical="center" wrapText="1"/>
    </xf>
    <xf numFmtId="0" fontId="64" fillId="0" borderId="1" xfId="0" applyFont="1" applyFill="1" applyBorder="1" applyAlignment="1" applyProtection="1">
      <alignment horizontal="center" vertical="top" wrapText="1"/>
    </xf>
    <xf numFmtId="0" fontId="68" fillId="0" borderId="0" xfId="0" applyFont="1" applyAlignment="1" applyProtection="1">
      <alignment vertical="top" wrapText="1"/>
    </xf>
    <xf numFmtId="0" fontId="68" fillId="0" borderId="0" xfId="0" applyFont="1" applyFill="1" applyAlignment="1" applyProtection="1">
      <alignment horizontal="center" vertical="top" wrapText="1"/>
    </xf>
    <xf numFmtId="0" fontId="68" fillId="0" borderId="1" xfId="0" applyFont="1" applyFill="1" applyBorder="1" applyAlignment="1" applyProtection="1">
      <alignment horizontal="center" vertical="top" wrapText="1"/>
    </xf>
    <xf numFmtId="0" fontId="66" fillId="29" borderId="1" xfId="0" applyFont="1" applyFill="1" applyBorder="1" applyAlignment="1" applyProtection="1">
      <alignment horizontal="center" vertical="top" wrapText="1"/>
    </xf>
    <xf numFmtId="43" fontId="66" fillId="29" borderId="1" xfId="1" applyFont="1" applyFill="1" applyBorder="1" applyAlignment="1" applyProtection="1">
      <alignment horizontal="center" vertical="top" wrapText="1"/>
    </xf>
    <xf numFmtId="0" fontId="67" fillId="30" borderId="1" xfId="0" applyFont="1" applyFill="1" applyBorder="1" applyAlignment="1" applyProtection="1">
      <alignment horizontal="center" vertical="top" wrapText="1"/>
    </xf>
    <xf numFmtId="43" fontId="67" fillId="30" borderId="1" xfId="1" applyFont="1" applyFill="1" applyBorder="1" applyAlignment="1" applyProtection="1">
      <alignment horizontal="center" vertical="top" wrapText="1"/>
    </xf>
    <xf numFmtId="0" fontId="67" fillId="10" borderId="1" xfId="0" applyFont="1" applyFill="1" applyBorder="1" applyAlignment="1" applyProtection="1">
      <alignment horizontal="center" vertical="top" wrapText="1"/>
    </xf>
    <xf numFmtId="0" fontId="67" fillId="28" borderId="1" xfId="8" applyFont="1" applyFill="1" applyBorder="1" applyAlignment="1" applyProtection="1">
      <alignment horizontal="center" vertical="top"/>
    </xf>
    <xf numFmtId="43" fontId="67" fillId="28" borderId="1" xfId="1" applyFont="1" applyFill="1" applyBorder="1" applyAlignment="1" applyProtection="1">
      <alignment horizontal="center" vertical="top" wrapText="1"/>
    </xf>
    <xf numFmtId="0" fontId="67" fillId="28" borderId="1" xfId="0" applyFont="1" applyFill="1" applyBorder="1" applyAlignment="1" applyProtection="1">
      <alignment horizontal="center" vertical="top" wrapText="1"/>
    </xf>
    <xf numFmtId="0" fontId="69" fillId="39" borderId="1" xfId="3" applyFont="1" applyFill="1" applyBorder="1" applyAlignment="1" applyProtection="1">
      <alignment horizontal="left" vertical="top"/>
    </xf>
    <xf numFmtId="43" fontId="66" fillId="0" borderId="1" xfId="1" applyFont="1" applyFill="1" applyBorder="1" applyAlignment="1" applyProtection="1">
      <alignment horizontal="left" vertical="top" wrapText="1"/>
    </xf>
    <xf numFmtId="43" fontId="66" fillId="0" borderId="1" xfId="1" applyFont="1" applyFill="1" applyBorder="1" applyAlignment="1" applyProtection="1">
      <alignment horizontal="center" vertical="top" wrapText="1"/>
    </xf>
    <xf numFmtId="43" fontId="66" fillId="0" borderId="1" xfId="1" applyFont="1" applyBorder="1" applyAlignment="1" applyProtection="1">
      <alignment horizontal="center" vertical="top" wrapText="1"/>
    </xf>
    <xf numFmtId="0" fontId="66" fillId="0" borderId="0" xfId="0" applyFont="1" applyFill="1" applyAlignment="1" applyProtection="1">
      <alignment horizontal="center" vertical="top" wrapText="1"/>
    </xf>
    <xf numFmtId="0" fontId="68" fillId="0" borderId="0" xfId="0" applyFont="1" applyAlignment="1" applyProtection="1">
      <alignment horizontal="center" vertical="top" wrapText="1"/>
    </xf>
    <xf numFmtId="0" fontId="66" fillId="18" borderId="1" xfId="38" applyFont="1" applyFill="1" applyBorder="1" applyAlignment="1" applyProtection="1">
      <alignment horizontal="center" vertical="top" wrapText="1"/>
    </xf>
    <xf numFmtId="0" fontId="66" fillId="24" borderId="1" xfId="38" applyFont="1" applyFill="1" applyBorder="1" applyAlignment="1" applyProtection="1">
      <alignment horizontal="center" vertical="top" wrapText="1"/>
    </xf>
    <xf numFmtId="43" fontId="66" fillId="24" borderId="1" xfId="1" applyFont="1" applyFill="1" applyBorder="1" applyAlignment="1" applyProtection="1">
      <alignment horizontal="center" vertical="top" wrapText="1"/>
    </xf>
    <xf numFmtId="0" fontId="66" fillId="5" borderId="1" xfId="38" applyFont="1" applyFill="1" applyBorder="1" applyAlignment="1" applyProtection="1">
      <alignment horizontal="center" vertical="top" wrapText="1"/>
    </xf>
    <xf numFmtId="43" fontId="66" fillId="5" borderId="1" xfId="1" applyFont="1" applyFill="1" applyBorder="1" applyAlignment="1" applyProtection="1">
      <alignment horizontal="center" vertical="top" wrapText="1"/>
    </xf>
    <xf numFmtId="0" fontId="72" fillId="0" borderId="0" xfId="38" applyFont="1" applyBorder="1" applyAlignment="1" applyProtection="1">
      <alignment horizontal="center" vertical="top" wrapText="1"/>
    </xf>
    <xf numFmtId="0" fontId="71" fillId="7" borderId="1" xfId="38" applyFont="1" applyFill="1" applyBorder="1" applyAlignment="1" applyProtection="1">
      <alignment horizontal="left" vertical="top" wrapText="1"/>
    </xf>
    <xf numFmtId="0" fontId="73" fillId="7" borderId="1" xfId="38" applyFont="1" applyFill="1" applyBorder="1" applyAlignment="1" applyProtection="1">
      <alignment horizontal="left" vertical="top" wrapText="1"/>
    </xf>
    <xf numFmtId="0" fontId="71" fillId="7" borderId="1" xfId="38" applyFont="1" applyFill="1" applyBorder="1" applyAlignment="1" applyProtection="1">
      <alignment horizontal="center" vertical="top" wrapText="1"/>
    </xf>
    <xf numFmtId="0" fontId="73" fillId="7" borderId="1" xfId="38" applyFont="1" applyFill="1" applyBorder="1" applyAlignment="1" applyProtection="1">
      <alignment horizontal="center" vertical="top" wrapText="1"/>
    </xf>
    <xf numFmtId="43" fontId="71" fillId="7" borderId="1" xfId="1" applyFont="1" applyFill="1" applyBorder="1" applyAlignment="1" applyProtection="1">
      <alignment horizontal="center" vertical="top" wrapText="1"/>
    </xf>
    <xf numFmtId="43" fontId="71" fillId="7" borderId="1" xfId="1" applyFont="1" applyFill="1" applyBorder="1" applyAlignment="1" applyProtection="1">
      <alignment horizontal="right" vertical="top" wrapText="1"/>
    </xf>
    <xf numFmtId="0" fontId="72" fillId="0" borderId="0" xfId="38" applyFont="1" applyBorder="1" applyAlignment="1" applyProtection="1">
      <alignment vertical="top" wrapText="1"/>
    </xf>
    <xf numFmtId="0" fontId="67" fillId="2" borderId="1" xfId="38" applyFont="1" applyFill="1" applyBorder="1" applyAlignment="1" applyProtection="1">
      <alignment horizontal="left" vertical="top" wrapText="1"/>
    </xf>
    <xf numFmtId="0" fontId="68" fillId="2" borderId="1" xfId="4" applyFont="1" applyFill="1" applyBorder="1" applyAlignment="1" applyProtection="1">
      <alignment horizontal="left" vertical="top" wrapText="1"/>
    </xf>
    <xf numFmtId="0" fontId="66" fillId="2" borderId="1" xfId="4" applyFont="1" applyFill="1" applyBorder="1" applyAlignment="1" applyProtection="1">
      <alignment horizontal="left" vertical="top" wrapText="1"/>
    </xf>
    <xf numFmtId="0" fontId="66" fillId="2" borderId="1" xfId="4" applyFont="1" applyFill="1" applyBorder="1" applyAlignment="1" applyProtection="1">
      <alignment horizontal="center" vertical="top" wrapText="1"/>
    </xf>
    <xf numFmtId="0" fontId="68" fillId="2" borderId="1" xfId="4" applyFont="1" applyFill="1" applyBorder="1" applyAlignment="1" applyProtection="1">
      <alignment horizontal="center" vertical="top" wrapText="1"/>
    </xf>
    <xf numFmtId="2" fontId="68" fillId="2" borderId="1" xfId="4" applyNumberFormat="1" applyFont="1" applyFill="1" applyBorder="1" applyAlignment="1" applyProtection="1">
      <alignment horizontal="center" vertical="top" wrapText="1"/>
    </xf>
    <xf numFmtId="0" fontId="72" fillId="2" borderId="1" xfId="38" applyFont="1" applyFill="1" applyBorder="1" applyAlignment="1" applyProtection="1">
      <alignment horizontal="center" vertical="top" wrapText="1"/>
    </xf>
    <xf numFmtId="43" fontId="72" fillId="2" borderId="1" xfId="1" applyFont="1" applyFill="1" applyBorder="1" applyAlignment="1" applyProtection="1">
      <alignment horizontal="center" vertical="top" wrapText="1"/>
    </xf>
    <xf numFmtId="0" fontId="67" fillId="2" borderId="1" xfId="38" applyFont="1" applyFill="1" applyBorder="1" applyAlignment="1" applyProtection="1">
      <alignment horizontal="center" vertical="top" wrapText="1"/>
    </xf>
    <xf numFmtId="43" fontId="67" fillId="2" borderId="1" xfId="1" applyFont="1" applyFill="1" applyBorder="1" applyAlignment="1" applyProtection="1">
      <alignment horizontal="center" vertical="top" wrapText="1"/>
    </xf>
    <xf numFmtId="0" fontId="72" fillId="2" borderId="1" xfId="38" applyFont="1" applyFill="1" applyBorder="1" applyAlignment="1" applyProtection="1">
      <alignment horizontal="left" vertical="top" wrapText="1"/>
    </xf>
    <xf numFmtId="43" fontId="67" fillId="2" borderId="1" xfId="1" applyFont="1" applyFill="1" applyBorder="1" applyAlignment="1" applyProtection="1">
      <alignment horizontal="right" vertical="top" wrapText="1"/>
    </xf>
    <xf numFmtId="0" fontId="66" fillId="4" borderId="1" xfId="38" applyFont="1" applyFill="1" applyBorder="1" applyAlignment="1" applyProtection="1">
      <alignment horizontal="left" vertical="top" wrapText="1"/>
    </xf>
    <xf numFmtId="0" fontId="68" fillId="4" borderId="1" xfId="4" applyFont="1" applyFill="1" applyBorder="1" applyAlignment="1" applyProtection="1">
      <alignment horizontal="left" vertical="top" wrapText="1"/>
    </xf>
    <xf numFmtId="0" fontId="66" fillId="4" borderId="1" xfId="4" applyFont="1" applyFill="1" applyBorder="1" applyAlignment="1" applyProtection="1">
      <alignment horizontal="left" vertical="top" wrapText="1"/>
    </xf>
    <xf numFmtId="0" fontId="66" fillId="4" borderId="1" xfId="38" applyFont="1" applyFill="1" applyBorder="1" applyAlignment="1" applyProtection="1">
      <alignment horizontal="center" vertical="top" wrapText="1"/>
    </xf>
    <xf numFmtId="0" fontId="68" fillId="4" borderId="1" xfId="4" applyFont="1" applyFill="1" applyBorder="1" applyAlignment="1" applyProtection="1">
      <alignment horizontal="center" vertical="top" wrapText="1"/>
    </xf>
    <xf numFmtId="0" fontId="66" fillId="4" borderId="1" xfId="4" applyFont="1" applyFill="1" applyBorder="1" applyAlignment="1" applyProtection="1">
      <alignment horizontal="center" vertical="top" wrapText="1"/>
    </xf>
    <xf numFmtId="43" fontId="66" fillId="4" borderId="1" xfId="1" applyFont="1" applyFill="1" applyBorder="1" applyAlignment="1" applyProtection="1">
      <alignment horizontal="center" vertical="top" wrapText="1"/>
    </xf>
    <xf numFmtId="43" fontId="66" fillId="4" borderId="1" xfId="1" applyFont="1" applyFill="1" applyBorder="1" applyAlignment="1" applyProtection="1">
      <alignment horizontal="right" vertical="top" wrapText="1"/>
    </xf>
    <xf numFmtId="0" fontId="68" fillId="0" borderId="0" xfId="0" applyFont="1" applyBorder="1" applyAlignment="1" applyProtection="1">
      <alignment vertical="top" wrapText="1"/>
    </xf>
    <xf numFmtId="0" fontId="68" fillId="0" borderId="1" xfId="0" applyFont="1" applyFill="1" applyBorder="1" applyAlignment="1" applyProtection="1">
      <alignment horizontal="left" vertical="top" wrapText="1"/>
    </xf>
    <xf numFmtId="0" fontId="72" fillId="0" borderId="1" xfId="4" applyFont="1" applyBorder="1" applyAlignment="1" applyProtection="1">
      <alignment horizontal="left" vertical="top" wrapText="1"/>
    </xf>
    <xf numFmtId="0" fontId="67" fillId="29" borderId="1" xfId="0" applyFont="1" applyFill="1" applyBorder="1" applyAlignment="1" applyProtection="1">
      <alignment horizontal="center" vertical="top" wrapText="1"/>
    </xf>
    <xf numFmtId="0" fontId="72" fillId="0" borderId="1" xfId="0" applyFont="1" applyBorder="1" applyAlignment="1" applyProtection="1">
      <alignment horizontal="center" vertical="top" wrapText="1"/>
    </xf>
    <xf numFmtId="0" fontId="68" fillId="0" borderId="1" xfId="8" applyFont="1" applyBorder="1" applyAlignment="1" applyProtection="1">
      <alignment horizontal="center" vertical="top" wrapText="1"/>
      <protection locked="0"/>
    </xf>
    <xf numFmtId="0" fontId="68" fillId="54" borderId="1" xfId="0" applyFont="1" applyFill="1" applyBorder="1" applyAlignment="1" applyProtection="1">
      <alignment horizontal="center" vertical="top" wrapText="1"/>
      <protection locked="0"/>
    </xf>
    <xf numFmtId="43" fontId="72" fillId="0" borderId="1" xfId="1" applyFont="1" applyBorder="1" applyAlignment="1" applyProtection="1">
      <alignment horizontal="center" vertical="top" wrapText="1"/>
    </xf>
    <xf numFmtId="0" fontId="68" fillId="0" borderId="1" xfId="0" applyFont="1" applyBorder="1" applyAlignment="1" applyProtection="1">
      <alignment horizontal="left" vertical="top" wrapText="1"/>
    </xf>
    <xf numFmtId="43" fontId="68" fillId="0" borderId="1" xfId="1" applyFont="1" applyBorder="1" applyAlignment="1" applyProtection="1">
      <alignment horizontal="left" vertical="top" wrapText="1"/>
    </xf>
    <xf numFmtId="0" fontId="68" fillId="0" borderId="1" xfId="0" applyFont="1" applyBorder="1" applyAlignment="1" applyProtection="1">
      <alignment horizontal="center" vertical="top" wrapText="1"/>
      <protection locked="0"/>
    </xf>
    <xf numFmtId="167" fontId="68" fillId="54" borderId="1" xfId="0" applyNumberFormat="1" applyFont="1" applyFill="1" applyBorder="1" applyAlignment="1" applyProtection="1">
      <alignment horizontal="center" vertical="top" wrapText="1"/>
      <protection locked="0"/>
    </xf>
    <xf numFmtId="167" fontId="68" fillId="0" borderId="1" xfId="0" applyNumberFormat="1" applyFont="1" applyBorder="1" applyAlignment="1" applyProtection="1">
      <alignment horizontal="center" vertical="top" wrapText="1"/>
      <protection locked="0"/>
    </xf>
    <xf numFmtId="0" fontId="72" fillId="0" borderId="1" xfId="8" applyFont="1" applyBorder="1" applyAlignment="1" applyProtection="1">
      <alignment horizontal="center" vertical="top" wrapText="1"/>
      <protection locked="0"/>
    </xf>
    <xf numFmtId="0" fontId="72" fillId="0" borderId="1" xfId="4" applyFont="1" applyFill="1" applyBorder="1" applyAlignment="1" applyProtection="1">
      <alignment horizontal="left" vertical="top" wrapText="1"/>
    </xf>
    <xf numFmtId="2" fontId="68" fillId="0" borderId="1" xfId="0" applyNumberFormat="1" applyFont="1" applyBorder="1" applyAlignment="1" applyProtection="1">
      <alignment horizontal="center" vertical="top" wrapText="1"/>
      <protection locked="0"/>
    </xf>
    <xf numFmtId="0" fontId="68" fillId="0" borderId="1" xfId="0" applyFont="1" applyBorder="1" applyAlignment="1" applyProtection="1">
      <alignment horizontal="center" vertical="top" wrapText="1"/>
    </xf>
    <xf numFmtId="0" fontId="66" fillId="4" borderId="1" xfId="4" applyFont="1" applyFill="1" applyBorder="1" applyAlignment="1" applyProtection="1">
      <alignment horizontal="center" vertical="top" wrapText="1"/>
      <protection locked="0"/>
    </xf>
    <xf numFmtId="0" fontId="66" fillId="4" borderId="1" xfId="38" applyFont="1" applyFill="1" applyBorder="1" applyAlignment="1" applyProtection="1">
      <alignment horizontal="center" vertical="top" wrapText="1"/>
      <protection locked="0"/>
    </xf>
    <xf numFmtId="0" fontId="68" fillId="4" borderId="1" xfId="4" applyFont="1" applyFill="1" applyBorder="1" applyAlignment="1" applyProtection="1">
      <alignment horizontal="center" vertical="top" wrapText="1"/>
      <protection locked="0"/>
    </xf>
    <xf numFmtId="43" fontId="67" fillId="4" borderId="1" xfId="1" applyFont="1" applyFill="1" applyBorder="1" applyAlignment="1" applyProtection="1">
      <alignment horizontal="center" vertical="top" wrapText="1"/>
    </xf>
    <xf numFmtId="0" fontId="67" fillId="4" borderId="1" xfId="4" applyFont="1" applyFill="1" applyBorder="1" applyAlignment="1" applyProtection="1">
      <alignment horizontal="center" vertical="top" wrapText="1"/>
      <protection locked="0"/>
    </xf>
    <xf numFmtId="0" fontId="66" fillId="4" borderId="1" xfId="4" applyFont="1" applyFill="1" applyBorder="1" applyAlignment="1" applyProtection="1">
      <alignment horizontal="left" vertical="top" wrapText="1"/>
      <protection locked="0"/>
    </xf>
    <xf numFmtId="0" fontId="68" fillId="0" borderId="1" xfId="0" applyFont="1" applyBorder="1" applyAlignment="1" applyProtection="1">
      <alignment horizontal="center" vertical="top"/>
      <protection locked="0"/>
    </xf>
    <xf numFmtId="0" fontId="66" fillId="11" borderId="1" xfId="0" applyFont="1" applyFill="1" applyBorder="1" applyAlignment="1" applyProtection="1">
      <alignment horizontal="center" vertical="top" wrapText="1"/>
      <protection locked="0"/>
    </xf>
    <xf numFmtId="166" fontId="66" fillId="11" borderId="1" xfId="1" applyNumberFormat="1" applyFont="1" applyFill="1" applyBorder="1" applyAlignment="1" applyProtection="1">
      <alignment horizontal="center" vertical="top"/>
      <protection locked="0"/>
    </xf>
    <xf numFmtId="167" fontId="66" fillId="11" borderId="1" xfId="0" applyNumberFormat="1" applyFont="1" applyFill="1" applyBorder="1" applyAlignment="1" applyProtection="1">
      <alignment horizontal="center" vertical="top" wrapText="1"/>
      <protection locked="0"/>
    </xf>
    <xf numFmtId="2" fontId="67" fillId="11" borderId="1" xfId="8" applyNumberFormat="1" applyFont="1" applyFill="1" applyBorder="1" applyAlignment="1" applyProtection="1">
      <alignment horizontal="center" vertical="top" wrapText="1"/>
      <protection locked="0"/>
    </xf>
    <xf numFmtId="0" fontId="67" fillId="11" borderId="1" xfId="8" applyFont="1" applyFill="1" applyBorder="1" applyAlignment="1" applyProtection="1">
      <alignment horizontal="center" vertical="top" wrapText="1"/>
      <protection locked="0"/>
    </xf>
    <xf numFmtId="0" fontId="75" fillId="11" borderId="1" xfId="0" applyFont="1" applyFill="1" applyBorder="1" applyAlignment="1" applyProtection="1">
      <alignment horizontal="left" vertical="top" wrapText="1"/>
      <protection locked="0"/>
    </xf>
    <xf numFmtId="0" fontId="67" fillId="6" borderId="1" xfId="38" applyFont="1" applyFill="1" applyBorder="1" applyAlignment="1" applyProtection="1">
      <alignment horizontal="left" vertical="top" wrapText="1"/>
    </xf>
    <xf numFmtId="0" fontId="68" fillId="6" borderId="1" xfId="0" applyFont="1" applyFill="1" applyBorder="1" applyAlignment="1" applyProtection="1">
      <alignment horizontal="center" vertical="top" wrapText="1"/>
    </xf>
    <xf numFmtId="0" fontId="67" fillId="6" borderId="1" xfId="38" applyFont="1" applyFill="1" applyBorder="1" applyAlignment="1" applyProtection="1">
      <alignment horizontal="center" vertical="top" wrapText="1"/>
    </xf>
    <xf numFmtId="0" fontId="66" fillId="6" borderId="1" xfId="38" applyFont="1" applyFill="1" applyBorder="1" applyAlignment="1" applyProtection="1">
      <alignment horizontal="center" vertical="top" wrapText="1"/>
      <protection locked="0"/>
    </xf>
    <xf numFmtId="0" fontId="67" fillId="6" borderId="1" xfId="38" applyFont="1" applyFill="1" applyBorder="1" applyAlignment="1" applyProtection="1">
      <alignment horizontal="center" vertical="top" wrapText="1"/>
      <protection locked="0"/>
    </xf>
    <xf numFmtId="43" fontId="67" fillId="6" borderId="1" xfId="1" applyFont="1" applyFill="1" applyBorder="1" applyAlignment="1" applyProtection="1">
      <alignment horizontal="center" vertical="top" wrapText="1"/>
    </xf>
    <xf numFmtId="0" fontId="67" fillId="6" borderId="1" xfId="38" applyFont="1" applyFill="1" applyBorder="1" applyAlignment="1" applyProtection="1">
      <alignment horizontal="left" vertical="top" wrapText="1"/>
      <protection locked="0"/>
    </xf>
    <xf numFmtId="43" fontId="67" fillId="6" borderId="1" xfId="1" applyFont="1" applyFill="1" applyBorder="1" applyAlignment="1" applyProtection="1">
      <alignment horizontal="right" vertical="top" wrapText="1"/>
    </xf>
    <xf numFmtId="0" fontId="72" fillId="0" borderId="1" xfId="0" applyFont="1" applyFill="1" applyBorder="1" applyAlignment="1" applyProtection="1">
      <alignment horizontal="center" vertical="top" wrapText="1"/>
    </xf>
    <xf numFmtId="0" fontId="68" fillId="0" borderId="1" xfId="0" applyFont="1" applyFill="1" applyBorder="1" applyAlignment="1" applyProtection="1">
      <alignment horizontal="center" vertical="top" wrapText="1"/>
      <protection locked="0"/>
    </xf>
    <xf numFmtId="1" fontId="68" fillId="11" borderId="1" xfId="0" applyNumberFormat="1" applyFont="1" applyFill="1" applyBorder="1" applyAlignment="1" applyProtection="1">
      <alignment horizontal="center" vertical="top"/>
      <protection locked="0"/>
    </xf>
    <xf numFmtId="167" fontId="68" fillId="0" borderId="1" xfId="0" applyNumberFormat="1" applyFont="1" applyFill="1" applyBorder="1" applyAlignment="1" applyProtection="1">
      <alignment horizontal="center" vertical="top" wrapText="1"/>
      <protection locked="0"/>
    </xf>
    <xf numFmtId="43" fontId="72" fillId="0" borderId="1" xfId="1" applyFont="1" applyFill="1" applyBorder="1" applyAlignment="1" applyProtection="1">
      <alignment horizontal="center" vertical="top" wrapText="1"/>
    </xf>
    <xf numFmtId="43" fontId="68" fillId="0" borderId="1" xfId="1" applyFont="1" applyFill="1" applyBorder="1" applyAlignment="1" applyProtection="1">
      <alignment horizontal="left" vertical="top" wrapText="1"/>
    </xf>
    <xf numFmtId="0" fontId="68" fillId="11" borderId="1" xfId="0" applyFont="1" applyFill="1" applyBorder="1" applyAlignment="1" applyProtection="1">
      <alignment horizontal="center" vertical="top" wrapText="1"/>
      <protection locked="0"/>
    </xf>
    <xf numFmtId="0" fontId="67" fillId="0" borderId="1" xfId="4" applyFont="1" applyFill="1" applyBorder="1" applyAlignment="1" applyProtection="1">
      <alignment horizontal="left" vertical="top" wrapText="1"/>
    </xf>
    <xf numFmtId="0" fontId="67" fillId="0" borderId="1" xfId="4" applyFont="1" applyBorder="1" applyAlignment="1" applyProtection="1">
      <alignment horizontal="left" vertical="top" wrapText="1"/>
    </xf>
    <xf numFmtId="0" fontId="66" fillId="0" borderId="1" xfId="0" applyFont="1" applyBorder="1" applyAlignment="1" applyProtection="1">
      <alignment horizontal="center" vertical="top" wrapText="1"/>
      <protection locked="0"/>
    </xf>
    <xf numFmtId="0" fontId="68" fillId="0" borderId="1" xfId="4" applyFont="1" applyBorder="1" applyAlignment="1" applyProtection="1">
      <alignment horizontal="left" vertical="top" wrapText="1"/>
    </xf>
    <xf numFmtId="0" fontId="72" fillId="0" borderId="1" xfId="0" applyFont="1" applyBorder="1" applyAlignment="1" applyProtection="1">
      <alignment horizontal="left" vertical="top" wrapText="1"/>
    </xf>
    <xf numFmtId="0" fontId="72" fillId="0" borderId="1" xfId="0" applyFont="1" applyBorder="1" applyAlignment="1" applyProtection="1">
      <alignment horizontal="left" vertical="top" wrapText="1"/>
      <protection locked="0"/>
    </xf>
    <xf numFmtId="0" fontId="72" fillId="0" borderId="1" xfId="0" applyFont="1" applyBorder="1" applyAlignment="1" applyProtection="1">
      <alignment vertical="top" wrapText="1"/>
      <protection locked="0"/>
    </xf>
    <xf numFmtId="0" fontId="72" fillId="0" borderId="1" xfId="0" applyFont="1" applyFill="1" applyBorder="1" applyAlignment="1" applyProtection="1">
      <alignment horizontal="left" vertical="top" wrapText="1"/>
    </xf>
    <xf numFmtId="43" fontId="68" fillId="0" borderId="1" xfId="1" applyFont="1" applyFill="1" applyBorder="1" applyAlignment="1" applyProtection="1">
      <alignment horizontal="center" vertical="top" wrapText="1"/>
    </xf>
    <xf numFmtId="0" fontId="68" fillId="0" borderId="0" xfId="0" applyFont="1" applyFill="1" applyBorder="1" applyAlignment="1" applyProtection="1">
      <alignment vertical="top" wrapText="1"/>
    </xf>
    <xf numFmtId="0" fontId="68" fillId="10" borderId="1" xfId="0" applyFont="1" applyFill="1" applyBorder="1" applyAlignment="1" applyProtection="1">
      <alignment horizontal="left" vertical="top" wrapText="1"/>
      <protection locked="0"/>
    </xf>
    <xf numFmtId="43" fontId="68" fillId="10" borderId="1" xfId="1" applyFont="1" applyFill="1" applyBorder="1" applyAlignment="1" applyProtection="1">
      <alignment horizontal="right" vertical="top" wrapText="1"/>
      <protection locked="0"/>
    </xf>
    <xf numFmtId="0" fontId="68" fillId="0" borderId="1" xfId="0" applyFont="1" applyBorder="1" applyAlignment="1" applyProtection="1">
      <alignment horizontal="left" vertical="top" wrapText="1"/>
      <protection locked="0"/>
    </xf>
    <xf numFmtId="0" fontId="66" fillId="6" borderId="1" xfId="0" applyFont="1" applyFill="1" applyBorder="1" applyAlignment="1" applyProtection="1">
      <alignment horizontal="left" vertical="top" wrapText="1"/>
    </xf>
    <xf numFmtId="0" fontId="67" fillId="6" borderId="1" xfId="0" applyFont="1" applyFill="1" applyBorder="1" applyAlignment="1" applyProtection="1">
      <alignment horizontal="left" vertical="top" wrapText="1"/>
    </xf>
    <xf numFmtId="0" fontId="67" fillId="6" borderId="1" xfId="0" applyFont="1" applyFill="1" applyBorder="1" applyAlignment="1" applyProtection="1">
      <alignment horizontal="center" vertical="top" wrapText="1"/>
    </xf>
    <xf numFmtId="0" fontId="66" fillId="6" borderId="1" xfId="0" applyFont="1" applyFill="1" applyBorder="1" applyAlignment="1" applyProtection="1">
      <alignment horizontal="center" vertical="top" wrapText="1"/>
      <protection locked="0"/>
    </xf>
    <xf numFmtId="167" fontId="66" fillId="6" borderId="1" xfId="0" applyNumberFormat="1" applyFont="1" applyFill="1" applyBorder="1" applyAlignment="1" applyProtection="1">
      <alignment horizontal="center" vertical="top" wrapText="1"/>
      <protection locked="0"/>
    </xf>
    <xf numFmtId="0" fontId="78" fillId="6" borderId="1" xfId="0" applyFont="1" applyFill="1" applyBorder="1" applyAlignment="1" applyProtection="1">
      <alignment horizontal="center" vertical="top" wrapText="1"/>
      <protection locked="0"/>
    </xf>
    <xf numFmtId="0" fontId="67" fillId="6" borderId="1" xfId="0" applyFont="1" applyFill="1" applyBorder="1" applyAlignment="1" applyProtection="1">
      <alignment horizontal="center" vertical="top" wrapText="1"/>
      <protection locked="0"/>
    </xf>
    <xf numFmtId="0" fontId="78" fillId="6" borderId="1" xfId="0" applyFont="1" applyFill="1" applyBorder="1" applyAlignment="1" applyProtection="1">
      <alignment horizontal="left" vertical="top" wrapText="1"/>
      <protection locked="0"/>
    </xf>
    <xf numFmtId="2" fontId="66" fillId="6" borderId="1" xfId="0" applyNumberFormat="1" applyFont="1" applyFill="1" applyBorder="1" applyAlignment="1" applyProtection="1">
      <alignment horizontal="left" vertical="top" wrapText="1"/>
    </xf>
    <xf numFmtId="43" fontId="66" fillId="6" borderId="1" xfId="1" applyFont="1" applyFill="1" applyBorder="1" applyAlignment="1" applyProtection="1">
      <alignment horizontal="right" vertical="top" wrapText="1"/>
    </xf>
    <xf numFmtId="0" fontId="68" fillId="0" borderId="1" xfId="8" applyFont="1" applyBorder="1" applyAlignment="1" applyProtection="1">
      <alignment horizontal="center" vertical="top" wrapText="1"/>
    </xf>
    <xf numFmtId="0" fontId="72" fillId="11" borderId="1" xfId="4" applyFont="1" applyFill="1" applyBorder="1" applyAlignment="1" applyProtection="1">
      <alignment horizontal="left" vertical="top" wrapText="1"/>
    </xf>
    <xf numFmtId="0" fontId="66" fillId="30" borderId="1" xfId="0" applyFont="1" applyFill="1" applyBorder="1" applyAlignment="1" applyProtection="1">
      <alignment horizontal="center" vertical="top" wrapText="1"/>
    </xf>
    <xf numFmtId="2" fontId="68" fillId="2" borderId="1" xfId="4" applyNumberFormat="1" applyFont="1" applyFill="1" applyBorder="1" applyAlignment="1" applyProtection="1">
      <alignment horizontal="center" vertical="top" wrapText="1"/>
      <protection locked="0"/>
    </xf>
    <xf numFmtId="0" fontId="68" fillId="2" borderId="1" xfId="38" applyFont="1" applyFill="1" applyBorder="1" applyAlignment="1" applyProtection="1">
      <alignment horizontal="center" vertical="top" wrapText="1"/>
      <protection locked="0"/>
    </xf>
    <xf numFmtId="0" fontId="72" fillId="2" borderId="1" xfId="38" applyFont="1" applyFill="1" applyBorder="1" applyAlignment="1" applyProtection="1">
      <alignment horizontal="center" vertical="top" wrapText="1"/>
      <protection locked="0"/>
    </xf>
    <xf numFmtId="0" fontId="67" fillId="2" borderId="1" xfId="38" applyFont="1" applyFill="1" applyBorder="1" applyAlignment="1" applyProtection="1">
      <alignment horizontal="center" vertical="top" wrapText="1"/>
      <protection locked="0"/>
    </xf>
    <xf numFmtId="0" fontId="72" fillId="2" borderId="1" xfId="38" applyFont="1" applyFill="1" applyBorder="1" applyAlignment="1" applyProtection="1">
      <alignment horizontal="left" vertical="top" wrapText="1"/>
      <protection locked="0"/>
    </xf>
    <xf numFmtId="0" fontId="67" fillId="0" borderId="1" xfId="38" applyFont="1" applyFill="1" applyBorder="1" applyAlignment="1" applyProtection="1">
      <alignment horizontal="left" vertical="top" wrapText="1"/>
    </xf>
    <xf numFmtId="0" fontId="67" fillId="0" borderId="1" xfId="38" applyFont="1" applyFill="1" applyBorder="1" applyAlignment="1" applyProtection="1">
      <alignment horizontal="center" vertical="top" wrapText="1"/>
    </xf>
    <xf numFmtId="0" fontId="66" fillId="0" borderId="1" xfId="38" applyFont="1" applyFill="1" applyBorder="1" applyAlignment="1" applyProtection="1">
      <alignment horizontal="center" vertical="top" wrapText="1"/>
      <protection locked="0"/>
    </xf>
    <xf numFmtId="43" fontId="67" fillId="0" borderId="1" xfId="1" applyFont="1" applyFill="1" applyBorder="1" applyAlignment="1" applyProtection="1">
      <alignment horizontal="center" vertical="top" wrapText="1"/>
    </xf>
    <xf numFmtId="43" fontId="67" fillId="0" borderId="1" xfId="1" applyFont="1" applyFill="1" applyBorder="1" applyAlignment="1" applyProtection="1">
      <alignment horizontal="right" vertical="top" wrapText="1"/>
    </xf>
    <xf numFmtId="1" fontId="68" fillId="0" borderId="1" xfId="6" applyNumberFormat="1" applyFont="1" applyBorder="1" applyAlignment="1" applyProtection="1">
      <alignment horizontal="center" vertical="top"/>
      <protection locked="0"/>
    </xf>
    <xf numFmtId="167" fontId="66" fillId="0" borderId="1" xfId="0" applyNumberFormat="1" applyFont="1" applyBorder="1" applyAlignment="1" applyProtection="1">
      <alignment horizontal="center" vertical="top" wrapText="1"/>
      <protection locked="0"/>
    </xf>
    <xf numFmtId="167" fontId="66" fillId="53" borderId="1" xfId="0" applyNumberFormat="1" applyFont="1" applyFill="1" applyBorder="1" applyAlignment="1" applyProtection="1">
      <alignment horizontal="center" vertical="top" wrapText="1"/>
      <protection locked="0"/>
    </xf>
    <xf numFmtId="0" fontId="66" fillId="0" borderId="0" xfId="0" applyFont="1" applyBorder="1" applyAlignment="1" applyProtection="1">
      <alignment vertical="top" wrapText="1"/>
    </xf>
    <xf numFmtId="0" fontId="67" fillId="0" borderId="1" xfId="0" applyFont="1" applyFill="1" applyBorder="1" applyAlignment="1" applyProtection="1">
      <alignment horizontal="center" vertical="top" wrapText="1"/>
    </xf>
    <xf numFmtId="0" fontId="68" fillId="0" borderId="1" xfId="0" applyFont="1" applyFill="1" applyBorder="1" applyAlignment="1" applyProtection="1">
      <alignment vertical="top" wrapText="1"/>
      <protection locked="0"/>
    </xf>
    <xf numFmtId="0" fontId="72" fillId="0" borderId="1" xfId="0" applyFont="1" applyFill="1" applyBorder="1" applyAlignment="1" applyProtection="1">
      <alignment vertical="top" wrapText="1"/>
      <protection locked="0"/>
    </xf>
    <xf numFmtId="0" fontId="68" fillId="0" borderId="1" xfId="4" applyFont="1" applyFill="1" applyBorder="1" applyAlignment="1" applyProtection="1">
      <alignment horizontal="left" vertical="top" wrapText="1"/>
      <protection locked="0"/>
    </xf>
    <xf numFmtId="0" fontId="68" fillId="0" borderId="1" xfId="0" applyFont="1" applyBorder="1" applyAlignment="1" applyProtection="1">
      <alignment vertical="top" wrapText="1"/>
      <protection locked="0"/>
    </xf>
    <xf numFmtId="0" fontId="66" fillId="4" borderId="1" xfId="0" applyFont="1" applyFill="1" applyBorder="1" applyAlignment="1" applyProtection="1">
      <alignment horizontal="left" vertical="top" wrapText="1"/>
    </xf>
    <xf numFmtId="0" fontId="67" fillId="4" borderId="1" xfId="0" applyFont="1" applyFill="1" applyBorder="1" applyAlignment="1" applyProtection="1">
      <alignment horizontal="center" vertical="top" wrapText="1"/>
    </xf>
    <xf numFmtId="0" fontId="66" fillId="4" borderId="1" xfId="0" applyFont="1" applyFill="1" applyBorder="1" applyAlignment="1" applyProtection="1">
      <alignment horizontal="center" vertical="top" wrapText="1"/>
      <protection locked="0"/>
    </xf>
    <xf numFmtId="0" fontId="67" fillId="4" borderId="1" xfId="0" applyFont="1" applyFill="1" applyBorder="1" applyAlignment="1" applyProtection="1">
      <alignment horizontal="center" vertical="top" wrapText="1"/>
      <protection locked="0"/>
    </xf>
    <xf numFmtId="0" fontId="66" fillId="4" borderId="1" xfId="0" applyFont="1" applyFill="1" applyBorder="1" applyAlignment="1" applyProtection="1">
      <alignment horizontal="left" vertical="top" wrapText="1"/>
      <protection locked="0"/>
    </xf>
    <xf numFmtId="43" fontId="67" fillId="4" borderId="1" xfId="1" applyFont="1" applyFill="1" applyBorder="1" applyAlignment="1" applyProtection="1">
      <alignment horizontal="right" vertical="top" wrapText="1"/>
    </xf>
    <xf numFmtId="0" fontId="79" fillId="0" borderId="1" xfId="0" applyFont="1" applyFill="1" applyBorder="1" applyAlignment="1" applyProtection="1">
      <alignment horizontal="left" vertical="top" wrapText="1"/>
    </xf>
    <xf numFmtId="0" fontId="68" fillId="0" borderId="0" xfId="0" applyFont="1" applyAlignment="1" applyProtection="1">
      <alignment horizontal="left" vertical="top" wrapText="1"/>
    </xf>
    <xf numFmtId="43" fontId="68" fillId="0" borderId="0" xfId="0" applyNumberFormat="1" applyFont="1" applyAlignment="1" applyProtection="1">
      <alignment horizontal="center" vertical="top" wrapText="1"/>
    </xf>
    <xf numFmtId="43" fontId="68" fillId="0" borderId="0" xfId="1" applyFont="1" applyAlignment="1" applyProtection="1">
      <alignment horizontal="center" vertical="top" wrapText="1"/>
    </xf>
    <xf numFmtId="43" fontId="68" fillId="0" borderId="0" xfId="1" applyFont="1" applyAlignment="1" applyProtection="1">
      <alignment horizontal="right" vertical="top" wrapText="1"/>
    </xf>
    <xf numFmtId="0" fontId="71" fillId="0" borderId="1" xfId="8" applyFont="1" applyFill="1" applyBorder="1" applyAlignment="1" applyProtection="1">
      <alignment horizontal="center" vertical="center" wrapText="1"/>
    </xf>
    <xf numFmtId="0" fontId="72" fillId="0" borderId="0" xfId="8" applyFont="1" applyAlignment="1" applyProtection="1">
      <alignment vertical="center" wrapText="1"/>
    </xf>
    <xf numFmtId="43" fontId="67" fillId="0" borderId="1" xfId="1" applyFont="1" applyFill="1" applyBorder="1" applyAlignment="1" applyProtection="1">
      <alignment vertical="center" wrapText="1"/>
    </xf>
    <xf numFmtId="0" fontId="72" fillId="0" borderId="0" xfId="8" applyFont="1" applyAlignment="1" applyProtection="1">
      <alignment horizontal="center" vertical="center" wrapText="1"/>
    </xf>
    <xf numFmtId="0" fontId="66" fillId="24" borderId="5" xfId="38" applyFont="1" applyFill="1" applyBorder="1" applyAlignment="1" applyProtection="1">
      <alignment horizontal="center" vertical="center" wrapText="1"/>
    </xf>
    <xf numFmtId="0" fontId="86" fillId="45" borderId="1" xfId="0" applyFont="1" applyFill="1" applyBorder="1" applyAlignment="1" applyProtection="1">
      <alignment horizontal="center" vertical="center" wrapText="1"/>
    </xf>
    <xf numFmtId="43" fontId="86" fillId="45" borderId="1" xfId="1" applyFont="1" applyFill="1" applyBorder="1" applyAlignment="1" applyProtection="1">
      <alignment horizontal="center" vertical="center" wrapText="1"/>
    </xf>
    <xf numFmtId="0" fontId="71" fillId="7" borderId="1" xfId="8" applyFont="1" applyFill="1" applyBorder="1" applyAlignment="1" applyProtection="1">
      <alignment horizontal="left" vertical="center" wrapText="1"/>
    </xf>
    <xf numFmtId="0" fontId="73" fillId="7" borderId="1" xfId="8" applyFont="1" applyFill="1" applyBorder="1" applyAlignment="1" applyProtection="1">
      <alignment horizontal="left" vertical="center" wrapText="1"/>
    </xf>
    <xf numFmtId="0" fontId="71" fillId="7" borderId="1" xfId="8" applyFont="1" applyFill="1" applyBorder="1" applyAlignment="1" applyProtection="1">
      <alignment horizontal="center" vertical="center" wrapText="1"/>
    </xf>
    <xf numFmtId="0" fontId="71" fillId="7" borderId="5" xfId="8" applyFont="1" applyFill="1" applyBorder="1" applyAlignment="1" applyProtection="1">
      <alignment horizontal="left" vertical="center" wrapText="1"/>
    </xf>
    <xf numFmtId="43" fontId="66" fillId="2" borderId="1" xfId="1" applyFont="1" applyFill="1" applyBorder="1" applyAlignment="1" applyProtection="1">
      <alignment horizontal="center" vertical="center" wrapText="1"/>
    </xf>
    <xf numFmtId="0" fontId="86" fillId="33" borderId="1" xfId="0" applyFont="1" applyFill="1" applyBorder="1" applyAlignment="1" applyProtection="1">
      <alignment vertical="center" wrapText="1"/>
    </xf>
    <xf numFmtId="0" fontId="66" fillId="4" borderId="1" xfId="8" applyFont="1" applyFill="1" applyBorder="1" applyAlignment="1" applyProtection="1">
      <alignment horizontal="left" vertical="center" wrapText="1"/>
    </xf>
    <xf numFmtId="0" fontId="68" fillId="4" borderId="1" xfId="8" applyFont="1" applyFill="1" applyBorder="1" applyAlignment="1" applyProtection="1">
      <alignment horizontal="center" vertical="center" wrapText="1"/>
    </xf>
    <xf numFmtId="0" fontId="86" fillId="46" borderId="1" xfId="0" applyFont="1" applyFill="1" applyBorder="1" applyAlignment="1" applyProtection="1">
      <alignment vertical="center" wrapText="1"/>
    </xf>
    <xf numFmtId="0" fontId="72" fillId="0" borderId="1" xfId="8" applyFont="1" applyFill="1" applyBorder="1" applyAlignment="1" applyProtection="1">
      <alignment horizontal="left" vertical="center" wrapText="1"/>
    </xf>
    <xf numFmtId="0" fontId="72" fillId="0" borderId="1" xfId="8" applyFont="1" applyBorder="1" applyAlignment="1" applyProtection="1">
      <alignment horizontal="center" vertical="center" wrapText="1"/>
    </xf>
    <xf numFmtId="0" fontId="87" fillId="47" borderId="1" xfId="0" applyFont="1" applyFill="1" applyBorder="1" applyAlignment="1" applyProtection="1">
      <alignment vertical="center" wrapText="1"/>
      <protection locked="0"/>
    </xf>
    <xf numFmtId="0" fontId="88" fillId="0" borderId="1" xfId="8" applyFont="1" applyBorder="1" applyAlignment="1" applyProtection="1">
      <alignment horizontal="center" vertical="center" wrapText="1"/>
      <protection locked="0"/>
    </xf>
    <xf numFmtId="0" fontId="68" fillId="4" borderId="1" xfId="8" applyFont="1" applyFill="1" applyBorder="1" applyAlignment="1" applyProtection="1">
      <alignment horizontal="center" vertical="center" wrapText="1"/>
      <protection locked="0"/>
    </xf>
    <xf numFmtId="0" fontId="72" fillId="0" borderId="1" xfId="8" applyFont="1" applyBorder="1" applyAlignment="1" applyProtection="1">
      <alignment horizontal="left" vertical="center" wrapText="1"/>
    </xf>
    <xf numFmtId="0" fontId="68" fillId="0" borderId="1" xfId="8" applyFont="1" applyFill="1" applyBorder="1" applyAlignment="1" applyProtection="1">
      <alignment horizontal="left" vertical="center" wrapText="1"/>
    </xf>
    <xf numFmtId="0" fontId="68" fillId="0" borderId="1" xfId="0" applyFont="1" applyBorder="1" applyAlignment="1" applyProtection="1">
      <alignment vertical="center" wrapText="1"/>
    </xf>
    <xf numFmtId="0" fontId="68" fillId="0" borderId="1" xfId="4" applyFont="1" applyFill="1" applyBorder="1" applyAlignment="1" applyProtection="1">
      <alignment horizontal="left" vertical="center" wrapText="1"/>
    </xf>
    <xf numFmtId="0" fontId="66" fillId="2" borderId="1" xfId="4" applyFont="1" applyFill="1" applyBorder="1" applyAlignment="1" applyProtection="1">
      <alignment horizontal="center" vertical="center" wrapText="1"/>
      <protection locked="0"/>
    </xf>
    <xf numFmtId="0" fontId="66" fillId="2" borderId="5" xfId="4" applyFont="1" applyFill="1" applyBorder="1" applyAlignment="1" applyProtection="1">
      <alignment horizontal="left" vertical="center" wrapText="1"/>
      <protection locked="0"/>
    </xf>
    <xf numFmtId="0" fontId="68" fillId="0" borderId="1" xfId="8" applyFont="1" applyBorder="1" applyAlignment="1" applyProtection="1">
      <alignment horizontal="left" vertical="center" wrapText="1"/>
    </xf>
    <xf numFmtId="0" fontId="66" fillId="29" borderId="1" xfId="8" applyFont="1" applyFill="1" applyBorder="1" applyAlignment="1" applyProtection="1">
      <alignment horizontal="center" vertical="center" wrapText="1"/>
    </xf>
    <xf numFmtId="43" fontId="68" fillId="0" borderId="1" xfId="1" applyFont="1" applyBorder="1" applyAlignment="1" applyProtection="1">
      <alignment vertical="center" wrapText="1"/>
    </xf>
    <xf numFmtId="0" fontId="68" fillId="11" borderId="1" xfId="8" applyFont="1" applyFill="1" applyBorder="1" applyAlignment="1" applyProtection="1">
      <alignment horizontal="center" vertical="center" wrapText="1"/>
      <protection locked="0"/>
    </xf>
    <xf numFmtId="0" fontId="66" fillId="10" borderId="1" xfId="8" applyFont="1" applyFill="1" applyBorder="1" applyAlignment="1" applyProtection="1">
      <alignment horizontal="center" vertical="center" wrapText="1"/>
    </xf>
    <xf numFmtId="0" fontId="66" fillId="4" borderId="1" xfId="8" applyFont="1" applyFill="1" applyBorder="1" applyAlignment="1" applyProtection="1">
      <alignment horizontal="center" vertical="center" wrapText="1"/>
      <protection locked="0"/>
    </xf>
    <xf numFmtId="0" fontId="86" fillId="42" borderId="1" xfId="0" applyFont="1" applyFill="1" applyBorder="1" applyAlignment="1" applyProtection="1">
      <alignment vertical="center" wrapText="1"/>
    </xf>
    <xf numFmtId="0" fontId="67" fillId="0" borderId="0" xfId="8" applyFont="1" applyAlignment="1" applyProtection="1">
      <alignment vertical="center" wrapText="1"/>
    </xf>
    <xf numFmtId="49" fontId="68" fillId="0" borderId="1" xfId="4" applyNumberFormat="1" applyFont="1" applyBorder="1" applyAlignment="1" applyProtection="1">
      <alignment horizontal="left" vertical="center" wrapText="1"/>
    </xf>
    <xf numFmtId="0" fontId="88" fillId="54" borderId="1" xfId="8" applyFont="1" applyFill="1" applyBorder="1" applyAlignment="1" applyProtection="1">
      <alignment horizontal="center" vertical="center" wrapText="1"/>
      <protection locked="0"/>
    </xf>
    <xf numFmtId="0" fontId="88" fillId="54" borderId="1" xfId="0" applyFont="1" applyFill="1" applyBorder="1" applyAlignment="1" applyProtection="1">
      <alignment horizontal="center" vertical="center" wrapText="1"/>
      <protection locked="0"/>
    </xf>
    <xf numFmtId="0" fontId="68" fillId="0" borderId="1" xfId="8" applyFont="1" applyBorder="1" applyAlignment="1" applyProtection="1">
      <alignment horizontal="left" vertical="center" wrapText="1"/>
      <protection locked="0"/>
    </xf>
    <xf numFmtId="0" fontId="88" fillId="0" borderId="1" xfId="8" applyFont="1" applyFill="1" applyBorder="1" applyAlignment="1" applyProtection="1">
      <alignment horizontal="center" vertical="center" wrapText="1"/>
      <protection locked="0"/>
    </xf>
    <xf numFmtId="0" fontId="72" fillId="0" borderId="0" xfId="8" applyFont="1" applyFill="1" applyAlignment="1" applyProtection="1">
      <alignment vertical="center" wrapText="1"/>
    </xf>
    <xf numFmtId="0" fontId="87" fillId="0" borderId="1" xfId="0" applyFont="1" applyBorder="1" applyAlignment="1" applyProtection="1">
      <alignment vertical="center" wrapText="1"/>
    </xf>
    <xf numFmtId="0" fontId="68" fillId="0" borderId="1" xfId="8" applyFont="1" applyFill="1" applyBorder="1" applyAlignment="1" applyProtection="1">
      <alignment horizontal="center" vertical="center" wrapText="1"/>
    </xf>
    <xf numFmtId="0" fontId="66" fillId="0" borderId="1" xfId="8" applyFont="1" applyFill="1" applyBorder="1" applyAlignment="1" applyProtection="1">
      <alignment horizontal="left" vertical="center" wrapText="1"/>
    </xf>
    <xf numFmtId="0" fontId="66" fillId="0" borderId="1" xfId="8" applyFont="1" applyFill="1" applyBorder="1" applyAlignment="1" applyProtection="1">
      <alignment horizontal="center" vertical="center" wrapText="1"/>
      <protection locked="0"/>
    </xf>
    <xf numFmtId="0" fontId="72" fillId="0" borderId="0" xfId="8" applyFont="1" applyAlignment="1" applyProtection="1">
      <alignment horizontal="left" vertical="center" wrapText="1"/>
    </xf>
    <xf numFmtId="43" fontId="72" fillId="0" borderId="0" xfId="1" applyFont="1" applyAlignment="1" applyProtection="1">
      <alignment horizontal="center" vertical="center" wrapText="1"/>
    </xf>
    <xf numFmtId="0" fontId="68" fillId="0" borderId="1" xfId="8" applyFont="1" applyFill="1" applyBorder="1" applyAlignment="1" applyProtection="1">
      <alignment horizontal="left" vertical="center" wrapText="1"/>
      <protection locked="0"/>
    </xf>
    <xf numFmtId="0" fontId="72" fillId="11" borderId="1" xfId="8" applyFont="1" applyFill="1" applyBorder="1" applyAlignment="1" applyProtection="1">
      <alignment horizontal="center" vertical="center" wrapText="1"/>
      <protection locked="0"/>
    </xf>
    <xf numFmtId="0" fontId="74" fillId="11" borderId="1" xfId="0" applyFont="1" applyFill="1" applyBorder="1" applyAlignment="1" applyProtection="1">
      <alignment horizontal="left" vertical="top" wrapText="1"/>
      <protection locked="0"/>
    </xf>
    <xf numFmtId="0" fontId="68" fillId="11" borderId="1" xfId="8" applyFont="1" applyFill="1" applyBorder="1" applyAlignment="1" applyProtection="1">
      <alignment horizontal="left" vertical="center" wrapText="1"/>
      <protection locked="0"/>
    </xf>
    <xf numFmtId="0" fontId="68" fillId="0" borderId="1" xfId="8" applyFont="1" applyBorder="1" applyAlignment="1" applyProtection="1">
      <alignment vertical="center" wrapText="1"/>
      <protection locked="0"/>
    </xf>
    <xf numFmtId="0" fontId="72" fillId="0" borderId="1" xfId="8" applyFont="1" applyBorder="1" applyAlignment="1" applyProtection="1">
      <alignment vertical="center" wrapText="1"/>
      <protection locked="0"/>
    </xf>
    <xf numFmtId="0" fontId="71" fillId="0" borderId="1" xfId="8" applyFont="1" applyFill="1" applyBorder="1" applyAlignment="1" applyProtection="1">
      <alignment horizontal="center" vertical="top" wrapText="1"/>
    </xf>
    <xf numFmtId="0" fontId="72" fillId="0" borderId="0" xfId="8" applyFont="1" applyAlignment="1" applyProtection="1">
      <alignment vertical="top" wrapText="1"/>
    </xf>
    <xf numFmtId="0" fontId="70" fillId="29" borderId="1" xfId="0" applyFont="1" applyFill="1" applyBorder="1" applyAlignment="1" applyProtection="1">
      <alignment horizontal="center" vertical="top" wrapText="1"/>
    </xf>
    <xf numFmtId="43" fontId="70" fillId="29" borderId="1" xfId="1" applyFont="1" applyFill="1" applyBorder="1" applyAlignment="1" applyProtection="1">
      <alignment horizontal="center" vertical="top" wrapText="1"/>
    </xf>
    <xf numFmtId="0" fontId="67" fillId="0" borderId="0" xfId="0" applyFont="1" applyFill="1" applyAlignment="1" applyProtection="1">
      <alignment vertical="top" wrapText="1"/>
    </xf>
    <xf numFmtId="43" fontId="67" fillId="0" borderId="1" xfId="1" applyFont="1" applyFill="1" applyBorder="1" applyAlignment="1" applyProtection="1">
      <alignment horizontal="center" vertical="top"/>
    </xf>
    <xf numFmtId="43" fontId="67" fillId="0" borderId="1" xfId="1" applyFont="1" applyFill="1" applyBorder="1" applyAlignment="1" applyProtection="1">
      <alignment vertical="top" wrapText="1"/>
    </xf>
    <xf numFmtId="43" fontId="67" fillId="0" borderId="0" xfId="1" applyFont="1" applyFill="1" applyAlignment="1" applyProtection="1">
      <alignment vertical="top" wrapText="1"/>
    </xf>
    <xf numFmtId="0" fontId="72" fillId="0" borderId="0" xfId="8" applyFont="1" applyAlignment="1" applyProtection="1">
      <alignment horizontal="center" vertical="top" wrapText="1"/>
    </xf>
    <xf numFmtId="0" fontId="66" fillId="24" borderId="5" xfId="38" applyFont="1" applyFill="1" applyBorder="1" applyAlignment="1" applyProtection="1">
      <alignment horizontal="center" vertical="top" wrapText="1"/>
    </xf>
    <xf numFmtId="0" fontId="86" fillId="45" borderId="1" xfId="0" applyFont="1" applyFill="1" applyBorder="1" applyAlignment="1" applyProtection="1">
      <alignment horizontal="center" vertical="top" wrapText="1"/>
    </xf>
    <xf numFmtId="43" fontId="86" fillId="45" borderId="1" xfId="1" applyFont="1" applyFill="1" applyBorder="1" applyAlignment="1" applyProtection="1">
      <alignment horizontal="center" vertical="top" wrapText="1"/>
    </xf>
    <xf numFmtId="0" fontId="71" fillId="7" borderId="1" xfId="8" applyFont="1" applyFill="1" applyBorder="1" applyAlignment="1" applyProtection="1">
      <alignment horizontal="left" vertical="top" wrapText="1"/>
    </xf>
    <xf numFmtId="0" fontId="73" fillId="7" borderId="1" xfId="8" applyFont="1" applyFill="1" applyBorder="1" applyAlignment="1" applyProtection="1">
      <alignment horizontal="left" vertical="top" wrapText="1"/>
    </xf>
    <xf numFmtId="0" fontId="71" fillId="7" borderId="1" xfId="8" applyFont="1" applyFill="1" applyBorder="1" applyAlignment="1" applyProtection="1">
      <alignment horizontal="center" vertical="top" wrapText="1"/>
    </xf>
    <xf numFmtId="0" fontId="71" fillId="7" borderId="5" xfId="8" applyFont="1" applyFill="1" applyBorder="1" applyAlignment="1" applyProtection="1">
      <alignment horizontal="left" vertical="top" wrapText="1"/>
    </xf>
    <xf numFmtId="0" fontId="85" fillId="31" borderId="1" xfId="0" applyFont="1" applyFill="1" applyBorder="1" applyAlignment="1" applyProtection="1">
      <alignment vertical="top" wrapText="1"/>
    </xf>
    <xf numFmtId="43" fontId="85" fillId="31" borderId="1" xfId="1" applyFont="1" applyFill="1" applyBorder="1" applyAlignment="1" applyProtection="1">
      <alignment horizontal="center" vertical="top" wrapText="1"/>
    </xf>
    <xf numFmtId="43" fontId="66" fillId="2" borderId="1" xfId="1" applyFont="1" applyFill="1" applyBorder="1" applyAlignment="1" applyProtection="1">
      <alignment horizontal="center" vertical="top" wrapText="1"/>
    </xf>
    <xf numFmtId="0" fontId="66" fillId="2" borderId="5" xfId="4" applyFont="1" applyFill="1" applyBorder="1" applyAlignment="1" applyProtection="1">
      <alignment horizontal="left" vertical="top" wrapText="1"/>
    </xf>
    <xf numFmtId="0" fontId="86" fillId="33" borderId="1" xfId="0" applyFont="1" applyFill="1" applyBorder="1" applyAlignment="1" applyProtection="1">
      <alignment vertical="top" wrapText="1"/>
    </xf>
    <xf numFmtId="43" fontId="86" fillId="33" borderId="1" xfId="1" applyFont="1" applyFill="1" applyBorder="1" applyAlignment="1" applyProtection="1">
      <alignment horizontal="center" vertical="top" wrapText="1"/>
    </xf>
    <xf numFmtId="0" fontId="66" fillId="4" borderId="1" xfId="8" applyFont="1" applyFill="1" applyBorder="1" applyAlignment="1" applyProtection="1">
      <alignment horizontal="left" vertical="top" wrapText="1"/>
    </xf>
    <xf numFmtId="0" fontId="68" fillId="4" borderId="1" xfId="8" applyFont="1" applyFill="1" applyBorder="1" applyAlignment="1" applyProtection="1">
      <alignment horizontal="center" vertical="top" wrapText="1"/>
    </xf>
    <xf numFmtId="43" fontId="68" fillId="4" borderId="1" xfId="1" applyFont="1" applyFill="1" applyBorder="1" applyAlignment="1" applyProtection="1">
      <alignment horizontal="center" vertical="top" wrapText="1"/>
    </xf>
    <xf numFmtId="0" fontId="66" fillId="4" borderId="5" xfId="8" applyFont="1" applyFill="1" applyBorder="1" applyAlignment="1" applyProtection="1">
      <alignment horizontal="left" vertical="top" wrapText="1"/>
    </xf>
    <xf numFmtId="0" fontId="86" fillId="46" borderId="1" xfId="0" applyFont="1" applyFill="1" applyBorder="1" applyAlignment="1" applyProtection="1">
      <alignment vertical="top" wrapText="1"/>
    </xf>
    <xf numFmtId="43" fontId="86" fillId="46" borderId="1" xfId="1" applyFont="1" applyFill="1" applyBorder="1" applyAlignment="1" applyProtection="1">
      <alignment horizontal="center" vertical="top" wrapText="1"/>
    </xf>
    <xf numFmtId="0" fontId="72" fillId="0" borderId="1" xfId="8" applyFont="1" applyFill="1" applyBorder="1" applyAlignment="1" applyProtection="1">
      <alignment horizontal="left" vertical="top" wrapText="1"/>
    </xf>
    <xf numFmtId="0" fontId="72" fillId="0" borderId="1" xfId="8" applyFont="1" applyBorder="1" applyAlignment="1" applyProtection="1">
      <alignment horizontal="center" vertical="top" wrapText="1"/>
    </xf>
    <xf numFmtId="0" fontId="68" fillId="0" borderId="1" xfId="8" applyFont="1" applyFill="1" applyBorder="1" applyAlignment="1" applyProtection="1">
      <alignment horizontal="center" vertical="top" wrapText="1"/>
      <protection locked="0"/>
    </xf>
    <xf numFmtId="0" fontId="68" fillId="0" borderId="1" xfId="8" applyFont="1" applyFill="1" applyBorder="1" applyAlignment="1" applyProtection="1">
      <alignment horizontal="left" vertical="top" wrapText="1"/>
      <protection locked="0"/>
    </xf>
    <xf numFmtId="0" fontId="87" fillId="47" borderId="1" xfId="0" applyFont="1" applyFill="1" applyBorder="1" applyAlignment="1" applyProtection="1">
      <alignment vertical="top" wrapText="1"/>
      <protection locked="0"/>
    </xf>
    <xf numFmtId="43" fontId="87" fillId="47" borderId="1" xfId="1" applyFont="1" applyFill="1" applyBorder="1" applyAlignment="1" applyProtection="1">
      <alignment horizontal="center" vertical="top" wrapText="1"/>
      <protection locked="0"/>
    </xf>
    <xf numFmtId="0" fontId="88" fillId="0" borderId="1" xfId="8" applyFont="1" applyBorder="1" applyAlignment="1" applyProtection="1">
      <alignment horizontal="center" vertical="top" wrapText="1"/>
      <protection locked="0"/>
    </xf>
    <xf numFmtId="167" fontId="88" fillId="0" borderId="1" xfId="8" applyNumberFormat="1" applyFont="1" applyBorder="1" applyAlignment="1" applyProtection="1">
      <alignment horizontal="center" vertical="top" wrapText="1"/>
      <protection locked="0"/>
    </xf>
    <xf numFmtId="0" fontId="78" fillId="0" borderId="1" xfId="8" applyFont="1" applyBorder="1" applyAlignment="1" applyProtection="1">
      <alignment horizontal="center" vertical="top" wrapText="1"/>
      <protection locked="0"/>
    </xf>
    <xf numFmtId="0" fontId="68" fillId="4" borderId="1" xfId="8" applyFont="1" applyFill="1" applyBorder="1" applyAlignment="1" applyProtection="1">
      <alignment horizontal="center" vertical="top" wrapText="1"/>
      <protection locked="0"/>
    </xf>
    <xf numFmtId="0" fontId="66" fillId="4" borderId="5" xfId="8" applyFont="1" applyFill="1" applyBorder="1" applyAlignment="1" applyProtection="1">
      <alignment horizontal="left" vertical="top" wrapText="1"/>
      <protection locked="0"/>
    </xf>
    <xf numFmtId="0" fontId="72" fillId="0" borderId="1" xfId="8" applyFont="1" applyBorder="1" applyAlignment="1" applyProtection="1">
      <alignment horizontal="left" vertical="top" wrapText="1"/>
    </xf>
    <xf numFmtId="1" fontId="88" fillId="0" borderId="1" xfId="6" applyNumberFormat="1" applyFont="1" applyBorder="1" applyAlignment="1" applyProtection="1">
      <alignment horizontal="center" vertical="top"/>
      <protection locked="0"/>
    </xf>
    <xf numFmtId="0" fontId="68" fillId="0" borderId="1" xfId="8" applyFont="1" applyFill="1" applyBorder="1" applyAlignment="1" applyProtection="1">
      <alignment horizontal="left" vertical="top" wrapText="1"/>
    </xf>
    <xf numFmtId="0" fontId="68" fillId="0" borderId="1" xfId="0" applyFont="1" applyBorder="1" applyAlignment="1" applyProtection="1">
      <alignment vertical="top" wrapText="1"/>
    </xf>
    <xf numFmtId="43" fontId="68" fillId="0" borderId="1" xfId="1" applyFont="1" applyBorder="1" applyAlignment="1" applyProtection="1">
      <alignment horizontal="center" vertical="top" wrapText="1"/>
    </xf>
    <xf numFmtId="0" fontId="68" fillId="0" borderId="1" xfId="4" applyFont="1" applyFill="1" applyBorder="1" applyAlignment="1" applyProtection="1">
      <alignment horizontal="left" vertical="top" wrapText="1"/>
    </xf>
    <xf numFmtId="0" fontId="66" fillId="2" borderId="1" xfId="4" applyFont="1" applyFill="1" applyBorder="1" applyAlignment="1" applyProtection="1">
      <alignment horizontal="center" vertical="top" wrapText="1"/>
      <protection locked="0"/>
    </xf>
    <xf numFmtId="0" fontId="66" fillId="2" borderId="5" xfId="4" applyFont="1" applyFill="1" applyBorder="1" applyAlignment="1" applyProtection="1">
      <alignment horizontal="left" vertical="top" wrapText="1"/>
      <protection locked="0"/>
    </xf>
    <xf numFmtId="0" fontId="68" fillId="0" borderId="1" xfId="8" applyFont="1" applyBorder="1" applyAlignment="1" applyProtection="1">
      <alignment horizontal="left" vertical="top" wrapText="1"/>
    </xf>
    <xf numFmtId="0" fontId="66" fillId="29" borderId="1" xfId="8" applyFont="1" applyFill="1" applyBorder="1" applyAlignment="1" applyProtection="1">
      <alignment horizontal="center" vertical="top" wrapText="1"/>
    </xf>
    <xf numFmtId="167" fontId="68" fillId="0" borderId="1" xfId="8" applyNumberFormat="1" applyFont="1" applyBorder="1" applyAlignment="1" applyProtection="1">
      <alignment horizontal="center" vertical="top" wrapText="1"/>
      <protection locked="0"/>
    </xf>
    <xf numFmtId="43" fontId="68" fillId="0" borderId="1" xfId="1" applyFont="1" applyBorder="1" applyAlignment="1" applyProtection="1">
      <alignment vertical="top" wrapText="1"/>
    </xf>
    <xf numFmtId="0" fontId="68" fillId="11" borderId="1" xfId="8" applyFont="1" applyFill="1" applyBorder="1" applyAlignment="1" applyProtection="1">
      <alignment horizontal="center" vertical="top" wrapText="1"/>
      <protection locked="0"/>
    </xf>
    <xf numFmtId="0" fontId="88" fillId="11" borderId="1" xfId="8" applyFont="1" applyFill="1" applyBorder="1" applyAlignment="1" applyProtection="1">
      <alignment horizontal="center" vertical="top" wrapText="1"/>
      <protection locked="0"/>
    </xf>
    <xf numFmtId="0" fontId="72" fillId="11" borderId="1" xfId="8" applyFont="1" applyFill="1" applyBorder="1" applyAlignment="1" applyProtection="1">
      <alignment horizontal="left" vertical="top" wrapText="1"/>
      <protection locked="0"/>
    </xf>
    <xf numFmtId="0" fontId="72" fillId="11" borderId="1" xfId="8" applyFont="1" applyFill="1" applyBorder="1" applyAlignment="1" applyProtection="1">
      <alignment horizontal="center" vertical="top" wrapText="1"/>
      <protection locked="0"/>
    </xf>
    <xf numFmtId="0" fontId="68" fillId="11" borderId="1" xfId="8" applyFont="1" applyFill="1" applyBorder="1" applyAlignment="1" applyProtection="1">
      <alignment horizontal="left" vertical="top" wrapText="1"/>
      <protection locked="0"/>
    </xf>
    <xf numFmtId="0" fontId="68" fillId="0" borderId="1" xfId="40" applyFont="1" applyBorder="1" applyAlignment="1" applyProtection="1">
      <alignment horizontal="center" vertical="top" wrapText="1"/>
    </xf>
    <xf numFmtId="0" fontId="66" fillId="10" borderId="1" xfId="8" applyFont="1" applyFill="1" applyBorder="1" applyAlignment="1" applyProtection="1">
      <alignment horizontal="center" vertical="top" wrapText="1"/>
    </xf>
    <xf numFmtId="0" fontId="68" fillId="0" borderId="1" xfId="8" applyFont="1" applyBorder="1" applyAlignment="1" applyProtection="1">
      <alignment vertical="top" wrapText="1"/>
      <protection locked="0"/>
    </xf>
    <xf numFmtId="0" fontId="72" fillId="0" borderId="1" xfId="8" applyFont="1" applyBorder="1" applyAlignment="1" applyProtection="1">
      <alignment vertical="top" wrapText="1"/>
      <protection locked="0"/>
    </xf>
    <xf numFmtId="0" fontId="66" fillId="4" borderId="1" xfId="8" applyFont="1" applyFill="1" applyBorder="1" applyAlignment="1" applyProtection="1">
      <alignment horizontal="center" vertical="top" wrapText="1"/>
    </xf>
    <xf numFmtId="0" fontId="66" fillId="4" borderId="1" xfId="8" applyFont="1" applyFill="1" applyBorder="1" applyAlignment="1" applyProtection="1">
      <alignment horizontal="center" vertical="top" wrapText="1"/>
      <protection locked="0"/>
    </xf>
    <xf numFmtId="0" fontId="66" fillId="6" borderId="1" xfId="8" applyFont="1" applyFill="1" applyBorder="1" applyAlignment="1" applyProtection="1">
      <alignment horizontal="left" vertical="top" wrapText="1"/>
    </xf>
    <xf numFmtId="0" fontId="66" fillId="6" borderId="1" xfId="8" applyFont="1" applyFill="1" applyBorder="1" applyAlignment="1" applyProtection="1">
      <alignment horizontal="center" vertical="top" wrapText="1"/>
    </xf>
    <xf numFmtId="0" fontId="66" fillId="6" borderId="1" xfId="8" applyFont="1" applyFill="1" applyBorder="1" applyAlignment="1" applyProtection="1">
      <alignment horizontal="center" vertical="top" wrapText="1"/>
      <protection locked="0"/>
    </xf>
    <xf numFmtId="43" fontId="66" fillId="6" borderId="1" xfId="1" applyFont="1" applyFill="1" applyBorder="1" applyAlignment="1" applyProtection="1">
      <alignment horizontal="center" vertical="top" wrapText="1"/>
    </xf>
    <xf numFmtId="0" fontId="66" fillId="6" borderId="5" xfId="8" applyFont="1" applyFill="1" applyBorder="1" applyAlignment="1" applyProtection="1">
      <alignment horizontal="left" vertical="top" wrapText="1"/>
      <protection locked="0"/>
    </xf>
    <xf numFmtId="0" fontId="86" fillId="42" borderId="1" xfId="0" applyFont="1" applyFill="1" applyBorder="1" applyAlignment="1" applyProtection="1">
      <alignment vertical="top" wrapText="1"/>
    </xf>
    <xf numFmtId="43" fontId="86" fillId="42" borderId="1" xfId="1" applyFont="1" applyFill="1" applyBorder="1" applyAlignment="1" applyProtection="1">
      <alignment horizontal="center" vertical="top" wrapText="1"/>
    </xf>
    <xf numFmtId="0" fontId="67" fillId="0" borderId="0" xfId="8" applyFont="1" applyAlignment="1" applyProtection="1">
      <alignment vertical="top" wrapText="1"/>
    </xf>
    <xf numFmtId="49" fontId="68" fillId="0" borderId="1" xfId="4" applyNumberFormat="1" applyFont="1" applyBorder="1" applyAlignment="1" applyProtection="1">
      <alignment horizontal="left" vertical="top" wrapText="1"/>
    </xf>
    <xf numFmtId="0" fontId="88" fillId="54" borderId="1" xfId="8" applyFont="1" applyFill="1" applyBorder="1" applyAlignment="1" applyProtection="1">
      <alignment horizontal="center" vertical="top" wrapText="1"/>
      <protection locked="0"/>
    </xf>
    <xf numFmtId="167" fontId="88" fillId="54" borderId="1" xfId="8" applyNumberFormat="1" applyFont="1" applyFill="1" applyBorder="1" applyAlignment="1" applyProtection="1">
      <alignment horizontal="center" vertical="top" wrapText="1"/>
      <protection locked="0"/>
    </xf>
    <xf numFmtId="0" fontId="88" fillId="54" borderId="1" xfId="0" applyFont="1" applyFill="1" applyBorder="1" applyAlignment="1" applyProtection="1">
      <alignment horizontal="center" vertical="top" wrapText="1"/>
      <protection locked="0"/>
    </xf>
    <xf numFmtId="0" fontId="68" fillId="0" borderId="1" xfId="8" applyFont="1" applyBorder="1" applyAlignment="1" applyProtection="1">
      <alignment horizontal="left" vertical="top" wrapText="1"/>
      <protection locked="0"/>
    </xf>
    <xf numFmtId="2" fontId="78" fillId="0" borderId="1" xfId="8" applyNumberFormat="1" applyFont="1" applyBorder="1" applyAlignment="1" applyProtection="1">
      <alignment horizontal="center" vertical="top" wrapText="1"/>
      <protection locked="0"/>
    </xf>
    <xf numFmtId="0" fontId="68" fillId="0" borderId="1" xfId="40" applyFont="1" applyFill="1" applyBorder="1" applyAlignment="1" applyProtection="1">
      <alignment horizontal="center" vertical="top" wrapText="1"/>
    </xf>
    <xf numFmtId="0" fontId="88" fillId="0" borderId="1" xfId="8" applyFont="1" applyFill="1" applyBorder="1" applyAlignment="1" applyProtection="1">
      <alignment horizontal="center" vertical="top" wrapText="1"/>
      <protection locked="0"/>
    </xf>
    <xf numFmtId="167" fontId="68" fillId="0" borderId="1" xfId="8" applyNumberFormat="1" applyFont="1" applyFill="1" applyBorder="1" applyAlignment="1" applyProtection="1">
      <alignment horizontal="center" vertical="top" wrapText="1"/>
      <protection locked="0"/>
    </xf>
    <xf numFmtId="0" fontId="72" fillId="0" borderId="0" xfId="8" applyFont="1" applyFill="1" applyAlignment="1" applyProtection="1">
      <alignment vertical="top" wrapText="1"/>
    </xf>
    <xf numFmtId="0" fontId="87" fillId="0" borderId="1" xfId="0" applyFont="1" applyBorder="1" applyAlignment="1" applyProtection="1">
      <alignment vertical="top" wrapText="1"/>
    </xf>
    <xf numFmtId="43" fontId="87" fillId="0" borderId="1" xfId="1" applyFont="1" applyBorder="1" applyAlignment="1" applyProtection="1">
      <alignment horizontal="center" vertical="top" wrapText="1"/>
    </xf>
    <xf numFmtId="0" fontId="73" fillId="14" borderId="1" xfId="8" applyFont="1" applyFill="1" applyBorder="1" applyAlignment="1" applyProtection="1">
      <alignment horizontal="center" vertical="top" wrapText="1"/>
      <protection locked="0"/>
    </xf>
    <xf numFmtId="43" fontId="73" fillId="14" borderId="1" xfId="1" applyFont="1" applyFill="1" applyBorder="1" applyAlignment="1" applyProtection="1">
      <alignment horizontal="center" vertical="top" wrapText="1"/>
    </xf>
    <xf numFmtId="0" fontId="73" fillId="14" borderId="5" xfId="8" applyFont="1" applyFill="1" applyBorder="1" applyAlignment="1" applyProtection="1">
      <alignment horizontal="left" vertical="top" wrapText="1"/>
      <protection locked="0"/>
    </xf>
    <xf numFmtId="0" fontId="89" fillId="48" borderId="1" xfId="0" applyFont="1" applyFill="1" applyBorder="1" applyAlignment="1" applyProtection="1">
      <alignment vertical="top" wrapText="1"/>
    </xf>
    <xf numFmtId="43" fontId="89" fillId="48" borderId="1" xfId="1" applyFont="1" applyFill="1" applyBorder="1" applyAlignment="1" applyProtection="1">
      <alignment horizontal="center" vertical="top" wrapText="1"/>
    </xf>
    <xf numFmtId="0" fontId="68" fillId="0" borderId="1" xfId="8" applyFont="1" applyFill="1" applyBorder="1" applyAlignment="1" applyProtection="1">
      <alignment horizontal="center" vertical="top" wrapText="1"/>
    </xf>
    <xf numFmtId="0" fontId="68" fillId="11" borderId="1" xfId="8" applyFont="1" applyFill="1" applyBorder="1" applyAlignment="1" applyProtection="1">
      <alignment horizontal="left" vertical="top" wrapText="1"/>
    </xf>
    <xf numFmtId="2" fontId="68" fillId="0" borderId="1" xfId="8" applyNumberFormat="1" applyFont="1" applyBorder="1" applyAlignment="1" applyProtection="1">
      <alignment horizontal="center" vertical="top" wrapText="1"/>
      <protection locked="0"/>
    </xf>
    <xf numFmtId="0" fontId="68" fillId="0" borderId="13" xfId="0" applyFont="1" applyBorder="1" applyAlignment="1" applyProtection="1">
      <alignment horizontal="left" vertical="top" wrapText="1"/>
      <protection locked="0"/>
    </xf>
    <xf numFmtId="0" fontId="66" fillId="0" borderId="1" xfId="8" applyFont="1" applyFill="1" applyBorder="1" applyAlignment="1" applyProtection="1">
      <alignment horizontal="left" vertical="top" wrapText="1"/>
    </xf>
    <xf numFmtId="0" fontId="66" fillId="0" borderId="1" xfId="8" applyFont="1" applyFill="1" applyBorder="1" applyAlignment="1" applyProtection="1">
      <alignment horizontal="center" vertical="top" wrapText="1"/>
      <protection locked="0"/>
    </xf>
    <xf numFmtId="0" fontId="72" fillId="0" borderId="0" xfId="8" applyFont="1" applyAlignment="1" applyProtection="1">
      <alignment horizontal="left" vertical="top" wrapText="1"/>
    </xf>
    <xf numFmtId="43" fontId="72" fillId="0" borderId="0" xfId="1" applyFont="1" applyAlignment="1" applyProtection="1">
      <alignment horizontal="center" vertical="top" wrapText="1"/>
    </xf>
    <xf numFmtId="0" fontId="71" fillId="0" borderId="0" xfId="8" applyFont="1" applyFill="1" applyBorder="1" applyAlignment="1" applyProtection="1">
      <alignment horizontal="center" vertical="center" wrapText="1"/>
    </xf>
    <xf numFmtId="0" fontId="65" fillId="0" borderId="0" xfId="0" applyFont="1" applyFill="1" applyBorder="1" applyAlignment="1" applyProtection="1">
      <alignment vertical="center" wrapText="1"/>
    </xf>
    <xf numFmtId="0" fontId="66" fillId="0" borderId="0" xfId="0" applyFont="1" applyFill="1" applyBorder="1" applyAlignment="1" applyProtection="1">
      <alignment vertical="center" wrapText="1"/>
    </xf>
    <xf numFmtId="0" fontId="67" fillId="0" borderId="0" xfId="0" applyFont="1" applyFill="1" applyBorder="1" applyAlignment="1" applyProtection="1">
      <alignment vertical="center" wrapText="1"/>
    </xf>
    <xf numFmtId="0" fontId="67" fillId="0" borderId="0" xfId="8" applyFont="1" applyFill="1" applyBorder="1" applyAlignment="1" applyProtection="1">
      <alignment vertical="center" wrapText="1"/>
    </xf>
    <xf numFmtId="0" fontId="68" fillId="0" borderId="0" xfId="8" applyFont="1" applyAlignment="1" applyProtection="1">
      <alignment vertical="center" wrapText="1"/>
    </xf>
    <xf numFmtId="0" fontId="69" fillId="8" borderId="13" xfId="3" applyFont="1" applyFill="1" applyBorder="1" applyAlignment="1" applyProtection="1">
      <alignment vertical="center" wrapText="1"/>
    </xf>
    <xf numFmtId="0" fontId="69" fillId="39" borderId="13" xfId="3" applyFont="1" applyFill="1" applyBorder="1" applyAlignment="1" applyProtection="1">
      <alignment horizontal="left" wrapText="1"/>
    </xf>
    <xf numFmtId="0" fontId="69" fillId="24" borderId="13" xfId="3" applyFont="1" applyFill="1" applyBorder="1" applyAlignment="1" applyProtection="1">
      <alignment horizontal="left" vertical="center" wrapText="1"/>
    </xf>
    <xf numFmtId="0" fontId="67" fillId="0" borderId="0" xfId="0" applyFont="1" applyFill="1" applyBorder="1" applyAlignment="1" applyProtection="1">
      <alignment horizontal="center" vertical="center" wrapText="1"/>
    </xf>
    <xf numFmtId="0" fontId="70" fillId="0" borderId="0" xfId="0" applyFont="1" applyFill="1" applyBorder="1" applyAlignment="1" applyProtection="1">
      <alignment horizontal="center" vertical="center" wrapText="1"/>
    </xf>
    <xf numFmtId="43" fontId="70" fillId="0" borderId="0" xfId="1" applyFont="1" applyFill="1" applyBorder="1" applyAlignment="1" applyProtection="1">
      <alignment horizontal="center" vertical="center" wrapText="1"/>
    </xf>
    <xf numFmtId="43" fontId="67" fillId="0" borderId="0" xfId="1" applyFont="1" applyFill="1" applyBorder="1" applyAlignment="1" applyProtection="1">
      <alignment horizontal="center" vertical="center" wrapText="1"/>
    </xf>
    <xf numFmtId="0" fontId="67" fillId="0" borderId="0" xfId="8" applyFont="1" applyFill="1" applyBorder="1" applyAlignment="1" applyProtection="1">
      <alignment horizontal="center" vertical="center" wrapText="1"/>
    </xf>
    <xf numFmtId="0" fontId="68" fillId="0" borderId="0" xfId="0" applyFont="1" applyFill="1" applyAlignment="1" applyProtection="1">
      <alignment vertical="center" wrapText="1"/>
    </xf>
    <xf numFmtId="0" fontId="68" fillId="0" borderId="0" xfId="8" applyFont="1" applyAlignment="1" applyProtection="1">
      <alignment horizontal="center" vertical="center" wrapText="1"/>
    </xf>
    <xf numFmtId="0" fontId="66" fillId="2" borderId="1" xfId="4" applyFont="1" applyFill="1" applyBorder="1" applyAlignment="1" applyProtection="1">
      <alignment vertical="center" wrapText="1"/>
    </xf>
    <xf numFmtId="0" fontId="67" fillId="2" borderId="1" xfId="4" applyFont="1" applyFill="1" applyBorder="1" applyAlignment="1" applyProtection="1">
      <alignment vertical="center" wrapText="1"/>
    </xf>
    <xf numFmtId="2" fontId="66" fillId="2" borderId="1" xfId="4" applyNumberFormat="1" applyFont="1" applyFill="1" applyBorder="1" applyAlignment="1" applyProtection="1">
      <alignment horizontal="right" vertical="center" wrapText="1"/>
    </xf>
    <xf numFmtId="43" fontId="66" fillId="2" borderId="1" xfId="1" applyFont="1" applyFill="1" applyBorder="1" applyAlignment="1" applyProtection="1">
      <alignment horizontal="left" vertical="center" wrapText="1"/>
    </xf>
    <xf numFmtId="2" fontId="66" fillId="2" borderId="5" xfId="4" applyNumberFormat="1" applyFont="1" applyFill="1" applyBorder="1" applyAlignment="1" applyProtection="1">
      <alignment horizontal="left" vertical="center" wrapText="1"/>
    </xf>
    <xf numFmtId="0" fontId="68" fillId="4" borderId="1" xfId="8" applyFont="1" applyFill="1" applyBorder="1" applyAlignment="1" applyProtection="1">
      <alignment vertical="center" wrapText="1"/>
    </xf>
    <xf numFmtId="0" fontId="72" fillId="4" borderId="1" xfId="8" applyFont="1" applyFill="1" applyBorder="1" applyAlignment="1" applyProtection="1">
      <alignment vertical="center" wrapText="1"/>
    </xf>
    <xf numFmtId="2" fontId="68" fillId="4" borderId="1" xfId="8" applyNumberFormat="1" applyFont="1" applyFill="1" applyBorder="1" applyAlignment="1" applyProtection="1">
      <alignment horizontal="right" vertical="center" wrapText="1"/>
    </xf>
    <xf numFmtId="2" fontId="66" fillId="4" borderId="1" xfId="8" applyNumberFormat="1" applyFont="1" applyFill="1" applyBorder="1" applyAlignment="1" applyProtection="1">
      <alignment horizontal="right" vertical="center" wrapText="1"/>
    </xf>
    <xf numFmtId="43" fontId="68" fillId="4" borderId="1" xfId="1" applyFont="1" applyFill="1" applyBorder="1" applyAlignment="1" applyProtection="1">
      <alignment horizontal="left" vertical="center" wrapText="1"/>
    </xf>
    <xf numFmtId="2" fontId="68" fillId="4" borderId="5" xfId="8" applyNumberFormat="1" applyFont="1" applyFill="1" applyBorder="1" applyAlignment="1" applyProtection="1">
      <alignment horizontal="left" vertical="center" wrapText="1"/>
    </xf>
    <xf numFmtId="0" fontId="86" fillId="46" borderId="1" xfId="0" applyFont="1" applyFill="1" applyBorder="1" applyAlignment="1" applyProtection="1">
      <alignment horizontal="right" vertical="center" wrapText="1"/>
    </xf>
    <xf numFmtId="0" fontId="87" fillId="46" borderId="1" xfId="0" applyFont="1" applyFill="1" applyBorder="1" applyAlignment="1" applyProtection="1">
      <alignment vertical="center" wrapText="1"/>
    </xf>
    <xf numFmtId="0" fontId="68" fillId="0" borderId="0" xfId="8" applyFont="1" applyFill="1" applyAlignment="1" applyProtection="1">
      <alignment horizontal="center" vertical="center" wrapText="1"/>
    </xf>
    <xf numFmtId="0" fontId="66" fillId="28" borderId="1" xfId="8" applyFont="1" applyFill="1" applyBorder="1" applyAlignment="1" applyProtection="1">
      <alignment horizontal="left" vertical="center" wrapText="1"/>
    </xf>
    <xf numFmtId="0" fontId="68" fillId="28" borderId="1" xfId="4" applyFont="1" applyFill="1" applyBorder="1" applyAlignment="1" applyProtection="1">
      <alignment vertical="center" wrapText="1"/>
    </xf>
    <xf numFmtId="0" fontId="66" fillId="28" borderId="1" xfId="4" applyFont="1" applyFill="1" applyBorder="1" applyAlignment="1" applyProtection="1">
      <alignment vertical="center" wrapText="1"/>
    </xf>
    <xf numFmtId="0" fontId="68" fillId="28" borderId="1" xfId="8" applyFont="1" applyFill="1" applyBorder="1" applyAlignment="1" applyProtection="1">
      <alignment horizontal="center" vertical="center" wrapText="1"/>
    </xf>
    <xf numFmtId="0" fontId="68" fillId="28" borderId="1" xfId="8" applyFont="1" applyFill="1" applyBorder="1" applyAlignment="1" applyProtection="1">
      <alignment vertical="center" wrapText="1"/>
    </xf>
    <xf numFmtId="43" fontId="68" fillId="28" borderId="1" xfId="1" applyFont="1" applyFill="1" applyBorder="1" applyAlignment="1" applyProtection="1">
      <alignment horizontal="right" vertical="center" wrapText="1"/>
    </xf>
    <xf numFmtId="0" fontId="66" fillId="28" borderId="1" xfId="8" applyFont="1" applyFill="1" applyBorder="1" applyAlignment="1" applyProtection="1">
      <alignment horizontal="center" vertical="center" wrapText="1"/>
    </xf>
    <xf numFmtId="43" fontId="66" fillId="28" borderId="1" xfId="1" applyFont="1" applyFill="1" applyBorder="1" applyAlignment="1" applyProtection="1">
      <alignment horizontal="right" vertical="center" wrapText="1"/>
    </xf>
    <xf numFmtId="0" fontId="68" fillId="28" borderId="5" xfId="8" applyFont="1" applyFill="1" applyBorder="1" applyAlignment="1" applyProtection="1">
      <alignment horizontal="left" vertical="center" wrapText="1"/>
    </xf>
    <xf numFmtId="0" fontId="87" fillId="49" borderId="1" xfId="0" applyFont="1" applyFill="1" applyBorder="1" applyAlignment="1" applyProtection="1">
      <alignment vertical="center" wrapText="1"/>
    </xf>
    <xf numFmtId="0" fontId="86" fillId="49" borderId="1" xfId="0" applyFont="1" applyFill="1" applyBorder="1" applyAlignment="1" applyProtection="1">
      <alignment horizontal="right" vertical="center" wrapText="1"/>
    </xf>
    <xf numFmtId="2" fontId="68" fillId="0" borderId="0" xfId="8" applyNumberFormat="1" applyFont="1" applyFill="1" applyAlignment="1" applyProtection="1">
      <alignment vertical="center" wrapText="1"/>
    </xf>
    <xf numFmtId="0" fontId="68" fillId="0" borderId="0" xfId="8" applyFont="1" applyFill="1" applyAlignment="1" applyProtection="1">
      <alignment vertical="center" wrapText="1"/>
    </xf>
    <xf numFmtId="0" fontId="68" fillId="0" borderId="1" xfId="4" applyFont="1" applyFill="1" applyBorder="1" applyAlignment="1" applyProtection="1">
      <alignment horizontal="center" vertical="center" wrapText="1"/>
    </xf>
    <xf numFmtId="0" fontId="68" fillId="0" borderId="1" xfId="4" applyFont="1" applyFill="1" applyBorder="1" applyAlignment="1" applyProtection="1">
      <alignment vertical="center" wrapText="1"/>
    </xf>
    <xf numFmtId="0" fontId="68" fillId="0" borderId="1" xfId="4" applyFont="1" applyBorder="1" applyAlignment="1" applyProtection="1">
      <alignment vertical="center" wrapText="1"/>
    </xf>
    <xf numFmtId="0" fontId="88" fillId="54" borderId="1" xfId="8" applyFont="1" applyFill="1" applyBorder="1" applyAlignment="1" applyProtection="1">
      <alignment vertical="center" wrapText="1"/>
      <protection locked="0"/>
    </xf>
    <xf numFmtId="167" fontId="88" fillId="54" borderId="1" xfId="8" applyNumberFormat="1" applyFont="1" applyFill="1" applyBorder="1" applyAlignment="1" applyProtection="1">
      <alignment horizontal="right" vertical="center" wrapText="1"/>
      <protection locked="0"/>
    </xf>
    <xf numFmtId="43" fontId="72" fillId="0" borderId="1" xfId="1" applyFont="1" applyBorder="1" applyAlignment="1" applyProtection="1">
      <alignment horizontal="right" vertical="center" wrapText="1"/>
    </xf>
    <xf numFmtId="43" fontId="68" fillId="0" borderId="1" xfId="1" applyFont="1" applyBorder="1" applyAlignment="1" applyProtection="1">
      <alignment horizontal="right" vertical="center" wrapText="1"/>
    </xf>
    <xf numFmtId="43" fontId="68" fillId="0" borderId="1" xfId="0" applyNumberFormat="1" applyFont="1" applyBorder="1" applyAlignment="1" applyProtection="1">
      <alignment vertical="center" wrapText="1"/>
    </xf>
    <xf numFmtId="2" fontId="68" fillId="0" borderId="0" xfId="8" applyNumberFormat="1" applyFont="1" applyAlignment="1" applyProtection="1">
      <alignment vertical="center" wrapText="1"/>
    </xf>
    <xf numFmtId="0" fontId="88" fillId="0" borderId="1" xfId="8" applyFont="1" applyBorder="1" applyAlignment="1" applyProtection="1">
      <alignment vertical="center" wrapText="1"/>
      <protection locked="0"/>
    </xf>
    <xf numFmtId="167" fontId="88" fillId="0" borderId="1" xfId="8" applyNumberFormat="1" applyFont="1" applyBorder="1" applyAlignment="1" applyProtection="1">
      <alignment horizontal="right" vertical="center" wrapText="1"/>
      <protection locked="0"/>
    </xf>
    <xf numFmtId="0" fontId="68" fillId="28" borderId="1" xfId="8" applyFont="1" applyFill="1" applyBorder="1" applyAlignment="1" applyProtection="1">
      <alignment vertical="center" wrapText="1"/>
      <protection locked="0"/>
    </xf>
    <xf numFmtId="0" fontId="66" fillId="28" borderId="1" xfId="8" applyFont="1" applyFill="1" applyBorder="1" applyAlignment="1" applyProtection="1">
      <alignment horizontal="center" vertical="center" wrapText="1"/>
      <protection locked="0"/>
    </xf>
    <xf numFmtId="0" fontId="68" fillId="28" borderId="5" xfId="8" applyFont="1" applyFill="1" applyBorder="1" applyAlignment="1" applyProtection="1">
      <alignment horizontal="left" vertical="center" wrapText="1"/>
      <protection locked="0"/>
    </xf>
    <xf numFmtId="0" fontId="68" fillId="0" borderId="1" xfId="4" applyFont="1" applyBorder="1" applyAlignment="1" applyProtection="1">
      <alignment horizontal="left" vertical="center" wrapText="1"/>
      <protection locked="0"/>
    </xf>
    <xf numFmtId="167" fontId="68" fillId="0" borderId="1" xfId="8" applyNumberFormat="1" applyFont="1" applyBorder="1" applyAlignment="1" applyProtection="1">
      <alignment horizontal="right" vertical="center" wrapText="1"/>
      <protection locked="0"/>
    </xf>
    <xf numFmtId="0" fontId="68" fillId="0" borderId="1" xfId="8" applyFont="1" applyFill="1" applyBorder="1" applyAlignment="1" applyProtection="1">
      <alignment vertical="center" wrapText="1"/>
      <protection locked="0"/>
    </xf>
    <xf numFmtId="0" fontId="72" fillId="0" borderId="1" xfId="8" applyFont="1" applyFill="1" applyBorder="1" applyAlignment="1" applyProtection="1">
      <alignment horizontal="center" vertical="center" wrapText="1"/>
      <protection locked="0"/>
    </xf>
    <xf numFmtId="2" fontId="67" fillId="0" borderId="0" xfId="8" applyNumberFormat="1" applyFont="1" applyAlignment="1" applyProtection="1">
      <alignment vertical="center" wrapText="1"/>
    </xf>
    <xf numFmtId="0" fontId="72" fillId="0" borderId="0" xfId="8" applyFont="1" applyAlignment="1" applyProtection="1">
      <alignment wrapText="1"/>
    </xf>
    <xf numFmtId="0" fontId="68" fillId="11" borderId="1" xfId="8" applyFont="1" applyFill="1" applyBorder="1" applyAlignment="1" applyProtection="1">
      <alignment vertical="center" wrapText="1"/>
      <protection locked="0"/>
    </xf>
    <xf numFmtId="0" fontId="75" fillId="0" borderId="1" xfId="0" applyFont="1" applyBorder="1" applyAlignment="1" applyProtection="1">
      <alignment horizontal="left" vertical="center" wrapText="1"/>
      <protection locked="0"/>
    </xf>
    <xf numFmtId="0" fontId="68" fillId="0" borderId="1" xfId="9" applyFont="1" applyBorder="1" applyAlignment="1" applyProtection="1">
      <alignment horizontal="center" vertical="center" wrapText="1"/>
    </xf>
    <xf numFmtId="0" fontId="78" fillId="0" borderId="1" xfId="8" applyFont="1" applyBorder="1" applyAlignment="1" applyProtection="1">
      <alignment vertical="center" wrapText="1"/>
      <protection locked="0"/>
    </xf>
    <xf numFmtId="0" fontId="66" fillId="0" borderId="1" xfId="4" applyFont="1" applyFill="1" applyBorder="1" applyAlignment="1" applyProtection="1">
      <alignment horizontal="left" vertical="center" wrapText="1"/>
    </xf>
    <xf numFmtId="0" fontId="68" fillId="4" borderId="1" xfId="8" applyFont="1" applyFill="1" applyBorder="1" applyAlignment="1" applyProtection="1">
      <alignment vertical="center" wrapText="1"/>
      <protection locked="0"/>
    </xf>
    <xf numFmtId="0" fontId="72" fillId="4" borderId="1" xfId="8" applyFont="1" applyFill="1" applyBorder="1" applyAlignment="1" applyProtection="1">
      <alignment vertical="center" wrapText="1"/>
      <protection locked="0"/>
    </xf>
    <xf numFmtId="2" fontId="68" fillId="4" borderId="1" xfId="8" applyNumberFormat="1" applyFont="1" applyFill="1" applyBorder="1" applyAlignment="1" applyProtection="1">
      <alignment horizontal="right" vertical="center" wrapText="1"/>
      <protection locked="0"/>
    </xf>
    <xf numFmtId="2" fontId="66" fillId="4" borderId="1" xfId="8" applyNumberFormat="1" applyFont="1" applyFill="1" applyBorder="1" applyAlignment="1" applyProtection="1">
      <alignment horizontal="right" vertical="center" wrapText="1"/>
      <protection locked="0"/>
    </xf>
    <xf numFmtId="2" fontId="68" fillId="4" borderId="5" xfId="8" applyNumberFormat="1" applyFont="1" applyFill="1" applyBorder="1" applyAlignment="1" applyProtection="1">
      <alignment horizontal="left" vertical="center" wrapText="1"/>
      <protection locked="0"/>
    </xf>
    <xf numFmtId="0" fontId="68" fillId="0" borderId="1" xfId="4" applyFont="1" applyBorder="1" applyAlignment="1" applyProtection="1">
      <alignment horizontal="center" vertical="center" wrapText="1"/>
    </xf>
    <xf numFmtId="0" fontId="88" fillId="0" borderId="2" xfId="8" applyFont="1" applyBorder="1" applyAlignment="1" applyProtection="1">
      <alignment vertical="center" wrapText="1"/>
      <protection locked="0"/>
    </xf>
    <xf numFmtId="0" fontId="72" fillId="0" borderId="1" xfId="8" applyFont="1" applyBorder="1" applyAlignment="1" applyProtection="1">
      <alignment horizontal="left" vertical="center" wrapText="1"/>
      <protection locked="0"/>
    </xf>
    <xf numFmtId="43" fontId="68" fillId="0" borderId="1" xfId="1" applyFont="1" applyFill="1" applyBorder="1" applyAlignment="1" applyProtection="1">
      <alignment horizontal="right" vertical="center" wrapText="1"/>
    </xf>
    <xf numFmtId="0" fontId="66" fillId="28" borderId="1" xfId="4" applyFont="1" applyFill="1" applyBorder="1" applyAlignment="1" applyProtection="1">
      <alignment horizontal="left" vertical="center" wrapText="1"/>
    </xf>
    <xf numFmtId="0" fontId="66" fillId="28" borderId="1" xfId="8" applyFont="1" applyFill="1" applyBorder="1" applyAlignment="1" applyProtection="1">
      <alignment vertical="center" wrapText="1"/>
    </xf>
    <xf numFmtId="0" fontId="66" fillId="28" borderId="1" xfId="8" applyFont="1" applyFill="1" applyBorder="1" applyAlignment="1" applyProtection="1">
      <alignment vertical="center" wrapText="1"/>
      <protection locked="0"/>
    </xf>
    <xf numFmtId="0" fontId="66" fillId="28" borderId="5" xfId="8" applyFont="1" applyFill="1" applyBorder="1" applyAlignment="1" applyProtection="1">
      <alignment horizontal="left" vertical="center" wrapText="1"/>
      <protection locked="0"/>
    </xf>
    <xf numFmtId="0" fontId="86" fillId="49" borderId="1" xfId="0" applyFont="1" applyFill="1" applyBorder="1" applyAlignment="1" applyProtection="1">
      <alignment vertical="center" wrapText="1"/>
    </xf>
    <xf numFmtId="0" fontId="68" fillId="0" borderId="1" xfId="8" applyFont="1" applyBorder="1" applyAlignment="1" applyProtection="1">
      <alignment vertical="center" wrapText="1"/>
    </xf>
    <xf numFmtId="0" fontId="68" fillId="0" borderId="1" xfId="11" applyFont="1" applyBorder="1" applyAlignment="1" applyProtection="1">
      <alignment horizontal="center" vertical="center" wrapText="1"/>
      <protection locked="0"/>
    </xf>
    <xf numFmtId="0" fontId="68" fillId="0" borderId="1" xfId="9" applyFont="1" applyBorder="1" applyAlignment="1" applyProtection="1">
      <alignment vertical="center" wrapText="1"/>
      <protection locked="0"/>
    </xf>
    <xf numFmtId="43" fontId="68" fillId="4" borderId="1" xfId="1" applyFont="1" applyFill="1" applyBorder="1" applyAlignment="1" applyProtection="1">
      <alignment horizontal="right" vertical="center" wrapText="1"/>
    </xf>
    <xf numFmtId="2" fontId="68" fillId="0" borderId="1" xfId="4" applyNumberFormat="1" applyFont="1" applyBorder="1" applyAlignment="1" applyProtection="1">
      <alignment vertical="center" wrapText="1"/>
    </xf>
    <xf numFmtId="0" fontId="72" fillId="0" borderId="1" xfId="8" applyFont="1" applyFill="1" applyBorder="1" applyAlignment="1" applyProtection="1">
      <alignment horizontal="center" vertical="center" wrapText="1"/>
    </xf>
    <xf numFmtId="0" fontId="68" fillId="0" borderId="1" xfId="8" applyFont="1" applyFill="1" applyBorder="1" applyAlignment="1" applyProtection="1">
      <alignment vertical="center" wrapText="1"/>
    </xf>
    <xf numFmtId="0" fontId="88" fillId="0" borderId="1" xfId="8" applyFont="1" applyFill="1" applyBorder="1" applyAlignment="1" applyProtection="1">
      <alignment vertical="center" wrapText="1"/>
      <protection locked="0"/>
    </xf>
    <xf numFmtId="0" fontId="88" fillId="0" borderId="1" xfId="0" applyFont="1" applyFill="1" applyBorder="1" applyAlignment="1" applyProtection="1">
      <alignment horizontal="center" vertical="center" wrapText="1"/>
      <protection locked="0"/>
    </xf>
    <xf numFmtId="167" fontId="88" fillId="0" borderId="1" xfId="8" applyNumberFormat="1" applyFont="1" applyFill="1" applyBorder="1" applyAlignment="1" applyProtection="1">
      <alignment horizontal="right" vertical="center" wrapText="1"/>
      <protection locked="0"/>
    </xf>
    <xf numFmtId="43" fontId="72" fillId="0" borderId="1" xfId="1" applyFont="1" applyFill="1" applyBorder="1" applyAlignment="1" applyProtection="1">
      <alignment horizontal="right" vertical="center" wrapText="1"/>
    </xf>
    <xf numFmtId="0" fontId="88" fillId="0" borderId="1" xfId="8" applyFont="1" applyFill="1" applyBorder="1" applyAlignment="1" applyProtection="1">
      <alignment horizontal="left" vertical="center" wrapText="1"/>
      <protection locked="0"/>
    </xf>
    <xf numFmtId="0" fontId="72" fillId="0" borderId="1" xfId="9" applyFont="1" applyFill="1" applyBorder="1" applyAlignment="1" applyProtection="1">
      <alignment horizontal="center" vertical="center" wrapText="1"/>
    </xf>
    <xf numFmtId="0" fontId="72" fillId="0" borderId="1" xfId="9" applyFont="1" applyFill="1" applyBorder="1" applyAlignment="1" applyProtection="1">
      <alignment horizontal="left" vertical="center" wrapText="1"/>
    </xf>
    <xf numFmtId="0" fontId="68" fillId="0" borderId="1" xfId="0" applyFont="1" applyFill="1" applyBorder="1" applyAlignment="1" applyProtection="1">
      <alignment vertical="center" wrapText="1"/>
    </xf>
    <xf numFmtId="0" fontId="72" fillId="0" borderId="1" xfId="105" applyFont="1" applyBorder="1" applyAlignment="1" applyProtection="1">
      <alignment horizontal="left" vertical="top" wrapText="1"/>
    </xf>
    <xf numFmtId="0" fontId="72" fillId="0" borderId="1" xfId="105" applyFont="1" applyFill="1" applyBorder="1" applyAlignment="1" applyProtection="1">
      <alignment horizontal="left" vertical="top" wrapText="1"/>
    </xf>
    <xf numFmtId="43" fontId="66" fillId="0" borderId="1" xfId="1" applyFont="1" applyFill="1" applyBorder="1" applyAlignment="1" applyProtection="1">
      <alignment horizontal="right" vertical="center" wrapText="1"/>
    </xf>
    <xf numFmtId="0" fontId="72" fillId="0" borderId="1" xfId="9" applyFont="1" applyFill="1" applyBorder="1" applyAlignment="1" applyProtection="1">
      <alignment horizontal="left" vertical="top" wrapText="1"/>
    </xf>
    <xf numFmtId="0" fontId="72" fillId="0" borderId="1" xfId="8" applyFont="1" applyFill="1" applyBorder="1" applyAlignment="1" applyProtection="1">
      <alignment horizontal="left" vertical="top" wrapText="1"/>
      <protection locked="0"/>
    </xf>
    <xf numFmtId="43" fontId="72" fillId="0" borderId="1" xfId="1" applyFont="1" applyFill="1" applyBorder="1" applyAlignment="1" applyProtection="1">
      <alignment horizontal="left" vertical="top" wrapText="1"/>
    </xf>
    <xf numFmtId="43" fontId="68" fillId="0" borderId="1" xfId="0" applyNumberFormat="1" applyFont="1" applyFill="1" applyBorder="1" applyAlignment="1" applyProtection="1">
      <alignment horizontal="left" vertical="top" wrapText="1"/>
    </xf>
    <xf numFmtId="2" fontId="68" fillId="0" borderId="0" xfId="8" applyNumberFormat="1" applyFont="1" applyFill="1" applyAlignment="1" applyProtection="1">
      <alignment horizontal="left" vertical="top" wrapText="1"/>
    </xf>
    <xf numFmtId="0" fontId="68" fillId="0" borderId="0" xfId="8" applyFont="1" applyFill="1" applyAlignment="1" applyProtection="1">
      <alignment horizontal="left" vertical="top" wrapText="1"/>
    </xf>
    <xf numFmtId="0" fontId="72" fillId="0" borderId="1" xfId="8" applyFont="1" applyFill="1" applyBorder="1" applyAlignment="1" applyProtection="1">
      <alignment vertical="center" wrapText="1"/>
      <protection locked="0"/>
    </xf>
    <xf numFmtId="0" fontId="67" fillId="28" borderId="1" xfId="8" applyFont="1" applyFill="1" applyBorder="1" applyAlignment="1" applyProtection="1">
      <alignment horizontal="left" vertical="center" wrapText="1"/>
    </xf>
    <xf numFmtId="0" fontId="67" fillId="28" borderId="1" xfId="4" applyFont="1" applyFill="1" applyBorder="1" applyAlignment="1" applyProtection="1">
      <alignment horizontal="left" vertical="center" wrapText="1"/>
    </xf>
    <xf numFmtId="0" fontId="72" fillId="28" borderId="1" xfId="8" applyFont="1" applyFill="1" applyBorder="1" applyAlignment="1" applyProtection="1">
      <alignment horizontal="center" vertical="center" wrapText="1"/>
      <protection locked="0"/>
    </xf>
    <xf numFmtId="43" fontId="72" fillId="28" borderId="1" xfId="1" applyFont="1" applyFill="1" applyBorder="1" applyAlignment="1" applyProtection="1">
      <alignment horizontal="right" vertical="center" wrapText="1"/>
    </xf>
    <xf numFmtId="0" fontId="67" fillId="0" borderId="1" xfId="8" applyFont="1" applyFill="1" applyBorder="1" applyAlignment="1" applyProtection="1">
      <alignment horizontal="left" vertical="center" wrapText="1"/>
    </xf>
    <xf numFmtId="0" fontId="88" fillId="0" borderId="1" xfId="9" applyFont="1" applyFill="1" applyBorder="1" applyAlignment="1" applyProtection="1">
      <alignment vertical="center" wrapText="1"/>
      <protection locked="0"/>
    </xf>
    <xf numFmtId="0" fontId="88" fillId="0" borderId="1" xfId="9" applyFont="1" applyFill="1" applyBorder="1" applyAlignment="1" applyProtection="1">
      <alignment horizontal="center" vertical="center" wrapText="1"/>
      <protection locked="0"/>
    </xf>
    <xf numFmtId="167" fontId="88" fillId="0" borderId="1" xfId="9" applyNumberFormat="1" applyFont="1" applyFill="1" applyBorder="1" applyAlignment="1" applyProtection="1">
      <alignment horizontal="right" vertical="center" wrapText="1"/>
      <protection locked="0"/>
    </xf>
    <xf numFmtId="0" fontId="68" fillId="4" borderId="1" xfId="4" applyFont="1" applyFill="1" applyBorder="1" applyAlignment="1" applyProtection="1">
      <alignment vertical="center" wrapText="1"/>
    </xf>
    <xf numFmtId="0" fontId="66" fillId="4" borderId="1" xfId="4" applyFont="1" applyFill="1" applyBorder="1" applyAlignment="1" applyProtection="1">
      <alignment vertical="center" wrapText="1"/>
    </xf>
    <xf numFmtId="0" fontId="68" fillId="4" borderId="5" xfId="8" applyFont="1" applyFill="1" applyBorder="1" applyAlignment="1" applyProtection="1">
      <alignment horizontal="left" vertical="center" wrapText="1"/>
      <protection locked="0"/>
    </xf>
    <xf numFmtId="2" fontId="72" fillId="0" borderId="0" xfId="8" applyNumberFormat="1" applyFont="1" applyAlignment="1" applyProtection="1">
      <alignment vertical="center" wrapText="1"/>
    </xf>
    <xf numFmtId="43" fontId="72" fillId="52" borderId="1" xfId="1" applyFont="1" applyFill="1" applyBorder="1" applyAlignment="1" applyProtection="1">
      <alignment horizontal="right" vertical="center" wrapText="1"/>
    </xf>
    <xf numFmtId="0" fontId="68" fillId="2" borderId="1" xfId="4" applyFont="1" applyFill="1" applyBorder="1" applyAlignment="1" applyProtection="1">
      <alignment vertical="center" wrapText="1"/>
    </xf>
    <xf numFmtId="0" fontId="66" fillId="2" borderId="1" xfId="4" applyFont="1" applyFill="1" applyBorder="1" applyAlignment="1" applyProtection="1">
      <alignment vertical="center" wrapText="1"/>
      <protection locked="0"/>
    </xf>
    <xf numFmtId="43" fontId="66" fillId="2" borderId="1" xfId="1" applyFont="1" applyFill="1" applyBorder="1" applyAlignment="1" applyProtection="1">
      <alignment horizontal="right" vertical="center" wrapText="1"/>
    </xf>
    <xf numFmtId="0" fontId="86" fillId="33" borderId="1" xfId="0" applyFont="1" applyFill="1" applyBorder="1" applyAlignment="1" applyProtection="1">
      <alignment horizontal="right" vertical="center" wrapText="1"/>
    </xf>
    <xf numFmtId="2" fontId="72" fillId="0" borderId="0" xfId="8" applyNumberFormat="1" applyFont="1" applyAlignment="1" applyProtection="1">
      <alignment wrapText="1"/>
    </xf>
    <xf numFmtId="0" fontId="66" fillId="28" borderId="1" xfId="4" applyFont="1" applyFill="1" applyBorder="1" applyAlignment="1" applyProtection="1">
      <alignment horizontal="center" vertical="center" wrapText="1"/>
    </xf>
    <xf numFmtId="0" fontId="66" fillId="28" borderId="1" xfId="4" applyFont="1" applyFill="1" applyBorder="1" applyAlignment="1" applyProtection="1">
      <alignment vertical="center" wrapText="1"/>
      <protection locked="0"/>
    </xf>
    <xf numFmtId="0" fontId="66" fillId="28" borderId="1" xfId="4" applyFont="1" applyFill="1" applyBorder="1" applyAlignment="1" applyProtection="1">
      <alignment horizontal="center" vertical="center" wrapText="1"/>
      <protection locked="0"/>
    </xf>
    <xf numFmtId="0" fontId="66" fillId="28" borderId="5" xfId="4" applyFont="1" applyFill="1" applyBorder="1" applyAlignment="1" applyProtection="1">
      <alignment horizontal="left" vertical="center" wrapText="1"/>
      <protection locked="0"/>
    </xf>
    <xf numFmtId="2" fontId="72" fillId="0" borderId="0" xfId="8" applyNumberFormat="1" applyFont="1" applyFill="1" applyAlignment="1" applyProtection="1">
      <alignment wrapText="1"/>
    </xf>
    <xf numFmtId="0" fontId="72" fillId="0" borderId="0" xfId="8" applyFont="1" applyFill="1" applyAlignment="1" applyProtection="1">
      <alignment wrapText="1"/>
    </xf>
    <xf numFmtId="0" fontId="88" fillId="53" borderId="1" xfId="8" applyFont="1" applyFill="1" applyBorder="1" applyAlignment="1" applyProtection="1">
      <alignment vertical="center" wrapText="1"/>
      <protection locked="0"/>
    </xf>
    <xf numFmtId="0" fontId="68" fillId="28" borderId="1" xfId="4" applyFont="1" applyFill="1" applyBorder="1" applyAlignment="1" applyProtection="1">
      <alignment horizontal="left" vertical="center" wrapText="1"/>
    </xf>
    <xf numFmtId="0" fontId="88" fillId="28" borderId="1" xfId="8" applyFont="1" applyFill="1" applyBorder="1" applyAlignment="1" applyProtection="1">
      <alignment vertical="center" wrapText="1"/>
      <protection locked="0"/>
    </xf>
    <xf numFmtId="2" fontId="88" fillId="0" borderId="1" xfId="8" applyNumberFormat="1" applyFont="1" applyBorder="1" applyAlignment="1" applyProtection="1">
      <alignment vertical="center" wrapText="1"/>
      <protection locked="0"/>
    </xf>
    <xf numFmtId="0" fontId="72" fillId="0" borderId="1" xfId="40" applyFont="1" applyFill="1" applyBorder="1" applyAlignment="1" applyProtection="1">
      <alignment horizontal="center" vertical="center" wrapText="1"/>
    </xf>
    <xf numFmtId="0" fontId="72" fillId="0" borderId="1" xfId="40" applyFont="1" applyFill="1" applyBorder="1" applyAlignment="1" applyProtection="1">
      <alignment horizontal="left" vertical="center" wrapText="1"/>
    </xf>
    <xf numFmtId="2" fontId="68" fillId="0" borderId="1" xfId="4" applyNumberFormat="1" applyFont="1" applyFill="1" applyBorder="1" applyAlignment="1" applyProtection="1">
      <alignment vertical="center" wrapText="1"/>
    </xf>
    <xf numFmtId="0" fontId="74" fillId="0" borderId="1" xfId="0" applyNumberFormat="1" applyFont="1" applyBorder="1" applyAlignment="1" applyProtection="1">
      <alignment horizontal="left" vertical="center" wrapText="1"/>
      <protection locked="0"/>
    </xf>
    <xf numFmtId="0" fontId="78" fillId="28" borderId="1" xfId="8" applyFont="1" applyFill="1" applyBorder="1" applyAlignment="1" applyProtection="1">
      <alignment vertical="center" wrapText="1"/>
      <protection locked="0"/>
    </xf>
    <xf numFmtId="0" fontId="78" fillId="28" borderId="1" xfId="8" applyFont="1" applyFill="1" applyBorder="1" applyAlignment="1" applyProtection="1">
      <alignment horizontal="center" vertical="center" wrapText="1"/>
      <protection locked="0"/>
    </xf>
    <xf numFmtId="167" fontId="78" fillId="28" borderId="1" xfId="8" applyNumberFormat="1" applyFont="1" applyFill="1" applyBorder="1" applyAlignment="1" applyProtection="1">
      <alignment horizontal="right" vertical="center" wrapText="1"/>
      <protection locked="0"/>
    </xf>
    <xf numFmtId="2" fontId="67" fillId="0" borderId="0" xfId="8" applyNumberFormat="1" applyFont="1" applyFill="1" applyAlignment="1" applyProtection="1">
      <alignment vertical="center" wrapText="1"/>
    </xf>
    <xf numFmtId="0" fontId="66" fillId="0" borderId="0" xfId="8" applyFont="1" applyFill="1" applyAlignment="1" applyProtection="1">
      <alignment vertical="center" wrapText="1"/>
    </xf>
    <xf numFmtId="2" fontId="72" fillId="0" borderId="1" xfId="0" applyNumberFormat="1" applyFont="1" applyFill="1" applyBorder="1" applyAlignment="1" applyProtection="1">
      <alignment vertical="top" wrapText="1"/>
      <protection locked="0"/>
    </xf>
    <xf numFmtId="0" fontId="88" fillId="13" borderId="1" xfId="8" applyFont="1" applyFill="1" applyBorder="1" applyAlignment="1" applyProtection="1">
      <alignment vertical="center" wrapText="1"/>
      <protection locked="0"/>
    </xf>
    <xf numFmtId="0" fontId="68" fillId="0" borderId="1" xfId="0" applyFont="1" applyBorder="1" applyAlignment="1" applyProtection="1">
      <alignment horizontal="right" vertical="center" wrapText="1"/>
    </xf>
    <xf numFmtId="0" fontId="66" fillId="13" borderId="1" xfId="8" applyFont="1" applyFill="1" applyBorder="1" applyAlignment="1" applyProtection="1">
      <alignment horizontal="center" vertical="center" wrapText="1"/>
      <protection locked="0"/>
    </xf>
    <xf numFmtId="0" fontId="88" fillId="28" borderId="1" xfId="8" applyFont="1" applyFill="1" applyBorder="1" applyAlignment="1" applyProtection="1">
      <alignment horizontal="center" vertical="center" wrapText="1"/>
      <protection locked="0"/>
    </xf>
    <xf numFmtId="167" fontId="88" fillId="28" borderId="1" xfId="8" applyNumberFormat="1" applyFont="1" applyFill="1" applyBorder="1" applyAlignment="1" applyProtection="1">
      <alignment horizontal="right" vertical="center" wrapText="1"/>
      <protection locked="0"/>
    </xf>
    <xf numFmtId="0" fontId="68" fillId="28" borderId="1" xfId="8" applyFont="1" applyFill="1" applyBorder="1" applyAlignment="1" applyProtection="1">
      <alignment horizontal="center" vertical="center" wrapText="1"/>
      <protection locked="0"/>
    </xf>
    <xf numFmtId="0" fontId="67" fillId="28" borderId="1" xfId="8" applyFont="1" applyFill="1" applyBorder="1" applyAlignment="1" applyProtection="1">
      <alignment horizontal="center" vertical="center" wrapText="1"/>
    </xf>
    <xf numFmtId="0" fontId="66" fillId="0" borderId="1" xfId="8" applyFont="1" applyBorder="1" applyAlignment="1" applyProtection="1">
      <alignment horizontal="center" vertical="center" wrapText="1"/>
      <protection locked="0"/>
    </xf>
    <xf numFmtId="2" fontId="66" fillId="0" borderId="1" xfId="8" applyNumberFormat="1" applyFont="1" applyBorder="1" applyAlignment="1" applyProtection="1">
      <alignment horizontal="center" vertical="center" wrapText="1"/>
      <protection locked="0"/>
    </xf>
    <xf numFmtId="0" fontId="87" fillId="47" borderId="1" xfId="0" applyFont="1" applyFill="1" applyBorder="1" applyAlignment="1" applyProtection="1">
      <alignment horizontal="right" vertical="center" wrapText="1"/>
      <protection locked="0"/>
    </xf>
    <xf numFmtId="0" fontId="68" fillId="0" borderId="0" xfId="8" applyFont="1" applyAlignment="1" applyProtection="1">
      <alignment horizontal="left" vertical="center" wrapText="1"/>
    </xf>
    <xf numFmtId="0" fontId="68" fillId="0" borderId="0" xfId="8" applyFont="1" applyAlignment="1" applyProtection="1">
      <alignment horizontal="left" vertical="center" wrapText="1"/>
      <protection locked="0"/>
    </xf>
    <xf numFmtId="2" fontId="68" fillId="0" borderId="0" xfId="8" applyNumberFormat="1" applyFont="1" applyAlignment="1" applyProtection="1">
      <alignment horizontal="left" vertical="center" wrapText="1"/>
    </xf>
    <xf numFmtId="43" fontId="68" fillId="0" borderId="0" xfId="1" applyFont="1" applyAlignment="1" applyProtection="1">
      <alignment vertical="center" wrapText="1"/>
    </xf>
    <xf numFmtId="43" fontId="68" fillId="0" borderId="0" xfId="1" applyFont="1" applyFill="1" applyAlignment="1" applyProtection="1">
      <alignment vertical="center" wrapText="1"/>
    </xf>
    <xf numFmtId="0" fontId="68" fillId="0" borderId="0" xfId="8" applyFont="1" applyFill="1" applyAlignment="1" applyProtection="1">
      <alignment vertical="center" wrapText="1"/>
      <protection locked="0"/>
    </xf>
    <xf numFmtId="0" fontId="66" fillId="0" borderId="0" xfId="8" applyFont="1" applyAlignment="1" applyProtection="1">
      <alignment vertical="center" wrapText="1"/>
    </xf>
    <xf numFmtId="43" fontId="66" fillId="0" borderId="0" xfId="1" applyFont="1" applyAlignment="1" applyProtection="1">
      <alignment vertical="center" wrapText="1"/>
    </xf>
    <xf numFmtId="0" fontId="66" fillId="0" borderId="0" xfId="8" applyFont="1" applyAlignment="1" applyProtection="1">
      <alignment vertical="center" wrapText="1"/>
      <protection locked="0"/>
    </xf>
    <xf numFmtId="4" fontId="72" fillId="0" borderId="1" xfId="0" applyNumberFormat="1" applyFont="1" applyFill="1" applyBorder="1" applyAlignment="1" applyProtection="1">
      <alignment horizontal="left" vertical="center" wrapText="1"/>
      <protection locked="0"/>
    </xf>
    <xf numFmtId="4" fontId="72" fillId="0" borderId="1" xfId="0" applyNumberFormat="1" applyFont="1" applyBorder="1" applyAlignment="1" applyProtection="1">
      <alignment horizontal="center" vertical="center" wrapText="1"/>
      <protection locked="0"/>
    </xf>
    <xf numFmtId="3" fontId="72" fillId="0" borderId="1" xfId="0" applyNumberFormat="1" applyFont="1" applyBorder="1" applyAlignment="1" applyProtection="1">
      <alignment horizontal="right" vertical="center" wrapText="1"/>
      <protection locked="0"/>
    </xf>
    <xf numFmtId="0" fontId="66" fillId="0" borderId="1" xfId="8" applyFont="1" applyFill="1" applyBorder="1" applyAlignment="1" applyProtection="1">
      <alignment horizontal="left" vertical="center" wrapText="1"/>
      <protection locked="0"/>
    </xf>
    <xf numFmtId="0" fontId="72" fillId="0" borderId="1" xfId="9" applyFont="1" applyFill="1" applyBorder="1" applyAlignment="1" applyProtection="1">
      <alignment horizontal="left" vertical="center" wrapText="1"/>
      <protection locked="0"/>
    </xf>
    <xf numFmtId="2" fontId="68" fillId="0" borderId="21" xfId="4" applyNumberFormat="1" applyFont="1" applyFill="1" applyBorder="1" applyAlignment="1" applyProtection="1">
      <alignment horizontal="left" vertical="top" wrapText="1"/>
      <protection locked="0"/>
    </xf>
    <xf numFmtId="0" fontId="68" fillId="13" borderId="1" xfId="0" applyFont="1" applyFill="1" applyBorder="1" applyAlignment="1" applyProtection="1">
      <alignment vertical="center" wrapText="1"/>
      <protection locked="0"/>
    </xf>
    <xf numFmtId="2" fontId="68" fillId="23" borderId="1" xfId="0" applyNumberFormat="1" applyFont="1" applyFill="1" applyBorder="1" applyAlignment="1" applyProtection="1">
      <alignment vertical="top"/>
      <protection locked="0"/>
    </xf>
    <xf numFmtId="2" fontId="68" fillId="0" borderId="1" xfId="0" applyNumberFormat="1" applyFont="1" applyBorder="1" applyAlignment="1" applyProtection="1">
      <alignment vertical="top"/>
      <protection locked="0"/>
    </xf>
    <xf numFmtId="0" fontId="68" fillId="11" borderId="1" xfId="0" applyFont="1" applyFill="1" applyBorder="1" applyAlignment="1" applyProtection="1">
      <alignment horizontal="left" vertical="top" wrapText="1"/>
      <protection locked="0"/>
    </xf>
    <xf numFmtId="0" fontId="66" fillId="11" borderId="1" xfId="8" applyFont="1" applyFill="1" applyBorder="1" applyAlignment="1" applyProtection="1">
      <alignment horizontal="center" vertical="center" wrapText="1"/>
      <protection locked="0"/>
    </xf>
    <xf numFmtId="0" fontId="73" fillId="16" borderId="1" xfId="8" applyFont="1" applyFill="1" applyBorder="1" applyAlignment="1" applyProtection="1">
      <alignment vertical="center" wrapText="1"/>
    </xf>
    <xf numFmtId="0" fontId="68" fillId="0" borderId="0" xfId="0" applyFont="1" applyProtection="1"/>
    <xf numFmtId="0" fontId="72" fillId="0" borderId="1" xfId="0" applyFont="1" applyFill="1" applyBorder="1" applyAlignment="1" applyProtection="1">
      <alignment vertical="center" wrapText="1"/>
    </xf>
    <xf numFmtId="0" fontId="82" fillId="29" borderId="1" xfId="0" applyFont="1" applyFill="1" applyBorder="1" applyAlignment="1" applyProtection="1">
      <alignment horizontal="center" vertical="center" wrapText="1"/>
    </xf>
    <xf numFmtId="0" fontId="83" fillId="29" borderId="1" xfId="0" applyFont="1" applyFill="1" applyBorder="1" applyAlignment="1" applyProtection="1">
      <alignment horizontal="center" vertical="center" wrapText="1"/>
    </xf>
    <xf numFmtId="43" fontId="82" fillId="29" borderId="1" xfId="1" applyFont="1" applyFill="1" applyBorder="1" applyAlignment="1" applyProtection="1">
      <alignment horizontal="center" vertical="center" wrapText="1"/>
    </xf>
    <xf numFmtId="0" fontId="72" fillId="30" borderId="1" xfId="0" applyFont="1" applyFill="1" applyBorder="1" applyAlignment="1" applyProtection="1">
      <alignment horizontal="center" vertical="center" wrapText="1"/>
    </xf>
    <xf numFmtId="43" fontId="72" fillId="30" borderId="1" xfId="1" applyFont="1" applyFill="1" applyBorder="1" applyAlignment="1" applyProtection="1">
      <alignment horizontal="center" vertical="center" wrapText="1"/>
    </xf>
    <xf numFmtId="0" fontId="72" fillId="10" borderId="1" xfId="0" applyFont="1" applyFill="1" applyBorder="1" applyAlignment="1" applyProtection="1">
      <alignment horizontal="center" vertical="center" wrapText="1"/>
    </xf>
    <xf numFmtId="0" fontId="72" fillId="28" borderId="1" xfId="8" applyFont="1" applyFill="1" applyBorder="1" applyAlignment="1" applyProtection="1">
      <alignment horizontal="center" vertical="center"/>
    </xf>
    <xf numFmtId="2" fontId="72" fillId="0" borderId="1" xfId="3" applyNumberFormat="1" applyFont="1" applyFill="1" applyBorder="1" applyProtection="1"/>
    <xf numFmtId="43" fontId="72" fillId="0" borderId="1" xfId="1" applyFont="1" applyFill="1" applyBorder="1" applyAlignment="1" applyProtection="1">
      <alignment vertical="center" wrapText="1"/>
    </xf>
    <xf numFmtId="0" fontId="68" fillId="0" borderId="0" xfId="0" applyFont="1" applyAlignment="1" applyProtection="1">
      <alignment horizontal="center" vertical="center"/>
    </xf>
    <xf numFmtId="0" fontId="68" fillId="18" borderId="1" xfId="38" applyFont="1" applyFill="1" applyBorder="1" applyAlignment="1" applyProtection="1">
      <alignment horizontal="center" vertical="center" wrapText="1"/>
    </xf>
    <xf numFmtId="0" fontId="68" fillId="24" borderId="1" xfId="38" applyFont="1" applyFill="1" applyBorder="1" applyAlignment="1" applyProtection="1">
      <alignment horizontal="center" vertical="center" wrapText="1"/>
    </xf>
    <xf numFmtId="2" fontId="68" fillId="24" borderId="1" xfId="38" applyNumberFormat="1" applyFont="1" applyFill="1" applyBorder="1" applyAlignment="1" applyProtection="1">
      <alignment horizontal="center" vertical="center" wrapText="1"/>
    </xf>
    <xf numFmtId="0" fontId="68" fillId="5" borderId="1" xfId="38" applyFont="1" applyFill="1" applyBorder="1" applyAlignment="1" applyProtection="1">
      <alignment horizontal="center" vertical="center" wrapText="1"/>
    </xf>
    <xf numFmtId="2" fontId="68" fillId="5" borderId="1" xfId="38" applyNumberFormat="1" applyFont="1" applyFill="1" applyBorder="1" applyAlignment="1" applyProtection="1">
      <alignment horizontal="center" vertical="center" wrapText="1"/>
    </xf>
    <xf numFmtId="2" fontId="73" fillId="7" borderId="1" xfId="8" applyNumberFormat="1" applyFont="1" applyFill="1" applyBorder="1" applyAlignment="1" applyProtection="1">
      <alignment horizontal="left" vertical="center" wrapText="1"/>
    </xf>
    <xf numFmtId="2" fontId="73" fillId="7" borderId="1" xfId="8" applyNumberFormat="1" applyFont="1" applyFill="1" applyBorder="1" applyAlignment="1" applyProtection="1">
      <alignment horizontal="right" vertical="center" wrapText="1"/>
    </xf>
    <xf numFmtId="0" fontId="73" fillId="7" borderId="1" xfId="8" applyFont="1" applyFill="1" applyBorder="1" applyAlignment="1" applyProtection="1">
      <alignment horizontal="left" wrapText="1"/>
    </xf>
    <xf numFmtId="2" fontId="68" fillId="2" borderId="1" xfId="4" applyNumberFormat="1" applyFont="1" applyFill="1" applyBorder="1" applyAlignment="1" applyProtection="1">
      <alignment horizontal="left" vertical="center" wrapText="1"/>
    </xf>
    <xf numFmtId="0" fontId="68" fillId="2" borderId="1" xfId="4" applyFont="1" applyFill="1" applyBorder="1" applyAlignment="1" applyProtection="1">
      <alignment horizontal="right" vertical="center" wrapText="1"/>
    </xf>
    <xf numFmtId="2" fontId="68" fillId="2" borderId="1" xfId="4" applyNumberFormat="1" applyFont="1" applyFill="1" applyBorder="1" applyAlignment="1" applyProtection="1">
      <alignment horizontal="right" vertical="center" wrapText="1"/>
    </xf>
    <xf numFmtId="0" fontId="68" fillId="2" borderId="1" xfId="4" applyFont="1" applyFill="1" applyBorder="1" applyAlignment="1" applyProtection="1">
      <alignment horizontal="left" wrapText="1"/>
    </xf>
    <xf numFmtId="0" fontId="68" fillId="0" borderId="1" xfId="11" applyFont="1" applyBorder="1" applyAlignment="1" applyProtection="1">
      <alignment horizontal="left" vertical="center"/>
    </xf>
    <xf numFmtId="0" fontId="72" fillId="0" borderId="1" xfId="4" applyFont="1" applyBorder="1" applyAlignment="1" applyProtection="1">
      <alignment vertical="center" wrapText="1"/>
    </xf>
    <xf numFmtId="0" fontId="68" fillId="0" borderId="1" xfId="11" applyFont="1" applyBorder="1" applyAlignment="1" applyProtection="1">
      <alignment horizontal="center" vertical="center"/>
    </xf>
    <xf numFmtId="2" fontId="72" fillId="0" borderId="1" xfId="0" applyNumberFormat="1" applyFont="1" applyBorder="1" applyAlignment="1" applyProtection="1">
      <alignment horizontal="right" vertical="center" wrapText="1"/>
    </xf>
    <xf numFmtId="2" fontId="68" fillId="0" borderId="1" xfId="11" applyNumberFormat="1" applyFont="1" applyBorder="1" applyAlignment="1" applyProtection="1">
      <alignment vertical="center" wrapText="1"/>
    </xf>
    <xf numFmtId="0" fontId="68" fillId="10" borderId="1" xfId="11" applyFont="1" applyFill="1" applyBorder="1" applyAlignment="1" applyProtection="1">
      <alignment horizontal="left"/>
      <protection locked="0"/>
    </xf>
    <xf numFmtId="2" fontId="68" fillId="10" borderId="1" xfId="11" applyNumberFormat="1" applyFont="1" applyFill="1" applyBorder="1" applyAlignment="1" applyProtection="1">
      <alignment vertical="center"/>
      <protection locked="0"/>
    </xf>
    <xf numFmtId="0" fontId="68" fillId="0" borderId="1" xfId="11" applyFont="1" applyBorder="1" applyAlignment="1" applyProtection="1">
      <alignment vertical="center"/>
      <protection locked="0"/>
    </xf>
    <xf numFmtId="0" fontId="68" fillId="0" borderId="1" xfId="11" applyFont="1" applyBorder="1" applyAlignment="1" applyProtection="1">
      <alignment horizontal="left" wrapText="1"/>
      <protection locked="0"/>
    </xf>
    <xf numFmtId="2" fontId="68" fillId="0" borderId="0" xfId="0" applyNumberFormat="1" applyFont="1" applyProtection="1"/>
    <xf numFmtId="0" fontId="68" fillId="11" borderId="1" xfId="11" applyFont="1" applyFill="1" applyBorder="1" applyAlignment="1" applyProtection="1">
      <alignment horizontal="center" vertical="center"/>
      <protection locked="0"/>
    </xf>
    <xf numFmtId="0" fontId="68" fillId="11" borderId="1" xfId="11" applyFont="1" applyFill="1" applyBorder="1" applyAlignment="1" applyProtection="1">
      <alignment horizontal="center" vertical="center" wrapText="1"/>
      <protection locked="0"/>
    </xf>
    <xf numFmtId="0" fontId="68" fillId="11" borderId="1" xfId="11" applyFont="1" applyFill="1" applyBorder="1" applyAlignment="1" applyProtection="1">
      <alignment horizontal="left" vertical="top" wrapText="1"/>
      <protection locked="0"/>
    </xf>
    <xf numFmtId="1" fontId="72" fillId="11" borderId="1" xfId="8" applyNumberFormat="1" applyFont="1" applyFill="1" applyBorder="1" applyAlignment="1" applyProtection="1">
      <alignment horizontal="center" vertical="center" wrapText="1"/>
      <protection locked="0"/>
    </xf>
    <xf numFmtId="1" fontId="68" fillId="11" borderId="1" xfId="11" applyNumberFormat="1" applyFont="1" applyFill="1" applyBorder="1" applyAlignment="1" applyProtection="1">
      <alignment horizontal="center" vertical="center"/>
      <protection locked="0"/>
    </xf>
    <xf numFmtId="2" fontId="72" fillId="11" borderId="1" xfId="8" applyNumberFormat="1" applyFont="1" applyFill="1" applyBorder="1" applyAlignment="1" applyProtection="1">
      <alignment horizontal="center" vertical="center" wrapText="1"/>
      <protection locked="0"/>
    </xf>
    <xf numFmtId="0" fontId="71" fillId="16" borderId="1" xfId="8" applyFont="1" applyFill="1" applyBorder="1" applyAlignment="1" applyProtection="1">
      <alignment vertical="center" wrapText="1"/>
    </xf>
    <xf numFmtId="0" fontId="67" fillId="0" borderId="1" xfId="0" applyFont="1" applyFill="1" applyBorder="1" applyAlignment="1" applyProtection="1">
      <alignment vertical="center" wrapText="1"/>
    </xf>
    <xf numFmtId="2" fontId="67" fillId="0" borderId="1" xfId="3" applyNumberFormat="1" applyFont="1" applyFill="1" applyBorder="1" applyProtection="1"/>
    <xf numFmtId="43" fontId="67" fillId="0" borderId="1" xfId="1" applyFont="1" applyFill="1" applyBorder="1" applyAlignment="1" applyProtection="1">
      <alignment horizontal="left" vertical="center" wrapText="1"/>
    </xf>
    <xf numFmtId="0" fontId="66" fillId="45" borderId="1" xfId="0" applyFont="1" applyFill="1" applyBorder="1" applyAlignment="1" applyProtection="1">
      <alignment horizontal="center" vertical="center" wrapText="1"/>
    </xf>
    <xf numFmtId="0" fontId="73" fillId="7" borderId="1" xfId="8" applyFont="1" applyFill="1" applyBorder="1" applyAlignment="1" applyProtection="1">
      <alignment horizontal="center" vertical="center" wrapText="1"/>
    </xf>
    <xf numFmtId="43" fontId="67" fillId="7" borderId="1" xfId="1" applyFont="1" applyFill="1" applyBorder="1" applyAlignment="1" applyProtection="1">
      <alignment horizontal="right" vertical="center" wrapText="1"/>
    </xf>
    <xf numFmtId="0" fontId="67" fillId="7" borderId="1" xfId="8" applyFont="1" applyFill="1" applyBorder="1" applyAlignment="1" applyProtection="1">
      <alignment horizontal="center" vertical="center" wrapText="1"/>
    </xf>
    <xf numFmtId="0" fontId="85" fillId="31" borderId="1" xfId="0" applyFont="1" applyFill="1" applyBorder="1" applyAlignment="1" applyProtection="1">
      <alignment horizontal="left" vertical="center" wrapText="1"/>
    </xf>
    <xf numFmtId="43" fontId="85" fillId="31" borderId="1" xfId="1" applyFont="1" applyFill="1" applyBorder="1" applyAlignment="1" applyProtection="1">
      <alignment horizontal="right" vertical="center" wrapText="1"/>
    </xf>
    <xf numFmtId="0" fontId="66" fillId="2" borderId="1" xfId="8" applyFont="1" applyFill="1" applyBorder="1" applyAlignment="1" applyProtection="1">
      <alignment horizontal="left" vertical="center" wrapText="1"/>
    </xf>
    <xf numFmtId="0" fontId="68" fillId="2" borderId="1" xfId="8" applyFont="1" applyFill="1" applyBorder="1" applyAlignment="1" applyProtection="1">
      <alignment horizontal="center" vertical="center" wrapText="1"/>
    </xf>
    <xf numFmtId="0" fontId="68" fillId="2" borderId="1" xfId="8" applyFont="1" applyFill="1" applyBorder="1" applyAlignment="1" applyProtection="1">
      <alignment vertical="center" wrapText="1"/>
    </xf>
    <xf numFmtId="43" fontId="72" fillId="2" borderId="1" xfId="1" applyFont="1" applyFill="1" applyBorder="1" applyAlignment="1" applyProtection="1">
      <alignment horizontal="right" vertical="center" wrapText="1"/>
    </xf>
    <xf numFmtId="0" fontId="67" fillId="2" borderId="1" xfId="8" applyFont="1" applyFill="1" applyBorder="1" applyAlignment="1" applyProtection="1">
      <alignment vertical="center" wrapText="1"/>
    </xf>
    <xf numFmtId="0" fontId="68" fillId="2" borderId="5" xfId="8" applyFont="1" applyFill="1" applyBorder="1" applyAlignment="1" applyProtection="1">
      <alignment horizontal="left" vertical="center" wrapText="1"/>
    </xf>
    <xf numFmtId="0" fontId="87" fillId="33" borderId="1" xfId="0" applyFont="1" applyFill="1" applyBorder="1" applyAlignment="1" applyProtection="1">
      <alignment horizontal="left" vertical="center" wrapText="1"/>
    </xf>
    <xf numFmtId="43" fontId="86" fillId="33" borderId="1" xfId="1" applyFont="1" applyFill="1" applyBorder="1" applyAlignment="1" applyProtection="1">
      <alignment horizontal="right" vertical="center" wrapText="1"/>
    </xf>
    <xf numFmtId="43" fontId="72" fillId="4" borderId="1" xfId="1" applyFont="1" applyFill="1" applyBorder="1" applyAlignment="1" applyProtection="1">
      <alignment horizontal="right" vertical="center" wrapText="1"/>
    </xf>
    <xf numFmtId="0" fontId="67" fillId="4" borderId="1" xfId="8" applyFont="1" applyFill="1" applyBorder="1" applyAlignment="1" applyProtection="1">
      <alignment vertical="center" wrapText="1"/>
    </xf>
    <xf numFmtId="0" fontId="68" fillId="4" borderId="5" xfId="8" applyFont="1" applyFill="1" applyBorder="1" applyAlignment="1" applyProtection="1">
      <alignment horizontal="left" vertical="center" wrapText="1"/>
    </xf>
    <xf numFmtId="0" fontId="87" fillId="46" borderId="1" xfId="0" applyFont="1" applyFill="1" applyBorder="1" applyAlignment="1" applyProtection="1">
      <alignment horizontal="left" vertical="center" wrapText="1"/>
    </xf>
    <xf numFmtId="43" fontId="86" fillId="46" borderId="1" xfId="1" applyFont="1" applyFill="1" applyBorder="1" applyAlignment="1" applyProtection="1">
      <alignment horizontal="right" vertical="center" wrapText="1"/>
    </xf>
    <xf numFmtId="0" fontId="68" fillId="3" borderId="1" xfId="4" applyFont="1" applyFill="1" applyBorder="1" applyAlignment="1" applyProtection="1">
      <alignment vertical="center" wrapText="1"/>
    </xf>
    <xf numFmtId="0" fontId="66" fillId="3" borderId="1" xfId="4" applyFont="1" applyFill="1" applyBorder="1" applyAlignment="1" applyProtection="1">
      <alignment vertical="center" wrapText="1"/>
    </xf>
    <xf numFmtId="0" fontId="68" fillId="3" borderId="1" xfId="8" applyFont="1" applyFill="1" applyBorder="1" applyAlignment="1" applyProtection="1">
      <alignment horizontal="center" vertical="center" wrapText="1"/>
    </xf>
    <xf numFmtId="0" fontId="68" fillId="3" borderId="1" xfId="8" applyFont="1" applyFill="1" applyBorder="1" applyAlignment="1" applyProtection="1">
      <alignment vertical="center" wrapText="1"/>
    </xf>
    <xf numFmtId="43" fontId="72" fillId="3" borderId="1" xfId="1" applyFont="1" applyFill="1" applyBorder="1" applyAlignment="1" applyProtection="1">
      <alignment horizontal="right" vertical="center" wrapText="1"/>
    </xf>
    <xf numFmtId="0" fontId="67" fillId="3" borderId="1" xfId="8" applyFont="1" applyFill="1" applyBorder="1" applyAlignment="1" applyProtection="1">
      <alignment vertical="center" wrapText="1"/>
    </xf>
    <xf numFmtId="43" fontId="67" fillId="3" borderId="1" xfId="1" applyFont="1" applyFill="1" applyBorder="1" applyAlignment="1" applyProtection="1">
      <alignment horizontal="right" vertical="center" wrapText="1"/>
    </xf>
    <xf numFmtId="0" fontId="68" fillId="3" borderId="5" xfId="8" applyFont="1" applyFill="1" applyBorder="1" applyAlignment="1" applyProtection="1">
      <alignment horizontal="left" vertical="center" wrapText="1"/>
    </xf>
    <xf numFmtId="0" fontId="87" fillId="50" borderId="1" xfId="0" applyFont="1" applyFill="1" applyBorder="1" applyAlignment="1" applyProtection="1">
      <alignment horizontal="left" vertical="center" wrapText="1"/>
    </xf>
    <xf numFmtId="43" fontId="86" fillId="50" borderId="1" xfId="1" applyFont="1" applyFill="1" applyBorder="1" applyAlignment="1" applyProtection="1">
      <alignment horizontal="right" vertical="center" wrapText="1"/>
    </xf>
    <xf numFmtId="0" fontId="88" fillId="0" borderId="1" xfId="9" applyFont="1" applyBorder="1" applyAlignment="1" applyProtection="1">
      <alignment vertical="center" wrapText="1"/>
      <protection locked="0"/>
    </xf>
    <xf numFmtId="1" fontId="88" fillId="0" borderId="1" xfId="0" applyNumberFormat="1" applyFont="1" applyBorder="1" applyAlignment="1" applyProtection="1">
      <alignment horizontal="center"/>
      <protection locked="0"/>
    </xf>
    <xf numFmtId="167" fontId="88" fillId="0" borderId="1" xfId="9" applyNumberFormat="1" applyFont="1" applyBorder="1" applyAlignment="1" applyProtection="1">
      <alignment horizontal="right" vertical="center" wrapText="1"/>
      <protection locked="0"/>
    </xf>
    <xf numFmtId="2" fontId="78" fillId="0" borderId="1" xfId="9" applyNumberFormat="1" applyFont="1" applyBorder="1" applyAlignment="1" applyProtection="1">
      <alignment vertical="center" wrapText="1"/>
      <protection locked="0"/>
    </xf>
    <xf numFmtId="0" fontId="68" fillId="0" borderId="5" xfId="84" applyFont="1" applyBorder="1" applyAlignment="1" applyProtection="1">
      <alignment horizontal="left" vertical="center" wrapText="1"/>
      <protection locked="0"/>
    </xf>
    <xf numFmtId="0" fontId="87" fillId="47" borderId="1" xfId="0" applyFont="1" applyFill="1" applyBorder="1" applyAlignment="1" applyProtection="1">
      <alignment horizontal="left" vertical="center" wrapText="1"/>
      <protection locked="0"/>
    </xf>
    <xf numFmtId="43" fontId="87" fillId="47" borderId="1" xfId="1" applyFont="1" applyFill="1" applyBorder="1" applyAlignment="1" applyProtection="1">
      <alignment horizontal="right" vertical="center" wrapText="1"/>
      <protection locked="0"/>
    </xf>
    <xf numFmtId="0" fontId="78" fillId="0" borderId="1" xfId="9" applyFont="1" applyBorder="1" applyAlignment="1" applyProtection="1">
      <alignment vertical="center" wrapText="1"/>
      <protection locked="0"/>
    </xf>
    <xf numFmtId="0" fontId="88" fillId="0" borderId="1" xfId="9" applyFont="1" applyBorder="1" applyAlignment="1" applyProtection="1">
      <alignment horizontal="center" vertical="center" wrapText="1"/>
      <protection locked="0"/>
    </xf>
    <xf numFmtId="0" fontId="68" fillId="0" borderId="5" xfId="9" applyFont="1" applyBorder="1" applyAlignment="1" applyProtection="1">
      <alignment horizontal="left" vertical="center" wrapText="1"/>
      <protection locked="0"/>
    </xf>
    <xf numFmtId="0" fontId="68" fillId="3" borderId="1" xfId="8" applyFont="1" applyFill="1" applyBorder="1" applyAlignment="1" applyProtection="1">
      <alignment vertical="center" wrapText="1"/>
      <protection locked="0"/>
    </xf>
    <xf numFmtId="0" fontId="67" fillId="3" borderId="1" xfId="8" applyFont="1" applyFill="1" applyBorder="1" applyAlignment="1" applyProtection="1">
      <alignment vertical="center" wrapText="1"/>
      <protection locked="0"/>
    </xf>
    <xf numFmtId="43" fontId="66" fillId="3" borderId="1" xfId="1" applyFont="1" applyFill="1" applyBorder="1" applyAlignment="1" applyProtection="1">
      <alignment horizontal="right" vertical="center" wrapText="1"/>
    </xf>
    <xf numFmtId="0" fontId="68" fillId="3" borderId="5" xfId="8" applyFont="1" applyFill="1" applyBorder="1" applyAlignment="1" applyProtection="1">
      <alignment horizontal="left" vertical="center" wrapText="1"/>
      <protection locked="0"/>
    </xf>
    <xf numFmtId="0" fontId="68" fillId="0" borderId="1" xfId="9" applyFont="1" applyFill="1" applyBorder="1" applyAlignment="1" applyProtection="1">
      <alignment vertical="center" wrapText="1"/>
      <protection locked="0"/>
    </xf>
    <xf numFmtId="0" fontId="68" fillId="0" borderId="5" xfId="9" applyFont="1" applyFill="1" applyBorder="1" applyAlignment="1" applyProtection="1">
      <alignment horizontal="left" vertical="center" wrapText="1"/>
      <protection locked="0"/>
    </xf>
    <xf numFmtId="0" fontId="68" fillId="0" borderId="1" xfId="0" applyFont="1" applyBorder="1" applyProtection="1"/>
    <xf numFmtId="0" fontId="88" fillId="0" borderId="1" xfId="38" applyFont="1" applyFill="1" applyBorder="1" applyAlignment="1" applyProtection="1">
      <alignment horizontal="center" vertical="center" wrapText="1"/>
      <protection locked="0"/>
    </xf>
    <xf numFmtId="0" fontId="68" fillId="0" borderId="5" xfId="38" applyFont="1" applyFill="1" applyBorder="1" applyAlignment="1" applyProtection="1">
      <alignment horizontal="left" vertical="center" wrapText="1"/>
      <protection locked="0"/>
    </xf>
    <xf numFmtId="0" fontId="87" fillId="0" borderId="1" xfId="0" applyFont="1" applyFill="1" applyBorder="1" applyAlignment="1" applyProtection="1">
      <alignment horizontal="left" vertical="center" wrapText="1"/>
    </xf>
    <xf numFmtId="43" fontId="87" fillId="0" borderId="1" xfId="1" applyFont="1" applyFill="1" applyBorder="1" applyAlignment="1" applyProtection="1">
      <alignment vertical="center" wrapText="1"/>
    </xf>
    <xf numFmtId="0" fontId="88" fillId="0" borderId="1" xfId="38" applyFont="1" applyFill="1" applyBorder="1" applyAlignment="1" applyProtection="1">
      <alignment vertical="center" wrapText="1"/>
      <protection locked="0"/>
    </xf>
    <xf numFmtId="0" fontId="90" fillId="0" borderId="5" xfId="9" applyFont="1" applyBorder="1" applyAlignment="1" applyProtection="1">
      <alignment horizontal="left" vertical="center" wrapText="1"/>
      <protection locked="0"/>
    </xf>
    <xf numFmtId="0" fontId="68" fillId="0" borderId="1" xfId="0" applyFont="1" applyBorder="1" applyAlignment="1" applyProtection="1">
      <alignment vertical="center"/>
    </xf>
    <xf numFmtId="0" fontId="72" fillId="0" borderId="1" xfId="0" applyFont="1" applyBorder="1" applyAlignment="1" applyProtection="1">
      <alignment wrapText="1"/>
    </xf>
    <xf numFmtId="0" fontId="72" fillId="0" borderId="5" xfId="84" applyFont="1" applyBorder="1" applyAlignment="1" applyProtection="1">
      <alignment horizontal="left" vertical="center" wrapText="1"/>
      <protection locked="0"/>
    </xf>
    <xf numFmtId="0" fontId="88" fillId="0" borderId="1" xfId="4" applyFont="1" applyBorder="1" applyAlignment="1" applyProtection="1">
      <alignment vertical="center" wrapText="1"/>
      <protection locked="0"/>
    </xf>
    <xf numFmtId="0" fontId="88" fillId="0" borderId="1" xfId="4" applyFont="1" applyBorder="1" applyAlignment="1" applyProtection="1">
      <alignment horizontal="center" vertical="center" wrapText="1"/>
      <protection locked="0"/>
    </xf>
    <xf numFmtId="0" fontId="68" fillId="0" borderId="1" xfId="4" applyFont="1" applyBorder="1" applyAlignment="1" applyProtection="1">
      <alignment vertical="center" wrapText="1"/>
      <protection locked="0"/>
    </xf>
    <xf numFmtId="0" fontId="68" fillId="0" borderId="5" xfId="4" applyFont="1" applyBorder="1" applyAlignment="1" applyProtection="1">
      <alignment horizontal="left" vertical="center" wrapText="1"/>
      <protection locked="0"/>
    </xf>
    <xf numFmtId="1" fontId="66" fillId="4" borderId="1" xfId="8" applyNumberFormat="1" applyFont="1" applyFill="1" applyBorder="1" applyAlignment="1" applyProtection="1">
      <alignment horizontal="center" vertical="center" wrapText="1"/>
      <protection locked="0"/>
    </xf>
    <xf numFmtId="0" fontId="67" fillId="4" borderId="1" xfId="8" applyFont="1" applyFill="1" applyBorder="1" applyAlignment="1" applyProtection="1">
      <alignment horizontal="center" vertical="center" wrapText="1"/>
      <protection locked="0"/>
    </xf>
    <xf numFmtId="43" fontId="87" fillId="46" borderId="1" xfId="1" applyFont="1" applyFill="1" applyBorder="1" applyAlignment="1" applyProtection="1">
      <alignment horizontal="right" vertical="center" wrapText="1"/>
    </xf>
    <xf numFmtId="0" fontId="68" fillId="2" borderId="1" xfId="8" applyFont="1" applyFill="1" applyBorder="1" applyAlignment="1" applyProtection="1">
      <alignment vertical="center" wrapText="1"/>
      <protection locked="0"/>
    </xf>
    <xf numFmtId="0" fontId="67" fillId="2" borderId="1" xfId="8" applyFont="1" applyFill="1" applyBorder="1" applyAlignment="1" applyProtection="1">
      <alignment vertical="center" wrapText="1"/>
      <protection locked="0"/>
    </xf>
    <xf numFmtId="0" fontId="68" fillId="2" borderId="5" xfId="8" applyFont="1" applyFill="1" applyBorder="1" applyAlignment="1" applyProtection="1">
      <alignment horizontal="left" vertical="center" wrapText="1"/>
      <protection locked="0"/>
    </xf>
    <xf numFmtId="0" fontId="68" fillId="0" borderId="1" xfId="9" applyFont="1" applyBorder="1" applyAlignment="1" applyProtection="1">
      <alignment horizontal="left" vertical="center" wrapText="1"/>
      <protection locked="0"/>
    </xf>
    <xf numFmtId="0" fontId="88" fillId="0" borderId="5" xfId="9" applyFont="1" applyBorder="1" applyAlignment="1" applyProtection="1">
      <alignment horizontal="left" vertical="center" wrapText="1"/>
      <protection locked="0"/>
    </xf>
    <xf numFmtId="2" fontId="68" fillId="3" borderId="1" xfId="4" applyNumberFormat="1" applyFont="1" applyFill="1" applyBorder="1" applyAlignment="1" applyProtection="1">
      <alignment vertical="center" wrapText="1"/>
    </xf>
    <xf numFmtId="2" fontId="66" fillId="3" borderId="1" xfId="4" applyNumberFormat="1" applyFont="1" applyFill="1" applyBorder="1" applyAlignment="1" applyProtection="1">
      <alignment vertical="center" wrapText="1"/>
    </xf>
    <xf numFmtId="0" fontId="72" fillId="0" borderId="1" xfId="0" applyFont="1" applyBorder="1" applyAlignment="1" applyProtection="1">
      <alignment vertical="center" wrapText="1"/>
    </xf>
    <xf numFmtId="167" fontId="72" fillId="0" borderId="1" xfId="9" applyNumberFormat="1" applyFont="1" applyBorder="1" applyAlignment="1" applyProtection="1">
      <alignment horizontal="right" vertical="center" wrapText="1"/>
      <protection locked="0"/>
    </xf>
    <xf numFmtId="0" fontId="78" fillId="13" borderId="1" xfId="9" applyFont="1" applyFill="1" applyBorder="1" applyAlignment="1" applyProtection="1">
      <alignment vertical="center" wrapText="1"/>
      <protection locked="0"/>
    </xf>
    <xf numFmtId="0" fontId="68" fillId="0" borderId="1" xfId="87" applyFont="1" applyBorder="1" applyAlignment="1" applyProtection="1">
      <alignment horizontal="left" vertical="center"/>
    </xf>
    <xf numFmtId="0" fontId="87" fillId="0" borderId="0" xfId="0" applyFont="1" applyAlignment="1" applyProtection="1">
      <alignment wrapText="1"/>
    </xf>
    <xf numFmtId="0" fontId="72" fillId="0" borderId="1" xfId="87" applyFont="1" applyBorder="1" applyAlignment="1" applyProtection="1">
      <alignment horizontal="center" vertical="center" wrapText="1"/>
    </xf>
    <xf numFmtId="0" fontId="67" fillId="0" borderId="1" xfId="0" applyFont="1" applyBorder="1" applyAlignment="1" applyProtection="1">
      <alignment vertical="center" wrapText="1"/>
      <protection locked="0"/>
    </xf>
    <xf numFmtId="0" fontId="68" fillId="0" borderId="1" xfId="87" applyFont="1" applyBorder="1" applyAlignment="1" applyProtection="1">
      <alignment horizontal="left" vertical="center" wrapText="1"/>
      <protection locked="0"/>
    </xf>
    <xf numFmtId="43" fontId="72" fillId="0" borderId="1" xfId="1" applyFont="1" applyBorder="1" applyAlignment="1" applyProtection="1">
      <alignment horizontal="right" vertical="center"/>
    </xf>
    <xf numFmtId="0" fontId="72" fillId="0" borderId="5" xfId="87" applyFont="1" applyBorder="1" applyAlignment="1" applyProtection="1">
      <alignment horizontal="left" vertical="center"/>
      <protection locked="0"/>
    </xf>
    <xf numFmtId="0" fontId="87" fillId="0" borderId="1" xfId="0" applyFont="1" applyBorder="1" applyAlignment="1" applyProtection="1">
      <alignment horizontal="left" vertical="center"/>
    </xf>
    <xf numFmtId="43" fontId="87" fillId="0" borderId="1" xfId="1" applyFont="1" applyBorder="1" applyAlignment="1" applyProtection="1">
      <alignment horizontal="right" vertical="center"/>
    </xf>
    <xf numFmtId="0" fontId="87" fillId="47" borderId="1" xfId="0" applyFont="1" applyFill="1" applyBorder="1" applyAlignment="1" applyProtection="1">
      <alignment horizontal="left" vertical="center"/>
      <protection locked="0"/>
    </xf>
    <xf numFmtId="43" fontId="87" fillId="47" borderId="1" xfId="1" applyFont="1" applyFill="1" applyBorder="1" applyAlignment="1" applyProtection="1">
      <alignment horizontal="right" vertical="center"/>
      <protection locked="0"/>
    </xf>
    <xf numFmtId="0" fontId="68" fillId="0" borderId="1" xfId="84" applyFont="1" applyBorder="1" applyAlignment="1" applyProtection="1">
      <alignment horizontal="left" vertical="center" wrapText="1"/>
      <protection locked="0"/>
    </xf>
    <xf numFmtId="0" fontId="68" fillId="11" borderId="1" xfId="38" applyFont="1" applyFill="1" applyBorder="1" applyAlignment="1" applyProtection="1">
      <alignment horizontal="left" vertical="center" wrapText="1"/>
      <protection locked="0"/>
    </xf>
    <xf numFmtId="0" fontId="68" fillId="0" borderId="1" xfId="9" applyFont="1" applyFill="1" applyBorder="1" applyAlignment="1" applyProtection="1">
      <alignment horizontal="left" vertical="top" wrapText="1"/>
      <protection locked="0"/>
    </xf>
    <xf numFmtId="0" fontId="66" fillId="11" borderId="1" xfId="9" applyFont="1" applyFill="1" applyBorder="1" applyAlignment="1" applyProtection="1">
      <alignment vertical="center" wrapText="1"/>
      <protection locked="0"/>
    </xf>
    <xf numFmtId="0" fontId="67" fillId="11" borderId="1" xfId="9" applyFont="1" applyFill="1" applyBorder="1" applyAlignment="1" applyProtection="1">
      <alignment vertical="center" wrapText="1"/>
      <protection locked="0"/>
    </xf>
    <xf numFmtId="0" fontId="78" fillId="11" borderId="1" xfId="9" applyFont="1" applyFill="1" applyBorder="1" applyAlignment="1" applyProtection="1">
      <alignment vertical="center" wrapText="1"/>
      <protection locked="0"/>
    </xf>
    <xf numFmtId="0" fontId="72" fillId="11" borderId="1" xfId="9" applyFont="1" applyFill="1" applyBorder="1" applyAlignment="1" applyProtection="1">
      <alignment vertical="center" wrapText="1"/>
      <protection locked="0"/>
    </xf>
    <xf numFmtId="0" fontId="72" fillId="11" borderId="1" xfId="9" applyFont="1" applyFill="1" applyBorder="1" applyAlignment="1" applyProtection="1">
      <alignment horizontal="left" vertical="center" wrapText="1"/>
      <protection locked="0"/>
    </xf>
    <xf numFmtId="0" fontId="71" fillId="16" borderId="24" xfId="8" applyFont="1" applyFill="1" applyBorder="1" applyAlignment="1" applyProtection="1">
      <alignment vertical="center" wrapText="1"/>
    </xf>
    <xf numFmtId="0" fontId="68" fillId="0" borderId="28" xfId="8" applyFont="1" applyFill="1" applyBorder="1" applyAlignment="1" applyProtection="1">
      <alignment vertical="center" wrapText="1"/>
    </xf>
    <xf numFmtId="0" fontId="68" fillId="0" borderId="0" xfId="8" applyFont="1" applyFill="1" applyBorder="1" applyAlignment="1" applyProtection="1">
      <alignment vertical="center" wrapText="1"/>
    </xf>
    <xf numFmtId="0" fontId="68" fillId="0" borderId="0" xfId="8" applyFont="1" applyFill="1" applyBorder="1" applyAlignment="1" applyProtection="1">
      <alignment horizontal="center" vertical="center" wrapText="1"/>
    </xf>
    <xf numFmtId="0" fontId="71" fillId="7" borderId="23" xfId="8" applyFont="1" applyFill="1" applyBorder="1" applyAlignment="1" applyProtection="1">
      <alignment horizontal="left" vertical="center" wrapText="1"/>
    </xf>
    <xf numFmtId="0" fontId="66" fillId="2" borderId="23" xfId="8" applyFont="1" applyFill="1" applyBorder="1" applyAlignment="1" applyProtection="1">
      <alignment horizontal="left" vertical="center" wrapText="1"/>
    </xf>
    <xf numFmtId="0" fontId="66" fillId="4" borderId="23" xfId="8" applyFont="1" applyFill="1" applyBorder="1" applyAlignment="1" applyProtection="1">
      <alignment vertical="center" wrapText="1"/>
    </xf>
    <xf numFmtId="0" fontId="66" fillId="3" borderId="23" xfId="8" applyFont="1" applyFill="1" applyBorder="1" applyAlignment="1" applyProtection="1">
      <alignment vertical="center" wrapText="1"/>
    </xf>
    <xf numFmtId="0" fontId="68" fillId="0" borderId="23" xfId="8" applyFont="1" applyFill="1" applyBorder="1" applyAlignment="1" applyProtection="1">
      <alignment vertical="center" wrapText="1"/>
    </xf>
    <xf numFmtId="0" fontId="68" fillId="0" borderId="0" xfId="8" applyFont="1" applyBorder="1" applyAlignment="1" applyProtection="1">
      <alignment vertical="center" wrapText="1"/>
    </xf>
    <xf numFmtId="0" fontId="66" fillId="3" borderId="23" xfId="4" applyFont="1" applyFill="1" applyBorder="1" applyAlignment="1" applyProtection="1">
      <alignment vertical="center" wrapText="1"/>
    </xf>
    <xf numFmtId="0" fontId="68" fillId="0" borderId="23" xfId="4" applyFont="1" applyFill="1" applyBorder="1" applyAlignment="1" applyProtection="1">
      <alignment vertical="center" wrapText="1"/>
    </xf>
    <xf numFmtId="0" fontId="87" fillId="0" borderId="0" xfId="0" applyFont="1" applyBorder="1" applyAlignment="1" applyProtection="1">
      <alignment wrapText="1"/>
    </xf>
    <xf numFmtId="0" fontId="68" fillId="0" borderId="32" xfId="8" applyFont="1" applyBorder="1" applyAlignment="1" applyProtection="1">
      <alignment vertical="center" wrapText="1"/>
    </xf>
    <xf numFmtId="0" fontId="68" fillId="0" borderId="0" xfId="8" applyFont="1" applyBorder="1" applyAlignment="1" applyProtection="1">
      <alignment horizontal="center" vertical="center" wrapText="1"/>
    </xf>
    <xf numFmtId="43" fontId="68" fillId="0" borderId="0" xfId="1" applyFont="1" applyBorder="1" applyAlignment="1" applyProtection="1">
      <alignment horizontal="right" vertical="center" wrapText="1"/>
    </xf>
    <xf numFmtId="0" fontId="68" fillId="0" borderId="0" xfId="8" applyFont="1" applyBorder="1" applyAlignment="1" applyProtection="1">
      <alignment horizontal="left" vertical="center" wrapText="1"/>
    </xf>
    <xf numFmtId="0" fontId="67" fillId="0" borderId="0" xfId="8" applyFont="1" applyFill="1" applyBorder="1" applyAlignment="1" applyProtection="1">
      <alignment vertical="center"/>
    </xf>
    <xf numFmtId="0" fontId="69" fillId="8" borderId="1" xfId="3" applyFont="1" applyFill="1" applyBorder="1" applyAlignment="1" applyProtection="1">
      <alignment vertical="center"/>
    </xf>
    <xf numFmtId="0" fontId="69" fillId="24" borderId="1" xfId="3" applyFont="1" applyFill="1" applyBorder="1" applyAlignment="1" applyProtection="1">
      <alignment vertical="center" wrapText="1"/>
    </xf>
    <xf numFmtId="0" fontId="67" fillId="0" borderId="0" xfId="8" applyFont="1" applyFill="1" applyBorder="1" applyAlignment="1" applyProtection="1">
      <alignment horizontal="center" vertical="center"/>
    </xf>
    <xf numFmtId="0" fontId="72" fillId="0" borderId="0" xfId="62" applyFont="1" applyAlignment="1" applyProtection="1">
      <alignment horizontal="center" vertical="center"/>
    </xf>
    <xf numFmtId="2" fontId="66" fillId="24" borderId="1" xfId="38" applyNumberFormat="1" applyFont="1" applyFill="1" applyBorder="1" applyAlignment="1" applyProtection="1">
      <alignment horizontal="center" vertical="center" wrapText="1"/>
    </xf>
    <xf numFmtId="2" fontId="66" fillId="5" borderId="1" xfId="38" applyNumberFormat="1" applyFont="1" applyFill="1" applyBorder="1" applyAlignment="1" applyProtection="1">
      <alignment horizontal="center" vertical="center" wrapText="1"/>
    </xf>
    <xf numFmtId="0" fontId="72" fillId="0" borderId="0" xfId="11" applyFont="1" applyAlignment="1" applyProtection="1">
      <alignment horizontal="center" vertical="center" wrapText="1"/>
    </xf>
    <xf numFmtId="0" fontId="67" fillId="0" borderId="1" xfId="62" applyFont="1" applyBorder="1" applyAlignment="1" applyProtection="1">
      <alignment horizontal="center" vertical="center"/>
    </xf>
    <xf numFmtId="0" fontId="67" fillId="2" borderId="1" xfId="4" applyFont="1" applyFill="1" applyBorder="1" applyAlignment="1" applyProtection="1">
      <alignment horizontal="left" vertical="center" wrapText="1"/>
    </xf>
    <xf numFmtId="0" fontId="72" fillId="2" borderId="1" xfId="4" applyFont="1" applyFill="1" applyBorder="1" applyAlignment="1" applyProtection="1">
      <alignment horizontal="left" vertical="center" wrapText="1"/>
    </xf>
    <xf numFmtId="0" fontId="66" fillId="2" borderId="1" xfId="4" applyFont="1" applyFill="1" applyBorder="1" applyAlignment="1" applyProtection="1">
      <alignment horizontal="right" vertical="center" wrapText="1"/>
    </xf>
    <xf numFmtId="0" fontId="66" fillId="2" borderId="13" xfId="4" applyFont="1" applyFill="1" applyBorder="1" applyAlignment="1" applyProtection="1">
      <alignment horizontal="left" vertical="center" wrapText="1"/>
    </xf>
    <xf numFmtId="2" fontId="66" fillId="2" borderId="13" xfId="4" applyNumberFormat="1" applyFont="1" applyFill="1" applyBorder="1" applyAlignment="1" applyProtection="1">
      <alignment horizontal="right" vertical="center" wrapText="1"/>
    </xf>
    <xf numFmtId="0" fontId="72" fillId="0" borderId="0" xfId="62" applyFont="1" applyAlignment="1" applyProtection="1">
      <alignment vertical="center"/>
    </xf>
    <xf numFmtId="2" fontId="66" fillId="28" borderId="1" xfId="4" applyNumberFormat="1" applyFont="1" applyFill="1" applyBorder="1" applyAlignment="1" applyProtection="1">
      <alignment horizontal="right" vertical="center" wrapText="1"/>
    </xf>
    <xf numFmtId="0" fontId="66" fillId="28" borderId="1" xfId="4" applyFont="1" applyFill="1" applyBorder="1" applyAlignment="1" applyProtection="1">
      <alignment horizontal="right" vertical="center" wrapText="1"/>
    </xf>
    <xf numFmtId="0" fontId="66" fillId="28" borderId="5" xfId="4" applyFont="1" applyFill="1" applyBorder="1" applyAlignment="1" applyProtection="1">
      <alignment horizontal="left" vertical="center" wrapText="1"/>
    </xf>
    <xf numFmtId="0" fontId="66" fillId="49" borderId="1" xfId="0" applyFont="1" applyFill="1" applyBorder="1" applyAlignment="1" applyProtection="1">
      <alignment vertical="center" wrapText="1"/>
    </xf>
    <xf numFmtId="0" fontId="72" fillId="0" borderId="0" xfId="62" applyFont="1" applyFill="1" applyAlignment="1" applyProtection="1">
      <alignment vertical="center"/>
    </xf>
    <xf numFmtId="0" fontId="67" fillId="28" borderId="1" xfId="87" applyFont="1" applyFill="1" applyBorder="1" applyAlignment="1" applyProtection="1">
      <alignment horizontal="center" vertical="center"/>
    </xf>
    <xf numFmtId="0" fontId="67" fillId="3" borderId="1" xfId="4" applyFont="1" applyFill="1" applyBorder="1" applyAlignment="1" applyProtection="1">
      <alignment vertical="center" wrapText="1"/>
    </xf>
    <xf numFmtId="0" fontId="72" fillId="3" borderId="1" xfId="4" applyFont="1" applyFill="1" applyBorder="1" applyAlignment="1" applyProtection="1">
      <alignment vertical="center" wrapText="1"/>
    </xf>
    <xf numFmtId="0" fontId="68" fillId="3" borderId="1" xfId="4" applyFont="1" applyFill="1" applyBorder="1" applyAlignment="1" applyProtection="1">
      <alignment horizontal="center" vertical="center" wrapText="1"/>
    </xf>
    <xf numFmtId="2" fontId="66" fillId="3" borderId="1" xfId="4" applyNumberFormat="1" applyFont="1" applyFill="1" applyBorder="1" applyAlignment="1" applyProtection="1">
      <alignment horizontal="right" vertical="center" wrapText="1"/>
    </xf>
    <xf numFmtId="0" fontId="66" fillId="3" borderId="5" xfId="4" applyFont="1" applyFill="1" applyBorder="1" applyAlignment="1" applyProtection="1">
      <alignment horizontal="left" vertical="center" wrapText="1"/>
    </xf>
    <xf numFmtId="0" fontId="86" fillId="50" borderId="1" xfId="0" applyFont="1" applyFill="1" applyBorder="1" applyAlignment="1" applyProtection="1">
      <alignment vertical="center" wrapText="1"/>
    </xf>
    <xf numFmtId="0" fontId="72" fillId="0" borderId="0" xfId="87" applyFont="1" applyAlignment="1" applyProtection="1">
      <alignment vertical="center"/>
    </xf>
    <xf numFmtId="0" fontId="72" fillId="0" borderId="1" xfId="87" applyFont="1" applyBorder="1" applyAlignment="1" applyProtection="1">
      <alignment horizontal="center" vertical="center"/>
    </xf>
    <xf numFmtId="0" fontId="72" fillId="0" borderId="1" xfId="87" applyFont="1" applyBorder="1" applyAlignment="1" applyProtection="1">
      <alignment vertical="center"/>
    </xf>
    <xf numFmtId="0" fontId="68" fillId="54" borderId="1" xfId="87" applyFont="1" applyFill="1" applyBorder="1" applyAlignment="1" applyProtection="1">
      <alignment vertical="center" wrapText="1"/>
      <protection locked="0"/>
    </xf>
    <xf numFmtId="2" fontId="68" fillId="54" borderId="1" xfId="87" applyNumberFormat="1" applyFont="1" applyFill="1" applyBorder="1" applyAlignment="1" applyProtection="1">
      <alignment vertical="center" wrapText="1"/>
      <protection locked="0"/>
    </xf>
    <xf numFmtId="2" fontId="68" fillId="0" borderId="1" xfId="87" applyNumberFormat="1" applyFont="1" applyBorder="1" applyAlignment="1" applyProtection="1">
      <alignment horizontal="right" vertical="center"/>
    </xf>
    <xf numFmtId="43" fontId="68" fillId="0" borderId="1" xfId="1" applyFont="1" applyBorder="1" applyAlignment="1" applyProtection="1">
      <alignment vertical="center"/>
    </xf>
    <xf numFmtId="0" fontId="72" fillId="0" borderId="1" xfId="87" applyFont="1" applyFill="1" applyBorder="1" applyAlignment="1" applyProtection="1">
      <alignment vertical="center"/>
    </xf>
    <xf numFmtId="0" fontId="68" fillId="0" borderId="1" xfId="87" applyFont="1" applyBorder="1" applyAlignment="1" applyProtection="1">
      <alignment vertical="center" wrapText="1"/>
      <protection locked="0"/>
    </xf>
    <xf numFmtId="0" fontId="68" fillId="0" borderId="1" xfId="87" applyFont="1" applyBorder="1" applyAlignment="1" applyProtection="1">
      <alignment vertical="center"/>
      <protection locked="0"/>
    </xf>
    <xf numFmtId="0" fontId="68" fillId="0" borderId="5" xfId="87" applyFont="1" applyBorder="1" applyAlignment="1" applyProtection="1">
      <alignment horizontal="left" vertical="center" wrapText="1"/>
      <protection locked="0"/>
    </xf>
    <xf numFmtId="0" fontId="72" fillId="0" borderId="1" xfId="4" applyFont="1" applyFill="1" applyBorder="1" applyAlignment="1" applyProtection="1">
      <alignment vertical="center" wrapText="1"/>
    </xf>
    <xf numFmtId="0" fontId="68" fillId="0" borderId="5" xfId="87" applyFont="1" applyBorder="1" applyAlignment="1" applyProtection="1">
      <alignment horizontal="left" vertical="center"/>
      <protection locked="0"/>
    </xf>
    <xf numFmtId="0" fontId="68" fillId="0" borderId="1" xfId="87" applyFont="1" applyBorder="1" applyAlignment="1" applyProtection="1">
      <alignment horizontal="center" vertical="center"/>
      <protection locked="0"/>
    </xf>
    <xf numFmtId="167" fontId="68" fillId="0" borderId="1" xfId="87" applyNumberFormat="1" applyFont="1" applyBorder="1" applyAlignment="1" applyProtection="1">
      <alignment horizontal="right" vertical="center"/>
      <protection locked="0"/>
    </xf>
    <xf numFmtId="0" fontId="66" fillId="0" borderId="1" xfId="38" applyFont="1" applyBorder="1" applyAlignment="1" applyProtection="1">
      <alignment horizontal="center" vertical="center" wrapText="1"/>
      <protection locked="0"/>
    </xf>
    <xf numFmtId="0" fontId="66" fillId="3" borderId="1" xfId="4" applyFont="1" applyFill="1" applyBorder="1" applyAlignment="1" applyProtection="1">
      <alignment vertical="center" wrapText="1"/>
      <protection locked="0"/>
    </xf>
    <xf numFmtId="0" fontId="66" fillId="3" borderId="5" xfId="4" applyFont="1" applyFill="1" applyBorder="1" applyAlignment="1" applyProtection="1">
      <alignment horizontal="left" vertical="center" wrapText="1"/>
      <protection locked="0"/>
    </xf>
    <xf numFmtId="0" fontId="72" fillId="0" borderId="1" xfId="87" applyFont="1" applyFill="1" applyBorder="1" applyAlignment="1" applyProtection="1">
      <alignment horizontal="center" vertical="center"/>
    </xf>
    <xf numFmtId="0" fontId="72" fillId="0" borderId="1" xfId="87" applyFont="1" applyFill="1" applyBorder="1" applyAlignment="1" applyProtection="1">
      <alignment horizontal="center" vertical="center" wrapText="1"/>
    </xf>
    <xf numFmtId="0" fontId="68" fillId="0" borderId="1" xfId="87" applyFont="1" applyFill="1" applyBorder="1" applyAlignment="1" applyProtection="1">
      <alignment vertical="center" wrapText="1"/>
      <protection locked="0"/>
    </xf>
    <xf numFmtId="2" fontId="68" fillId="0" borderId="1" xfId="87" applyNumberFormat="1" applyFont="1" applyFill="1" applyBorder="1" applyAlignment="1" applyProtection="1">
      <alignment horizontal="right" vertical="center"/>
    </xf>
    <xf numFmtId="0" fontId="68" fillId="0" borderId="5" xfId="87" applyFont="1" applyFill="1" applyBorder="1" applyAlignment="1" applyProtection="1">
      <alignment horizontal="left" vertical="center" wrapText="1"/>
      <protection locked="0"/>
    </xf>
    <xf numFmtId="0" fontId="72" fillId="0" borderId="0" xfId="87" applyFont="1" applyFill="1" applyAlignment="1" applyProtection="1">
      <alignment vertical="center"/>
    </xf>
    <xf numFmtId="0" fontId="72" fillId="0" borderId="1" xfId="8" applyFont="1" applyBorder="1" applyAlignment="1" applyProtection="1">
      <alignment vertical="center" wrapText="1"/>
    </xf>
    <xf numFmtId="0" fontId="66" fillId="0" borderId="1" xfId="4" applyFont="1" applyBorder="1" applyAlignment="1" applyProtection="1">
      <alignment vertical="center" wrapText="1"/>
      <protection locked="0"/>
    </xf>
    <xf numFmtId="0" fontId="66" fillId="0" borderId="5" xfId="4" applyFont="1" applyBorder="1" applyAlignment="1" applyProtection="1">
      <alignment horizontal="left" vertical="center" wrapText="1"/>
      <protection locked="0"/>
    </xf>
    <xf numFmtId="0" fontId="72" fillId="0" borderId="1" xfId="0" applyFont="1" applyFill="1" applyBorder="1" applyAlignment="1" applyProtection="1">
      <alignment vertical="top" wrapText="1"/>
    </xf>
    <xf numFmtId="0" fontId="68" fillId="0" borderId="1" xfId="87" applyFont="1" applyBorder="1" applyAlignment="1" applyProtection="1">
      <alignment horizontal="center" wrapText="1"/>
      <protection locked="0"/>
    </xf>
    <xf numFmtId="0" fontId="68" fillId="0" borderId="1" xfId="87" applyFont="1" applyBorder="1" applyAlignment="1" applyProtection="1">
      <alignment horizontal="center"/>
      <protection locked="0"/>
    </xf>
    <xf numFmtId="2" fontId="66" fillId="0" borderId="1" xfId="87" applyNumberFormat="1" applyFont="1" applyBorder="1" applyAlignment="1" applyProtection="1">
      <alignment vertical="center" wrapText="1"/>
      <protection locked="0"/>
    </xf>
    <xf numFmtId="0" fontId="74" fillId="0" borderId="1" xfId="87" applyFont="1" applyFill="1" applyBorder="1" applyAlignment="1" applyProtection="1">
      <alignment vertical="center" wrapText="1"/>
      <protection locked="0"/>
    </xf>
    <xf numFmtId="0" fontId="72" fillId="3" borderId="1" xfId="87" applyFont="1" applyFill="1" applyBorder="1" applyAlignment="1" applyProtection="1">
      <alignment horizontal="center" vertical="center" wrapText="1"/>
    </xf>
    <xf numFmtId="0" fontId="68" fillId="0" borderId="5" xfId="0" applyFont="1" applyBorder="1" applyAlignment="1" applyProtection="1">
      <alignment horizontal="left" vertical="center" wrapText="1"/>
      <protection locked="0"/>
    </xf>
    <xf numFmtId="0" fontId="72" fillId="0" borderId="1" xfId="4" applyFont="1" applyBorder="1" applyAlignment="1" applyProtection="1">
      <alignment vertical="center"/>
    </xf>
    <xf numFmtId="0" fontId="72" fillId="0" borderId="1" xfId="87" applyFont="1" applyBorder="1" applyAlignment="1" applyProtection="1">
      <alignment vertical="center" wrapText="1"/>
    </xf>
    <xf numFmtId="0" fontId="66" fillId="3" borderId="1" xfId="4" applyFont="1" applyFill="1" applyBorder="1" applyAlignment="1" applyProtection="1">
      <alignment horizontal="center" vertical="center" wrapText="1"/>
    </xf>
    <xf numFmtId="0" fontId="67" fillId="29" borderId="1" xfId="87" applyFont="1" applyFill="1" applyBorder="1" applyAlignment="1" applyProtection="1">
      <alignment horizontal="center" vertical="center"/>
    </xf>
    <xf numFmtId="0" fontId="66" fillId="0" borderId="1" xfId="0" applyFont="1" applyBorder="1" applyAlignment="1" applyProtection="1">
      <alignment vertical="center" wrapText="1"/>
      <protection locked="0"/>
    </xf>
    <xf numFmtId="0" fontId="68" fillId="0" borderId="5" xfId="87" applyFont="1" applyBorder="1" applyAlignment="1" applyProtection="1">
      <alignment horizontal="left" vertical="top" wrapText="1"/>
      <protection locked="0"/>
    </xf>
    <xf numFmtId="0" fontId="66" fillId="28" borderId="1" xfId="4" applyFont="1" applyFill="1" applyBorder="1" applyAlignment="1" applyProtection="1">
      <alignment horizontal="left" vertical="center" wrapText="1"/>
      <protection locked="0"/>
    </xf>
    <xf numFmtId="0" fontId="66" fillId="28" borderId="1" xfId="4" applyFont="1" applyFill="1" applyBorder="1" applyAlignment="1" applyProtection="1">
      <alignment horizontal="right" vertical="center" wrapText="1"/>
      <protection locked="0"/>
    </xf>
    <xf numFmtId="0" fontId="87" fillId="47" borderId="1" xfId="0" applyFont="1" applyFill="1" applyBorder="1" applyAlignment="1" applyProtection="1">
      <alignment vertical="center"/>
      <protection locked="0"/>
    </xf>
    <xf numFmtId="0" fontId="87" fillId="47" borderId="1" xfId="0" applyFont="1" applyFill="1" applyBorder="1" applyAlignment="1" applyProtection="1">
      <alignment horizontal="right" vertical="center"/>
      <protection locked="0"/>
    </xf>
    <xf numFmtId="43" fontId="68" fillId="0" borderId="1" xfId="1" applyFont="1" applyBorder="1" applyAlignment="1" applyProtection="1">
      <alignment horizontal="right" vertical="center"/>
    </xf>
    <xf numFmtId="0" fontId="68" fillId="0" borderId="5" xfId="87" applyFont="1" applyFill="1" applyBorder="1" applyAlignment="1" applyProtection="1">
      <alignment horizontal="left" vertical="center"/>
      <protection locked="0"/>
    </xf>
    <xf numFmtId="0" fontId="68" fillId="0" borderId="1" xfId="0" applyFont="1" applyBorder="1" applyAlignment="1" applyProtection="1">
      <alignment horizontal="right" vertical="center"/>
    </xf>
    <xf numFmtId="0" fontId="68" fillId="0" borderId="5" xfId="54" applyFont="1" applyFill="1" applyBorder="1" applyAlignment="1" applyProtection="1">
      <alignment horizontal="left" vertical="center" wrapText="1"/>
      <protection locked="0"/>
    </xf>
    <xf numFmtId="0" fontId="66" fillId="2" borderId="1" xfId="4" applyFont="1" applyFill="1" applyBorder="1" applyAlignment="1" applyProtection="1">
      <alignment horizontal="left" vertical="center" wrapText="1"/>
      <protection locked="0"/>
    </xf>
    <xf numFmtId="0" fontId="66" fillId="2" borderId="1" xfId="4" applyFont="1" applyFill="1" applyBorder="1" applyAlignment="1" applyProtection="1">
      <alignment horizontal="right" vertical="center" wrapText="1"/>
      <protection locked="0"/>
    </xf>
    <xf numFmtId="2" fontId="68" fillId="0" borderId="1" xfId="0" applyNumberFormat="1" applyFont="1" applyBorder="1" applyAlignment="1" applyProtection="1">
      <alignment horizontal="center" vertical="center"/>
      <protection locked="0"/>
    </xf>
    <xf numFmtId="166" fontId="68" fillId="0" borderId="1" xfId="1" applyNumberFormat="1" applyFont="1" applyBorder="1" applyAlignment="1" applyProtection="1">
      <alignment horizontal="right" vertical="center"/>
      <protection locked="0"/>
    </xf>
    <xf numFmtId="0" fontId="68" fillId="0" borderId="1" xfId="87" applyFont="1" applyBorder="1" applyAlignment="1" applyProtection="1">
      <alignment horizontal="center" vertical="center" wrapText="1"/>
      <protection locked="0"/>
    </xf>
    <xf numFmtId="0" fontId="72" fillId="0" borderId="1" xfId="87" applyFont="1" applyBorder="1" applyAlignment="1" applyProtection="1">
      <alignment horizontal="left" vertical="center" wrapText="1"/>
    </xf>
    <xf numFmtId="0" fontId="72" fillId="0" borderId="1" xfId="87" applyFont="1" applyFill="1" applyBorder="1" applyAlignment="1" applyProtection="1">
      <alignment horizontal="left" vertical="center" wrapText="1"/>
    </xf>
    <xf numFmtId="0" fontId="72" fillId="0" borderId="1" xfId="87" applyFont="1" applyBorder="1" applyAlignment="1" applyProtection="1">
      <alignment horizontal="left" vertical="center"/>
    </xf>
    <xf numFmtId="2" fontId="68" fillId="0" borderId="1" xfId="87" applyNumberFormat="1" applyFont="1" applyBorder="1" applyAlignment="1" applyProtection="1">
      <alignment horizontal="right" vertical="center" wrapText="1"/>
    </xf>
    <xf numFmtId="2" fontId="68" fillId="0" borderId="1" xfId="88" applyNumberFormat="1" applyFont="1" applyBorder="1" applyAlignment="1" applyProtection="1">
      <alignment horizontal="right" vertical="center"/>
    </xf>
    <xf numFmtId="2" fontId="66" fillId="0" borderId="1" xfId="0" applyNumberFormat="1" applyFont="1" applyBorder="1" applyAlignment="1" applyProtection="1">
      <alignment vertical="center" wrapText="1"/>
      <protection locked="0"/>
    </xf>
    <xf numFmtId="0" fontId="72" fillId="0" borderId="1" xfId="4" applyFont="1" applyFill="1" applyBorder="1" applyAlignment="1" applyProtection="1">
      <alignment horizontal="center" vertical="center" wrapText="1"/>
    </xf>
    <xf numFmtId="0" fontId="68" fillId="0" borderId="5" xfId="54" applyFont="1" applyBorder="1" applyAlignment="1" applyProtection="1">
      <alignment horizontal="left" vertical="center" wrapText="1"/>
      <protection locked="0"/>
    </xf>
    <xf numFmtId="0" fontId="72" fillId="0" borderId="1" xfId="87" applyFont="1" applyFill="1" applyBorder="1" applyAlignment="1" applyProtection="1">
      <alignment horizontal="left" vertical="center"/>
    </xf>
    <xf numFmtId="49" fontId="72" fillId="0" borderId="1" xfId="4" applyNumberFormat="1" applyFont="1" applyBorder="1" applyAlignment="1" applyProtection="1">
      <alignment vertical="center" wrapText="1"/>
    </xf>
    <xf numFmtId="0" fontId="67" fillId="0" borderId="1" xfId="87" applyFont="1" applyBorder="1" applyAlignment="1" applyProtection="1">
      <alignment horizontal="center" vertical="center"/>
    </xf>
    <xf numFmtId="0" fontId="67" fillId="4" borderId="1" xfId="11" applyFont="1" applyFill="1" applyBorder="1" applyAlignment="1" applyProtection="1">
      <alignment horizontal="left" vertical="center" wrapText="1"/>
    </xf>
    <xf numFmtId="0" fontId="72" fillId="4" borderId="1" xfId="4" applyFont="1" applyFill="1" applyBorder="1" applyAlignment="1" applyProtection="1">
      <alignment vertical="center" wrapText="1"/>
    </xf>
    <xf numFmtId="0" fontId="67" fillId="4" borderId="1" xfId="4" applyFont="1" applyFill="1" applyBorder="1" applyAlignment="1" applyProtection="1">
      <alignment vertical="center" wrapText="1"/>
    </xf>
    <xf numFmtId="0" fontId="68" fillId="4" borderId="1" xfId="11" applyFont="1" applyFill="1" applyBorder="1" applyAlignment="1" applyProtection="1">
      <alignment horizontal="center" vertical="center" wrapText="1"/>
    </xf>
    <xf numFmtId="0" fontId="66" fillId="4" borderId="1" xfId="4" applyFont="1" applyFill="1" applyBorder="1" applyAlignment="1" applyProtection="1">
      <alignment vertical="center" wrapText="1"/>
      <protection locked="0"/>
    </xf>
    <xf numFmtId="0" fontId="66" fillId="4" borderId="1" xfId="11" applyFont="1" applyFill="1" applyBorder="1" applyAlignment="1" applyProtection="1">
      <alignment horizontal="left" vertical="center" wrapText="1"/>
      <protection locked="0"/>
    </xf>
    <xf numFmtId="2" fontId="66" fillId="4" borderId="1" xfId="4" applyNumberFormat="1" applyFont="1" applyFill="1" applyBorder="1" applyAlignment="1" applyProtection="1">
      <alignment horizontal="right" vertical="center" wrapText="1"/>
    </xf>
    <xf numFmtId="0" fontId="66" fillId="4" borderId="5" xfId="4" applyFont="1" applyFill="1" applyBorder="1" applyAlignment="1" applyProtection="1">
      <alignment horizontal="left" vertical="center" wrapText="1"/>
      <protection locked="0"/>
    </xf>
    <xf numFmtId="0" fontId="68" fillId="54" borderId="1" xfId="0" applyFont="1" applyFill="1" applyBorder="1" applyAlignment="1" applyProtection="1">
      <alignment vertical="center" wrapText="1"/>
      <protection locked="0"/>
    </xf>
    <xf numFmtId="2" fontId="68" fillId="54" borderId="1" xfId="0" applyNumberFormat="1" applyFont="1" applyFill="1" applyBorder="1" applyAlignment="1" applyProtection="1">
      <alignment vertical="center" wrapText="1"/>
      <protection locked="0"/>
    </xf>
    <xf numFmtId="167" fontId="68" fillId="54" borderId="1" xfId="87" applyNumberFormat="1" applyFont="1" applyFill="1" applyBorder="1" applyAlignment="1" applyProtection="1">
      <alignment horizontal="right" vertical="center"/>
      <protection locked="0"/>
    </xf>
    <xf numFmtId="0" fontId="72" fillId="11" borderId="1" xfId="87" applyFont="1" applyFill="1" applyBorder="1" applyAlignment="1" applyProtection="1">
      <alignment vertical="center"/>
    </xf>
    <xf numFmtId="0" fontId="72" fillId="11" borderId="1" xfId="87" applyFont="1" applyFill="1" applyBorder="1" applyAlignment="1" applyProtection="1">
      <alignment vertical="center" wrapText="1"/>
    </xf>
    <xf numFmtId="0" fontId="66" fillId="4" borderId="1" xfId="11" applyFont="1" applyFill="1" applyBorder="1" applyAlignment="1" applyProtection="1">
      <alignment horizontal="right" vertical="center" wrapText="1"/>
      <protection locked="0"/>
    </xf>
    <xf numFmtId="2" fontId="66" fillId="4" borderId="1" xfId="11" applyNumberFormat="1" applyFont="1" applyFill="1" applyBorder="1" applyAlignment="1" applyProtection="1">
      <alignment horizontal="right" vertical="center" wrapText="1"/>
    </xf>
    <xf numFmtId="1" fontId="72" fillId="0" borderId="1" xfId="8" applyNumberFormat="1" applyFont="1" applyBorder="1" applyAlignment="1" applyProtection="1">
      <alignment horizontal="center" vertical="center" wrapText="1"/>
      <protection locked="0"/>
    </xf>
    <xf numFmtId="1" fontId="68" fillId="0" borderId="22" xfId="4" applyNumberFormat="1" applyFont="1" applyFill="1" applyBorder="1" applyAlignment="1" applyProtection="1">
      <alignment horizontal="right" vertical="center" wrapText="1"/>
      <protection locked="0"/>
    </xf>
    <xf numFmtId="1" fontId="72" fillId="11" borderId="23" xfId="0" applyNumberFormat="1" applyFont="1" applyFill="1" applyBorder="1" applyAlignment="1" applyProtection="1">
      <alignment horizontal="right" vertical="center" wrapText="1"/>
      <protection locked="0"/>
    </xf>
    <xf numFmtId="167" fontId="66" fillId="0" borderId="1" xfId="87" applyNumberFormat="1" applyFont="1" applyBorder="1" applyAlignment="1" applyProtection="1">
      <alignment horizontal="right" vertical="center"/>
      <protection locked="0"/>
    </xf>
    <xf numFmtId="2" fontId="68" fillId="0" borderId="5" xfId="4" applyNumberFormat="1" applyFont="1" applyBorder="1" applyAlignment="1" applyProtection="1">
      <alignment horizontal="left" vertical="center" wrapText="1"/>
      <protection locked="0"/>
    </xf>
    <xf numFmtId="0" fontId="66" fillId="0" borderId="5" xfId="0" applyFont="1" applyBorder="1" applyAlignment="1" applyProtection="1">
      <alignment horizontal="left" vertical="center" wrapText="1"/>
      <protection locked="0"/>
    </xf>
    <xf numFmtId="0" fontId="66" fillId="4" borderId="1" xfId="11" applyFont="1" applyFill="1" applyBorder="1" applyAlignment="1" applyProtection="1">
      <alignment horizontal="center" vertical="center" wrapText="1"/>
    </xf>
    <xf numFmtId="0" fontId="66" fillId="4" borderId="1" xfId="11" applyFont="1" applyFill="1" applyBorder="1" applyAlignment="1" applyProtection="1">
      <alignment horizontal="left" vertical="center" wrapText="1"/>
    </xf>
    <xf numFmtId="0" fontId="66" fillId="4" borderId="5" xfId="11" applyFont="1" applyFill="1" applyBorder="1" applyAlignment="1" applyProtection="1">
      <alignment horizontal="left" vertical="center" wrapText="1"/>
      <protection locked="0"/>
    </xf>
    <xf numFmtId="0" fontId="72" fillId="0" borderId="1" xfId="88" applyFont="1" applyBorder="1" applyAlignment="1" applyProtection="1">
      <alignment vertical="center"/>
    </xf>
    <xf numFmtId="0" fontId="67" fillId="2" borderId="1" xfId="4" applyFont="1" applyFill="1" applyBorder="1" applyAlignment="1" applyProtection="1">
      <alignment horizontal="left" vertical="center"/>
    </xf>
    <xf numFmtId="0" fontId="72" fillId="0" borderId="1" xfId="87" applyFont="1" applyFill="1" applyBorder="1" applyAlignment="1" applyProtection="1">
      <alignment vertical="center" wrapText="1"/>
    </xf>
    <xf numFmtId="2" fontId="68" fillId="0" borderId="5" xfId="4" applyNumberFormat="1" applyFont="1" applyFill="1" applyBorder="1" applyAlignment="1" applyProtection="1">
      <alignment horizontal="left" vertical="center" wrapText="1"/>
      <protection locked="0"/>
    </xf>
    <xf numFmtId="0" fontId="67" fillId="0" borderId="1" xfId="87" applyFont="1" applyBorder="1" applyAlignment="1" applyProtection="1">
      <alignment vertical="center" wrapText="1"/>
    </xf>
    <xf numFmtId="0" fontId="72" fillId="0" borderId="0" xfId="87" applyFont="1" applyAlignment="1" applyProtection="1">
      <alignment horizontal="left" vertical="center"/>
      <protection locked="0"/>
    </xf>
    <xf numFmtId="0" fontId="68" fillId="0" borderId="1" xfId="91" applyFont="1" applyBorder="1" applyAlignment="1" applyProtection="1">
      <alignment vertical="center" wrapText="1"/>
      <protection locked="0"/>
    </xf>
    <xf numFmtId="0" fontId="68" fillId="0" borderId="1" xfId="95" applyFont="1" applyBorder="1" applyAlignment="1" applyProtection="1">
      <alignment vertical="center" wrapText="1"/>
      <protection locked="0"/>
    </xf>
    <xf numFmtId="0" fontId="67" fillId="0" borderId="0" xfId="87" applyFont="1" applyAlignment="1" applyProtection="1">
      <alignment horizontal="center" vertical="center"/>
    </xf>
    <xf numFmtId="0" fontId="72" fillId="0" borderId="0" xfId="87" applyFont="1" applyAlignment="1" applyProtection="1">
      <alignment horizontal="center" vertical="center"/>
    </xf>
    <xf numFmtId="0" fontId="72" fillId="0" borderId="0" xfId="87" applyFont="1" applyAlignment="1" applyProtection="1">
      <alignment horizontal="center" vertical="center" wrapText="1"/>
    </xf>
    <xf numFmtId="0" fontId="72" fillId="0" borderId="0" xfId="87" applyFont="1" applyAlignment="1" applyProtection="1">
      <alignment horizontal="right" vertical="center"/>
    </xf>
    <xf numFmtId="0" fontId="72" fillId="0" borderId="0" xfId="87" applyFont="1" applyAlignment="1" applyProtection="1">
      <alignment horizontal="left" vertical="center"/>
    </xf>
    <xf numFmtId="2" fontId="72" fillId="0" borderId="0" xfId="87" applyNumberFormat="1" applyFont="1" applyAlignment="1" applyProtection="1">
      <alignment horizontal="right" vertical="center"/>
    </xf>
    <xf numFmtId="0" fontId="72" fillId="0" borderId="0" xfId="87" applyFont="1" applyAlignment="1" applyProtection="1">
      <alignment vertical="center" wrapText="1"/>
    </xf>
    <xf numFmtId="0" fontId="68" fillId="0" borderId="1" xfId="87" applyFont="1" applyFill="1" applyBorder="1" applyAlignment="1" applyProtection="1">
      <alignment horizontal="left" vertical="center" wrapText="1"/>
      <protection locked="0"/>
    </xf>
    <xf numFmtId="2" fontId="68" fillId="0" borderId="21" xfId="4" applyNumberFormat="1" applyFont="1" applyFill="1" applyBorder="1" applyAlignment="1" applyProtection="1">
      <alignment horizontal="left" vertical="center" wrapText="1"/>
      <protection locked="0"/>
    </xf>
    <xf numFmtId="0" fontId="72" fillId="0" borderId="1" xfId="87" applyFont="1" applyFill="1" applyBorder="1" applyAlignment="1" applyProtection="1">
      <alignment vertical="center" wrapText="1"/>
      <protection locked="0"/>
    </xf>
    <xf numFmtId="0" fontId="67" fillId="0" borderId="1" xfId="87" applyFont="1" applyFill="1" applyBorder="1" applyAlignment="1" applyProtection="1">
      <alignment vertical="center" wrapText="1"/>
      <protection locked="0"/>
    </xf>
    <xf numFmtId="0" fontId="66" fillId="11" borderId="1" xfId="87" applyFont="1" applyFill="1" applyBorder="1" applyAlignment="1" applyProtection="1">
      <alignment horizontal="center" vertical="center" wrapText="1"/>
      <protection locked="0"/>
    </xf>
    <xf numFmtId="167" fontId="66" fillId="11" borderId="1" xfId="87" applyNumberFormat="1" applyFont="1" applyFill="1" applyBorder="1" applyAlignment="1" applyProtection="1">
      <alignment vertical="center"/>
      <protection locked="0"/>
    </xf>
    <xf numFmtId="167" fontId="66" fillId="11" borderId="1" xfId="87" applyNumberFormat="1" applyFont="1" applyFill="1" applyBorder="1" applyAlignment="1" applyProtection="1">
      <alignment horizontal="right" vertical="center"/>
      <protection locked="0"/>
    </xf>
    <xf numFmtId="0" fontId="66" fillId="11" borderId="1" xfId="87" applyFont="1" applyFill="1" applyBorder="1" applyAlignment="1" applyProtection="1">
      <alignment vertical="center" wrapText="1"/>
      <protection locked="0"/>
    </xf>
    <xf numFmtId="0" fontId="66" fillId="11" borderId="5" xfId="0" applyFont="1" applyFill="1" applyBorder="1" applyAlignment="1" applyProtection="1">
      <alignment horizontal="left" vertical="top" wrapText="1"/>
      <protection locked="0"/>
    </xf>
    <xf numFmtId="0" fontId="66" fillId="11" borderId="1" xfId="0" applyFont="1" applyFill="1" applyBorder="1" applyAlignment="1" applyProtection="1">
      <alignment vertical="center" wrapText="1"/>
      <protection locked="0"/>
    </xf>
    <xf numFmtId="0" fontId="66" fillId="11" borderId="5" xfId="87" applyFont="1" applyFill="1" applyBorder="1" applyAlignment="1" applyProtection="1">
      <alignment horizontal="left" vertical="top" wrapText="1"/>
      <protection locked="0"/>
    </xf>
    <xf numFmtId="0" fontId="68" fillId="0" borderId="5" xfId="88" applyFont="1" applyBorder="1" applyAlignment="1" applyProtection="1">
      <alignment horizontal="left" vertical="center" wrapText="1"/>
      <protection locked="0"/>
    </xf>
    <xf numFmtId="0" fontId="72" fillId="11" borderId="1" xfId="87" applyFont="1" applyFill="1" applyBorder="1" applyAlignment="1" applyProtection="1">
      <alignment horizontal="left" vertical="center" wrapText="1"/>
      <protection locked="0"/>
    </xf>
    <xf numFmtId="4" fontId="72" fillId="0" borderId="1" xfId="0" applyNumberFormat="1" applyFont="1" applyBorder="1" applyAlignment="1" applyProtection="1">
      <alignment horizontal="left" vertical="center" wrapText="1"/>
      <protection locked="0"/>
    </xf>
    <xf numFmtId="2" fontId="68" fillId="0" borderId="1" xfId="4" applyNumberFormat="1" applyFont="1" applyFill="1" applyBorder="1" applyAlignment="1" applyProtection="1">
      <alignment horizontal="left" vertical="center" wrapText="1"/>
      <protection locked="0"/>
    </xf>
    <xf numFmtId="0" fontId="68" fillId="0" borderId="1" xfId="0" applyFont="1" applyFill="1" applyBorder="1" applyAlignment="1" applyProtection="1">
      <alignment horizontal="left" vertical="center" wrapText="1"/>
      <protection locked="0"/>
    </xf>
    <xf numFmtId="167" fontId="66" fillId="11" borderId="1" xfId="87" applyNumberFormat="1" applyFont="1" applyFill="1" applyBorder="1" applyAlignment="1" applyProtection="1">
      <alignment horizontal="center" vertical="center"/>
      <protection locked="0"/>
    </xf>
    <xf numFmtId="0" fontId="72" fillId="11" borderId="1" xfId="87" applyFont="1" applyFill="1" applyBorder="1" applyAlignment="1" applyProtection="1">
      <alignment vertical="center" wrapText="1"/>
      <protection locked="0"/>
    </xf>
    <xf numFmtId="2" fontId="68" fillId="11" borderId="1" xfId="4" applyNumberFormat="1" applyFont="1" applyFill="1" applyBorder="1" applyAlignment="1" applyProtection="1">
      <alignment horizontal="left" vertical="center" wrapText="1"/>
      <protection locked="0"/>
    </xf>
    <xf numFmtId="0" fontId="72" fillId="11" borderId="1" xfId="56" applyFont="1" applyFill="1" applyBorder="1" applyAlignment="1" applyProtection="1">
      <alignment horizontal="left" vertical="center" wrapText="1"/>
      <protection locked="0"/>
    </xf>
    <xf numFmtId="167" fontId="68" fillId="13" borderId="1" xfId="87" applyNumberFormat="1" applyFont="1" applyFill="1" applyBorder="1" applyAlignment="1" applyProtection="1">
      <alignment horizontal="right" vertical="center"/>
      <protection locked="0"/>
    </xf>
    <xf numFmtId="0" fontId="72" fillId="0" borderId="0" xfId="8" applyFont="1" applyAlignment="1" applyProtection="1">
      <alignment vertical="center"/>
    </xf>
    <xf numFmtId="0" fontId="69" fillId="24" borderId="1" xfId="3" applyFont="1" applyFill="1" applyBorder="1" applyAlignment="1" applyProtection="1">
      <alignment horizontal="left" vertical="center" wrapText="1"/>
    </xf>
    <xf numFmtId="0" fontId="72" fillId="0" borderId="0" xfId="8" applyFont="1" applyFill="1" applyAlignment="1" applyProtection="1">
      <alignment vertical="center"/>
    </xf>
    <xf numFmtId="0" fontId="72" fillId="0" borderId="0" xfId="8" applyFont="1" applyAlignment="1" applyProtection="1">
      <alignment horizontal="center" vertical="center"/>
    </xf>
    <xf numFmtId="2" fontId="71" fillId="7" borderId="1" xfId="8" applyNumberFormat="1" applyFont="1" applyFill="1" applyBorder="1" applyAlignment="1" applyProtection="1">
      <alignment horizontal="right" vertical="center" wrapText="1"/>
    </xf>
    <xf numFmtId="0" fontId="66" fillId="0" borderId="1" xfId="4" applyFont="1" applyFill="1" applyBorder="1" applyAlignment="1" applyProtection="1">
      <alignment vertical="center" wrapText="1"/>
    </xf>
    <xf numFmtId="0" fontId="72" fillId="0" borderId="1" xfId="4" applyFont="1" applyFill="1" applyBorder="1" applyAlignment="1" applyProtection="1">
      <alignment horizontal="center" vertical="center" wrapText="1"/>
      <protection locked="0"/>
    </xf>
    <xf numFmtId="2" fontId="72" fillId="0" borderId="1" xfId="4" applyNumberFormat="1" applyFont="1" applyFill="1" applyBorder="1" applyAlignment="1" applyProtection="1">
      <alignment horizontal="right" vertical="center" wrapText="1"/>
    </xf>
    <xf numFmtId="2" fontId="67" fillId="0" borderId="1" xfId="9" applyNumberFormat="1" applyFont="1" applyFill="1" applyBorder="1" applyAlignment="1" applyProtection="1">
      <alignment horizontal="right" vertical="center" wrapText="1"/>
    </xf>
    <xf numFmtId="0" fontId="68" fillId="0" borderId="1" xfId="9" applyFont="1" applyFill="1" applyBorder="1" applyAlignment="1" applyProtection="1">
      <alignment horizontal="left" vertical="center" wrapText="1"/>
      <protection locked="0"/>
    </xf>
    <xf numFmtId="0" fontId="78" fillId="0" borderId="1" xfId="4" applyFont="1" applyFill="1" applyBorder="1" applyAlignment="1" applyProtection="1">
      <alignment vertical="center" wrapText="1"/>
      <protection locked="0"/>
    </xf>
    <xf numFmtId="0" fontId="88" fillId="0" borderId="1" xfId="9" applyFont="1" applyFill="1" applyBorder="1" applyAlignment="1" applyProtection="1">
      <alignment horizontal="left" vertical="center" wrapText="1"/>
      <protection locked="0"/>
    </xf>
    <xf numFmtId="0" fontId="66" fillId="53" borderId="1" xfId="8" applyFont="1" applyFill="1" applyBorder="1" applyAlignment="1" applyProtection="1">
      <alignment horizontal="left" vertical="center" wrapText="1"/>
      <protection locked="0"/>
    </xf>
    <xf numFmtId="2" fontId="67" fillId="0" borderId="1" xfId="8" applyNumberFormat="1" applyFont="1" applyFill="1" applyBorder="1" applyAlignment="1" applyProtection="1">
      <alignment horizontal="right" vertical="center" wrapText="1"/>
    </xf>
    <xf numFmtId="2" fontId="72" fillId="2" borderId="1" xfId="8" applyNumberFormat="1" applyFont="1" applyFill="1" applyBorder="1" applyAlignment="1" applyProtection="1">
      <alignment horizontal="right" vertical="center" wrapText="1"/>
    </xf>
    <xf numFmtId="0" fontId="67" fillId="2" borderId="1" xfId="8" applyFont="1" applyFill="1" applyBorder="1" applyAlignment="1" applyProtection="1">
      <alignment horizontal="right" vertical="center" wrapText="1"/>
      <protection locked="0"/>
    </xf>
    <xf numFmtId="2" fontId="67" fillId="2" borderId="1" xfId="8" applyNumberFormat="1" applyFont="1" applyFill="1" applyBorder="1" applyAlignment="1" applyProtection="1">
      <alignment horizontal="right" vertical="center" wrapText="1"/>
    </xf>
    <xf numFmtId="0" fontId="68" fillId="2" borderId="1" xfId="8" applyFont="1" applyFill="1" applyBorder="1" applyAlignment="1" applyProtection="1">
      <alignment horizontal="left" vertical="center" wrapText="1"/>
      <protection locked="0"/>
    </xf>
    <xf numFmtId="0" fontId="68" fillId="2" borderId="1" xfId="8" applyFont="1" applyFill="1" applyBorder="1" applyAlignment="1" applyProtection="1">
      <alignment horizontal="left" vertical="center" wrapText="1"/>
    </xf>
    <xf numFmtId="2" fontId="66" fillId="2" borderId="1" xfId="8" applyNumberFormat="1" applyFont="1" applyFill="1" applyBorder="1" applyAlignment="1" applyProtection="1">
      <alignment horizontal="right" vertical="center" wrapText="1"/>
    </xf>
    <xf numFmtId="0" fontId="67" fillId="21" borderId="1" xfId="8" applyFont="1" applyFill="1" applyBorder="1" applyAlignment="1" applyProtection="1">
      <alignment horizontal="left" vertical="center"/>
    </xf>
    <xf numFmtId="0" fontId="72" fillId="21" borderId="1" xfId="4" applyFont="1" applyFill="1" applyBorder="1" applyAlignment="1" applyProtection="1">
      <alignment vertical="center" wrapText="1"/>
    </xf>
    <xf numFmtId="0" fontId="67" fillId="21" borderId="1" xfId="4" applyFont="1" applyFill="1" applyBorder="1" applyAlignment="1" applyProtection="1">
      <alignment vertical="center" wrapText="1"/>
    </xf>
    <xf numFmtId="0" fontId="72" fillId="21" borderId="1" xfId="8" applyFont="1" applyFill="1" applyBorder="1" applyAlignment="1" applyProtection="1">
      <alignment horizontal="center" vertical="center"/>
    </xf>
    <xf numFmtId="0" fontId="72" fillId="21" borderId="1" xfId="9" applyFont="1" applyFill="1" applyBorder="1" applyAlignment="1" applyProtection="1">
      <alignment horizontal="left" vertical="center" wrapText="1"/>
      <protection locked="0"/>
    </xf>
    <xf numFmtId="2" fontId="72" fillId="21" borderId="1" xfId="9" applyNumberFormat="1" applyFont="1" applyFill="1" applyBorder="1" applyAlignment="1" applyProtection="1">
      <alignment horizontal="right" vertical="center" wrapText="1"/>
    </xf>
    <xf numFmtId="0" fontId="72" fillId="21" borderId="1" xfId="9" applyFont="1" applyFill="1" applyBorder="1" applyAlignment="1" applyProtection="1">
      <alignment horizontal="right" vertical="center" wrapText="1"/>
      <protection locked="0"/>
    </xf>
    <xf numFmtId="2" fontId="67" fillId="21" borderId="1" xfId="9" applyNumberFormat="1" applyFont="1" applyFill="1" applyBorder="1" applyAlignment="1" applyProtection="1">
      <alignment horizontal="right" vertical="center" wrapText="1"/>
    </xf>
    <xf numFmtId="0" fontId="72" fillId="21" borderId="1" xfId="8" applyFont="1" applyFill="1" applyBorder="1" applyAlignment="1" applyProtection="1">
      <alignment horizontal="left" vertical="center" wrapText="1"/>
    </xf>
    <xf numFmtId="2" fontId="72" fillId="21" borderId="1" xfId="8" applyNumberFormat="1" applyFont="1" applyFill="1" applyBorder="1" applyAlignment="1" applyProtection="1">
      <alignment horizontal="right" vertical="center" wrapText="1"/>
    </xf>
    <xf numFmtId="0" fontId="72" fillId="0" borderId="1" xfId="8" applyFont="1" applyFill="1" applyBorder="1" applyAlignment="1" applyProtection="1">
      <alignment horizontal="left" vertical="center"/>
    </xf>
    <xf numFmtId="0" fontId="72" fillId="0" borderId="1" xfId="8" applyFont="1" applyBorder="1" applyAlignment="1" applyProtection="1">
      <alignment horizontal="center" vertical="center"/>
    </xf>
    <xf numFmtId="0" fontId="72" fillId="0" borderId="1" xfId="9" applyFont="1" applyBorder="1" applyAlignment="1" applyProtection="1">
      <alignment horizontal="left" vertical="center" wrapText="1"/>
      <protection locked="0"/>
    </xf>
    <xf numFmtId="2" fontId="72" fillId="0" borderId="1" xfId="9" applyNumberFormat="1" applyFont="1" applyBorder="1" applyAlignment="1" applyProtection="1">
      <alignment horizontal="right" vertical="center" wrapText="1"/>
    </xf>
    <xf numFmtId="0" fontId="72" fillId="10" borderId="1" xfId="8" applyFont="1" applyFill="1" applyBorder="1" applyAlignment="1" applyProtection="1">
      <alignment horizontal="left" vertical="center" wrapText="1"/>
      <protection locked="0"/>
    </xf>
    <xf numFmtId="2" fontId="72" fillId="10" borderId="1" xfId="8" applyNumberFormat="1" applyFont="1" applyFill="1" applyBorder="1" applyAlignment="1" applyProtection="1">
      <alignment horizontal="right" vertical="center" wrapText="1"/>
      <protection locked="0"/>
    </xf>
    <xf numFmtId="0" fontId="67" fillId="19" borderId="1" xfId="8" applyFont="1" applyFill="1" applyBorder="1" applyAlignment="1" applyProtection="1">
      <alignment horizontal="left" vertical="center"/>
    </xf>
    <xf numFmtId="0" fontId="67" fillId="19" borderId="1" xfId="4" applyFont="1" applyFill="1" applyBorder="1" applyAlignment="1" applyProtection="1">
      <alignment vertical="center" wrapText="1"/>
    </xf>
    <xf numFmtId="0" fontId="67" fillId="19" borderId="1" xfId="8" applyFont="1" applyFill="1" applyBorder="1" applyAlignment="1" applyProtection="1">
      <alignment horizontal="center" vertical="center"/>
    </xf>
    <xf numFmtId="0" fontId="67" fillId="19" borderId="1" xfId="9" applyFont="1" applyFill="1" applyBorder="1" applyAlignment="1" applyProtection="1">
      <alignment horizontal="left" vertical="center" wrapText="1"/>
      <protection locked="0"/>
    </xf>
    <xf numFmtId="2" fontId="67" fillId="19" borderId="1" xfId="9" applyNumberFormat="1" applyFont="1" applyFill="1" applyBorder="1" applyAlignment="1" applyProtection="1">
      <alignment horizontal="right" vertical="center" wrapText="1"/>
    </xf>
    <xf numFmtId="0" fontId="67" fillId="19" borderId="1" xfId="9" applyFont="1" applyFill="1" applyBorder="1" applyAlignment="1" applyProtection="1">
      <alignment horizontal="right" vertical="center" wrapText="1"/>
      <protection locked="0"/>
    </xf>
    <xf numFmtId="0" fontId="72" fillId="6" borderId="1" xfId="8" applyFont="1" applyFill="1" applyBorder="1" applyAlignment="1" applyProtection="1">
      <alignment horizontal="left" vertical="center" wrapText="1"/>
    </xf>
    <xf numFmtId="2" fontId="72" fillId="6" borderId="1" xfId="8" applyNumberFormat="1" applyFont="1" applyFill="1" applyBorder="1" applyAlignment="1" applyProtection="1">
      <alignment horizontal="right" vertical="center" wrapText="1"/>
    </xf>
    <xf numFmtId="0" fontId="88" fillId="0" borderId="1" xfId="9" applyFont="1" applyBorder="1" applyAlignment="1" applyProtection="1">
      <alignment horizontal="left" vertical="center" wrapText="1"/>
      <protection locked="0"/>
    </xf>
    <xf numFmtId="167" fontId="78" fillId="0" borderId="1" xfId="9" applyNumberFormat="1" applyFont="1" applyBorder="1" applyAlignment="1" applyProtection="1">
      <alignment vertical="center" wrapText="1"/>
      <protection locked="0"/>
    </xf>
    <xf numFmtId="3" fontId="72" fillId="0" borderId="1" xfId="8" applyNumberFormat="1" applyFont="1" applyBorder="1" applyAlignment="1" applyProtection="1">
      <alignment horizontal="center" vertical="center" wrapText="1"/>
      <protection locked="0"/>
    </xf>
    <xf numFmtId="0" fontId="67" fillId="21" borderId="1" xfId="8" applyFont="1" applyFill="1" applyBorder="1" applyAlignment="1" applyProtection="1">
      <alignment horizontal="center" vertical="center"/>
    </xf>
    <xf numFmtId="0" fontId="78" fillId="21" borderId="1" xfId="9" applyFont="1" applyFill="1" applyBorder="1" applyAlignment="1" applyProtection="1">
      <alignment horizontal="left" vertical="center" wrapText="1"/>
      <protection locked="0"/>
    </xf>
    <xf numFmtId="0" fontId="78" fillId="21" borderId="1" xfId="9" applyFont="1" applyFill="1" applyBorder="1" applyAlignment="1" applyProtection="1">
      <alignment horizontal="center" vertical="center" wrapText="1"/>
      <protection locked="0"/>
    </xf>
    <xf numFmtId="167" fontId="78" fillId="21" borderId="1" xfId="9" applyNumberFormat="1" applyFont="1" applyFill="1" applyBorder="1" applyAlignment="1" applyProtection="1">
      <alignment vertical="center" wrapText="1"/>
      <protection locked="0"/>
    </xf>
    <xf numFmtId="0" fontId="67" fillId="21" borderId="1" xfId="9" applyFont="1" applyFill="1" applyBorder="1" applyAlignment="1" applyProtection="1">
      <alignment horizontal="right" vertical="center" wrapText="1"/>
      <protection locked="0"/>
    </xf>
    <xf numFmtId="0" fontId="66" fillId="21" borderId="1" xfId="9" applyFont="1" applyFill="1" applyBorder="1" applyAlignment="1" applyProtection="1">
      <alignment horizontal="right" vertical="center" wrapText="1"/>
    </xf>
    <xf numFmtId="2" fontId="66" fillId="21" borderId="1" xfId="9" applyNumberFormat="1" applyFont="1" applyFill="1" applyBorder="1" applyAlignment="1" applyProtection="1">
      <alignment horizontal="right" vertical="center" wrapText="1"/>
    </xf>
    <xf numFmtId="0" fontId="67" fillId="0" borderId="0" xfId="8" applyFont="1" applyAlignment="1" applyProtection="1">
      <alignment vertical="center"/>
    </xf>
    <xf numFmtId="0" fontId="67" fillId="0" borderId="1" xfId="8" applyFont="1" applyFill="1" applyBorder="1" applyAlignment="1" applyProtection="1">
      <alignment horizontal="left" vertical="center"/>
    </xf>
    <xf numFmtId="0" fontId="72" fillId="0" borderId="1" xfId="9" applyFont="1" applyFill="1" applyBorder="1" applyAlignment="1" applyProtection="1">
      <alignment horizontal="center" vertical="center" wrapText="1"/>
      <protection locked="0"/>
    </xf>
    <xf numFmtId="2" fontId="72" fillId="0" borderId="1" xfId="9" applyNumberFormat="1" applyFont="1" applyFill="1" applyBorder="1" applyAlignment="1" applyProtection="1">
      <alignment horizontal="right" vertical="center" wrapText="1"/>
    </xf>
    <xf numFmtId="0" fontId="68" fillId="2" borderId="1" xfId="9" applyFont="1" applyFill="1" applyBorder="1" applyAlignment="1" applyProtection="1">
      <alignment vertical="center" wrapText="1"/>
      <protection locked="0"/>
    </xf>
    <xf numFmtId="2" fontId="72" fillId="2" borderId="1" xfId="9" applyNumberFormat="1" applyFont="1" applyFill="1" applyBorder="1" applyAlignment="1" applyProtection="1">
      <alignment horizontal="right" vertical="center" wrapText="1"/>
    </xf>
    <xf numFmtId="0" fontId="72" fillId="2" borderId="1" xfId="9" applyFont="1" applyFill="1" applyBorder="1" applyAlignment="1" applyProtection="1">
      <alignment horizontal="right" vertical="center" wrapText="1"/>
      <protection locked="0"/>
    </xf>
    <xf numFmtId="2" fontId="67" fillId="2" borderId="1" xfId="9" applyNumberFormat="1" applyFont="1" applyFill="1" applyBorder="1" applyAlignment="1" applyProtection="1">
      <alignment horizontal="right" vertical="center" wrapText="1"/>
    </xf>
    <xf numFmtId="0" fontId="66" fillId="2" borderId="1" xfId="9" applyFont="1" applyFill="1" applyBorder="1" applyAlignment="1" applyProtection="1">
      <alignment horizontal="left" vertical="center" wrapText="1"/>
      <protection locked="0"/>
    </xf>
    <xf numFmtId="0" fontId="68" fillId="13" borderId="1" xfId="9" applyFont="1" applyFill="1" applyBorder="1" applyAlignment="1" applyProtection="1">
      <alignment vertical="center" wrapText="1"/>
      <protection locked="0"/>
    </xf>
    <xf numFmtId="2" fontId="68" fillId="0" borderId="1" xfId="8" applyNumberFormat="1" applyFont="1" applyFill="1" applyBorder="1" applyAlignment="1" applyProtection="1">
      <alignment horizontal="right" vertical="center" wrapText="1"/>
    </xf>
    <xf numFmtId="2" fontId="68" fillId="0" borderId="1" xfId="9" applyNumberFormat="1" applyFont="1" applyFill="1" applyBorder="1" applyAlignment="1" applyProtection="1">
      <alignment vertical="center" wrapText="1"/>
      <protection locked="0"/>
    </xf>
    <xf numFmtId="0" fontId="72" fillId="0" borderId="1" xfId="8" applyFont="1" applyBorder="1" applyAlignment="1" applyProtection="1">
      <alignment horizontal="left" vertical="center"/>
    </xf>
    <xf numFmtId="2" fontId="72" fillId="0" borderId="1" xfId="8" applyNumberFormat="1" applyFont="1" applyBorder="1" applyAlignment="1" applyProtection="1">
      <alignment horizontal="right" vertical="center" wrapText="1"/>
    </xf>
    <xf numFmtId="0" fontId="88" fillId="0" borderId="1" xfId="4" applyFont="1" applyFill="1" applyBorder="1" applyAlignment="1" applyProtection="1">
      <alignment vertical="center" wrapText="1"/>
      <protection locked="0"/>
    </xf>
    <xf numFmtId="0" fontId="88" fillId="0" borderId="1" xfId="4" applyFont="1" applyFill="1" applyBorder="1" applyAlignment="1" applyProtection="1">
      <alignment horizontal="left" vertical="center" wrapText="1"/>
      <protection locked="0"/>
    </xf>
    <xf numFmtId="2" fontId="66" fillId="0" borderId="1" xfId="4" applyNumberFormat="1" applyFont="1" applyFill="1" applyBorder="1" applyAlignment="1" applyProtection="1">
      <alignment horizontal="right" vertical="center" wrapText="1"/>
    </xf>
    <xf numFmtId="0" fontId="68" fillId="0" borderId="0" xfId="8" applyFont="1" applyAlignment="1" applyProtection="1">
      <alignment vertical="center"/>
    </xf>
    <xf numFmtId="0" fontId="72" fillId="0" borderId="0" xfId="8" applyFont="1" applyAlignment="1" applyProtection="1">
      <alignment horizontal="left" vertical="center"/>
    </xf>
    <xf numFmtId="0" fontId="72" fillId="0" borderId="0" xfId="8" applyFont="1" applyAlignment="1" applyProtection="1">
      <alignment horizontal="right" vertical="center"/>
    </xf>
    <xf numFmtId="0" fontId="71" fillId="16" borderId="1" xfId="8" applyFont="1" applyFill="1" applyBorder="1" applyAlignment="1" applyProtection="1">
      <alignment horizontal="center" vertical="center" wrapText="1"/>
    </xf>
    <xf numFmtId="0" fontId="69" fillId="24" borderId="1" xfId="3" applyFont="1" applyFill="1" applyBorder="1" applyAlignment="1" applyProtection="1">
      <alignment horizontal="center" vertical="center" wrapText="1"/>
    </xf>
    <xf numFmtId="0" fontId="72" fillId="0" borderId="0" xfId="8" applyFont="1" applyFill="1" applyAlignment="1" applyProtection="1">
      <alignment horizontal="center" vertical="center" wrapText="1"/>
    </xf>
    <xf numFmtId="0" fontId="69" fillId="39" borderId="1" xfId="3" applyFont="1" applyFill="1" applyBorder="1" applyAlignment="1" applyProtection="1">
      <alignment horizontal="center" vertical="center"/>
    </xf>
    <xf numFmtId="2" fontId="67" fillId="0" borderId="1" xfId="3" applyNumberFormat="1" applyFont="1" applyFill="1" applyBorder="1" applyAlignment="1" applyProtection="1">
      <alignment horizontal="center" vertical="center"/>
    </xf>
    <xf numFmtId="1" fontId="71" fillId="7" borderId="1" xfId="8" applyNumberFormat="1" applyFont="1" applyFill="1" applyBorder="1" applyAlignment="1" applyProtection="1">
      <alignment horizontal="center" vertical="center" wrapText="1"/>
    </xf>
    <xf numFmtId="1" fontId="67" fillId="2" borderId="1" xfId="8" applyNumberFormat="1" applyFont="1" applyFill="1" applyBorder="1" applyAlignment="1" applyProtection="1">
      <alignment horizontal="center" vertical="center" wrapText="1"/>
    </xf>
    <xf numFmtId="0" fontId="67" fillId="2" borderId="1" xfId="8" applyFont="1" applyFill="1" applyBorder="1" applyAlignment="1" applyProtection="1">
      <alignment horizontal="center" vertical="center" wrapText="1"/>
    </xf>
    <xf numFmtId="1" fontId="66" fillId="4" borderId="1" xfId="8" applyNumberFormat="1" applyFont="1" applyFill="1" applyBorder="1" applyAlignment="1" applyProtection="1">
      <alignment horizontal="center" vertical="center" wrapText="1"/>
    </xf>
    <xf numFmtId="43" fontId="72" fillId="4" borderId="1" xfId="1" applyFont="1" applyFill="1" applyBorder="1" applyAlignment="1" applyProtection="1">
      <alignment horizontal="center" vertical="center" wrapText="1"/>
    </xf>
    <xf numFmtId="0" fontId="67" fillId="4" borderId="1" xfId="8" applyFont="1" applyFill="1" applyBorder="1" applyAlignment="1" applyProtection="1">
      <alignment horizontal="center" vertical="center" wrapText="1"/>
    </xf>
    <xf numFmtId="0" fontId="68" fillId="4" borderId="1" xfId="8" applyFont="1" applyFill="1" applyBorder="1" applyAlignment="1" applyProtection="1">
      <alignment horizontal="left" vertical="center" wrapText="1"/>
    </xf>
    <xf numFmtId="0" fontId="72" fillId="0" borderId="1" xfId="9" applyFont="1" applyBorder="1" applyAlignment="1" applyProtection="1">
      <alignment horizontal="center" vertical="center" wrapText="1"/>
      <protection locked="0"/>
    </xf>
    <xf numFmtId="0" fontId="91" fillId="0" borderId="1" xfId="9" applyFont="1" applyBorder="1" applyAlignment="1" applyProtection="1">
      <alignment horizontal="left" vertical="center" wrapText="1"/>
      <protection locked="0"/>
    </xf>
    <xf numFmtId="0" fontId="67" fillId="27" borderId="1" xfId="8" applyFont="1" applyFill="1" applyBorder="1" applyAlignment="1" applyProtection="1">
      <alignment horizontal="left" vertical="center" wrapText="1"/>
    </xf>
    <xf numFmtId="0" fontId="67" fillId="27" borderId="1" xfId="8" applyFont="1" applyFill="1" applyBorder="1" applyAlignment="1" applyProtection="1">
      <alignment horizontal="center" vertical="center" wrapText="1"/>
    </xf>
    <xf numFmtId="0" fontId="67" fillId="27" borderId="1" xfId="9" applyFont="1" applyFill="1" applyBorder="1" applyAlignment="1" applyProtection="1">
      <alignment horizontal="center" vertical="center" wrapText="1"/>
      <protection locked="0"/>
    </xf>
    <xf numFmtId="1" fontId="67" fillId="27" borderId="1" xfId="9" applyNumberFormat="1" applyFont="1" applyFill="1" applyBorder="1" applyAlignment="1" applyProtection="1">
      <alignment horizontal="center" vertical="center" wrapText="1"/>
      <protection locked="0"/>
    </xf>
    <xf numFmtId="0" fontId="67" fillId="27" borderId="1" xfId="9" applyFont="1" applyFill="1" applyBorder="1" applyAlignment="1" applyProtection="1">
      <alignment horizontal="left" vertical="center" wrapText="1"/>
      <protection locked="0"/>
    </xf>
    <xf numFmtId="0" fontId="67" fillId="27" borderId="1" xfId="8" applyFont="1" applyFill="1" applyBorder="1" applyAlignment="1" applyProtection="1">
      <alignment horizontal="left" vertical="center" wrapText="1"/>
      <protection locked="0"/>
    </xf>
    <xf numFmtId="0" fontId="72" fillId="27" borderId="1" xfId="8" applyFont="1" applyFill="1" applyBorder="1" applyAlignment="1" applyProtection="1">
      <alignment horizontal="left" vertical="center" wrapText="1"/>
    </xf>
    <xf numFmtId="0" fontId="66" fillId="27" borderId="1" xfId="4" applyFont="1" applyFill="1" applyBorder="1" applyAlignment="1" applyProtection="1">
      <alignment horizontal="left" vertical="center" wrapText="1"/>
    </xf>
    <xf numFmtId="0" fontId="68" fillId="27" borderId="1" xfId="8" applyFont="1" applyFill="1" applyBorder="1" applyAlignment="1" applyProtection="1">
      <alignment horizontal="center" vertical="center" wrapText="1"/>
    </xf>
    <xf numFmtId="0" fontId="68" fillId="27" borderId="1" xfId="8" applyFont="1" applyFill="1" applyBorder="1" applyAlignment="1" applyProtection="1">
      <alignment horizontal="center" vertical="center" wrapText="1"/>
      <protection locked="0"/>
    </xf>
    <xf numFmtId="0" fontId="68" fillId="27" borderId="1" xfId="8" applyFont="1" applyFill="1" applyBorder="1" applyAlignment="1" applyProtection="1">
      <alignment horizontal="left" vertical="center" wrapText="1"/>
      <protection locked="0"/>
    </xf>
    <xf numFmtId="0" fontId="68" fillId="0" borderId="1" xfId="9" applyFont="1" applyBorder="1" applyAlignment="1" applyProtection="1">
      <alignment horizontal="center" vertical="center" wrapText="1"/>
      <protection locked="0"/>
    </xf>
    <xf numFmtId="0" fontId="68" fillId="4" borderId="1" xfId="9" applyFont="1" applyFill="1" applyBorder="1" applyAlignment="1" applyProtection="1">
      <alignment horizontal="center" vertical="center" wrapText="1"/>
      <protection locked="0"/>
    </xf>
    <xf numFmtId="43" fontId="72" fillId="4" borderId="1" xfId="1" applyFont="1" applyFill="1" applyBorder="1" applyAlignment="1" applyProtection="1">
      <alignment horizontal="center" vertical="center" wrapText="1"/>
      <protection locked="0"/>
    </xf>
    <xf numFmtId="0" fontId="67" fillId="4" borderId="1" xfId="9" applyFont="1" applyFill="1" applyBorder="1" applyAlignment="1" applyProtection="1">
      <alignment horizontal="center" vertical="center" wrapText="1"/>
      <protection locked="0"/>
    </xf>
    <xf numFmtId="43" fontId="67" fillId="4" borderId="1" xfId="1" applyFont="1" applyFill="1" applyBorder="1" applyAlignment="1" applyProtection="1">
      <alignment horizontal="center" vertical="center" wrapText="1"/>
      <protection locked="0"/>
    </xf>
    <xf numFmtId="0" fontId="68" fillId="4" borderId="1" xfId="9" applyFont="1" applyFill="1" applyBorder="1" applyAlignment="1" applyProtection="1">
      <alignment horizontal="left" vertical="center" wrapText="1"/>
      <protection locked="0"/>
    </xf>
    <xf numFmtId="0" fontId="68" fillId="4" borderId="1" xfId="8" applyFont="1" applyFill="1" applyBorder="1" applyAlignment="1" applyProtection="1">
      <alignment horizontal="left" vertical="center" wrapText="1"/>
      <protection locked="0"/>
    </xf>
    <xf numFmtId="43" fontId="66" fillId="4" borderId="1" xfId="1" applyFont="1" applyFill="1" applyBorder="1" applyAlignment="1" applyProtection="1">
      <alignment horizontal="center" vertical="center" wrapText="1"/>
      <protection locked="0"/>
    </xf>
    <xf numFmtId="0" fontId="67" fillId="3" borderId="1" xfId="4" applyFont="1" applyFill="1" applyBorder="1" applyAlignment="1" applyProtection="1">
      <alignment horizontal="left" vertical="center" wrapText="1"/>
    </xf>
    <xf numFmtId="0" fontId="67" fillId="3" borderId="1" xfId="4" applyFont="1" applyFill="1" applyBorder="1" applyAlignment="1" applyProtection="1">
      <alignment horizontal="center" vertical="center" wrapText="1"/>
    </xf>
    <xf numFmtId="0" fontId="67" fillId="3" borderId="1" xfId="4" applyFont="1" applyFill="1" applyBorder="1" applyAlignment="1" applyProtection="1">
      <alignment horizontal="center" vertical="center" wrapText="1"/>
      <protection locked="0"/>
    </xf>
    <xf numFmtId="0" fontId="67" fillId="3" borderId="1" xfId="4" applyFont="1" applyFill="1" applyBorder="1" applyAlignment="1" applyProtection="1">
      <alignment horizontal="left" vertical="center" wrapText="1"/>
      <protection locked="0"/>
    </xf>
    <xf numFmtId="0" fontId="68" fillId="0" borderId="1" xfId="9" applyFont="1" applyBorder="1" applyAlignment="1" applyProtection="1">
      <alignment horizontal="left" vertical="center" wrapText="1"/>
    </xf>
    <xf numFmtId="0" fontId="67" fillId="3" borderId="1" xfId="8" applyFont="1" applyFill="1" applyBorder="1" applyAlignment="1" applyProtection="1">
      <alignment horizontal="left" vertical="center" wrapText="1"/>
    </xf>
    <xf numFmtId="0" fontId="72" fillId="3" borderId="1" xfId="8" applyFont="1" applyFill="1" applyBorder="1" applyAlignment="1" applyProtection="1">
      <alignment horizontal="left" vertical="center" wrapText="1"/>
    </xf>
    <xf numFmtId="0" fontId="67" fillId="3" borderId="1" xfId="8" applyFont="1" applyFill="1" applyBorder="1" applyAlignment="1" applyProtection="1">
      <alignment horizontal="center" vertical="center" wrapText="1"/>
    </xf>
    <xf numFmtId="0" fontId="67" fillId="3" borderId="1" xfId="8" applyFont="1" applyFill="1" applyBorder="1" applyAlignment="1" applyProtection="1">
      <alignment horizontal="center" vertical="center" wrapText="1"/>
      <protection locked="0"/>
    </xf>
    <xf numFmtId="43" fontId="67" fillId="3" borderId="1" xfId="1" applyFont="1" applyFill="1" applyBorder="1" applyAlignment="1" applyProtection="1">
      <alignment horizontal="center" vertical="center" wrapText="1"/>
      <protection locked="0"/>
    </xf>
    <xf numFmtId="0" fontId="72" fillId="3" borderId="1" xfId="8" applyFont="1" applyFill="1" applyBorder="1" applyAlignment="1" applyProtection="1">
      <alignment horizontal="left" vertical="center" wrapText="1"/>
      <protection locked="0"/>
    </xf>
    <xf numFmtId="43" fontId="66" fillId="3" borderId="1" xfId="1" applyFont="1" applyFill="1" applyBorder="1" applyAlignment="1" applyProtection="1">
      <alignment horizontal="center" vertical="center" wrapText="1"/>
      <protection locked="0"/>
    </xf>
    <xf numFmtId="0" fontId="72" fillId="0" borderId="1" xfId="40" applyFont="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72" fillId="32" borderId="1" xfId="8" applyFont="1" applyFill="1" applyBorder="1" applyAlignment="1" applyProtection="1">
      <alignment horizontal="left" vertical="center" wrapText="1"/>
    </xf>
    <xf numFmtId="0" fontId="72" fillId="32" borderId="1" xfId="8" applyFont="1" applyFill="1" applyBorder="1" applyAlignment="1" applyProtection="1">
      <alignment horizontal="center" vertical="center" wrapText="1"/>
    </xf>
    <xf numFmtId="0" fontId="72" fillId="32" borderId="1" xfId="8" applyFont="1" applyFill="1" applyBorder="1" applyAlignment="1" applyProtection="1">
      <alignment horizontal="center" vertical="center" wrapText="1"/>
      <protection locked="0"/>
    </xf>
    <xf numFmtId="0" fontId="72" fillId="32" borderId="1" xfId="8" applyFont="1" applyFill="1" applyBorder="1" applyAlignment="1" applyProtection="1">
      <alignment horizontal="left" vertical="center" wrapText="1"/>
      <protection locked="0"/>
    </xf>
    <xf numFmtId="43" fontId="72" fillId="0" borderId="1" xfId="1" applyFont="1" applyBorder="1" applyAlignment="1" applyProtection="1">
      <alignment horizontal="center" vertical="center" wrapText="1"/>
      <protection locked="0"/>
    </xf>
    <xf numFmtId="43" fontId="67" fillId="0" borderId="1" xfId="1" applyFont="1" applyBorder="1" applyAlignment="1" applyProtection="1">
      <alignment horizontal="center" vertical="center" wrapText="1"/>
      <protection locked="0"/>
    </xf>
    <xf numFmtId="43" fontId="72" fillId="0" borderId="1" xfId="1" applyFont="1" applyBorder="1" applyAlignment="1" applyProtection="1">
      <alignment horizontal="left" vertical="center" wrapText="1"/>
    </xf>
    <xf numFmtId="0" fontId="66" fillId="3" borderId="1" xfId="8" applyFont="1" applyFill="1" applyBorder="1" applyAlignment="1" applyProtection="1">
      <alignment horizontal="left" vertical="center" wrapText="1"/>
    </xf>
    <xf numFmtId="0" fontId="66" fillId="3" borderId="1" xfId="8" applyFont="1" applyFill="1" applyBorder="1" applyAlignment="1" applyProtection="1">
      <alignment horizontal="center" vertical="center" wrapText="1"/>
    </xf>
    <xf numFmtId="0" fontId="66" fillId="3" borderId="1" xfId="8" applyFont="1" applyFill="1" applyBorder="1" applyAlignment="1" applyProtection="1">
      <alignment horizontal="center" vertical="center" wrapText="1"/>
      <protection locked="0"/>
    </xf>
    <xf numFmtId="0" fontId="66" fillId="3" borderId="1" xfId="8" applyFont="1" applyFill="1" applyBorder="1" applyAlignment="1" applyProtection="1">
      <alignment horizontal="left" vertical="center" wrapText="1"/>
      <protection locked="0"/>
    </xf>
    <xf numFmtId="0" fontId="72" fillId="0" borderId="1" xfId="38" applyFont="1" applyBorder="1" applyAlignment="1" applyProtection="1">
      <alignment horizontal="left" vertical="center" wrapText="1"/>
      <protection locked="0"/>
    </xf>
    <xf numFmtId="43" fontId="67" fillId="2" borderId="1" xfId="1" applyFont="1" applyFill="1" applyBorder="1" applyAlignment="1" applyProtection="1">
      <alignment horizontal="center" vertical="center" wrapText="1"/>
      <protection locked="0"/>
    </xf>
    <xf numFmtId="43" fontId="72" fillId="2" borderId="1" xfId="1" applyFont="1" applyFill="1" applyBorder="1" applyAlignment="1" applyProtection="1">
      <alignment horizontal="center" vertical="center" wrapText="1"/>
      <protection locked="0"/>
    </xf>
    <xf numFmtId="43" fontId="66" fillId="2" borderId="1" xfId="1" applyFont="1" applyFill="1" applyBorder="1" applyAlignment="1" applyProtection="1">
      <alignment horizontal="center" vertical="center" wrapText="1"/>
      <protection locked="0"/>
    </xf>
    <xf numFmtId="0" fontId="68" fillId="2" borderId="1" xfId="8" applyFont="1" applyFill="1" applyBorder="1" applyAlignment="1" applyProtection="1">
      <alignment horizontal="center" vertical="center" wrapText="1"/>
      <protection locked="0"/>
    </xf>
    <xf numFmtId="0" fontId="67" fillId="2" borderId="1" xfId="8" applyFont="1" applyFill="1" applyBorder="1" applyAlignment="1" applyProtection="1">
      <alignment horizontal="center" vertical="center" wrapText="1"/>
      <protection locked="0"/>
    </xf>
    <xf numFmtId="0" fontId="68" fillId="54" borderId="1" xfId="9" applyFont="1" applyFill="1" applyBorder="1" applyAlignment="1" applyProtection="1">
      <alignment horizontal="center" vertical="center" wrapText="1"/>
      <protection locked="0"/>
    </xf>
    <xf numFmtId="2" fontId="68" fillId="54" borderId="1" xfId="9" applyNumberFormat="1" applyFont="1" applyFill="1" applyBorder="1" applyAlignment="1" applyProtection="1">
      <alignment horizontal="center" vertical="center" wrapText="1"/>
      <protection locked="0"/>
    </xf>
    <xf numFmtId="43" fontId="68" fillId="0" borderId="1" xfId="1" applyFont="1" applyBorder="1" applyAlignment="1" applyProtection="1">
      <alignment horizontal="center" vertical="center" wrapText="1"/>
      <protection locked="0"/>
    </xf>
    <xf numFmtId="0" fontId="67" fillId="29" borderId="1" xfId="8" applyFont="1" applyFill="1" applyBorder="1" applyAlignment="1" applyProtection="1">
      <alignment horizontal="center" vertical="center" wrapText="1"/>
    </xf>
    <xf numFmtId="167" fontId="66" fillId="0" borderId="1" xfId="9" applyNumberFormat="1" applyFont="1" applyBorder="1" applyAlignment="1" applyProtection="1">
      <alignment horizontal="center" vertical="center" wrapText="1"/>
      <protection locked="0"/>
    </xf>
    <xf numFmtId="0" fontId="88" fillId="0" borderId="1" xfId="0" applyFont="1" applyBorder="1" applyAlignment="1" applyProtection="1">
      <alignment horizontal="center" vertical="center" wrapText="1"/>
      <protection locked="0"/>
    </xf>
    <xf numFmtId="167" fontId="78" fillId="0" borderId="1" xfId="9" applyNumberFormat="1" applyFont="1" applyFill="1" applyBorder="1" applyAlignment="1" applyProtection="1">
      <alignment horizontal="center" vertical="center" wrapText="1"/>
      <protection locked="0"/>
    </xf>
    <xf numFmtId="0" fontId="68" fillId="0" borderId="1" xfId="9" applyFont="1" applyFill="1" applyBorder="1" applyAlignment="1" applyProtection="1">
      <alignment horizontal="center" vertical="center" wrapText="1"/>
      <protection locked="0"/>
    </xf>
    <xf numFmtId="43" fontId="67" fillId="0" borderId="1" xfId="1" applyFont="1" applyFill="1" applyBorder="1" applyAlignment="1" applyProtection="1">
      <alignment horizontal="center" vertical="center" wrapText="1"/>
      <protection locked="0"/>
    </xf>
    <xf numFmtId="0" fontId="72" fillId="0" borderId="0" xfId="8" applyFont="1" applyFill="1" applyAlignment="1" applyProtection="1">
      <alignment horizontal="left" vertical="center" wrapText="1"/>
    </xf>
    <xf numFmtId="43" fontId="66" fillId="0" borderId="0" xfId="1" applyFont="1" applyFill="1" applyBorder="1" applyAlignment="1" applyProtection="1">
      <alignment vertical="center" wrapText="1"/>
    </xf>
    <xf numFmtId="0" fontId="67" fillId="0" borderId="0" xfId="8" applyFont="1" applyAlignment="1" applyProtection="1">
      <alignment horizontal="center" vertical="center"/>
    </xf>
    <xf numFmtId="0" fontId="67" fillId="28" borderId="0" xfId="8" applyFont="1" applyFill="1" applyAlignment="1" applyProtection="1">
      <alignment vertical="center"/>
    </xf>
    <xf numFmtId="0" fontId="72" fillId="2" borderId="1" xfId="8" applyFont="1" applyFill="1" applyBorder="1" applyAlignment="1" applyProtection="1">
      <alignment vertical="center" wrapText="1"/>
    </xf>
    <xf numFmtId="2" fontId="67" fillId="2" borderId="1" xfId="8" applyNumberFormat="1" applyFont="1" applyFill="1" applyBorder="1" applyAlignment="1" applyProtection="1">
      <alignment vertical="center" wrapText="1"/>
    </xf>
    <xf numFmtId="0" fontId="87" fillId="33" borderId="1" xfId="0" applyFont="1" applyFill="1" applyBorder="1" applyAlignment="1" applyProtection="1">
      <alignment vertical="center" wrapText="1"/>
    </xf>
    <xf numFmtId="43" fontId="86" fillId="33" borderId="1" xfId="1" applyFont="1" applyFill="1" applyBorder="1" applyAlignment="1" applyProtection="1">
      <alignment vertical="center" wrapText="1"/>
    </xf>
    <xf numFmtId="0" fontId="72" fillId="28" borderId="1" xfId="8" applyFont="1" applyFill="1" applyBorder="1" applyAlignment="1" applyProtection="1">
      <alignment vertical="center" wrapText="1"/>
    </xf>
    <xf numFmtId="2" fontId="67" fillId="28" borderId="1" xfId="8" applyNumberFormat="1" applyFont="1" applyFill="1" applyBorder="1" applyAlignment="1" applyProtection="1">
      <alignment vertical="center" wrapText="1"/>
    </xf>
    <xf numFmtId="43" fontId="86" fillId="49" borderId="1" xfId="1" applyFont="1" applyFill="1" applyBorder="1" applyAlignment="1" applyProtection="1">
      <alignment vertical="center" wrapText="1"/>
    </xf>
    <xf numFmtId="0" fontId="67" fillId="29" borderId="1" xfId="8" applyFont="1" applyFill="1" applyBorder="1" applyAlignment="1" applyProtection="1">
      <alignment horizontal="center" vertical="center"/>
    </xf>
    <xf numFmtId="0" fontId="72" fillId="0" borderId="1" xfId="9" applyFont="1" applyBorder="1" applyAlignment="1" applyProtection="1">
      <alignment vertical="center" wrapText="1"/>
      <protection locked="0"/>
    </xf>
    <xf numFmtId="2" fontId="72" fillId="0" borderId="1" xfId="9" applyNumberFormat="1" applyFont="1" applyBorder="1" applyAlignment="1" applyProtection="1">
      <alignment vertical="center" wrapText="1"/>
    </xf>
    <xf numFmtId="0" fontId="72" fillId="0" borderId="5" xfId="9" applyFont="1" applyBorder="1" applyAlignment="1" applyProtection="1">
      <alignment horizontal="left" vertical="center" wrapText="1"/>
      <protection locked="0"/>
    </xf>
    <xf numFmtId="43" fontId="87" fillId="0" borderId="1" xfId="1" applyFont="1" applyBorder="1" applyAlignment="1" applyProtection="1">
      <alignment vertical="center" wrapText="1"/>
    </xf>
    <xf numFmtId="0" fontId="68" fillId="0" borderId="1" xfId="0" applyFont="1" applyBorder="1" applyAlignment="1" applyProtection="1">
      <alignment horizontal="right" vertical="center"/>
      <protection locked="0"/>
    </xf>
    <xf numFmtId="0" fontId="72" fillId="0" borderId="5" xfId="0" applyFont="1" applyBorder="1" applyAlignment="1" applyProtection="1">
      <alignment horizontal="left" vertical="center" wrapText="1"/>
      <protection locked="0"/>
    </xf>
    <xf numFmtId="0" fontId="67" fillId="6" borderId="1" xfId="8" applyFont="1" applyFill="1" applyBorder="1" applyAlignment="1" applyProtection="1">
      <alignment horizontal="left" vertical="center"/>
    </xf>
    <xf numFmtId="0" fontId="67" fillId="6" borderId="1" xfId="4" applyFont="1" applyFill="1" applyBorder="1" applyAlignment="1" applyProtection="1">
      <alignment horizontal="left" vertical="center" wrapText="1"/>
    </xf>
    <xf numFmtId="0" fontId="67" fillId="6" borderId="1" xfId="8" applyFont="1" applyFill="1" applyBorder="1" applyAlignment="1" applyProtection="1">
      <alignment horizontal="center" vertical="center"/>
    </xf>
    <xf numFmtId="0" fontId="67" fillId="6" borderId="1" xfId="9" applyFont="1" applyFill="1" applyBorder="1" applyAlignment="1" applyProtection="1">
      <alignment vertical="center" wrapText="1"/>
      <protection locked="0"/>
    </xf>
    <xf numFmtId="2" fontId="67" fillId="6" borderId="1" xfId="9" applyNumberFormat="1" applyFont="1" applyFill="1" applyBorder="1" applyAlignment="1" applyProtection="1">
      <alignment vertical="center" wrapText="1"/>
    </xf>
    <xf numFmtId="2" fontId="67" fillId="6" borderId="1" xfId="9" applyNumberFormat="1" applyFont="1" applyFill="1" applyBorder="1" applyAlignment="1" applyProtection="1">
      <alignment vertical="center" wrapText="1"/>
      <protection locked="0"/>
    </xf>
    <xf numFmtId="0" fontId="67" fillId="6" borderId="5" xfId="9" applyFont="1" applyFill="1" applyBorder="1" applyAlignment="1" applyProtection="1">
      <alignment horizontal="left" vertical="center" wrapText="1"/>
      <protection locked="0"/>
    </xf>
    <xf numFmtId="43" fontId="86" fillId="42" borderId="1" xfId="1" applyFont="1" applyFill="1" applyBorder="1" applyAlignment="1" applyProtection="1">
      <alignment vertical="center" wrapText="1"/>
    </xf>
    <xf numFmtId="0" fontId="72" fillId="0" borderId="1" xfId="8" applyFont="1" applyFill="1" applyBorder="1" applyAlignment="1" applyProtection="1">
      <alignment horizontal="center" vertical="center"/>
    </xf>
    <xf numFmtId="0" fontId="67" fillId="0" borderId="1" xfId="9" applyFont="1" applyFill="1" applyBorder="1" applyAlignment="1" applyProtection="1">
      <alignment vertical="center" wrapText="1"/>
      <protection locked="0"/>
    </xf>
    <xf numFmtId="2" fontId="72" fillId="0" borderId="1" xfId="9" applyNumberFormat="1" applyFont="1" applyFill="1" applyBorder="1" applyAlignment="1" applyProtection="1">
      <alignment vertical="center" wrapText="1"/>
    </xf>
    <xf numFmtId="0" fontId="67" fillId="0" borderId="5" xfId="9" applyFont="1" applyFill="1" applyBorder="1" applyAlignment="1" applyProtection="1">
      <alignment horizontal="left" vertical="center" wrapText="1"/>
      <protection locked="0"/>
    </xf>
    <xf numFmtId="0" fontId="86" fillId="0" borderId="1" xfId="0" applyFont="1" applyBorder="1" applyAlignment="1" applyProtection="1">
      <alignment vertical="center" wrapText="1"/>
    </xf>
    <xf numFmtId="43" fontId="86" fillId="0" borderId="1" xfId="1" applyFont="1" applyBorder="1" applyAlignment="1" applyProtection="1">
      <alignment horizontal="right" vertical="center" wrapText="1"/>
    </xf>
    <xf numFmtId="2" fontId="72" fillId="2" borderId="1" xfId="8" applyNumberFormat="1" applyFont="1" applyFill="1" applyBorder="1" applyAlignment="1" applyProtection="1">
      <alignment vertical="center" wrapText="1"/>
    </xf>
    <xf numFmtId="2" fontId="72" fillId="2" borderId="1" xfId="8" applyNumberFormat="1" applyFont="1" applyFill="1" applyBorder="1" applyAlignment="1" applyProtection="1">
      <alignment vertical="center" wrapText="1"/>
      <protection locked="0"/>
    </xf>
    <xf numFmtId="167" fontId="88" fillId="0" borderId="1" xfId="9" applyNumberFormat="1" applyFont="1" applyBorder="1" applyAlignment="1" applyProtection="1">
      <alignment vertical="center" wrapText="1"/>
      <protection locked="0"/>
    </xf>
    <xf numFmtId="0" fontId="88" fillId="0" borderId="5" xfId="0" applyFont="1" applyBorder="1" applyAlignment="1" applyProtection="1">
      <alignment horizontal="left" vertical="center" wrapText="1"/>
      <protection locked="0"/>
    </xf>
    <xf numFmtId="2" fontId="72" fillId="0" borderId="1" xfId="8" applyNumberFormat="1" applyFont="1" applyBorder="1" applyAlignment="1" applyProtection="1">
      <alignment vertical="center" wrapText="1"/>
    </xf>
    <xf numFmtId="0" fontId="72" fillId="0" borderId="5" xfId="8" applyFont="1" applyBorder="1" applyAlignment="1" applyProtection="1">
      <alignment horizontal="left" vertical="center" wrapText="1"/>
      <protection locked="0"/>
    </xf>
    <xf numFmtId="0" fontId="86" fillId="47" borderId="1" xfId="0" applyFont="1" applyFill="1" applyBorder="1" applyAlignment="1" applyProtection="1">
      <alignment vertical="center" wrapText="1"/>
      <protection locked="0"/>
    </xf>
    <xf numFmtId="43" fontId="86" fillId="47" borderId="1" xfId="1" applyFont="1" applyFill="1" applyBorder="1" applyAlignment="1" applyProtection="1">
      <alignment horizontal="right" vertical="center" wrapText="1"/>
      <protection locked="0"/>
    </xf>
    <xf numFmtId="1" fontId="72" fillId="0" borderId="1" xfId="9" applyNumberFormat="1" applyFont="1" applyFill="1" applyBorder="1" applyAlignment="1" applyProtection="1">
      <alignment horizontal="center" vertical="center" wrapText="1"/>
      <protection locked="0"/>
    </xf>
    <xf numFmtId="2" fontId="67" fillId="28" borderId="1" xfId="8" applyNumberFormat="1" applyFont="1" applyFill="1" applyBorder="1" applyAlignment="1" applyProtection="1">
      <alignment horizontal="right" vertical="center" wrapText="1"/>
    </xf>
    <xf numFmtId="2" fontId="72" fillId="28" borderId="1" xfId="8" applyNumberFormat="1" applyFont="1" applyFill="1" applyBorder="1" applyAlignment="1" applyProtection="1">
      <alignment vertical="center" wrapText="1"/>
      <protection locked="0"/>
    </xf>
    <xf numFmtId="43" fontId="86" fillId="49" borderId="1" xfId="1" applyFont="1" applyFill="1" applyBorder="1" applyAlignment="1" applyProtection="1">
      <alignment horizontal="right" vertical="center" wrapText="1"/>
    </xf>
    <xf numFmtId="2" fontId="72" fillId="4" borderId="1" xfId="8" applyNumberFormat="1" applyFont="1" applyFill="1" applyBorder="1" applyAlignment="1" applyProtection="1">
      <alignment vertical="center" wrapText="1"/>
    </xf>
    <xf numFmtId="2" fontId="67" fillId="4" borderId="1" xfId="8" applyNumberFormat="1" applyFont="1" applyFill="1" applyBorder="1" applyAlignment="1" applyProtection="1">
      <alignment vertical="center" wrapText="1"/>
      <protection locked="0"/>
    </xf>
    <xf numFmtId="2" fontId="67" fillId="4" borderId="1" xfId="8" applyNumberFormat="1" applyFont="1" applyFill="1" applyBorder="1" applyAlignment="1" applyProtection="1">
      <alignment vertical="center" wrapText="1"/>
    </xf>
    <xf numFmtId="43" fontId="86" fillId="46" borderId="1" xfId="1" applyFont="1" applyFill="1" applyBorder="1" applyAlignment="1" applyProtection="1">
      <alignment vertical="center" wrapText="1"/>
    </xf>
    <xf numFmtId="0" fontId="87" fillId="0" borderId="0" xfId="0" applyFont="1" applyAlignment="1" applyProtection="1">
      <alignment vertical="center" wrapText="1"/>
    </xf>
    <xf numFmtId="49" fontId="72" fillId="0" borderId="1" xfId="4" applyNumberFormat="1" applyFont="1" applyBorder="1" applyAlignment="1" applyProtection="1">
      <alignment horizontal="left" vertical="center" wrapText="1"/>
    </xf>
    <xf numFmtId="0" fontId="72" fillId="54" borderId="1" xfId="9" applyFont="1" applyFill="1" applyBorder="1" applyAlignment="1" applyProtection="1">
      <alignment vertical="center" wrapText="1"/>
      <protection locked="0"/>
    </xf>
    <xf numFmtId="2" fontId="72" fillId="54" borderId="1" xfId="9" applyNumberFormat="1" applyFont="1" applyFill="1" applyBorder="1" applyAlignment="1" applyProtection="1">
      <alignment vertical="center" wrapText="1"/>
      <protection locked="0"/>
    </xf>
    <xf numFmtId="1" fontId="88" fillId="0" borderId="1" xfId="4" applyNumberFormat="1" applyFont="1" applyBorder="1" applyAlignment="1" applyProtection="1">
      <alignment horizontal="center" vertical="center" wrapText="1"/>
      <protection locked="0"/>
    </xf>
    <xf numFmtId="0" fontId="78" fillId="0" borderId="1" xfId="0" applyFont="1" applyBorder="1" applyAlignment="1" applyProtection="1">
      <alignment horizontal="center" vertical="center" wrapText="1"/>
      <protection locked="0"/>
    </xf>
    <xf numFmtId="0" fontId="88" fillId="0" borderId="1" xfId="38" applyFont="1" applyBorder="1" applyAlignment="1" applyProtection="1">
      <alignment horizontal="center" vertical="center" wrapText="1"/>
      <protection locked="0"/>
    </xf>
    <xf numFmtId="0" fontId="78" fillId="0" borderId="5" xfId="38" applyFont="1" applyBorder="1" applyAlignment="1" applyProtection="1">
      <alignment horizontal="left" vertical="center" wrapText="1"/>
      <protection locked="0"/>
    </xf>
    <xf numFmtId="167" fontId="88" fillId="54" borderId="1" xfId="9" applyNumberFormat="1" applyFont="1" applyFill="1" applyBorder="1" applyAlignment="1" applyProtection="1">
      <alignment vertical="center" wrapText="1"/>
      <protection locked="0"/>
    </xf>
    <xf numFmtId="0" fontId="88" fillId="54" borderId="1" xfId="9" applyFont="1" applyFill="1" applyBorder="1" applyAlignment="1" applyProtection="1">
      <alignment vertical="center" wrapText="1"/>
      <protection locked="0"/>
    </xf>
    <xf numFmtId="0" fontId="78" fillId="54" borderId="1" xfId="0" applyFont="1" applyFill="1" applyBorder="1" applyAlignment="1" applyProtection="1">
      <alignment horizontal="center" vertical="center" wrapText="1"/>
      <protection locked="0"/>
    </xf>
    <xf numFmtId="0" fontId="72" fillId="28" borderId="0" xfId="8" applyFont="1" applyFill="1" applyAlignment="1" applyProtection="1">
      <alignment vertical="center"/>
    </xf>
    <xf numFmtId="0" fontId="67" fillId="29" borderId="2" xfId="8" applyFont="1" applyFill="1" applyBorder="1" applyAlignment="1" applyProtection="1">
      <alignment horizontal="center" vertical="center"/>
    </xf>
    <xf numFmtId="0" fontId="67" fillId="0" borderId="1" xfId="9" applyFont="1" applyBorder="1" applyAlignment="1" applyProtection="1">
      <alignment horizontal="center" vertical="center" wrapText="1"/>
      <protection locked="0"/>
    </xf>
    <xf numFmtId="0" fontId="67" fillId="0" borderId="5" xfId="9" applyFont="1" applyBorder="1" applyAlignment="1" applyProtection="1">
      <alignment horizontal="left" vertical="center" wrapText="1"/>
      <protection locked="0"/>
    </xf>
    <xf numFmtId="0" fontId="72" fillId="0" borderId="3" xfId="4" applyFont="1" applyBorder="1" applyAlignment="1" applyProtection="1">
      <alignment vertical="center" wrapText="1"/>
    </xf>
    <xf numFmtId="167" fontId="68" fillId="0" borderId="1" xfId="9" applyNumberFormat="1" applyFont="1" applyBorder="1" applyAlignment="1" applyProtection="1">
      <alignment vertical="center" wrapText="1"/>
      <protection locked="0"/>
    </xf>
    <xf numFmtId="0" fontId="72" fillId="0" borderId="1" xfId="38" applyFont="1" applyBorder="1" applyAlignment="1" applyProtection="1">
      <alignment horizontal="center" vertical="center" wrapText="1"/>
      <protection locked="0"/>
    </xf>
    <xf numFmtId="2" fontId="68" fillId="0" borderId="17" xfId="4" applyNumberFormat="1" applyFont="1" applyBorder="1" applyAlignment="1" applyProtection="1">
      <alignment horizontal="left" vertical="center" wrapText="1"/>
      <protection locked="0"/>
    </xf>
    <xf numFmtId="0" fontId="72" fillId="0" borderId="1" xfId="9" applyFont="1" applyBorder="1" applyAlignment="1" applyProtection="1">
      <alignment horizontal="left" vertical="center"/>
    </xf>
    <xf numFmtId="0" fontId="88" fillId="0" borderId="2" xfId="9" applyFont="1" applyBorder="1" applyAlignment="1" applyProtection="1">
      <alignment vertical="center" wrapText="1"/>
      <protection locked="0"/>
    </xf>
    <xf numFmtId="0" fontId="78" fillId="0" borderId="1" xfId="9" applyFont="1" applyBorder="1" applyAlignment="1" applyProtection="1">
      <alignment horizontal="center" vertical="center" wrapText="1"/>
      <protection locked="0"/>
    </xf>
    <xf numFmtId="0" fontId="68" fillId="0" borderId="0" xfId="38" applyFont="1" applyAlignment="1" applyProtection="1">
      <alignment horizontal="left" vertical="center" wrapText="1"/>
      <protection locked="0"/>
    </xf>
    <xf numFmtId="167" fontId="88" fillId="0" borderId="1" xfId="9" applyNumberFormat="1" applyFont="1" applyFill="1" applyBorder="1" applyAlignment="1" applyProtection="1">
      <alignment vertical="center" wrapText="1"/>
      <protection locked="0"/>
    </xf>
    <xf numFmtId="0" fontId="66" fillId="0" borderId="5" xfId="9" applyFont="1" applyFill="1" applyBorder="1" applyAlignment="1" applyProtection="1">
      <alignment horizontal="center" vertical="center" wrapText="1"/>
      <protection locked="0"/>
    </xf>
    <xf numFmtId="0" fontId="88" fillId="0" borderId="0" xfId="9" applyFont="1" applyAlignment="1" applyProtection="1">
      <alignment horizontal="center" vertical="center" wrapText="1"/>
      <protection locked="0"/>
    </xf>
    <xf numFmtId="2" fontId="72" fillId="0" borderId="1" xfId="4" applyNumberFormat="1" applyFont="1" applyBorder="1" applyAlignment="1" applyProtection="1">
      <alignment horizontal="left" vertical="center" wrapText="1"/>
    </xf>
    <xf numFmtId="2" fontId="88" fillId="0" borderId="17" xfId="4" applyNumberFormat="1" applyFont="1" applyBorder="1" applyAlignment="1" applyProtection="1">
      <alignment horizontal="left" vertical="center" wrapText="1"/>
      <protection locked="0"/>
    </xf>
    <xf numFmtId="2" fontId="88" fillId="0" borderId="18" xfId="4" applyNumberFormat="1" applyFont="1" applyBorder="1" applyAlignment="1" applyProtection="1">
      <alignment horizontal="left" vertical="center" wrapText="1"/>
      <protection locked="0"/>
    </xf>
    <xf numFmtId="0" fontId="67" fillId="6" borderId="1" xfId="4" applyFont="1" applyFill="1" applyBorder="1" applyAlignment="1" applyProtection="1">
      <alignment horizontal="center" vertical="center" wrapText="1"/>
    </xf>
    <xf numFmtId="0" fontId="67" fillId="6" borderId="1" xfId="4" applyFont="1" applyFill="1" applyBorder="1" applyAlignment="1" applyProtection="1">
      <alignment horizontal="left" vertical="center" wrapText="1"/>
      <protection locked="0"/>
    </xf>
    <xf numFmtId="2" fontId="67" fillId="6" borderId="1" xfId="4" applyNumberFormat="1" applyFont="1" applyFill="1" applyBorder="1" applyAlignment="1" applyProtection="1">
      <alignment horizontal="right" vertical="center" wrapText="1"/>
    </xf>
    <xf numFmtId="2" fontId="67" fillId="6" borderId="1" xfId="4" applyNumberFormat="1" applyFont="1" applyFill="1" applyBorder="1" applyAlignment="1" applyProtection="1">
      <alignment horizontal="right" vertical="center" wrapText="1"/>
      <protection locked="0"/>
    </xf>
    <xf numFmtId="0" fontId="67" fillId="6" borderId="5" xfId="4" applyFont="1" applyFill="1" applyBorder="1" applyAlignment="1" applyProtection="1">
      <alignment horizontal="left" vertical="center" wrapText="1"/>
      <protection locked="0"/>
    </xf>
    <xf numFmtId="43" fontId="86" fillId="42" borderId="1" xfId="1" applyFont="1" applyFill="1" applyBorder="1" applyAlignment="1" applyProtection="1">
      <alignment horizontal="right" vertical="center" wrapText="1"/>
    </xf>
    <xf numFmtId="0" fontId="68" fillId="0" borderId="1" xfId="0" applyFont="1" applyBorder="1" applyAlignment="1" applyProtection="1">
      <alignment wrapText="1"/>
    </xf>
    <xf numFmtId="0" fontId="67" fillId="29" borderId="1" xfId="9" applyFont="1" applyFill="1" applyBorder="1" applyAlignment="1" applyProtection="1">
      <alignment horizontal="center" vertical="center"/>
    </xf>
    <xf numFmtId="0" fontId="72" fillId="0" borderId="1" xfId="9" applyFont="1" applyBorder="1" applyAlignment="1" applyProtection="1">
      <alignment horizontal="center" vertical="center"/>
    </xf>
    <xf numFmtId="0" fontId="72" fillId="0" borderId="3" xfId="8" applyFont="1" applyBorder="1" applyAlignment="1" applyProtection="1">
      <alignment horizontal="left" vertical="center" wrapText="1"/>
    </xf>
    <xf numFmtId="0" fontId="67" fillId="29" borderId="3" xfId="8" applyFont="1" applyFill="1" applyBorder="1" applyAlignment="1" applyProtection="1">
      <alignment horizontal="center" vertical="center"/>
    </xf>
    <xf numFmtId="0" fontId="72" fillId="0" borderId="3" xfId="8" applyFont="1" applyBorder="1" applyAlignment="1" applyProtection="1">
      <alignment horizontal="center" vertical="center"/>
    </xf>
    <xf numFmtId="0" fontId="67" fillId="4" borderId="1" xfId="4" applyFont="1" applyFill="1" applyBorder="1" applyAlignment="1" applyProtection="1">
      <alignment horizontal="left" vertical="center" wrapText="1"/>
    </xf>
    <xf numFmtId="0" fontId="67" fillId="4" borderId="1" xfId="4" applyFont="1" applyFill="1" applyBorder="1" applyAlignment="1" applyProtection="1">
      <alignment horizontal="center" vertical="center" wrapText="1"/>
    </xf>
    <xf numFmtId="0" fontId="67" fillId="4" borderId="1" xfId="4" applyFont="1" applyFill="1" applyBorder="1" applyAlignment="1" applyProtection="1">
      <alignment horizontal="left" vertical="center" wrapText="1"/>
      <protection locked="0"/>
    </xf>
    <xf numFmtId="2" fontId="67" fillId="4" borderId="1" xfId="4" applyNumberFormat="1" applyFont="1" applyFill="1" applyBorder="1" applyAlignment="1" applyProtection="1">
      <alignment horizontal="left" vertical="center" wrapText="1"/>
    </xf>
    <xf numFmtId="2" fontId="67" fillId="4" borderId="1" xfId="4" applyNumberFormat="1" applyFont="1" applyFill="1" applyBorder="1" applyAlignment="1" applyProtection="1">
      <alignment horizontal="left" vertical="center" wrapText="1"/>
      <protection locked="0"/>
    </xf>
    <xf numFmtId="2" fontId="67" fillId="4" borderId="1" xfId="4" applyNumberFormat="1" applyFont="1" applyFill="1" applyBorder="1" applyAlignment="1" applyProtection="1">
      <alignment horizontal="right" vertical="center" wrapText="1"/>
    </xf>
    <xf numFmtId="0" fontId="67" fillId="4" borderId="5" xfId="4" applyFont="1" applyFill="1" applyBorder="1" applyAlignment="1" applyProtection="1">
      <alignment horizontal="left" vertical="center" wrapText="1"/>
      <protection locked="0"/>
    </xf>
    <xf numFmtId="0" fontId="72" fillId="11" borderId="1" xfId="9" applyFont="1" applyFill="1" applyBorder="1" applyAlignment="1" applyProtection="1">
      <alignment horizontal="center" vertical="center"/>
    </xf>
    <xf numFmtId="0" fontId="72" fillId="11" borderId="1" xfId="9" applyFont="1" applyFill="1" applyBorder="1" applyAlignment="1" applyProtection="1">
      <alignment horizontal="left" vertical="center" wrapText="1"/>
    </xf>
    <xf numFmtId="0" fontId="72" fillId="0" borderId="1" xfId="8" applyFont="1" applyBorder="1" applyAlignment="1" applyProtection="1">
      <alignment vertical="center"/>
      <protection locked="0"/>
    </xf>
    <xf numFmtId="0" fontId="72" fillId="0" borderId="5" xfId="8" applyFont="1" applyBorder="1" applyAlignment="1" applyProtection="1">
      <alignment horizontal="left" vertical="center"/>
      <protection locked="0"/>
    </xf>
    <xf numFmtId="0" fontId="68" fillId="4" borderId="1" xfId="4" applyFont="1" applyFill="1" applyBorder="1" applyAlignment="1" applyProtection="1">
      <alignment vertical="center" wrapText="1"/>
      <protection locked="0"/>
    </xf>
    <xf numFmtId="2" fontId="72" fillId="4" borderId="1" xfId="4" applyNumberFormat="1" applyFont="1" applyFill="1" applyBorder="1" applyAlignment="1" applyProtection="1">
      <alignment vertical="center" wrapText="1"/>
    </xf>
    <xf numFmtId="2" fontId="67" fillId="4" borderId="1" xfId="4" applyNumberFormat="1" applyFont="1" applyFill="1" applyBorder="1" applyAlignment="1" applyProtection="1">
      <alignment vertical="center" wrapText="1"/>
      <protection locked="0"/>
    </xf>
    <xf numFmtId="2" fontId="67" fillId="4" borderId="1" xfId="4" applyNumberFormat="1" applyFont="1" applyFill="1" applyBorder="1" applyAlignment="1" applyProtection="1">
      <alignment vertical="center" wrapText="1"/>
    </xf>
    <xf numFmtId="0" fontId="68" fillId="4" borderId="5" xfId="4" applyFont="1" applyFill="1" applyBorder="1" applyAlignment="1" applyProtection="1">
      <alignment horizontal="left" vertical="center" wrapText="1"/>
      <protection locked="0"/>
    </xf>
    <xf numFmtId="43" fontId="87" fillId="0" borderId="1" xfId="1" applyFont="1" applyBorder="1" applyAlignment="1" applyProtection="1">
      <alignment horizontal="right" vertical="center" wrapText="1"/>
    </xf>
    <xf numFmtId="2" fontId="67" fillId="3" borderId="1" xfId="4" applyNumberFormat="1" applyFont="1" applyFill="1" applyBorder="1" applyAlignment="1" applyProtection="1">
      <alignment horizontal="left" vertical="center" wrapText="1"/>
    </xf>
    <xf numFmtId="2" fontId="67" fillId="3" borderId="1" xfId="4" applyNumberFormat="1" applyFont="1" applyFill="1" applyBorder="1" applyAlignment="1" applyProtection="1">
      <alignment horizontal="left" vertical="center" wrapText="1"/>
      <protection locked="0"/>
    </xf>
    <xf numFmtId="2" fontId="67" fillId="3" borderId="1" xfId="4" applyNumberFormat="1" applyFont="1" applyFill="1" applyBorder="1" applyAlignment="1" applyProtection="1">
      <alignment horizontal="right" vertical="center" wrapText="1"/>
    </xf>
    <xf numFmtId="0" fontId="67" fillId="3" borderId="5" xfId="4" applyFont="1" applyFill="1" applyBorder="1" applyAlignment="1" applyProtection="1">
      <alignment horizontal="left" vertical="center" wrapText="1"/>
      <protection locked="0"/>
    </xf>
    <xf numFmtId="0" fontId="67" fillId="4" borderId="1" xfId="8" applyFont="1" applyFill="1" applyBorder="1" applyAlignment="1" applyProtection="1">
      <alignment horizontal="left" vertical="center"/>
    </xf>
    <xf numFmtId="0" fontId="72" fillId="4" borderId="1" xfId="8" applyFont="1" applyFill="1" applyBorder="1" applyAlignment="1" applyProtection="1">
      <alignment horizontal="left" vertical="center"/>
    </xf>
    <xf numFmtId="0" fontId="67" fillId="4" borderId="1" xfId="8" applyFont="1" applyFill="1" applyBorder="1" applyAlignment="1" applyProtection="1">
      <alignment horizontal="left" vertical="center" wrapText="1"/>
    </xf>
    <xf numFmtId="0" fontId="72" fillId="13" borderId="1" xfId="8" applyFont="1" applyFill="1" applyBorder="1" applyAlignment="1" applyProtection="1">
      <alignment vertical="center" wrapText="1"/>
      <protection locked="0"/>
    </xf>
    <xf numFmtId="0" fontId="68" fillId="23" borderId="1" xfId="0" applyFont="1" applyFill="1" applyBorder="1" applyAlignment="1" applyProtection="1">
      <alignment horizontal="center" vertical="center" wrapText="1"/>
      <protection locked="0"/>
    </xf>
    <xf numFmtId="0" fontId="68" fillId="23" borderId="1" xfId="9" applyFont="1" applyFill="1" applyBorder="1" applyAlignment="1" applyProtection="1">
      <alignment horizontal="center" vertical="center" wrapText="1"/>
      <protection locked="0"/>
    </xf>
    <xf numFmtId="167" fontId="68" fillId="23" borderId="1" xfId="9" applyNumberFormat="1" applyFont="1" applyFill="1" applyBorder="1" applyAlignment="1" applyProtection="1">
      <alignment vertical="center" wrapText="1"/>
      <protection locked="0"/>
    </xf>
    <xf numFmtId="0" fontId="68" fillId="23" borderId="1" xfId="0" applyFont="1" applyFill="1" applyBorder="1" applyAlignment="1" applyProtection="1">
      <alignment horizontal="left" vertical="center" wrapText="1"/>
      <protection locked="0"/>
    </xf>
    <xf numFmtId="0" fontId="68" fillId="23" borderId="1" xfId="9" applyFont="1" applyFill="1" applyBorder="1" applyAlignment="1" applyProtection="1">
      <alignment vertical="center" wrapText="1"/>
      <protection locked="0"/>
    </xf>
    <xf numFmtId="0" fontId="87" fillId="0" borderId="1" xfId="0" applyFont="1" applyBorder="1" applyAlignment="1" applyProtection="1">
      <alignment vertical="center"/>
    </xf>
    <xf numFmtId="165" fontId="72" fillId="0" borderId="1" xfId="0" applyNumberFormat="1" applyFont="1" applyBorder="1" applyAlignment="1" applyProtection="1">
      <alignment horizontal="center" vertical="center"/>
      <protection locked="0"/>
    </xf>
    <xf numFmtId="0" fontId="72" fillId="0" borderId="1" xfId="0" applyFont="1" applyBorder="1" applyAlignment="1" applyProtection="1">
      <alignment horizontal="center" vertical="center" wrapText="1"/>
      <protection locked="0"/>
    </xf>
    <xf numFmtId="0" fontId="67" fillId="4" borderId="1" xfId="9" applyFont="1" applyFill="1" applyBorder="1" applyAlignment="1" applyProtection="1">
      <alignment horizontal="center" vertical="center"/>
    </xf>
    <xf numFmtId="0" fontId="67" fillId="4" borderId="1" xfId="9" applyFont="1" applyFill="1" applyBorder="1" applyAlignment="1" applyProtection="1">
      <alignment vertical="center" wrapText="1"/>
      <protection locked="0"/>
    </xf>
    <xf numFmtId="2" fontId="67" fillId="4" borderId="1" xfId="0" applyNumberFormat="1" applyFont="1" applyFill="1" applyBorder="1" applyAlignment="1" applyProtection="1">
      <alignment horizontal="right" vertical="center" wrapText="1"/>
    </xf>
    <xf numFmtId="2" fontId="67" fillId="4" borderId="1" xfId="9" applyNumberFormat="1" applyFont="1" applyFill="1" applyBorder="1" applyAlignment="1" applyProtection="1">
      <alignment vertical="center" wrapText="1"/>
    </xf>
    <xf numFmtId="0" fontId="67" fillId="4" borderId="5" xfId="9" applyFont="1" applyFill="1" applyBorder="1" applyAlignment="1" applyProtection="1">
      <alignment horizontal="left" vertical="center" wrapText="1"/>
      <protection locked="0"/>
    </xf>
    <xf numFmtId="0" fontId="72" fillId="0" borderId="5" xfId="9" applyFont="1" applyFill="1" applyBorder="1" applyAlignment="1" applyProtection="1">
      <alignment horizontal="left" vertical="center" wrapText="1"/>
      <protection locked="0"/>
    </xf>
    <xf numFmtId="0" fontId="72" fillId="0" borderId="1" xfId="9" applyFont="1" applyFill="1" applyBorder="1" applyAlignment="1" applyProtection="1">
      <alignment vertical="center" wrapText="1"/>
      <protection locked="0"/>
    </xf>
    <xf numFmtId="0" fontId="72" fillId="0" borderId="1" xfId="9" applyFont="1" applyFill="1" applyBorder="1" applyAlignment="1" applyProtection="1">
      <alignment horizontal="center" vertical="center"/>
    </xf>
    <xf numFmtId="0" fontId="72" fillId="0" borderId="1" xfId="11" applyFont="1" applyBorder="1" applyAlignment="1" applyProtection="1">
      <alignment vertical="center" wrapText="1"/>
      <protection locked="0"/>
    </xf>
    <xf numFmtId="2" fontId="72" fillId="0" borderId="1" xfId="11" applyNumberFormat="1" applyFont="1" applyBorder="1" applyAlignment="1" applyProtection="1">
      <alignment horizontal="right" vertical="center" wrapText="1"/>
    </xf>
    <xf numFmtId="0" fontId="66" fillId="28" borderId="1" xfId="0" applyFont="1" applyFill="1" applyBorder="1" applyAlignment="1" applyProtection="1">
      <alignment horizontal="center" vertical="center"/>
    </xf>
    <xf numFmtId="0" fontId="68" fillId="28" borderId="1" xfId="0" applyFont="1" applyFill="1" applyBorder="1" applyAlignment="1" applyProtection="1">
      <alignment horizontal="center" vertical="center"/>
    </xf>
    <xf numFmtId="0" fontId="68" fillId="0" borderId="1" xfId="4" applyFont="1" applyFill="1" applyBorder="1" applyAlignment="1" applyProtection="1">
      <alignment vertical="center" wrapText="1"/>
      <protection locked="0"/>
    </xf>
    <xf numFmtId="0" fontId="72" fillId="0" borderId="1" xfId="58" applyFont="1" applyBorder="1" applyAlignment="1" applyProtection="1">
      <alignment vertical="center" wrapText="1"/>
      <protection locked="0"/>
    </xf>
    <xf numFmtId="0" fontId="68" fillId="0" borderId="5" xfId="58" applyNumberFormat="1" applyFont="1" applyBorder="1" applyAlignment="1" applyProtection="1">
      <alignment horizontal="left" vertical="center" wrapText="1"/>
      <protection locked="0"/>
    </xf>
    <xf numFmtId="0" fontId="72" fillId="0" borderId="0" xfId="8" applyFont="1" applyFill="1" applyAlignment="1" applyProtection="1">
      <alignment horizontal="left" vertical="center"/>
    </xf>
    <xf numFmtId="43" fontId="72" fillId="0" borderId="0" xfId="1" applyFont="1" applyAlignment="1" applyProtection="1">
      <alignment horizontal="right" vertical="center"/>
    </xf>
    <xf numFmtId="0" fontId="68" fillId="11" borderId="1" xfId="9" applyFont="1" applyFill="1" applyBorder="1" applyAlignment="1" applyProtection="1">
      <alignment vertical="center" wrapText="1"/>
      <protection locked="0"/>
    </xf>
    <xf numFmtId="0" fontId="68" fillId="11" borderId="1" xfId="9" applyFont="1" applyFill="1" applyBorder="1" applyAlignment="1" applyProtection="1">
      <alignment horizontal="left" vertical="center" wrapText="1"/>
      <protection locked="0"/>
    </xf>
    <xf numFmtId="0" fontId="68" fillId="11" borderId="1" xfId="38" applyFont="1" applyFill="1" applyBorder="1" applyAlignment="1" applyProtection="1">
      <alignment horizontal="center" vertical="center" wrapText="1"/>
      <protection locked="0"/>
    </xf>
    <xf numFmtId="0" fontId="68" fillId="11" borderId="1" xfId="38" applyNumberFormat="1" applyFont="1" applyFill="1" applyBorder="1" applyAlignment="1" applyProtection="1">
      <alignment horizontal="left" vertical="center" wrapText="1"/>
      <protection locked="0"/>
    </xf>
    <xf numFmtId="0" fontId="72" fillId="0" borderId="1" xfId="8" applyFont="1" applyFill="1" applyBorder="1" applyAlignment="1" applyProtection="1">
      <alignment horizontal="left" vertical="center" wrapText="1"/>
      <protection locked="0"/>
    </xf>
    <xf numFmtId="0" fontId="67" fillId="11" borderId="1" xfId="9" applyFont="1" applyFill="1" applyBorder="1" applyAlignment="1" applyProtection="1">
      <alignment horizontal="center" vertical="center" wrapText="1"/>
      <protection locked="0"/>
    </xf>
    <xf numFmtId="167" fontId="67" fillId="11" borderId="1" xfId="9" applyNumberFormat="1" applyFont="1" applyFill="1" applyBorder="1" applyAlignment="1" applyProtection="1">
      <alignment vertical="center" wrapText="1"/>
      <protection locked="0"/>
    </xf>
    <xf numFmtId="0" fontId="67" fillId="11" borderId="5" xfId="0" applyFont="1" applyFill="1" applyBorder="1" applyAlignment="1" applyProtection="1">
      <alignment horizontal="left" vertical="center" wrapText="1"/>
      <protection locked="0"/>
    </xf>
    <xf numFmtId="0" fontId="72" fillId="11" borderId="1" xfId="9" applyFont="1" applyFill="1" applyBorder="1" applyAlignment="1" applyProtection="1">
      <alignment horizontal="center" vertical="center" wrapText="1"/>
      <protection locked="0"/>
    </xf>
    <xf numFmtId="167" fontId="72" fillId="11" borderId="1" xfId="9" applyNumberFormat="1" applyFont="1" applyFill="1" applyBorder="1" applyAlignment="1" applyProtection="1">
      <alignment vertical="center" wrapText="1"/>
      <protection locked="0"/>
    </xf>
    <xf numFmtId="0" fontId="72" fillId="11" borderId="5" xfId="9" applyFont="1" applyFill="1" applyBorder="1" applyAlignment="1" applyProtection="1">
      <alignment horizontal="left" vertical="center" wrapText="1"/>
      <protection locked="0"/>
    </xf>
    <xf numFmtId="0" fontId="68" fillId="0" borderId="5" xfId="0" applyFont="1" applyFill="1" applyBorder="1" applyAlignment="1" applyProtection="1">
      <alignment vertical="center" wrapText="1"/>
      <protection locked="0"/>
    </xf>
    <xf numFmtId="0" fontId="72" fillId="0" borderId="5" xfId="9" applyFont="1" applyBorder="1" applyAlignment="1" applyProtection="1">
      <alignment horizontal="left" vertical="top" wrapText="1"/>
      <protection locked="0"/>
    </xf>
    <xf numFmtId="0" fontId="72" fillId="11" borderId="1" xfId="9" applyNumberFormat="1" applyFont="1" applyFill="1" applyBorder="1" applyAlignment="1" applyProtection="1">
      <alignment horizontal="left" vertical="center" wrapText="1"/>
      <protection locked="0"/>
    </xf>
    <xf numFmtId="0" fontId="72" fillId="13" borderId="1" xfId="0" applyFont="1" applyFill="1" applyBorder="1" applyAlignment="1" applyProtection="1">
      <alignment horizontal="center" vertical="center" wrapText="1"/>
      <protection locked="0"/>
    </xf>
    <xf numFmtId="0" fontId="72" fillId="2" borderId="1" xfId="4" applyFont="1" applyFill="1" applyBorder="1" applyAlignment="1" applyProtection="1">
      <alignment vertical="center" wrapText="1"/>
    </xf>
    <xf numFmtId="0" fontId="67" fillId="2" borderId="1" xfId="4" applyFont="1" applyFill="1" applyBorder="1" applyAlignment="1" applyProtection="1">
      <alignment horizontal="center" vertical="center" wrapText="1"/>
    </xf>
    <xf numFmtId="43" fontId="67" fillId="2" borderId="1" xfId="1" applyFont="1" applyFill="1" applyBorder="1" applyAlignment="1" applyProtection="1">
      <alignment vertical="center" wrapText="1"/>
    </xf>
    <xf numFmtId="43" fontId="66" fillId="2" borderId="1" xfId="1" applyFont="1" applyFill="1" applyBorder="1" applyAlignment="1" applyProtection="1">
      <alignment vertical="center" wrapText="1"/>
    </xf>
    <xf numFmtId="2" fontId="68" fillId="0" borderId="0" xfId="4" applyNumberFormat="1" applyFont="1" applyAlignment="1" applyProtection="1">
      <alignment horizontal="left" vertical="center" wrapText="1"/>
    </xf>
    <xf numFmtId="2" fontId="72" fillId="0" borderId="1" xfId="4" applyNumberFormat="1" applyFont="1" applyFill="1" applyBorder="1" applyAlignment="1" applyProtection="1">
      <alignment horizontal="left" vertical="center" wrapText="1"/>
    </xf>
    <xf numFmtId="2" fontId="67" fillId="29" borderId="1" xfId="4" applyNumberFormat="1" applyFont="1" applyFill="1" applyBorder="1" applyAlignment="1" applyProtection="1">
      <alignment horizontal="center" vertical="center" wrapText="1"/>
    </xf>
    <xf numFmtId="2" fontId="72" fillId="0" borderId="1" xfId="4" applyNumberFormat="1" applyFont="1" applyBorder="1" applyAlignment="1" applyProtection="1">
      <alignment horizontal="center" vertical="center" wrapText="1"/>
    </xf>
    <xf numFmtId="2" fontId="72" fillId="0" borderId="1" xfId="4" applyNumberFormat="1" applyFont="1" applyBorder="1" applyAlignment="1" applyProtection="1">
      <alignment horizontal="center" vertical="center" wrapText="1"/>
      <protection locked="0"/>
    </xf>
    <xf numFmtId="2" fontId="72" fillId="0" borderId="1" xfId="4" applyNumberFormat="1" applyFont="1" applyBorder="1" applyAlignment="1" applyProtection="1">
      <alignment horizontal="left" vertical="center" wrapText="1"/>
      <protection locked="0"/>
    </xf>
    <xf numFmtId="167" fontId="72" fillId="0" borderId="1" xfId="9" applyNumberFormat="1" applyFont="1" applyBorder="1" applyAlignment="1" applyProtection="1">
      <alignment vertical="center" wrapText="1"/>
      <protection locked="0"/>
    </xf>
    <xf numFmtId="49" fontId="72" fillId="0" borderId="1" xfId="4" applyNumberFormat="1" applyFont="1" applyFill="1" applyBorder="1" applyAlignment="1" applyProtection="1">
      <alignment vertical="center" wrapText="1"/>
    </xf>
    <xf numFmtId="2" fontId="68" fillId="0" borderId="1" xfId="4" applyNumberFormat="1" applyFont="1" applyBorder="1" applyAlignment="1" applyProtection="1">
      <alignment horizontal="left" vertical="center" wrapText="1"/>
      <protection locked="0"/>
    </xf>
    <xf numFmtId="0" fontId="68" fillId="10" borderId="1" xfId="4" applyFont="1" applyFill="1" applyBorder="1" applyAlignment="1" applyProtection="1">
      <alignment horizontal="left" vertical="center" wrapText="1"/>
      <protection locked="0"/>
    </xf>
    <xf numFmtId="0" fontId="67" fillId="2" borderId="1" xfId="4" applyFont="1" applyFill="1" applyBorder="1" applyAlignment="1" applyProtection="1">
      <alignment vertical="center" wrapText="1"/>
      <protection locked="0"/>
    </xf>
    <xf numFmtId="0" fontId="72" fillId="11" borderId="1" xfId="4" applyFont="1" applyFill="1" applyBorder="1" applyAlignment="1" applyProtection="1">
      <alignment vertical="center" wrapText="1"/>
    </xf>
    <xf numFmtId="1" fontId="68" fillId="0" borderId="1" xfId="8" applyNumberFormat="1" applyFont="1" applyBorder="1" applyAlignment="1" applyProtection="1">
      <alignment horizontal="left" vertical="center" wrapText="1"/>
    </xf>
    <xf numFmtId="1" fontId="68" fillId="0" borderId="1" xfId="4" applyNumberFormat="1" applyFont="1" applyBorder="1" applyAlignment="1" applyProtection="1">
      <alignment horizontal="left" vertical="center" wrapText="1"/>
    </xf>
    <xf numFmtId="0" fontId="72" fillId="4" borderId="1" xfId="8" applyFont="1" applyFill="1" applyBorder="1" applyAlignment="1" applyProtection="1">
      <alignment horizontal="left" vertical="center" wrapText="1"/>
    </xf>
    <xf numFmtId="0" fontId="72" fillId="4" borderId="1" xfId="8" applyFont="1" applyFill="1" applyBorder="1" applyAlignment="1" applyProtection="1">
      <alignment horizontal="center" vertical="center" wrapText="1"/>
    </xf>
    <xf numFmtId="2" fontId="72" fillId="4" borderId="1" xfId="4" applyNumberFormat="1" applyFont="1" applyFill="1" applyBorder="1" applyAlignment="1" applyProtection="1">
      <alignment horizontal="center" vertical="center" wrapText="1"/>
    </xf>
    <xf numFmtId="43" fontId="72" fillId="4" borderId="1" xfId="1" applyFont="1" applyFill="1" applyBorder="1" applyAlignment="1" applyProtection="1">
      <alignment vertical="center" wrapText="1"/>
    </xf>
    <xf numFmtId="43" fontId="67" fillId="4" borderId="1" xfId="1" applyFont="1" applyFill="1" applyBorder="1" applyAlignment="1" applyProtection="1">
      <alignment vertical="center" wrapText="1"/>
    </xf>
    <xf numFmtId="2" fontId="66" fillId="4" borderId="1" xfId="4" applyNumberFormat="1" applyFont="1" applyFill="1" applyBorder="1" applyAlignment="1" applyProtection="1">
      <alignment horizontal="left" vertical="center" wrapText="1"/>
      <protection locked="0"/>
    </xf>
    <xf numFmtId="43" fontId="66" fillId="4" borderId="1" xfId="1" applyFont="1" applyFill="1" applyBorder="1" applyAlignment="1" applyProtection="1">
      <alignment vertical="center" wrapText="1"/>
    </xf>
    <xf numFmtId="0" fontId="72" fillId="0" borderId="1" xfId="8" applyFont="1" applyFill="1" applyBorder="1" applyAlignment="1" applyProtection="1">
      <alignment vertical="center" wrapText="1"/>
    </xf>
    <xf numFmtId="1" fontId="68" fillId="0" borderId="1" xfId="8" applyNumberFormat="1" applyFont="1" applyFill="1" applyBorder="1" applyAlignment="1" applyProtection="1">
      <alignment horizontal="left" vertical="center" wrapText="1"/>
    </xf>
    <xf numFmtId="0" fontId="68" fillId="10" borderId="1" xfId="8" applyFont="1" applyFill="1" applyBorder="1" applyAlignment="1" applyProtection="1">
      <alignment horizontal="left" vertical="center" wrapText="1"/>
      <protection locked="0"/>
    </xf>
    <xf numFmtId="0" fontId="72" fillId="0" borderId="1" xfId="8" applyFont="1" applyFill="1" applyBorder="1" applyAlignment="1" applyProtection="1">
      <alignment vertical="top" wrapText="1"/>
    </xf>
    <xf numFmtId="0" fontId="72" fillId="0" borderId="1" xfId="8" applyFont="1" applyBorder="1" applyAlignment="1" applyProtection="1">
      <alignment vertical="top" wrapText="1"/>
    </xf>
    <xf numFmtId="0" fontId="72" fillId="30" borderId="1" xfId="0" applyFont="1" applyFill="1" applyBorder="1" applyAlignment="1" applyProtection="1">
      <alignment horizontal="center" vertical="top" wrapText="1"/>
    </xf>
    <xf numFmtId="43" fontId="72" fillId="0" borderId="1" xfId="1" applyFont="1" applyBorder="1" applyAlignment="1" applyProtection="1">
      <alignment horizontal="right" vertical="top" wrapText="1"/>
    </xf>
    <xf numFmtId="0" fontId="68" fillId="10" borderId="1" xfId="8" applyFont="1" applyFill="1" applyBorder="1" applyAlignment="1" applyProtection="1">
      <alignment horizontal="left" vertical="top" wrapText="1"/>
      <protection locked="0"/>
    </xf>
    <xf numFmtId="0" fontId="68" fillId="0" borderId="0" xfId="8" applyFont="1" applyAlignment="1" applyProtection="1">
      <alignment vertical="top" wrapText="1"/>
    </xf>
    <xf numFmtId="0" fontId="67" fillId="2" borderId="1" xfId="8" applyFont="1" applyFill="1" applyBorder="1" applyAlignment="1" applyProtection="1">
      <alignment horizontal="left" vertical="center" wrapText="1"/>
    </xf>
    <xf numFmtId="0" fontId="72" fillId="2" borderId="1" xfId="8" applyFont="1" applyFill="1" applyBorder="1" applyAlignment="1" applyProtection="1">
      <alignment horizontal="center" vertical="center" wrapText="1"/>
    </xf>
    <xf numFmtId="0" fontId="72" fillId="2" borderId="1" xfId="8" applyFont="1" applyFill="1" applyBorder="1" applyAlignment="1" applyProtection="1">
      <alignment vertical="center" wrapText="1"/>
      <protection locked="0"/>
    </xf>
    <xf numFmtId="43" fontId="72" fillId="2" borderId="1" xfId="1" applyFont="1" applyFill="1" applyBorder="1" applyAlignment="1" applyProtection="1">
      <alignment vertical="center" wrapText="1"/>
    </xf>
    <xf numFmtId="2" fontId="67" fillId="0" borderId="1" xfId="4" applyNumberFormat="1" applyFont="1" applyBorder="1" applyAlignment="1" applyProtection="1">
      <alignment horizontal="left" vertical="center" wrapText="1"/>
      <protection locked="0"/>
    </xf>
    <xf numFmtId="2" fontId="66" fillId="0" borderId="1" xfId="4" applyNumberFormat="1" applyFont="1" applyBorder="1" applyAlignment="1" applyProtection="1">
      <alignment horizontal="left" vertical="center" wrapText="1"/>
      <protection locked="0"/>
    </xf>
    <xf numFmtId="0" fontId="67" fillId="0" borderId="1" xfId="8" applyFont="1" applyFill="1" applyBorder="1" applyAlignment="1" applyProtection="1">
      <alignment vertical="center" wrapText="1"/>
    </xf>
    <xf numFmtId="0" fontId="67" fillId="0" borderId="1" xfId="9" applyFont="1" applyFill="1" applyBorder="1" applyAlignment="1" applyProtection="1">
      <alignment horizontal="left" vertical="center" wrapText="1"/>
      <protection locked="0"/>
    </xf>
    <xf numFmtId="0" fontId="66" fillId="10" borderId="1" xfId="8" applyFont="1" applyFill="1" applyBorder="1" applyAlignment="1" applyProtection="1">
      <alignment horizontal="left" vertical="center" wrapText="1"/>
      <protection locked="0"/>
    </xf>
    <xf numFmtId="43" fontId="66" fillId="10" borderId="1" xfId="1" applyFont="1" applyFill="1" applyBorder="1" applyAlignment="1" applyProtection="1">
      <alignment horizontal="right" vertical="center" wrapText="1"/>
      <protection locked="0"/>
    </xf>
    <xf numFmtId="3" fontId="68" fillId="0" borderId="1" xfId="0" applyNumberFormat="1" applyFont="1" applyBorder="1" applyAlignment="1" applyProtection="1">
      <alignment horizontal="center" vertical="center"/>
      <protection locked="0"/>
    </xf>
    <xf numFmtId="0" fontId="72" fillId="16" borderId="1" xfId="8" applyFont="1" applyFill="1" applyBorder="1" applyAlignment="1" applyProtection="1">
      <alignment horizontal="center" vertical="center"/>
    </xf>
    <xf numFmtId="43" fontId="69" fillId="39" borderId="1" xfId="1" applyFont="1" applyFill="1" applyBorder="1" applyAlignment="1" applyProtection="1">
      <alignment horizontal="left"/>
    </xf>
    <xf numFmtId="43" fontId="72" fillId="0" borderId="0" xfId="1" applyFont="1" applyFill="1" applyAlignment="1" applyProtection="1">
      <alignment vertical="center"/>
    </xf>
    <xf numFmtId="43" fontId="67" fillId="0" borderId="1" xfId="1" applyFont="1" applyFill="1" applyBorder="1" applyProtection="1"/>
    <xf numFmtId="0" fontId="72" fillId="0" borderId="0" xfId="8" applyFont="1" applyFill="1" applyAlignment="1" applyProtection="1">
      <alignment horizontal="center" vertical="center"/>
    </xf>
    <xf numFmtId="0" fontId="72" fillId="2" borderId="1" xfId="8" applyFont="1" applyFill="1" applyBorder="1" applyAlignment="1" applyProtection="1">
      <alignment horizontal="left" vertical="center" wrapText="1"/>
    </xf>
    <xf numFmtId="0" fontId="67" fillId="6" borderId="1" xfId="4" applyFont="1" applyFill="1" applyBorder="1" applyAlignment="1" applyProtection="1">
      <alignment vertical="center" wrapText="1"/>
    </xf>
    <xf numFmtId="0" fontId="67" fillId="6" borderId="1" xfId="8" applyFont="1" applyFill="1" applyBorder="1" applyAlignment="1" applyProtection="1">
      <alignment vertical="center"/>
    </xf>
    <xf numFmtId="167" fontId="67" fillId="6" borderId="1" xfId="8" applyNumberFormat="1" applyFont="1" applyFill="1" applyBorder="1" applyAlignment="1" applyProtection="1">
      <alignment horizontal="right" vertical="center" wrapText="1"/>
    </xf>
    <xf numFmtId="0" fontId="67" fillId="6" borderId="1" xfId="8" applyFont="1" applyFill="1" applyBorder="1" applyAlignment="1" applyProtection="1">
      <alignment vertical="center" wrapText="1"/>
    </xf>
    <xf numFmtId="2" fontId="67" fillId="6" borderId="1" xfId="8" applyNumberFormat="1" applyFont="1" applyFill="1" applyBorder="1" applyAlignment="1" applyProtection="1">
      <alignment horizontal="right" vertical="center" wrapText="1"/>
    </xf>
    <xf numFmtId="2" fontId="67" fillId="6" borderId="1" xfId="8" applyNumberFormat="1" applyFont="1" applyFill="1" applyBorder="1" applyAlignment="1" applyProtection="1">
      <alignment horizontal="right" vertical="center"/>
    </xf>
    <xf numFmtId="0" fontId="72" fillId="0" borderId="1" xfId="8" applyFont="1" applyBorder="1" applyAlignment="1" applyProtection="1">
      <alignment horizontal="center" vertical="center"/>
      <protection locked="0"/>
    </xf>
    <xf numFmtId="167" fontId="72" fillId="0" borderId="1" xfId="8" applyNumberFormat="1" applyFont="1" applyBorder="1" applyAlignment="1" applyProtection="1">
      <alignment horizontal="right" vertical="center" wrapText="1"/>
      <protection locked="0"/>
    </xf>
    <xf numFmtId="0" fontId="72" fillId="10" borderId="1" xfId="8" applyFont="1" applyFill="1" applyBorder="1" applyAlignment="1" applyProtection="1">
      <alignment horizontal="left" vertical="center"/>
      <protection locked="0"/>
    </xf>
    <xf numFmtId="43" fontId="72" fillId="10" borderId="1" xfId="1" applyFont="1" applyFill="1" applyBorder="1" applyAlignment="1" applyProtection="1">
      <alignment horizontal="right" vertical="center"/>
      <protection locked="0"/>
    </xf>
    <xf numFmtId="0" fontId="72" fillId="2" borderId="1" xfId="8" applyFont="1" applyFill="1" applyBorder="1" applyAlignment="1" applyProtection="1">
      <alignment horizontal="left" vertical="center" wrapText="1"/>
      <protection locked="0"/>
    </xf>
    <xf numFmtId="2" fontId="67" fillId="6" borderId="1" xfId="4" applyNumberFormat="1" applyFont="1" applyFill="1" applyBorder="1" applyAlignment="1" applyProtection="1">
      <alignment horizontal="left" vertical="center" wrapText="1"/>
    </xf>
    <xf numFmtId="0" fontId="67" fillId="6" borderId="1" xfId="8" applyFont="1" applyFill="1" applyBorder="1" applyAlignment="1" applyProtection="1">
      <alignment vertical="center"/>
      <protection locked="0"/>
    </xf>
    <xf numFmtId="0" fontId="67" fillId="6" borderId="1" xfId="8" applyFont="1" applyFill="1" applyBorder="1" applyAlignment="1" applyProtection="1">
      <alignment horizontal="center" vertical="center"/>
      <protection locked="0"/>
    </xf>
    <xf numFmtId="167" fontId="67" fillId="6" borderId="1" xfId="8" applyNumberFormat="1" applyFont="1" applyFill="1" applyBorder="1" applyAlignment="1" applyProtection="1">
      <alignment horizontal="right" vertical="center" wrapText="1"/>
      <protection locked="0"/>
    </xf>
    <xf numFmtId="0" fontId="67" fillId="6" borderId="1" xfId="8" applyFont="1" applyFill="1" applyBorder="1" applyAlignment="1" applyProtection="1">
      <alignment vertical="center" wrapText="1"/>
      <protection locked="0"/>
    </xf>
    <xf numFmtId="0" fontId="67" fillId="6" borderId="1" xfId="8" applyFont="1" applyFill="1" applyBorder="1" applyAlignment="1" applyProtection="1">
      <alignment horizontal="left" vertical="center" wrapText="1"/>
      <protection locked="0"/>
    </xf>
    <xf numFmtId="0" fontId="72" fillId="0" borderId="1" xfId="8" applyFont="1" applyBorder="1" applyAlignment="1" applyProtection="1">
      <alignment vertical="center"/>
    </xf>
    <xf numFmtId="0" fontId="72" fillId="29" borderId="1" xfId="8" applyFont="1" applyFill="1" applyBorder="1" applyAlignment="1" applyProtection="1">
      <alignment horizontal="center" vertical="center"/>
    </xf>
    <xf numFmtId="0" fontId="72" fillId="0" borderId="1" xfId="8" applyFont="1" applyFill="1" applyBorder="1" applyAlignment="1" applyProtection="1">
      <alignment vertical="center"/>
      <protection locked="0"/>
    </xf>
    <xf numFmtId="43" fontId="72" fillId="0" borderId="1" xfId="1" applyFont="1" applyFill="1" applyBorder="1" applyAlignment="1" applyProtection="1">
      <alignment horizontal="left" vertical="center"/>
    </xf>
    <xf numFmtId="0" fontId="68" fillId="0" borderId="0" xfId="8" applyFont="1" applyFill="1" applyAlignment="1" applyProtection="1">
      <alignment vertical="center"/>
    </xf>
    <xf numFmtId="0" fontId="72" fillId="0" borderId="1" xfId="8" applyFont="1" applyFill="1" applyBorder="1" applyAlignment="1" applyProtection="1">
      <alignment vertical="center"/>
    </xf>
    <xf numFmtId="0" fontId="72" fillId="0" borderId="1" xfId="8" applyFont="1" applyBorder="1" applyAlignment="1" applyProtection="1">
      <alignment horizontal="left" vertical="top" wrapText="1"/>
      <protection locked="0"/>
    </xf>
    <xf numFmtId="0" fontId="71" fillId="16" borderId="1" xfId="8" applyFont="1" applyFill="1" applyBorder="1" applyAlignment="1" applyProtection="1">
      <alignment vertical="center"/>
    </xf>
    <xf numFmtId="0" fontId="71" fillId="0" borderId="1" xfId="8" applyFont="1" applyFill="1" applyBorder="1" applyAlignment="1" applyProtection="1">
      <alignment horizontal="center" vertical="center"/>
    </xf>
    <xf numFmtId="0" fontId="67" fillId="0" borderId="1" xfId="8" applyFont="1" applyFill="1" applyBorder="1" applyAlignment="1" applyProtection="1">
      <alignment horizontal="center" vertical="center"/>
    </xf>
    <xf numFmtId="0" fontId="67" fillId="0" borderId="1" xfId="4" applyFont="1" applyFill="1" applyBorder="1" applyAlignment="1" applyProtection="1">
      <alignment vertical="center" wrapText="1"/>
    </xf>
    <xf numFmtId="0" fontId="67" fillId="0" borderId="1" xfId="8" applyFont="1" applyFill="1" applyBorder="1" applyAlignment="1" applyProtection="1">
      <alignment vertical="center" wrapText="1"/>
      <protection locked="0"/>
    </xf>
    <xf numFmtId="0" fontId="72" fillId="0" borderId="1" xfId="8" applyFont="1" applyBorder="1" applyAlignment="1" applyProtection="1">
      <alignment horizontal="left" vertical="center"/>
      <protection locked="0"/>
    </xf>
    <xf numFmtId="2" fontId="72" fillId="10" borderId="1" xfId="8" applyNumberFormat="1" applyFont="1" applyFill="1" applyBorder="1" applyAlignment="1" applyProtection="1">
      <alignment horizontal="left" vertical="center"/>
      <protection locked="0"/>
    </xf>
    <xf numFmtId="1" fontId="72" fillId="0" borderId="1" xfId="8" applyNumberFormat="1" applyFont="1" applyBorder="1" applyAlignment="1" applyProtection="1">
      <alignment horizontal="left" vertical="center"/>
    </xf>
    <xf numFmtId="43" fontId="72" fillId="11" borderId="1" xfId="1" applyFont="1" applyFill="1" applyBorder="1" applyAlignment="1" applyProtection="1">
      <alignment horizontal="right" vertical="center" wrapText="1"/>
    </xf>
    <xf numFmtId="0" fontId="72" fillId="11" borderId="1" xfId="8" applyFont="1" applyFill="1" applyBorder="1" applyAlignment="1" applyProtection="1">
      <alignment horizontal="left" vertical="center"/>
      <protection locked="0"/>
    </xf>
    <xf numFmtId="1" fontId="72" fillId="10" borderId="1" xfId="8" applyNumberFormat="1" applyFont="1" applyFill="1" applyBorder="1" applyAlignment="1" applyProtection="1">
      <alignment horizontal="left" vertical="center"/>
      <protection locked="0"/>
    </xf>
    <xf numFmtId="0" fontId="67" fillId="0" borderId="1" xfId="8" applyFont="1" applyFill="1" applyBorder="1" applyAlignment="1" applyProtection="1">
      <alignment horizontal="left" vertical="center" wrapText="1"/>
      <protection locked="0"/>
    </xf>
    <xf numFmtId="1" fontId="67" fillId="0" borderId="1" xfId="8" applyNumberFormat="1" applyFont="1" applyFill="1" applyBorder="1" applyAlignment="1" applyProtection="1">
      <alignment horizontal="left" vertical="center" wrapText="1"/>
    </xf>
    <xf numFmtId="1" fontId="72" fillId="2" borderId="1" xfId="8" applyNumberFormat="1" applyFont="1" applyFill="1" applyBorder="1" applyAlignment="1" applyProtection="1">
      <alignment horizontal="left" vertical="center" wrapText="1"/>
    </xf>
    <xf numFmtId="43" fontId="72" fillId="10" borderId="1" xfId="1" applyFont="1" applyFill="1" applyBorder="1" applyAlignment="1" applyProtection="1">
      <alignment horizontal="right" vertical="center" wrapText="1"/>
      <protection locked="0"/>
    </xf>
    <xf numFmtId="43" fontId="72" fillId="0" borderId="1" xfId="1" applyFont="1" applyBorder="1" applyAlignment="1" applyProtection="1">
      <alignment horizontal="left" vertical="center"/>
    </xf>
    <xf numFmtId="0" fontId="67" fillId="6" borderId="1" xfId="8" applyFont="1" applyFill="1" applyBorder="1" applyAlignment="1" applyProtection="1">
      <alignment horizontal="left" vertical="center" wrapText="1"/>
    </xf>
    <xf numFmtId="1" fontId="67" fillId="6" borderId="1" xfId="8" applyNumberFormat="1" applyFont="1" applyFill="1" applyBorder="1" applyAlignment="1" applyProtection="1">
      <alignment horizontal="left" vertical="center"/>
    </xf>
    <xf numFmtId="2" fontId="72" fillId="11" borderId="1" xfId="4" applyNumberFormat="1" applyFont="1" applyFill="1" applyBorder="1" applyAlignment="1" applyProtection="1">
      <alignment horizontal="left" vertical="center" wrapText="1"/>
      <protection locked="0"/>
    </xf>
    <xf numFmtId="0" fontId="67" fillId="0" borderId="1" xfId="8" applyFont="1" applyBorder="1" applyAlignment="1" applyProtection="1">
      <alignment vertical="center"/>
      <protection locked="0"/>
    </xf>
    <xf numFmtId="0" fontId="72" fillId="0" borderId="1" xfId="4" applyFont="1" applyFill="1" applyBorder="1" applyAlignment="1" applyProtection="1">
      <alignment vertical="center" wrapText="1"/>
      <protection locked="0"/>
    </xf>
    <xf numFmtId="167" fontId="72" fillId="0" borderId="1" xfId="8" applyNumberFormat="1" applyFont="1" applyFill="1" applyBorder="1" applyAlignment="1" applyProtection="1">
      <alignment horizontal="right" vertical="center" wrapText="1"/>
      <protection locked="0"/>
    </xf>
    <xf numFmtId="0" fontId="73" fillId="20" borderId="1" xfId="4" applyFont="1" applyFill="1" applyBorder="1" applyAlignment="1" applyProtection="1">
      <alignment vertical="center" wrapText="1"/>
      <protection locked="0"/>
    </xf>
    <xf numFmtId="43" fontId="73" fillId="20" borderId="1" xfId="1" applyFont="1" applyFill="1" applyBorder="1" applyAlignment="1" applyProtection="1">
      <alignment horizontal="right" vertical="center" wrapText="1"/>
    </xf>
    <xf numFmtId="0" fontId="73" fillId="20" borderId="1" xfId="8" applyFont="1" applyFill="1" applyBorder="1" applyAlignment="1" applyProtection="1">
      <alignment vertical="center" wrapText="1"/>
      <protection locked="0"/>
    </xf>
    <xf numFmtId="0" fontId="73" fillId="20" borderId="1" xfId="4" applyFont="1" applyFill="1" applyBorder="1" applyAlignment="1" applyProtection="1">
      <alignment horizontal="left" vertical="center" wrapText="1"/>
    </xf>
    <xf numFmtId="1" fontId="73" fillId="20" borderId="1" xfId="4" applyNumberFormat="1" applyFont="1" applyFill="1" applyBorder="1" applyAlignment="1" applyProtection="1">
      <alignment horizontal="left" vertical="center" wrapText="1"/>
    </xf>
    <xf numFmtId="0" fontId="72" fillId="0" borderId="1" xfId="4" applyFont="1" applyBorder="1" applyAlignment="1" applyProtection="1">
      <alignment horizontal="center" vertical="center" wrapText="1"/>
    </xf>
    <xf numFmtId="0" fontId="72" fillId="0" borderId="1" xfId="4" applyFont="1" applyBorder="1" applyAlignment="1" applyProtection="1">
      <alignment vertical="center" wrapText="1"/>
      <protection locked="0"/>
    </xf>
    <xf numFmtId="0" fontId="72" fillId="0" borderId="1" xfId="4" applyFont="1" applyBorder="1" applyAlignment="1" applyProtection="1">
      <alignment horizontal="left" vertical="center" wrapText="1"/>
      <protection locked="0"/>
    </xf>
    <xf numFmtId="1" fontId="72" fillId="0" borderId="1" xfId="4" applyNumberFormat="1" applyFont="1" applyBorder="1" applyAlignment="1" applyProtection="1">
      <alignment horizontal="left" vertical="center" wrapText="1"/>
    </xf>
    <xf numFmtId="167" fontId="72" fillId="13" borderId="1" xfId="8" applyNumberFormat="1" applyFont="1" applyFill="1" applyBorder="1" applyAlignment="1" applyProtection="1">
      <alignment horizontal="right" vertical="center" wrapText="1"/>
      <protection locked="0"/>
    </xf>
    <xf numFmtId="1" fontId="72" fillId="0" borderId="1" xfId="4" applyNumberFormat="1" applyFont="1" applyFill="1" applyBorder="1" applyAlignment="1" applyProtection="1">
      <alignment horizontal="left" vertical="center" wrapText="1"/>
    </xf>
    <xf numFmtId="43" fontId="72" fillId="0" borderId="1" xfId="1" applyFont="1" applyFill="1" applyBorder="1" applyAlignment="1" applyProtection="1">
      <alignment horizontal="left" vertical="center" wrapText="1"/>
    </xf>
    <xf numFmtId="0" fontId="72" fillId="0" borderId="0" xfId="8" applyFont="1" applyAlignment="1" applyProtection="1">
      <alignment vertical="center"/>
      <protection locked="0"/>
    </xf>
    <xf numFmtId="0" fontId="72" fillId="0" borderId="1" xfId="4" applyFont="1" applyBorder="1" applyAlignment="1" applyProtection="1">
      <alignment vertical="top" wrapText="1"/>
    </xf>
    <xf numFmtId="0" fontId="72" fillId="0" borderId="1" xfId="8" applyFont="1" applyBorder="1" applyAlignment="1" applyProtection="1">
      <alignment vertical="top"/>
    </xf>
    <xf numFmtId="0" fontId="72" fillId="0" borderId="1" xfId="8" applyFont="1" applyBorder="1" applyAlignment="1" applyProtection="1">
      <alignment horizontal="center" vertical="top"/>
    </xf>
    <xf numFmtId="0" fontId="72" fillId="23" borderId="1" xfId="8" applyFont="1" applyFill="1" applyBorder="1" applyAlignment="1" applyProtection="1">
      <alignment vertical="top" wrapText="1"/>
      <protection locked="0"/>
    </xf>
    <xf numFmtId="0" fontId="72" fillId="23" borderId="1" xfId="8" applyFont="1" applyFill="1" applyBorder="1" applyAlignment="1" applyProtection="1">
      <alignment vertical="top"/>
      <protection locked="0"/>
    </xf>
    <xf numFmtId="1" fontId="72" fillId="0" borderId="1" xfId="8" applyNumberFormat="1" applyFont="1" applyFill="1" applyBorder="1" applyAlignment="1" applyProtection="1">
      <alignment horizontal="left" vertical="top"/>
    </xf>
    <xf numFmtId="43" fontId="72" fillId="0" borderId="1" xfId="1" applyFont="1" applyFill="1" applyBorder="1" applyAlignment="1" applyProtection="1">
      <alignment horizontal="left" vertical="top"/>
    </xf>
    <xf numFmtId="0" fontId="72" fillId="0" borderId="0" xfId="8" applyFont="1" applyAlignment="1" applyProtection="1">
      <alignment vertical="top"/>
    </xf>
    <xf numFmtId="43" fontId="72" fillId="0" borderId="1" xfId="1" applyFont="1" applyBorder="1" applyAlignment="1" applyProtection="1">
      <alignment horizontal="left" vertical="top"/>
    </xf>
    <xf numFmtId="43" fontId="72" fillId="0" borderId="1" xfId="1" applyFont="1" applyFill="1" applyBorder="1" applyAlignment="1" applyProtection="1">
      <alignment vertical="center"/>
    </xf>
    <xf numFmtId="0" fontId="71" fillId="7" borderId="1" xfId="11" applyFont="1" applyFill="1" applyBorder="1" applyAlignment="1" applyProtection="1">
      <alignment horizontal="left" vertical="center" wrapText="1"/>
    </xf>
    <xf numFmtId="0" fontId="73" fillId="7" borderId="1" xfId="11" applyFont="1" applyFill="1" applyBorder="1" applyAlignment="1" applyProtection="1">
      <alignment horizontal="left" vertical="center" wrapText="1"/>
    </xf>
    <xf numFmtId="0" fontId="71" fillId="16" borderId="1" xfId="11" applyFont="1" applyFill="1" applyBorder="1" applyAlignment="1" applyProtection="1">
      <alignment vertical="top"/>
    </xf>
    <xf numFmtId="0" fontId="72" fillId="0" borderId="0" xfId="11" applyFont="1" applyAlignment="1" applyProtection="1">
      <alignment vertical="top"/>
    </xf>
    <xf numFmtId="0" fontId="69" fillId="24" borderId="1" xfId="3" applyFont="1" applyFill="1" applyBorder="1" applyAlignment="1" applyProtection="1">
      <alignment horizontal="left" vertical="top" wrapText="1"/>
    </xf>
    <xf numFmtId="0" fontId="71" fillId="0" borderId="1" xfId="8" applyFont="1" applyFill="1" applyBorder="1" applyAlignment="1" applyProtection="1">
      <alignment horizontal="center" vertical="top"/>
    </xf>
    <xf numFmtId="0" fontId="81" fillId="29" borderId="1" xfId="0" applyFont="1" applyFill="1" applyBorder="1" applyAlignment="1" applyProtection="1">
      <alignment horizontal="center" vertical="top" wrapText="1"/>
    </xf>
    <xf numFmtId="0" fontId="72" fillId="0" borderId="0" xfId="11" applyFont="1" applyFill="1" applyAlignment="1" applyProtection="1">
      <alignment vertical="top"/>
    </xf>
    <xf numFmtId="43" fontId="69" fillId="39" borderId="1" xfId="1" applyFont="1" applyFill="1" applyBorder="1" applyAlignment="1" applyProtection="1">
      <alignment horizontal="left" vertical="top"/>
    </xf>
    <xf numFmtId="43" fontId="67" fillId="0" borderId="1" xfId="1" applyFont="1" applyFill="1" applyBorder="1" applyAlignment="1" applyProtection="1">
      <alignment horizontal="left" vertical="top" wrapText="1"/>
    </xf>
    <xf numFmtId="43" fontId="67" fillId="0" borderId="1" xfId="1" applyFont="1" applyFill="1" applyBorder="1" applyAlignment="1" applyProtection="1">
      <alignment vertical="top"/>
    </xf>
    <xf numFmtId="43" fontId="72" fillId="0" borderId="1" xfId="1" applyFont="1" applyFill="1" applyBorder="1" applyAlignment="1" applyProtection="1">
      <alignment vertical="top"/>
    </xf>
    <xf numFmtId="43" fontId="72" fillId="0" borderId="0" xfId="1" applyFont="1" applyFill="1" applyAlignment="1" applyProtection="1">
      <alignment vertical="top"/>
    </xf>
    <xf numFmtId="0" fontId="72" fillId="0" borderId="0" xfId="11" applyFont="1" applyFill="1" applyAlignment="1" applyProtection="1">
      <alignment horizontal="center" vertical="top"/>
    </xf>
    <xf numFmtId="0" fontId="72" fillId="0" borderId="0" xfId="11" applyFont="1" applyAlignment="1" applyProtection="1">
      <alignment horizontal="center" vertical="top"/>
    </xf>
    <xf numFmtId="0" fontId="71" fillId="7" borderId="1" xfId="11" applyFont="1" applyFill="1" applyBorder="1" applyAlignment="1" applyProtection="1">
      <alignment horizontal="left" vertical="top" wrapText="1"/>
    </xf>
    <xf numFmtId="0" fontId="73" fillId="7" borderId="1" xfId="11" applyFont="1" applyFill="1" applyBorder="1" applyAlignment="1" applyProtection="1">
      <alignment horizontal="left" vertical="top" wrapText="1"/>
    </xf>
    <xf numFmtId="0" fontId="71" fillId="7" borderId="1" xfId="11" applyFont="1" applyFill="1" applyBorder="1" applyAlignment="1" applyProtection="1">
      <alignment horizontal="center" vertical="top" wrapText="1"/>
    </xf>
    <xf numFmtId="0" fontId="73" fillId="7" borderId="1" xfId="11" applyFont="1" applyFill="1" applyBorder="1" applyAlignment="1" applyProtection="1">
      <alignment horizontal="center" vertical="top" wrapText="1"/>
    </xf>
    <xf numFmtId="0" fontId="67" fillId="2" borderId="1" xfId="11" applyFont="1" applyFill="1" applyBorder="1" applyAlignment="1" applyProtection="1">
      <alignment horizontal="left" vertical="top"/>
    </xf>
    <xf numFmtId="0" fontId="72" fillId="2" borderId="1" xfId="11" applyFont="1" applyFill="1" applyBorder="1" applyAlignment="1" applyProtection="1">
      <alignment horizontal="left" vertical="top" wrapText="1"/>
    </xf>
    <xf numFmtId="0" fontId="67" fillId="2" borderId="1" xfId="11" applyFont="1" applyFill="1" applyBorder="1" applyAlignment="1" applyProtection="1">
      <alignment horizontal="left" vertical="top" wrapText="1"/>
    </xf>
    <xf numFmtId="0" fontId="67" fillId="2" borderId="1" xfId="11" applyFont="1" applyFill="1" applyBorder="1" applyAlignment="1" applyProtection="1">
      <alignment horizontal="center" vertical="top" wrapText="1"/>
    </xf>
    <xf numFmtId="0" fontId="72" fillId="2" borderId="1" xfId="11" applyFont="1" applyFill="1" applyBorder="1" applyAlignment="1" applyProtection="1">
      <alignment horizontal="center" vertical="top" wrapText="1"/>
    </xf>
    <xf numFmtId="0" fontId="72" fillId="0" borderId="1" xfId="11" applyFont="1" applyFill="1" applyBorder="1" applyAlignment="1" applyProtection="1">
      <alignment horizontal="left" vertical="top"/>
    </xf>
    <xf numFmtId="0" fontId="67" fillId="29" borderId="1" xfId="4" applyFont="1" applyFill="1" applyBorder="1" applyAlignment="1" applyProtection="1">
      <alignment horizontal="center" vertical="top" wrapText="1"/>
    </xf>
    <xf numFmtId="2" fontId="72" fillId="0" borderId="1" xfId="4" applyNumberFormat="1" applyFont="1" applyBorder="1" applyAlignment="1" applyProtection="1">
      <alignment horizontal="center" vertical="top" wrapText="1"/>
    </xf>
    <xf numFmtId="2" fontId="72" fillId="0" borderId="1" xfId="4" applyNumberFormat="1" applyFont="1" applyBorder="1" applyAlignment="1" applyProtection="1">
      <alignment horizontal="center" vertical="top" wrapText="1"/>
      <protection locked="0"/>
    </xf>
    <xf numFmtId="0" fontId="72" fillId="0" borderId="1" xfId="11" applyFont="1" applyBorder="1" applyAlignment="1" applyProtection="1">
      <alignment horizontal="left" vertical="top"/>
    </xf>
    <xf numFmtId="0" fontId="72" fillId="0" borderId="1" xfId="11" applyFont="1" applyBorder="1" applyAlignment="1" applyProtection="1">
      <alignment vertical="top"/>
      <protection locked="0"/>
    </xf>
    <xf numFmtId="0" fontId="72" fillId="0" borderId="1" xfId="11" applyFont="1" applyBorder="1" applyAlignment="1" applyProtection="1">
      <alignment horizontal="left" vertical="top"/>
      <protection locked="0"/>
    </xf>
    <xf numFmtId="0" fontId="72" fillId="2" borderId="1" xfId="11" applyFont="1" applyFill="1" applyBorder="1" applyAlignment="1" applyProtection="1">
      <alignment horizontal="left" vertical="top" wrapText="1"/>
      <protection locked="0"/>
    </xf>
    <xf numFmtId="0" fontId="67" fillId="2" borderId="1" xfId="11" applyFont="1" applyFill="1" applyBorder="1" applyAlignment="1" applyProtection="1">
      <alignment horizontal="left" vertical="top" wrapText="1"/>
      <protection locked="0"/>
    </xf>
    <xf numFmtId="0" fontId="72" fillId="10" borderId="1" xfId="11" applyFont="1" applyFill="1" applyBorder="1" applyAlignment="1" applyProtection="1">
      <alignment horizontal="left" vertical="top"/>
      <protection locked="0"/>
    </xf>
    <xf numFmtId="43" fontId="72" fillId="10" borderId="1" xfId="1" applyFont="1" applyFill="1" applyBorder="1" applyAlignment="1" applyProtection="1">
      <alignment horizontal="right" vertical="top"/>
      <protection locked="0"/>
    </xf>
    <xf numFmtId="0" fontId="72" fillId="0" borderId="1" xfId="0" applyFont="1" applyBorder="1" applyAlignment="1" applyProtection="1">
      <alignment horizontal="center" vertical="top"/>
      <protection locked="0"/>
    </xf>
    <xf numFmtId="2" fontId="72" fillId="0" borderId="1" xfId="0" applyNumberFormat="1" applyFont="1" applyBorder="1" applyAlignment="1" applyProtection="1">
      <alignment horizontal="center" vertical="top" wrapText="1"/>
      <protection locked="0"/>
    </xf>
    <xf numFmtId="165" fontId="72" fillId="0" borderId="1" xfId="0" applyNumberFormat="1" applyFont="1" applyBorder="1" applyAlignment="1" applyProtection="1">
      <alignment horizontal="center" vertical="top"/>
      <protection locked="0"/>
    </xf>
    <xf numFmtId="0" fontId="72" fillId="0" borderId="1" xfId="0" applyFont="1" applyBorder="1" applyAlignment="1" applyProtection="1">
      <alignment horizontal="center" vertical="top" wrapText="1"/>
      <protection locked="0"/>
    </xf>
    <xf numFmtId="0" fontId="72" fillId="0" borderId="1" xfId="38" applyFont="1" applyBorder="1" applyAlignment="1" applyProtection="1">
      <alignment horizontal="left" vertical="top" wrapText="1"/>
      <protection locked="0"/>
    </xf>
    <xf numFmtId="0" fontId="72" fillId="0" borderId="1" xfId="0" applyFont="1" applyBorder="1" applyAlignment="1" applyProtection="1">
      <alignment vertical="top"/>
    </xf>
    <xf numFmtId="43" fontId="72" fillId="0" borderId="1" xfId="1" applyFont="1" applyBorder="1" applyAlignment="1" applyProtection="1">
      <alignment horizontal="right" vertical="top"/>
    </xf>
    <xf numFmtId="0" fontId="72" fillId="0" borderId="1" xfId="4" applyFont="1" applyFill="1" applyBorder="1" applyAlignment="1" applyProtection="1">
      <alignment vertical="top" wrapText="1"/>
    </xf>
    <xf numFmtId="43" fontId="72" fillId="0" borderId="1" xfId="1" applyFont="1" applyFill="1" applyBorder="1" applyAlignment="1" applyProtection="1">
      <alignment horizontal="right" vertical="top" wrapText="1"/>
    </xf>
    <xf numFmtId="0" fontId="72" fillId="0" borderId="1" xfId="11" applyFont="1" applyBorder="1" applyAlignment="1" applyProtection="1">
      <alignment horizontal="left" vertical="top" wrapText="1"/>
      <protection locked="0"/>
    </xf>
    <xf numFmtId="0" fontId="67" fillId="36" borderId="1" xfId="11" applyFont="1" applyFill="1" applyBorder="1" applyAlignment="1" applyProtection="1">
      <alignment horizontal="left" vertical="top"/>
    </xf>
    <xf numFmtId="0" fontId="72" fillId="36" borderId="1" xfId="4" applyFont="1" applyFill="1" applyBorder="1" applyAlignment="1" applyProtection="1">
      <alignment horizontal="left" vertical="top" wrapText="1"/>
    </xf>
    <xf numFmtId="0" fontId="67" fillId="36" borderId="1" xfId="4" applyFont="1" applyFill="1" applyBorder="1" applyAlignment="1" applyProtection="1">
      <alignment horizontal="left" vertical="top" wrapText="1"/>
    </xf>
    <xf numFmtId="0" fontId="72" fillId="36" borderId="1" xfId="4" applyFont="1" applyFill="1" applyBorder="1" applyAlignment="1" applyProtection="1">
      <alignment horizontal="center" vertical="top" wrapText="1"/>
    </xf>
    <xf numFmtId="2" fontId="72" fillId="36" borderId="1" xfId="4" applyNumberFormat="1" applyFont="1" applyFill="1" applyBorder="1" applyAlignment="1" applyProtection="1">
      <alignment horizontal="center" vertical="top" wrapText="1"/>
    </xf>
    <xf numFmtId="2" fontId="72" fillId="36" borderId="1" xfId="4" applyNumberFormat="1" applyFont="1" applyFill="1" applyBorder="1" applyAlignment="1" applyProtection="1">
      <alignment horizontal="center" vertical="top" wrapText="1"/>
      <protection locked="0"/>
    </xf>
    <xf numFmtId="0" fontId="72" fillId="36" borderId="1" xfId="11" applyFont="1" applyFill="1" applyBorder="1" applyAlignment="1" applyProtection="1">
      <alignment vertical="top"/>
      <protection locked="0"/>
    </xf>
    <xf numFmtId="43" fontId="72" fillId="36" borderId="1" xfId="1" applyFont="1" applyFill="1" applyBorder="1" applyAlignment="1" applyProtection="1">
      <alignment horizontal="right" vertical="top"/>
    </xf>
    <xf numFmtId="0" fontId="67" fillId="36" borderId="1" xfId="11" applyFont="1" applyFill="1" applyBorder="1" applyAlignment="1" applyProtection="1">
      <alignment vertical="top"/>
      <protection locked="0"/>
    </xf>
    <xf numFmtId="43" fontId="67" fillId="36" borderId="1" xfId="1" applyFont="1" applyFill="1" applyBorder="1" applyAlignment="1" applyProtection="1">
      <alignment horizontal="right" vertical="top"/>
    </xf>
    <xf numFmtId="0" fontId="72" fillId="36" borderId="1" xfId="11" applyFont="1" applyFill="1" applyBorder="1" applyAlignment="1" applyProtection="1">
      <alignment horizontal="left" vertical="top"/>
      <protection locked="0"/>
    </xf>
    <xf numFmtId="0" fontId="72" fillId="36" borderId="1" xfId="11" applyFont="1" applyFill="1" applyBorder="1" applyAlignment="1" applyProtection="1">
      <alignment horizontal="left" vertical="top"/>
    </xf>
    <xf numFmtId="0" fontId="72" fillId="0" borderId="1" xfId="11" applyFont="1" applyBorder="1" applyAlignment="1" applyProtection="1">
      <alignment horizontal="left" vertical="top" wrapText="1"/>
    </xf>
    <xf numFmtId="0" fontId="72" fillId="0" borderId="1" xfId="4" applyFont="1" applyBorder="1" applyAlignment="1" applyProtection="1">
      <alignment horizontal="center" vertical="top" wrapText="1"/>
    </xf>
    <xf numFmtId="0" fontId="72" fillId="0" borderId="1" xfId="4" applyFont="1" applyBorder="1" applyAlignment="1" applyProtection="1">
      <alignment horizontal="center" vertical="top" wrapText="1"/>
      <protection locked="0"/>
    </xf>
    <xf numFmtId="0" fontId="72" fillId="0" borderId="1" xfId="11" applyFont="1" applyFill="1" applyBorder="1" applyAlignment="1" applyProtection="1">
      <alignment horizontal="left" vertical="top" wrapText="1"/>
    </xf>
    <xf numFmtId="0" fontId="72" fillId="0" borderId="1" xfId="4" applyFont="1" applyFill="1" applyBorder="1" applyAlignment="1" applyProtection="1">
      <alignment horizontal="center" vertical="top" wrapText="1"/>
    </xf>
    <xf numFmtId="0" fontId="72" fillId="0" borderId="1" xfId="4" applyFont="1" applyFill="1" applyBorder="1" applyAlignment="1" applyProtection="1">
      <alignment horizontal="center" vertical="top" wrapText="1"/>
      <protection locked="0"/>
    </xf>
    <xf numFmtId="167" fontId="72" fillId="13" borderId="1" xfId="11" applyNumberFormat="1" applyFont="1" applyFill="1" applyBorder="1" applyAlignment="1" applyProtection="1">
      <alignment horizontal="right" vertical="top" wrapText="1"/>
      <protection locked="0"/>
    </xf>
    <xf numFmtId="0" fontId="72" fillId="13" borderId="1" xfId="4" applyFont="1" applyFill="1" applyBorder="1" applyAlignment="1" applyProtection="1">
      <alignment horizontal="center" vertical="top" wrapText="1"/>
      <protection locked="0"/>
    </xf>
    <xf numFmtId="43" fontId="72" fillId="0" borderId="1" xfId="1" applyFont="1" applyFill="1" applyBorder="1" applyAlignment="1" applyProtection="1">
      <alignment horizontal="right" vertical="top"/>
    </xf>
    <xf numFmtId="0" fontId="72" fillId="0" borderId="1" xfId="8" applyFont="1" applyFill="1" applyBorder="1" applyAlignment="1" applyProtection="1">
      <alignment vertical="top" wrapText="1"/>
      <protection locked="0"/>
    </xf>
    <xf numFmtId="0" fontId="72" fillId="13" borderId="1" xfId="8" applyFont="1" applyFill="1" applyBorder="1" applyAlignment="1" applyProtection="1">
      <alignment vertical="top" wrapText="1"/>
      <protection locked="0"/>
    </xf>
    <xf numFmtId="0" fontId="68" fillId="0" borderId="0" xfId="0" applyFont="1" applyFill="1" applyAlignment="1" applyProtection="1">
      <alignment vertical="top"/>
    </xf>
    <xf numFmtId="0" fontId="68" fillId="0" borderId="1" xfId="0" applyFont="1" applyFill="1" applyBorder="1" applyAlignment="1" applyProtection="1">
      <alignment vertical="top"/>
    </xf>
    <xf numFmtId="0" fontId="72" fillId="0" borderId="1" xfId="0" applyFont="1" applyFill="1" applyBorder="1" applyAlignment="1" applyProtection="1">
      <alignment vertical="top"/>
    </xf>
    <xf numFmtId="2" fontId="72" fillId="0" borderId="1" xfId="4" applyNumberFormat="1" applyFont="1" applyFill="1" applyBorder="1" applyAlignment="1" applyProtection="1">
      <alignment horizontal="center" vertical="top" wrapText="1"/>
    </xf>
    <xf numFmtId="2" fontId="72" fillId="0" borderId="1" xfId="4" applyNumberFormat="1" applyFont="1" applyFill="1" applyBorder="1" applyAlignment="1" applyProtection="1">
      <alignment horizontal="center" vertical="top" wrapText="1"/>
      <protection locked="0"/>
    </xf>
    <xf numFmtId="0" fontId="72" fillId="0" borderId="1" xfId="11" applyFont="1" applyFill="1" applyBorder="1" applyAlignment="1" applyProtection="1">
      <alignment vertical="top"/>
      <protection locked="0"/>
    </xf>
    <xf numFmtId="0" fontId="72" fillId="0" borderId="1" xfId="11" applyFont="1" applyFill="1" applyBorder="1" applyAlignment="1" applyProtection="1">
      <alignment horizontal="left" vertical="top"/>
      <protection locked="0"/>
    </xf>
    <xf numFmtId="0" fontId="67" fillId="0" borderId="1" xfId="11" applyFont="1" applyFill="1" applyBorder="1" applyAlignment="1" applyProtection="1">
      <alignment horizontal="left" vertical="top"/>
    </xf>
    <xf numFmtId="0" fontId="66" fillId="28" borderId="1" xfId="0" applyFont="1" applyFill="1" applyBorder="1" applyAlignment="1" applyProtection="1">
      <alignment horizontal="center" vertical="top"/>
    </xf>
    <xf numFmtId="0" fontId="72" fillId="0" borderId="1" xfId="11" applyFont="1" applyBorder="1" applyAlignment="1" applyProtection="1">
      <alignment vertical="top" wrapText="1"/>
      <protection locked="0"/>
    </xf>
    <xf numFmtId="0" fontId="67" fillId="0" borderId="1" xfId="11" applyFont="1" applyFill="1" applyBorder="1" applyAlignment="1" applyProtection="1">
      <alignment vertical="top" wrapText="1"/>
    </xf>
    <xf numFmtId="0" fontId="67" fillId="0" borderId="1" xfId="11" applyFont="1" applyFill="1" applyBorder="1" applyAlignment="1" applyProtection="1">
      <alignment horizontal="left" vertical="top" wrapText="1"/>
    </xf>
    <xf numFmtId="0" fontId="67" fillId="0" borderId="1" xfId="4" applyFont="1" applyFill="1" applyBorder="1" applyAlignment="1" applyProtection="1">
      <alignment horizontal="center" vertical="top" wrapText="1"/>
    </xf>
    <xf numFmtId="2" fontId="67" fillId="0" borderId="1" xfId="4" applyNumberFormat="1" applyFont="1" applyFill="1" applyBorder="1" applyAlignment="1" applyProtection="1">
      <alignment horizontal="center" vertical="top" wrapText="1"/>
    </xf>
    <xf numFmtId="2" fontId="67" fillId="0" borderId="1" xfId="4" applyNumberFormat="1" applyFont="1" applyFill="1" applyBorder="1" applyAlignment="1" applyProtection="1">
      <alignment horizontal="center" vertical="top" wrapText="1"/>
      <protection locked="0"/>
    </xf>
    <xf numFmtId="0" fontId="67" fillId="0" borderId="1" xfId="11" applyFont="1" applyFill="1" applyBorder="1" applyAlignment="1" applyProtection="1">
      <alignment vertical="top"/>
      <protection locked="0"/>
    </xf>
    <xf numFmtId="0" fontId="67" fillId="0" borderId="1" xfId="11" applyFont="1" applyFill="1" applyBorder="1" applyAlignment="1" applyProtection="1">
      <alignment vertical="top" wrapText="1"/>
      <protection locked="0"/>
    </xf>
    <xf numFmtId="0" fontId="67" fillId="0" borderId="1" xfId="11" applyFont="1" applyFill="1" applyBorder="1" applyAlignment="1" applyProtection="1">
      <alignment horizontal="left" vertical="top"/>
      <protection locked="0"/>
    </xf>
    <xf numFmtId="0" fontId="72" fillId="0" borderId="1" xfId="11" applyFont="1" applyFill="1" applyBorder="1" applyAlignment="1" applyProtection="1">
      <alignment vertical="top"/>
    </xf>
    <xf numFmtId="0" fontId="72" fillId="0" borderId="1" xfId="11" applyFont="1" applyFill="1" applyBorder="1" applyAlignment="1" applyProtection="1">
      <alignment vertical="top" wrapText="1"/>
    </xf>
    <xf numFmtId="0" fontId="72" fillId="41" borderId="1" xfId="11" applyFont="1" applyFill="1" applyBorder="1" applyAlignment="1" applyProtection="1">
      <alignment horizontal="left" vertical="top"/>
    </xf>
    <xf numFmtId="0" fontId="72" fillId="22" borderId="1" xfId="11" applyFont="1" applyFill="1" applyBorder="1" applyAlignment="1" applyProtection="1">
      <alignment horizontal="left" vertical="top" wrapText="1"/>
    </xf>
    <xf numFmtId="0" fontId="67" fillId="41" borderId="1" xfId="0" applyFont="1" applyFill="1" applyBorder="1" applyAlignment="1" applyProtection="1">
      <alignment horizontal="center" vertical="top"/>
    </xf>
    <xf numFmtId="2" fontId="72" fillId="41" borderId="1" xfId="4" applyNumberFormat="1" applyFont="1" applyFill="1" applyBorder="1" applyAlignment="1" applyProtection="1">
      <alignment horizontal="center" vertical="top" wrapText="1"/>
    </xf>
    <xf numFmtId="2" fontId="72" fillId="41" borderId="1" xfId="4" applyNumberFormat="1" applyFont="1" applyFill="1" applyBorder="1" applyAlignment="1" applyProtection="1">
      <alignment horizontal="center" vertical="top" wrapText="1"/>
      <protection locked="0"/>
    </xf>
    <xf numFmtId="0" fontId="72" fillId="41" borderId="1" xfId="11" applyFont="1" applyFill="1" applyBorder="1" applyAlignment="1" applyProtection="1">
      <alignment vertical="top" wrapText="1"/>
      <protection locked="0"/>
    </xf>
    <xf numFmtId="0" fontId="72" fillId="41" borderId="1" xfId="11" applyFont="1" applyFill="1" applyBorder="1" applyAlignment="1" applyProtection="1">
      <alignment vertical="top"/>
      <protection locked="0"/>
    </xf>
    <xf numFmtId="43" fontId="72" fillId="41" borderId="1" xfId="1" applyFont="1" applyFill="1" applyBorder="1" applyAlignment="1" applyProtection="1">
      <alignment horizontal="right" vertical="top" wrapText="1"/>
    </xf>
    <xf numFmtId="0" fontId="73" fillId="41" borderId="1" xfId="11" applyFont="1" applyFill="1" applyBorder="1" applyAlignment="1" applyProtection="1">
      <alignment horizontal="left" vertical="top" wrapText="1"/>
    </xf>
    <xf numFmtId="43" fontId="72" fillId="41" borderId="1" xfId="1" applyFont="1" applyFill="1" applyBorder="1" applyAlignment="1" applyProtection="1">
      <alignment horizontal="right" vertical="top"/>
    </xf>
    <xf numFmtId="43" fontId="67" fillId="0" borderId="1" xfId="1" applyFont="1" applyFill="1" applyBorder="1" applyAlignment="1" applyProtection="1">
      <alignment horizontal="right" vertical="top"/>
    </xf>
    <xf numFmtId="0" fontId="67" fillId="0" borderId="1" xfId="11" applyFont="1" applyFill="1" applyBorder="1" applyAlignment="1" applyProtection="1">
      <alignment horizontal="right" vertical="top"/>
      <protection locked="0"/>
    </xf>
    <xf numFmtId="0" fontId="68" fillId="10" borderId="1" xfId="11" applyFont="1" applyFill="1" applyBorder="1" applyAlignment="1" applyProtection="1">
      <alignment horizontal="left" vertical="top"/>
      <protection locked="0"/>
    </xf>
    <xf numFmtId="43" fontId="68" fillId="10" borderId="1" xfId="1" applyFont="1" applyFill="1" applyBorder="1" applyAlignment="1" applyProtection="1">
      <alignment horizontal="right" vertical="top"/>
      <protection locked="0"/>
    </xf>
    <xf numFmtId="0" fontId="72" fillId="0" borderId="0" xfId="11" applyFont="1" applyAlignment="1" applyProtection="1">
      <alignment horizontal="left" vertical="top"/>
    </xf>
    <xf numFmtId="43" fontId="72" fillId="0" borderId="0" xfId="1" applyFont="1" applyAlignment="1" applyProtection="1">
      <alignment horizontal="right" vertical="top"/>
    </xf>
    <xf numFmtId="0" fontId="71" fillId="16" borderId="1" xfId="48" applyFont="1" applyFill="1" applyBorder="1" applyAlignment="1" applyProtection="1">
      <alignment vertical="center"/>
    </xf>
    <xf numFmtId="0" fontId="72" fillId="0" borderId="0" xfId="48" applyFont="1" applyProtection="1"/>
    <xf numFmtId="0" fontId="66" fillId="0" borderId="1" xfId="8" applyFont="1" applyFill="1" applyBorder="1" applyAlignment="1" applyProtection="1">
      <alignment horizontal="left" vertical="center"/>
    </xf>
    <xf numFmtId="0" fontId="72" fillId="0" borderId="0" xfId="48" applyFont="1" applyFill="1" applyProtection="1"/>
    <xf numFmtId="0" fontId="72" fillId="0" borderId="0" xfId="48" applyFont="1" applyFill="1" applyAlignment="1" applyProtection="1">
      <alignment horizontal="center" vertical="center"/>
    </xf>
    <xf numFmtId="0" fontId="72" fillId="0" borderId="0" xfId="48" applyFont="1" applyAlignment="1" applyProtection="1">
      <alignment horizontal="center" vertical="center"/>
    </xf>
    <xf numFmtId="2" fontId="71" fillId="7" borderId="1" xfId="11" applyNumberFormat="1" applyFont="1" applyFill="1" applyBorder="1" applyAlignment="1" applyProtection="1">
      <alignment horizontal="right" vertical="center" wrapText="1"/>
    </xf>
    <xf numFmtId="2" fontId="71" fillId="7" borderId="1" xfId="11" applyNumberFormat="1" applyFont="1" applyFill="1" applyBorder="1" applyAlignment="1" applyProtection="1">
      <alignment horizontal="left" vertical="center" wrapText="1"/>
    </xf>
    <xf numFmtId="0" fontId="72" fillId="0" borderId="0" xfId="11" applyFont="1" applyProtection="1"/>
    <xf numFmtId="0" fontId="67" fillId="2" borderId="1" xfId="48" applyFont="1" applyFill="1" applyBorder="1" applyAlignment="1" applyProtection="1">
      <alignment horizontal="left" vertical="center"/>
    </xf>
    <xf numFmtId="0" fontId="67" fillId="2" borderId="1" xfId="48" applyFont="1" applyFill="1" applyBorder="1" applyAlignment="1" applyProtection="1">
      <alignment horizontal="left" vertical="center" wrapText="1"/>
    </xf>
    <xf numFmtId="2" fontId="67" fillId="2" borderId="1" xfId="48" applyNumberFormat="1" applyFont="1" applyFill="1" applyBorder="1" applyAlignment="1" applyProtection="1">
      <alignment horizontal="right" vertical="center"/>
    </xf>
    <xf numFmtId="0" fontId="67" fillId="2" borderId="1" xfId="48" applyFont="1" applyFill="1" applyBorder="1" applyAlignment="1" applyProtection="1">
      <alignment vertical="center"/>
    </xf>
    <xf numFmtId="2" fontId="67" fillId="2" borderId="1" xfId="48" applyNumberFormat="1" applyFont="1" applyFill="1" applyBorder="1" applyAlignment="1" applyProtection="1">
      <alignment horizontal="left" vertical="center"/>
    </xf>
    <xf numFmtId="0" fontId="72" fillId="0" borderId="1" xfId="48" applyFont="1" applyFill="1" applyBorder="1" applyAlignment="1" applyProtection="1">
      <alignment horizontal="left" vertical="center"/>
    </xf>
    <xf numFmtId="0" fontId="72" fillId="0" borderId="1" xfId="48" applyFont="1" applyFill="1" applyBorder="1" applyAlignment="1" applyProtection="1">
      <alignment horizontal="left" vertical="center" wrapText="1"/>
    </xf>
    <xf numFmtId="0" fontId="72" fillId="0" borderId="1" xfId="48" applyFont="1" applyFill="1" applyBorder="1" applyAlignment="1" applyProtection="1">
      <alignment horizontal="left" vertical="center"/>
      <protection locked="0"/>
    </xf>
    <xf numFmtId="2" fontId="72" fillId="0" borderId="1" xfId="48" applyNumberFormat="1" applyFont="1" applyFill="1" applyBorder="1" applyAlignment="1" applyProtection="1">
      <alignment horizontal="right" vertical="center"/>
    </xf>
    <xf numFmtId="0" fontId="72" fillId="0" borderId="1" xfId="48" applyFont="1" applyFill="1" applyBorder="1" applyAlignment="1" applyProtection="1">
      <alignment vertical="center"/>
      <protection locked="0"/>
    </xf>
    <xf numFmtId="2" fontId="72" fillId="0" borderId="1" xfId="48" applyNumberFormat="1" applyFont="1" applyFill="1" applyBorder="1" applyAlignment="1" applyProtection="1">
      <alignment horizontal="right" vertical="center"/>
      <protection locked="0"/>
    </xf>
    <xf numFmtId="0" fontId="67" fillId="2" borderId="1" xfId="48" applyFont="1" applyFill="1" applyBorder="1" applyAlignment="1" applyProtection="1">
      <alignment horizontal="left" vertical="center"/>
      <protection locked="0"/>
    </xf>
    <xf numFmtId="0" fontId="67" fillId="2" borderId="1" xfId="48" applyFont="1" applyFill="1" applyBorder="1" applyAlignment="1" applyProtection="1">
      <alignment vertical="center"/>
      <protection locked="0"/>
    </xf>
    <xf numFmtId="0" fontId="72" fillId="0" borderId="1" xfId="48" applyFont="1" applyBorder="1" applyAlignment="1" applyProtection="1">
      <alignment horizontal="left" vertical="center"/>
    </xf>
    <xf numFmtId="49" fontId="72" fillId="0" borderId="1" xfId="48" applyNumberFormat="1" applyFont="1" applyBorder="1" applyAlignment="1" applyProtection="1">
      <alignment horizontal="left" vertical="center"/>
    </xf>
    <xf numFmtId="0" fontId="67" fillId="0" borderId="1" xfId="48" applyFont="1" applyBorder="1" applyAlignment="1" applyProtection="1">
      <alignment horizontal="left" vertical="center"/>
    </xf>
    <xf numFmtId="0" fontId="67" fillId="0" borderId="1" xfId="48" applyFont="1" applyBorder="1" applyAlignment="1" applyProtection="1">
      <alignment horizontal="left" vertical="center"/>
      <protection locked="0"/>
    </xf>
    <xf numFmtId="2" fontId="72" fillId="0" borderId="1" xfId="48" applyNumberFormat="1" applyFont="1" applyBorder="1" applyAlignment="1" applyProtection="1">
      <alignment horizontal="right" vertical="center"/>
    </xf>
    <xf numFmtId="0" fontId="67" fillId="0" borderId="1" xfId="48" applyFont="1" applyFill="1" applyBorder="1" applyAlignment="1" applyProtection="1">
      <alignment horizontal="left" vertical="center"/>
    </xf>
    <xf numFmtId="0" fontId="67" fillId="0" borderId="1" xfId="48" applyFont="1" applyFill="1" applyBorder="1" applyAlignment="1" applyProtection="1">
      <alignment horizontal="left" vertical="center"/>
      <protection locked="0"/>
    </xf>
    <xf numFmtId="0" fontId="67" fillId="0" borderId="1" xfId="8" applyFont="1" applyFill="1" applyBorder="1" applyAlignment="1" applyProtection="1">
      <alignment horizontal="center" vertical="center" wrapText="1"/>
      <protection locked="0"/>
    </xf>
    <xf numFmtId="2" fontId="72" fillId="0" borderId="1" xfId="0" applyNumberFormat="1" applyFont="1" applyFill="1" applyBorder="1" applyAlignment="1" applyProtection="1">
      <alignment horizontal="right" vertical="center" wrapText="1"/>
    </xf>
    <xf numFmtId="0" fontId="72" fillId="0" borderId="1" xfId="48" applyFont="1" applyBorder="1" applyAlignment="1" applyProtection="1">
      <alignment horizontal="left" vertical="center" wrapText="1"/>
    </xf>
    <xf numFmtId="0" fontId="67" fillId="0" borderId="1" xfId="48" applyFont="1" applyBorder="1" applyAlignment="1" applyProtection="1">
      <alignment horizontal="left" vertical="center" wrapText="1"/>
      <protection locked="0"/>
    </xf>
    <xf numFmtId="1" fontId="72" fillId="0" borderId="1" xfId="48" applyNumberFormat="1" applyFont="1" applyFill="1" applyBorder="1" applyAlignment="1" applyProtection="1">
      <alignment horizontal="left" vertical="center" wrapText="1"/>
    </xf>
    <xf numFmtId="167" fontId="72" fillId="0" borderId="1" xfId="48" applyNumberFormat="1" applyFont="1" applyBorder="1" applyAlignment="1" applyProtection="1">
      <alignment horizontal="right" vertical="center"/>
      <protection locked="0"/>
    </xf>
    <xf numFmtId="0" fontId="67" fillId="23" borderId="1" xfId="48" applyFont="1" applyFill="1" applyBorder="1" applyAlignment="1" applyProtection="1">
      <alignment horizontal="left" vertical="center"/>
      <protection locked="0"/>
    </xf>
    <xf numFmtId="167" fontId="72" fillId="23" borderId="1" xfId="48" applyNumberFormat="1" applyFont="1" applyFill="1" applyBorder="1" applyAlignment="1" applyProtection="1">
      <alignment horizontal="right" vertical="center"/>
      <protection locked="0"/>
    </xf>
    <xf numFmtId="0" fontId="67" fillId="23" borderId="1" xfId="48" applyFont="1" applyFill="1" applyBorder="1" applyAlignment="1" applyProtection="1">
      <alignment horizontal="center" vertical="center" wrapText="1"/>
      <protection locked="0"/>
    </xf>
    <xf numFmtId="0" fontId="72" fillId="0" borderId="0" xfId="48" applyFont="1" applyAlignment="1" applyProtection="1">
      <alignment vertical="center"/>
    </xf>
    <xf numFmtId="0" fontId="67" fillId="4" borderId="1" xfId="48" applyFont="1" applyFill="1" applyBorder="1" applyAlignment="1" applyProtection="1">
      <alignment horizontal="left" vertical="center" wrapText="1"/>
    </xf>
    <xf numFmtId="0" fontId="67" fillId="4" borderId="1" xfId="48" applyFont="1" applyFill="1" applyBorder="1" applyAlignment="1" applyProtection="1">
      <alignment vertical="center" wrapText="1"/>
    </xf>
    <xf numFmtId="0" fontId="67" fillId="4" borderId="1" xfId="48" applyFont="1" applyFill="1" applyBorder="1" applyAlignment="1" applyProtection="1">
      <alignment vertical="center" wrapText="1"/>
      <protection locked="0"/>
    </xf>
    <xf numFmtId="2" fontId="67" fillId="4" borderId="1" xfId="48" applyNumberFormat="1" applyFont="1" applyFill="1" applyBorder="1" applyAlignment="1" applyProtection="1">
      <alignment horizontal="right" vertical="center" wrapText="1"/>
    </xf>
    <xf numFmtId="2" fontId="67" fillId="10" borderId="1" xfId="48" applyNumberFormat="1" applyFont="1" applyFill="1" applyBorder="1" applyAlignment="1" applyProtection="1">
      <alignment horizontal="left" vertical="center" wrapText="1"/>
      <protection locked="0"/>
    </xf>
    <xf numFmtId="2" fontId="67" fillId="10" borderId="1" xfId="48" applyNumberFormat="1" applyFont="1" applyFill="1" applyBorder="1" applyAlignment="1" applyProtection="1">
      <alignment horizontal="right" vertical="center" wrapText="1"/>
      <protection locked="0"/>
    </xf>
    <xf numFmtId="0" fontId="67" fillId="6" borderId="1" xfId="48" applyFont="1" applyFill="1" applyBorder="1" applyAlignment="1" applyProtection="1">
      <alignment vertical="center"/>
    </xf>
    <xf numFmtId="0" fontId="67" fillId="6" borderId="1" xfId="48" applyFont="1" applyFill="1" applyBorder="1" applyAlignment="1" applyProtection="1">
      <alignment horizontal="left" vertical="center" wrapText="1"/>
      <protection locked="0"/>
    </xf>
    <xf numFmtId="2" fontId="67" fillId="6" borderId="1" xfId="48" applyNumberFormat="1" applyFont="1" applyFill="1" applyBorder="1" applyAlignment="1" applyProtection="1">
      <alignment horizontal="right" vertical="center"/>
    </xf>
    <xf numFmtId="0" fontId="67" fillId="6" borderId="1" xfId="48" applyFont="1" applyFill="1" applyBorder="1" applyAlignment="1" applyProtection="1">
      <alignment horizontal="left" vertical="center"/>
      <protection locked="0"/>
    </xf>
    <xf numFmtId="2" fontId="67" fillId="6" borderId="1" xfId="48" applyNumberFormat="1" applyFont="1" applyFill="1" applyBorder="1" applyAlignment="1" applyProtection="1">
      <alignment horizontal="left" vertical="center" wrapText="1"/>
    </xf>
    <xf numFmtId="0" fontId="72" fillId="0" borderId="1" xfId="48" applyFont="1" applyBorder="1" applyAlignment="1" applyProtection="1">
      <alignment vertical="center"/>
    </xf>
    <xf numFmtId="0" fontId="72" fillId="0" borderId="1" xfId="48" applyFont="1" applyBorder="1" applyAlignment="1" applyProtection="1">
      <alignment horizontal="left" vertical="center" wrapText="1"/>
      <protection locked="0"/>
    </xf>
    <xf numFmtId="0" fontId="67" fillId="3" borderId="1" xfId="48" applyFont="1" applyFill="1" applyBorder="1" applyAlignment="1" applyProtection="1">
      <alignment horizontal="left" vertical="center" wrapText="1"/>
    </xf>
    <xf numFmtId="0" fontId="67" fillId="3" borderId="1" xfId="48" applyFont="1" applyFill="1" applyBorder="1" applyAlignment="1" applyProtection="1">
      <alignment vertical="center" wrapText="1"/>
    </xf>
    <xf numFmtId="0" fontId="67" fillId="3" borderId="1" xfId="48" applyFont="1" applyFill="1" applyBorder="1" applyAlignment="1" applyProtection="1">
      <alignment vertical="center" wrapText="1"/>
      <protection locked="0"/>
    </xf>
    <xf numFmtId="2" fontId="67" fillId="3" borderId="1" xfId="48" applyNumberFormat="1" applyFont="1" applyFill="1" applyBorder="1" applyAlignment="1" applyProtection="1">
      <alignment horizontal="right" vertical="center" wrapText="1"/>
    </xf>
    <xf numFmtId="0" fontId="72" fillId="11" borderId="1" xfId="48" applyFont="1" applyFill="1" applyBorder="1" applyAlignment="1" applyProtection="1">
      <alignment horizontal="left" vertical="center"/>
    </xf>
    <xf numFmtId="2" fontId="67" fillId="3" borderId="1" xfId="48" applyNumberFormat="1" applyFont="1" applyFill="1" applyBorder="1" applyAlignment="1" applyProtection="1">
      <alignment horizontal="left" vertical="center" wrapText="1"/>
    </xf>
    <xf numFmtId="0" fontId="72" fillId="0" borderId="1" xfId="0" applyFont="1" applyFill="1" applyBorder="1" applyAlignment="1" applyProtection="1">
      <alignment wrapText="1"/>
    </xf>
    <xf numFmtId="2" fontId="67" fillId="4" borderId="1" xfId="48" applyNumberFormat="1" applyFont="1" applyFill="1" applyBorder="1" applyAlignment="1" applyProtection="1">
      <alignment horizontal="left" vertical="center" wrapText="1"/>
    </xf>
    <xf numFmtId="0" fontId="72" fillId="4" borderId="1" xfId="48" applyFont="1" applyFill="1" applyBorder="1" applyAlignment="1" applyProtection="1">
      <alignment horizontal="center" vertical="center" wrapText="1"/>
      <protection locked="0"/>
    </xf>
    <xf numFmtId="2" fontId="72" fillId="4" borderId="1" xfId="48" applyNumberFormat="1" applyFont="1" applyFill="1" applyBorder="1" applyAlignment="1" applyProtection="1">
      <alignment vertical="center" wrapText="1"/>
    </xf>
    <xf numFmtId="2" fontId="67" fillId="10" borderId="1" xfId="48" applyNumberFormat="1" applyFont="1" applyFill="1" applyBorder="1" applyAlignment="1" applyProtection="1">
      <alignment horizontal="left" vertical="center" wrapText="1"/>
    </xf>
    <xf numFmtId="2" fontId="67" fillId="10" borderId="1" xfId="48" applyNumberFormat="1" applyFont="1" applyFill="1" applyBorder="1" applyAlignment="1" applyProtection="1">
      <alignment horizontal="right" vertical="center" wrapText="1"/>
    </xf>
    <xf numFmtId="0" fontId="67" fillId="0" borderId="0" xfId="48" applyFont="1" applyAlignment="1" applyProtection="1">
      <alignment horizontal="center" vertical="center"/>
    </xf>
    <xf numFmtId="0" fontId="72" fillId="0" borderId="0" xfId="48" applyFont="1" applyAlignment="1" applyProtection="1">
      <alignment horizontal="left" vertical="center" wrapText="1"/>
    </xf>
    <xf numFmtId="2" fontId="72" fillId="0" borderId="0" xfId="48" applyNumberFormat="1" applyFont="1" applyAlignment="1" applyProtection="1">
      <alignment horizontal="right"/>
    </xf>
    <xf numFmtId="2" fontId="72" fillId="0" borderId="0" xfId="48" applyNumberFormat="1" applyFont="1" applyAlignment="1" applyProtection="1">
      <alignment horizontal="left" vertical="center"/>
    </xf>
    <xf numFmtId="0" fontId="72" fillId="0" borderId="0" xfId="48" applyFont="1" applyAlignment="1" applyProtection="1">
      <alignment horizontal="left" vertical="center"/>
    </xf>
    <xf numFmtId="0" fontId="73" fillId="0" borderId="1" xfId="8" applyFont="1" applyFill="1" applyBorder="1" applyAlignment="1" applyProtection="1">
      <alignment horizontal="center" vertical="top" wrapText="1"/>
    </xf>
    <xf numFmtId="43" fontId="72" fillId="29" borderId="1" xfId="1" applyFont="1" applyFill="1" applyBorder="1" applyAlignment="1" applyProtection="1">
      <alignment horizontal="center" vertical="top" wrapText="1"/>
    </xf>
    <xf numFmtId="43" fontId="72" fillId="3" borderId="1" xfId="1" applyFont="1" applyFill="1" applyBorder="1" applyAlignment="1" applyProtection="1">
      <alignment horizontal="center" vertical="top" wrapText="1"/>
    </xf>
    <xf numFmtId="43" fontId="72" fillId="10" borderId="1" xfId="1" applyFont="1" applyFill="1" applyBorder="1" applyAlignment="1" applyProtection="1">
      <alignment horizontal="center" vertical="top" wrapText="1"/>
    </xf>
    <xf numFmtId="43" fontId="72" fillId="28" borderId="1" xfId="1" applyFont="1" applyFill="1" applyBorder="1" applyAlignment="1" applyProtection="1">
      <alignment horizontal="center" vertical="top" wrapText="1"/>
    </xf>
    <xf numFmtId="0" fontId="68" fillId="0" borderId="16" xfId="0" applyFont="1" applyFill="1" applyBorder="1" applyAlignment="1" applyProtection="1">
      <alignment vertical="top" wrapText="1"/>
    </xf>
    <xf numFmtId="43" fontId="68" fillId="0" borderId="0" xfId="1" applyFont="1" applyFill="1" applyBorder="1" applyAlignment="1" applyProtection="1">
      <alignment vertical="top" wrapText="1"/>
    </xf>
    <xf numFmtId="0" fontId="72" fillId="0" borderId="0" xfId="0" applyFont="1" applyFill="1" applyBorder="1" applyAlignment="1" applyProtection="1">
      <alignment vertical="top" wrapText="1"/>
    </xf>
    <xf numFmtId="0" fontId="72" fillId="0" borderId="0" xfId="8" applyFont="1" applyFill="1" applyBorder="1" applyAlignment="1" applyProtection="1">
      <alignment vertical="top"/>
    </xf>
    <xf numFmtId="0" fontId="69" fillId="8" borderId="1" xfId="3" applyFont="1" applyFill="1" applyBorder="1" applyAlignment="1" applyProtection="1">
      <alignment horizontal="left" vertical="top"/>
    </xf>
    <xf numFmtId="0" fontId="69" fillId="24" borderId="1" xfId="3" applyFont="1" applyFill="1" applyBorder="1" applyAlignment="1" applyProtection="1">
      <alignment vertical="top" wrapText="1"/>
    </xf>
    <xf numFmtId="0" fontId="68" fillId="0" borderId="0" xfId="0" applyFont="1" applyFill="1" applyAlignment="1" applyProtection="1">
      <alignment vertical="top" wrapText="1"/>
    </xf>
    <xf numFmtId="0" fontId="82" fillId="0" borderId="0" xfId="0" applyFont="1" applyFill="1" applyBorder="1" applyAlignment="1" applyProtection="1">
      <alignment horizontal="center" vertical="top" wrapText="1"/>
    </xf>
    <xf numFmtId="0" fontId="82" fillId="0" borderId="19" xfId="0" applyFont="1" applyFill="1" applyBorder="1" applyAlignment="1" applyProtection="1">
      <alignment horizontal="center" vertical="top" wrapText="1"/>
    </xf>
    <xf numFmtId="43" fontId="82" fillId="0" borderId="0" xfId="1" applyFont="1" applyFill="1" applyBorder="1" applyAlignment="1" applyProtection="1">
      <alignment horizontal="center" vertical="top" wrapText="1"/>
    </xf>
    <xf numFmtId="43" fontId="72" fillId="0" borderId="0" xfId="1" applyFont="1" applyFill="1" applyBorder="1" applyAlignment="1" applyProtection="1">
      <alignment horizontal="center" vertical="top" wrapText="1"/>
    </xf>
    <xf numFmtId="0" fontId="72" fillId="0" borderId="0" xfId="0" applyFont="1" applyFill="1" applyBorder="1" applyAlignment="1" applyProtection="1">
      <alignment horizontal="center" vertical="top" wrapText="1"/>
    </xf>
    <xf numFmtId="0" fontId="72" fillId="0" borderId="0" xfId="8" applyFont="1" applyFill="1" applyBorder="1" applyAlignment="1" applyProtection="1">
      <alignment horizontal="center" vertical="top"/>
    </xf>
    <xf numFmtId="0" fontId="72" fillId="0" borderId="0" xfId="97" applyFont="1" applyFill="1" applyAlignment="1" applyProtection="1">
      <alignment horizontal="center" vertical="top"/>
    </xf>
    <xf numFmtId="0" fontId="68" fillId="18" borderId="1" xfId="38" applyFont="1" applyFill="1" applyBorder="1" applyAlignment="1" applyProtection="1">
      <alignment horizontal="center" vertical="top" wrapText="1"/>
    </xf>
    <xf numFmtId="0" fontId="68" fillId="18" borderId="5" xfId="38" applyFont="1" applyFill="1" applyBorder="1" applyAlignment="1" applyProtection="1">
      <alignment horizontal="center" vertical="top" wrapText="1"/>
    </xf>
    <xf numFmtId="0" fontId="68" fillId="24" borderId="20" xfId="38" applyFont="1" applyFill="1" applyBorder="1" applyAlignment="1" applyProtection="1">
      <alignment horizontal="center" vertical="top" wrapText="1"/>
    </xf>
    <xf numFmtId="0" fontId="68" fillId="24" borderId="2" xfId="38" applyFont="1" applyFill="1" applyBorder="1" applyAlignment="1" applyProtection="1">
      <alignment horizontal="center" vertical="top" wrapText="1"/>
    </xf>
    <xf numFmtId="43" fontId="68" fillId="24" borderId="1" xfId="1" applyFont="1" applyFill="1" applyBorder="1" applyAlignment="1" applyProtection="1">
      <alignment horizontal="center" vertical="top" wrapText="1"/>
    </xf>
    <xf numFmtId="0" fontId="68" fillId="24" borderId="1" xfId="38" applyFont="1" applyFill="1" applyBorder="1" applyAlignment="1" applyProtection="1">
      <alignment horizontal="center" vertical="top" wrapText="1"/>
    </xf>
    <xf numFmtId="0" fontId="68" fillId="45" borderId="16" xfId="0" applyFont="1" applyFill="1" applyBorder="1" applyAlignment="1" applyProtection="1">
      <alignment horizontal="center" vertical="top" wrapText="1"/>
    </xf>
    <xf numFmtId="2" fontId="68" fillId="5" borderId="1" xfId="38" applyNumberFormat="1" applyFont="1" applyFill="1" applyBorder="1" applyAlignment="1" applyProtection="1">
      <alignment horizontal="center" vertical="top" wrapText="1"/>
    </xf>
    <xf numFmtId="43" fontId="68" fillId="5" borderId="13" xfId="1" applyFont="1" applyFill="1" applyBorder="1" applyAlignment="1" applyProtection="1">
      <alignment horizontal="center" vertical="top" wrapText="1"/>
    </xf>
    <xf numFmtId="0" fontId="72" fillId="0" borderId="0" xfId="97" applyFont="1" applyAlignment="1" applyProtection="1">
      <alignment horizontal="center" vertical="top"/>
    </xf>
    <xf numFmtId="0" fontId="73" fillId="7" borderId="1" xfId="50" applyFont="1" applyFill="1" applyBorder="1" applyAlignment="1" applyProtection="1">
      <alignment horizontal="left" vertical="top" wrapText="1"/>
    </xf>
    <xf numFmtId="0" fontId="73" fillId="7" borderId="1" xfId="50" applyFont="1" applyFill="1" applyBorder="1" applyAlignment="1" applyProtection="1">
      <alignment horizontal="center" vertical="top" wrapText="1"/>
    </xf>
    <xf numFmtId="0" fontId="73" fillId="7" borderId="5" xfId="50" applyFont="1" applyFill="1" applyBorder="1" applyAlignment="1" applyProtection="1">
      <alignment horizontal="center" vertical="top" wrapText="1"/>
    </xf>
    <xf numFmtId="0" fontId="73" fillId="7" borderId="20" xfId="50" applyFont="1" applyFill="1" applyBorder="1" applyAlignment="1" applyProtection="1">
      <alignment horizontal="center" vertical="top" wrapText="1"/>
    </xf>
    <xf numFmtId="0" fontId="73" fillId="7" borderId="2" xfId="50" applyFont="1" applyFill="1" applyBorder="1" applyAlignment="1" applyProtection="1">
      <alignment horizontal="center" vertical="top" wrapText="1"/>
    </xf>
    <xf numFmtId="43" fontId="73" fillId="7" borderId="1" xfId="1" applyFont="1" applyFill="1" applyBorder="1" applyAlignment="1" applyProtection="1">
      <alignment horizontal="center" vertical="top" wrapText="1"/>
    </xf>
    <xf numFmtId="2" fontId="73" fillId="7" borderId="5" xfId="50" applyNumberFormat="1" applyFont="1" applyFill="1" applyBorder="1" applyAlignment="1" applyProtection="1">
      <alignment horizontal="left" vertical="top" wrapText="1"/>
    </xf>
    <xf numFmtId="0" fontId="89" fillId="31" borderId="1" xfId="0" applyFont="1" applyFill="1" applyBorder="1" applyAlignment="1" applyProtection="1">
      <alignment vertical="top" wrapText="1"/>
    </xf>
    <xf numFmtId="43" fontId="73" fillId="7" borderId="6" xfId="1" applyFont="1" applyFill="1" applyBorder="1" applyAlignment="1" applyProtection="1">
      <alignment horizontal="right" vertical="top" wrapText="1"/>
    </xf>
    <xf numFmtId="43" fontId="89" fillId="31" borderId="1" xfId="1" applyFont="1" applyFill="1" applyBorder="1" applyAlignment="1" applyProtection="1">
      <alignment horizontal="center" vertical="top" wrapText="1"/>
    </xf>
    <xf numFmtId="0" fontId="72" fillId="0" borderId="0" xfId="97" applyFont="1" applyAlignment="1" applyProtection="1">
      <alignment vertical="top"/>
    </xf>
    <xf numFmtId="0" fontId="72" fillId="2" borderId="1" xfId="5" applyFont="1" applyFill="1" applyBorder="1" applyAlignment="1" applyProtection="1">
      <alignment horizontal="left" vertical="top" wrapText="1"/>
    </xf>
    <xf numFmtId="0" fontId="72" fillId="2" borderId="1" xfId="50" applyFont="1" applyFill="1" applyBorder="1" applyAlignment="1" applyProtection="1">
      <alignment horizontal="center" vertical="top" wrapText="1"/>
    </xf>
    <xf numFmtId="0" fontId="72" fillId="2" borderId="5" xfId="50" applyFont="1" applyFill="1" applyBorder="1" applyAlignment="1" applyProtection="1">
      <alignment horizontal="center" vertical="top" wrapText="1"/>
    </xf>
    <xf numFmtId="0" fontId="72" fillId="2" borderId="20" xfId="50" applyFont="1" applyFill="1" applyBorder="1" applyAlignment="1" applyProtection="1">
      <alignment horizontal="center" vertical="top" wrapText="1"/>
    </xf>
    <xf numFmtId="0" fontId="72" fillId="2" borderId="2" xfId="50" applyFont="1" applyFill="1" applyBorder="1" applyAlignment="1" applyProtection="1">
      <alignment horizontal="center" vertical="top" wrapText="1"/>
    </xf>
    <xf numFmtId="2" fontId="72" fillId="2" borderId="5" xfId="50" applyNumberFormat="1" applyFont="1" applyFill="1" applyBorder="1" applyAlignment="1" applyProtection="1">
      <alignment horizontal="left" vertical="top" wrapText="1"/>
    </xf>
    <xf numFmtId="0" fontId="87" fillId="33" borderId="1" xfId="0" applyFont="1" applyFill="1" applyBorder="1" applyAlignment="1" applyProtection="1">
      <alignment vertical="top" wrapText="1"/>
    </xf>
    <xf numFmtId="43" fontId="87" fillId="33" borderId="1" xfId="1" applyFont="1" applyFill="1" applyBorder="1" applyAlignment="1" applyProtection="1">
      <alignment horizontal="center" vertical="top" wrapText="1"/>
    </xf>
    <xf numFmtId="0" fontId="72" fillId="0" borderId="1" xfId="50" applyFont="1" applyFill="1" applyBorder="1" applyAlignment="1" applyProtection="1">
      <alignment horizontal="left" vertical="top" wrapText="1"/>
    </xf>
    <xf numFmtId="0" fontId="72" fillId="0" borderId="1" xfId="50" applyFont="1" applyFill="1" applyBorder="1" applyAlignment="1" applyProtection="1">
      <alignment horizontal="center" vertical="top" wrapText="1"/>
    </xf>
    <xf numFmtId="0" fontId="72" fillId="0" borderId="1" xfId="50" applyFont="1" applyFill="1" applyBorder="1" applyAlignment="1" applyProtection="1">
      <alignment horizontal="center" vertical="top" wrapText="1"/>
      <protection locked="0"/>
    </xf>
    <xf numFmtId="0" fontId="72" fillId="0" borderId="5" xfId="50" applyFont="1" applyFill="1" applyBorder="1" applyAlignment="1" applyProtection="1">
      <alignment horizontal="center" vertical="top" wrapText="1"/>
      <protection locked="0"/>
    </xf>
    <xf numFmtId="0" fontId="72" fillId="0" borderId="1" xfId="97" applyFont="1" applyBorder="1" applyAlignment="1" applyProtection="1">
      <alignment horizontal="center" vertical="top" wrapText="1"/>
      <protection locked="0"/>
    </xf>
    <xf numFmtId="0" fontId="72" fillId="0" borderId="1" xfId="97" applyFont="1" applyBorder="1" applyAlignment="1" applyProtection="1">
      <alignment horizontal="center" vertical="top"/>
      <protection locked="0"/>
    </xf>
    <xf numFmtId="2" fontId="72" fillId="0" borderId="5" xfId="50" applyNumberFormat="1" applyFont="1" applyFill="1" applyBorder="1" applyAlignment="1" applyProtection="1">
      <alignment horizontal="left" vertical="top" wrapText="1"/>
      <protection locked="0"/>
    </xf>
    <xf numFmtId="0" fontId="72" fillId="0" borderId="1" xfId="5" applyFont="1" applyBorder="1" applyAlignment="1" applyProtection="1">
      <alignment horizontal="left" vertical="top" wrapText="1"/>
    </xf>
    <xf numFmtId="0" fontId="72" fillId="0" borderId="1" xfId="97" applyFont="1" applyBorder="1" applyAlignment="1" applyProtection="1">
      <alignment horizontal="center" vertical="top" wrapText="1"/>
    </xf>
    <xf numFmtId="0" fontId="72" fillId="0" borderId="5" xfId="97" applyFont="1" applyBorder="1" applyAlignment="1" applyProtection="1">
      <alignment horizontal="center" vertical="top"/>
      <protection locked="0"/>
    </xf>
    <xf numFmtId="43" fontId="72" fillId="0" borderId="1" xfId="1" applyFont="1" applyBorder="1" applyAlignment="1" applyProtection="1">
      <alignment horizontal="center" vertical="top"/>
    </xf>
    <xf numFmtId="0" fontId="87" fillId="47" borderId="1" xfId="0" applyFont="1" applyFill="1" applyBorder="1" applyAlignment="1" applyProtection="1">
      <alignment vertical="top"/>
      <protection locked="0"/>
    </xf>
    <xf numFmtId="43" fontId="87" fillId="47" borderId="1" xfId="1" applyFont="1" applyFill="1" applyBorder="1" applyAlignment="1" applyProtection="1">
      <alignment horizontal="right" vertical="top"/>
      <protection locked="0"/>
    </xf>
    <xf numFmtId="0" fontId="72" fillId="0" borderId="1" xfId="5" applyFont="1" applyBorder="1" applyAlignment="1" applyProtection="1">
      <alignment horizontal="left" vertical="top"/>
    </xf>
    <xf numFmtId="0" fontId="72" fillId="29" borderId="1" xfId="97" applyFont="1" applyFill="1" applyBorder="1" applyAlignment="1" applyProtection="1">
      <alignment horizontal="center" vertical="top"/>
    </xf>
    <xf numFmtId="0" fontId="72" fillId="0" borderId="20" xfId="97" applyFont="1" applyBorder="1" applyAlignment="1" applyProtection="1">
      <alignment horizontal="center" vertical="top"/>
      <protection locked="0"/>
    </xf>
    <xf numFmtId="0" fontId="72" fillId="0" borderId="2" xfId="8" applyFont="1" applyBorder="1" applyAlignment="1" applyProtection="1">
      <alignment horizontal="center" vertical="top" wrapText="1"/>
      <protection locked="0"/>
    </xf>
    <xf numFmtId="2" fontId="72" fillId="0" borderId="5" xfId="48" applyNumberFormat="1" applyFont="1" applyBorder="1" applyAlignment="1" applyProtection="1">
      <alignment horizontal="left" vertical="top"/>
      <protection locked="0"/>
    </xf>
    <xf numFmtId="43" fontId="87" fillId="0" borderId="1" xfId="1" applyFont="1" applyBorder="1" applyAlignment="1" applyProtection="1">
      <alignment vertical="top"/>
    </xf>
    <xf numFmtId="167" fontId="72" fillId="0" borderId="1" xfId="48" applyNumberFormat="1" applyFont="1" applyBorder="1" applyAlignment="1" applyProtection="1">
      <alignment horizontal="center" vertical="top"/>
      <protection locked="0"/>
    </xf>
    <xf numFmtId="167" fontId="72" fillId="0" borderId="5" xfId="48" applyNumberFormat="1" applyFont="1" applyBorder="1" applyAlignment="1" applyProtection="1">
      <alignment horizontal="center" vertical="top"/>
      <protection locked="0"/>
    </xf>
    <xf numFmtId="0" fontId="72" fillId="0" borderId="20" xfId="97" applyFont="1" applyBorder="1" applyAlignment="1" applyProtection="1">
      <alignment horizontal="center" vertical="top" wrapText="1"/>
      <protection locked="0"/>
    </xf>
    <xf numFmtId="2" fontId="72" fillId="0" borderId="5" xfId="48" applyNumberFormat="1" applyFont="1" applyBorder="1" applyAlignment="1" applyProtection="1">
      <alignment horizontal="left" vertical="top" wrapText="1"/>
      <protection locked="0"/>
    </xf>
    <xf numFmtId="0" fontId="72" fillId="0" borderId="1" xfId="97" applyFont="1" applyBorder="1" applyAlignment="1" applyProtection="1">
      <alignment horizontal="left" vertical="top" wrapText="1"/>
    </xf>
    <xf numFmtId="0" fontId="68" fillId="28" borderId="1" xfId="0" applyFont="1" applyFill="1" applyBorder="1" applyAlignment="1" applyProtection="1">
      <alignment horizontal="center" vertical="top"/>
    </xf>
    <xf numFmtId="43" fontId="87" fillId="0" borderId="1" xfId="1" applyFont="1" applyBorder="1" applyAlignment="1" applyProtection="1">
      <alignment vertical="top" wrapText="1"/>
    </xf>
    <xf numFmtId="0" fontId="72" fillId="0" borderId="1" xfId="97" applyFont="1" applyFill="1" applyBorder="1" applyAlignment="1" applyProtection="1">
      <alignment horizontal="left" vertical="top"/>
    </xf>
    <xf numFmtId="0" fontId="72" fillId="0" borderId="1" xfId="5" applyFont="1" applyFill="1" applyBorder="1" applyAlignment="1" applyProtection="1">
      <alignment horizontal="left" vertical="top" wrapText="1"/>
    </xf>
    <xf numFmtId="0" fontId="72" fillId="0" borderId="1" xfId="97" applyFont="1" applyFill="1" applyBorder="1" applyAlignment="1" applyProtection="1">
      <alignment horizontal="center" vertical="top" wrapText="1"/>
      <protection locked="0"/>
    </xf>
    <xf numFmtId="0" fontId="72" fillId="0" borderId="1" xfId="97" applyFont="1" applyFill="1" applyBorder="1" applyAlignment="1" applyProtection="1">
      <alignment horizontal="center" vertical="top"/>
      <protection locked="0"/>
    </xf>
    <xf numFmtId="167" fontId="72" fillId="0" borderId="1" xfId="48" applyNumberFormat="1" applyFont="1" applyFill="1" applyBorder="1" applyAlignment="1" applyProtection="1">
      <alignment horizontal="center" vertical="top"/>
      <protection locked="0"/>
    </xf>
    <xf numFmtId="167" fontId="72" fillId="0" borderId="5" xfId="48" applyNumberFormat="1" applyFont="1" applyFill="1" applyBorder="1" applyAlignment="1" applyProtection="1">
      <alignment horizontal="center" vertical="top"/>
      <protection locked="0"/>
    </xf>
    <xf numFmtId="0" fontId="72" fillId="0" borderId="20" xfId="97" applyFont="1" applyFill="1" applyBorder="1" applyAlignment="1" applyProtection="1">
      <alignment horizontal="center" vertical="top"/>
      <protection locked="0"/>
    </xf>
    <xf numFmtId="43" fontId="72" fillId="0" borderId="1" xfId="1" applyFont="1" applyFill="1" applyBorder="1" applyAlignment="1" applyProtection="1">
      <alignment horizontal="center" vertical="top"/>
    </xf>
    <xf numFmtId="2" fontId="72" fillId="0" borderId="5" xfId="48" applyNumberFormat="1" applyFont="1" applyFill="1" applyBorder="1" applyAlignment="1" applyProtection="1">
      <alignment horizontal="left" vertical="top" wrapText="1"/>
      <protection locked="0"/>
    </xf>
    <xf numFmtId="0" fontId="72" fillId="2" borderId="1" xfId="50" applyFont="1" applyFill="1" applyBorder="1" applyAlignment="1" applyProtection="1">
      <alignment horizontal="center" vertical="top" wrapText="1"/>
      <protection locked="0"/>
    </xf>
    <xf numFmtId="0" fontId="72" fillId="2" borderId="5" xfId="50" applyFont="1" applyFill="1" applyBorder="1" applyAlignment="1" applyProtection="1">
      <alignment horizontal="center" vertical="top" wrapText="1"/>
      <protection locked="0"/>
    </xf>
    <xf numFmtId="0" fontId="72" fillId="2" borderId="20" xfId="50" applyFont="1" applyFill="1" applyBorder="1" applyAlignment="1" applyProtection="1">
      <alignment horizontal="center" vertical="top" wrapText="1"/>
      <protection locked="0"/>
    </xf>
    <xf numFmtId="0" fontId="72" fillId="2" borderId="2" xfId="50" applyFont="1" applyFill="1" applyBorder="1" applyAlignment="1" applyProtection="1">
      <alignment horizontal="center" vertical="top" wrapText="1"/>
      <protection locked="0"/>
    </xf>
    <xf numFmtId="2" fontId="72" fillId="2" borderId="5" xfId="50" applyNumberFormat="1" applyFont="1" applyFill="1" applyBorder="1" applyAlignment="1" applyProtection="1">
      <alignment horizontal="left" vertical="top" wrapText="1"/>
      <protection locked="0"/>
    </xf>
    <xf numFmtId="0" fontId="72" fillId="0" borderId="20" xfId="50" applyFont="1" applyFill="1" applyBorder="1" applyAlignment="1" applyProtection="1">
      <alignment horizontal="center" vertical="top" wrapText="1"/>
      <protection locked="0"/>
    </xf>
    <xf numFmtId="0" fontId="72" fillId="0" borderId="2" xfId="50" applyFont="1" applyFill="1" applyBorder="1" applyAlignment="1" applyProtection="1">
      <alignment horizontal="center" vertical="top" wrapText="1"/>
      <protection locked="0"/>
    </xf>
    <xf numFmtId="0" fontId="72" fillId="0" borderId="1" xfId="50" applyFont="1" applyBorder="1" applyAlignment="1" applyProtection="1">
      <alignment horizontal="center" vertical="top" wrapText="1"/>
      <protection locked="0"/>
    </xf>
    <xf numFmtId="0" fontId="72" fillId="0" borderId="5" xfId="50" applyFont="1" applyBorder="1" applyAlignment="1" applyProtection="1">
      <alignment horizontal="center" vertical="top" wrapText="1"/>
      <protection locked="0"/>
    </xf>
    <xf numFmtId="0" fontId="72" fillId="0" borderId="1" xfId="50" applyFont="1" applyFill="1" applyBorder="1" applyAlignment="1" applyProtection="1">
      <alignment vertical="top" wrapText="1"/>
      <protection locked="0"/>
    </xf>
    <xf numFmtId="0" fontId="72" fillId="0" borderId="1" xfId="8" applyFont="1" applyFill="1" applyBorder="1" applyAlignment="1" applyProtection="1">
      <alignment horizontal="center" vertical="top" wrapText="1"/>
      <protection locked="0"/>
    </xf>
    <xf numFmtId="0" fontId="72" fillId="0" borderId="1" xfId="97" applyFont="1" applyFill="1" applyBorder="1" applyAlignment="1" applyProtection="1">
      <alignment vertical="top"/>
      <protection locked="0"/>
    </xf>
    <xf numFmtId="4" fontId="72" fillId="0" borderId="1" xfId="0" applyNumberFormat="1" applyFont="1" applyFill="1" applyBorder="1" applyAlignment="1" applyProtection="1">
      <alignment horizontal="left" vertical="top" wrapText="1"/>
      <protection locked="0"/>
    </xf>
    <xf numFmtId="4" fontId="72" fillId="0" borderId="1" xfId="0" applyNumberFormat="1" applyFont="1" applyBorder="1" applyAlignment="1" applyProtection="1">
      <alignment horizontal="left" vertical="top" wrapText="1"/>
      <protection locked="0"/>
    </xf>
    <xf numFmtId="0" fontId="72" fillId="0" borderId="5" xfId="97" applyFont="1" applyFill="1" applyBorder="1" applyAlignment="1" applyProtection="1">
      <alignment horizontal="center" vertical="top"/>
      <protection locked="0"/>
    </xf>
    <xf numFmtId="2" fontId="72" fillId="11" borderId="1" xfId="8" applyNumberFormat="1" applyFont="1" applyFill="1" applyBorder="1" applyAlignment="1" applyProtection="1">
      <alignment horizontal="center" vertical="top" wrapText="1"/>
      <protection locked="0"/>
    </xf>
    <xf numFmtId="2" fontId="72" fillId="11" borderId="5" xfId="48" applyNumberFormat="1" applyFont="1" applyFill="1" applyBorder="1" applyAlignment="1" applyProtection="1">
      <alignment horizontal="left" vertical="top" wrapText="1"/>
      <protection locked="0"/>
    </xf>
    <xf numFmtId="43" fontId="87" fillId="0" borderId="1" xfId="1" applyFont="1" applyBorder="1" applyAlignment="1" applyProtection="1">
      <alignment horizontal="right" vertical="top"/>
    </xf>
    <xf numFmtId="0" fontId="72" fillId="28" borderId="1" xfId="0" applyFont="1" applyFill="1" applyBorder="1" applyAlignment="1" applyProtection="1">
      <alignment horizontal="center" vertical="top" wrapText="1"/>
    </xf>
    <xf numFmtId="0" fontId="72" fillId="0" borderId="1" xfId="97" applyFont="1" applyBorder="1" applyAlignment="1" applyProtection="1">
      <alignment vertical="top"/>
      <protection locked="0"/>
    </xf>
    <xf numFmtId="0" fontId="68" fillId="10" borderId="1" xfId="8" applyFont="1" applyFill="1" applyBorder="1" applyAlignment="1" applyProtection="1">
      <alignment horizontal="center" vertical="top" wrapText="1"/>
    </xf>
    <xf numFmtId="0" fontId="74" fillId="11" borderId="1" xfId="97" applyFont="1" applyFill="1" applyBorder="1" applyAlignment="1" applyProtection="1">
      <alignment horizontal="center" vertical="top"/>
      <protection locked="0"/>
    </xf>
    <xf numFmtId="2" fontId="74" fillId="11" borderId="1" xfId="48" applyNumberFormat="1" applyFont="1" applyFill="1" applyBorder="1" applyAlignment="1" applyProtection="1">
      <alignment horizontal="left" vertical="top" wrapText="1"/>
      <protection locked="0"/>
    </xf>
    <xf numFmtId="0" fontId="72" fillId="0" borderId="1" xfId="97" applyFont="1" applyFill="1" applyBorder="1" applyAlignment="1" applyProtection="1">
      <alignment horizontal="left" vertical="top" wrapText="1"/>
    </xf>
    <xf numFmtId="0" fontId="72" fillId="0" borderId="1" xfId="97" applyFont="1" applyFill="1" applyBorder="1" applyAlignment="1" applyProtection="1">
      <alignment horizontal="center" vertical="top" wrapText="1"/>
    </xf>
    <xf numFmtId="2" fontId="72" fillId="0" borderId="5" xfId="48" applyNumberFormat="1" applyFont="1" applyFill="1" applyBorder="1" applyAlignment="1" applyProtection="1">
      <alignment horizontal="left" vertical="top"/>
      <protection locked="0"/>
    </xf>
    <xf numFmtId="0" fontId="72" fillId="0" borderId="0" xfId="97" applyFont="1" applyFill="1" applyAlignment="1" applyProtection="1">
      <alignment vertical="top"/>
    </xf>
    <xf numFmtId="0" fontId="72" fillId="0" borderId="5" xfId="97" applyFont="1" applyBorder="1" applyAlignment="1" applyProtection="1">
      <alignment horizontal="center" vertical="top" wrapText="1"/>
      <protection locked="0"/>
    </xf>
    <xf numFmtId="43" fontId="87" fillId="0" borderId="1" xfId="1" applyFont="1" applyBorder="1" applyAlignment="1" applyProtection="1">
      <alignment horizontal="right" vertical="top" wrapText="1"/>
    </xf>
    <xf numFmtId="0" fontId="72" fillId="13" borderId="1" xfId="97" applyFont="1" applyFill="1" applyBorder="1" applyAlignment="1" applyProtection="1">
      <alignment horizontal="center" vertical="top"/>
      <protection locked="0"/>
    </xf>
    <xf numFmtId="0" fontId="72" fillId="0" borderId="1" xfId="97" applyFont="1" applyBorder="1" applyAlignment="1" applyProtection="1">
      <alignment horizontal="left" vertical="top"/>
    </xf>
    <xf numFmtId="2" fontId="72" fillId="0" borderId="1" xfId="48" applyNumberFormat="1" applyFont="1" applyFill="1" applyBorder="1" applyAlignment="1" applyProtection="1">
      <alignment horizontal="left" vertical="top" wrapText="1"/>
      <protection locked="0"/>
    </xf>
    <xf numFmtId="0" fontId="72" fillId="10" borderId="1" xfId="0" applyFont="1" applyFill="1" applyBorder="1" applyAlignment="1" applyProtection="1">
      <alignment horizontal="center" vertical="top" wrapText="1"/>
    </xf>
    <xf numFmtId="2" fontId="72" fillId="0" borderId="1" xfId="48" applyNumberFormat="1" applyFont="1" applyBorder="1" applyAlignment="1" applyProtection="1">
      <alignment horizontal="left" vertical="top" wrapText="1"/>
      <protection locked="0"/>
    </xf>
    <xf numFmtId="167" fontId="72" fillId="13" borderId="1" xfId="48" applyNumberFormat="1" applyFont="1" applyFill="1" applyBorder="1" applyAlignment="1" applyProtection="1">
      <alignment horizontal="center" vertical="top"/>
      <protection locked="0"/>
    </xf>
    <xf numFmtId="0" fontId="74" fillId="11" borderId="1" xfId="97" applyFont="1" applyFill="1" applyBorder="1" applyAlignment="1" applyProtection="1">
      <alignment horizontal="center" vertical="top" wrapText="1"/>
      <protection locked="0"/>
    </xf>
    <xf numFmtId="2" fontId="72" fillId="0" borderId="5" xfId="0" applyNumberFormat="1" applyFont="1" applyFill="1" applyBorder="1" applyAlignment="1" applyProtection="1">
      <alignment horizontal="left" vertical="top" wrapText="1"/>
      <protection locked="0"/>
    </xf>
    <xf numFmtId="0" fontId="72" fillId="2" borderId="1" xfId="5" applyFont="1" applyFill="1" applyBorder="1" applyAlignment="1" applyProtection="1">
      <alignment horizontal="center" vertical="top" wrapText="1"/>
    </xf>
    <xf numFmtId="0" fontId="72" fillId="2" borderId="1" xfId="5" applyFont="1" applyFill="1" applyBorder="1" applyAlignment="1" applyProtection="1">
      <alignment horizontal="center" vertical="top" wrapText="1"/>
      <protection locked="0"/>
    </xf>
    <xf numFmtId="0" fontId="72" fillId="2" borderId="5" xfId="5" applyFont="1" applyFill="1" applyBorder="1" applyAlignment="1" applyProtection="1">
      <alignment horizontal="center" vertical="top" wrapText="1"/>
      <protection locked="0"/>
    </xf>
    <xf numFmtId="0" fontId="72" fillId="2" borderId="20" xfId="5" applyFont="1" applyFill="1" applyBorder="1" applyAlignment="1" applyProtection="1">
      <alignment horizontal="center" vertical="top" wrapText="1"/>
      <protection locked="0"/>
    </xf>
    <xf numFmtId="0" fontId="72" fillId="2" borderId="2" xfId="5" applyFont="1" applyFill="1" applyBorder="1" applyAlignment="1" applyProtection="1">
      <alignment horizontal="center" vertical="top" wrapText="1"/>
      <protection locked="0"/>
    </xf>
    <xf numFmtId="2" fontId="72" fillId="2" borderId="5" xfId="5" applyNumberFormat="1" applyFont="1" applyFill="1" applyBorder="1" applyAlignment="1" applyProtection="1">
      <alignment horizontal="left" vertical="top" wrapText="1"/>
      <protection locked="0"/>
    </xf>
    <xf numFmtId="0" fontId="72" fillId="29" borderId="1" xfId="5" applyFont="1" applyFill="1" applyBorder="1" applyAlignment="1" applyProtection="1">
      <alignment horizontal="center" vertical="top" wrapText="1"/>
    </xf>
    <xf numFmtId="164" fontId="72" fillId="0" borderId="1" xfId="1" applyNumberFormat="1" applyFont="1" applyBorder="1" applyAlignment="1" applyProtection="1">
      <alignment horizontal="center" vertical="top" wrapText="1"/>
      <protection locked="0"/>
    </xf>
    <xf numFmtId="164" fontId="72" fillId="0" borderId="5" xfId="1" applyNumberFormat="1" applyFont="1" applyBorder="1" applyAlignment="1" applyProtection="1">
      <alignment horizontal="center" vertical="top"/>
      <protection locked="0"/>
    </xf>
    <xf numFmtId="0" fontId="87" fillId="43" borderId="1" xfId="0" applyFont="1" applyFill="1" applyBorder="1" applyAlignment="1" applyProtection="1">
      <alignment vertical="top" wrapText="1"/>
    </xf>
    <xf numFmtId="0" fontId="72" fillId="0" borderId="1" xfId="97" applyFont="1" applyBorder="1" applyAlignment="1" applyProtection="1">
      <alignment vertical="top" wrapText="1"/>
      <protection locked="0"/>
    </xf>
    <xf numFmtId="2" fontId="72" fillId="0" borderId="1" xfId="48" applyNumberFormat="1" applyFont="1" applyBorder="1" applyAlignment="1" applyProtection="1">
      <alignment horizontal="left" vertical="top"/>
      <protection locked="0"/>
    </xf>
    <xf numFmtId="0" fontId="87" fillId="0" borderId="1" xfId="0" applyFont="1" applyBorder="1" applyAlignment="1" applyProtection="1">
      <alignment vertical="top"/>
    </xf>
    <xf numFmtId="0" fontId="72" fillId="0" borderId="1" xfId="5" applyFont="1" applyFill="1" applyBorder="1" applyAlignment="1" applyProtection="1">
      <alignment horizontal="center" vertical="top" wrapText="1"/>
      <protection locked="0"/>
    </xf>
    <xf numFmtId="0" fontId="72" fillId="0" borderId="1" xfId="5" applyFont="1" applyBorder="1" applyAlignment="1" applyProtection="1">
      <alignment horizontal="center" vertical="top" wrapText="1"/>
    </xf>
    <xf numFmtId="0" fontId="72" fillId="0" borderId="1" xfId="5" applyFont="1" applyBorder="1" applyAlignment="1" applyProtection="1">
      <alignment horizontal="center" vertical="top" wrapText="1"/>
      <protection locked="0"/>
    </xf>
    <xf numFmtId="0" fontId="72" fillId="0" borderId="5" xfId="5" applyFont="1" applyBorder="1" applyAlignment="1" applyProtection="1">
      <alignment horizontal="center" vertical="top" wrapText="1"/>
      <protection locked="0"/>
    </xf>
    <xf numFmtId="0" fontId="72" fillId="0" borderId="20" xfId="5" applyFont="1" applyBorder="1" applyAlignment="1" applyProtection="1">
      <alignment horizontal="center" vertical="top" wrapText="1"/>
      <protection locked="0"/>
    </xf>
    <xf numFmtId="43" fontId="87" fillId="47" borderId="1" xfId="1" applyFont="1" applyFill="1" applyBorder="1" applyAlignment="1" applyProtection="1">
      <alignment horizontal="right" vertical="top" wrapText="1"/>
      <protection locked="0"/>
    </xf>
    <xf numFmtId="0" fontId="72" fillId="0" borderId="5" xfId="5" applyFont="1" applyFill="1" applyBorder="1" applyAlignment="1" applyProtection="1">
      <alignment horizontal="center" vertical="top" wrapText="1"/>
      <protection locked="0"/>
    </xf>
    <xf numFmtId="0" fontId="72" fillId="0" borderId="20" xfId="5" applyFont="1" applyFill="1" applyBorder="1" applyAlignment="1" applyProtection="1">
      <alignment horizontal="center" vertical="top" wrapText="1"/>
      <protection locked="0"/>
    </xf>
    <xf numFmtId="0" fontId="72" fillId="2" borderId="1" xfId="50" applyFont="1" applyFill="1" applyBorder="1" applyAlignment="1" applyProtection="1">
      <alignment horizontal="left" vertical="top" wrapText="1"/>
    </xf>
    <xf numFmtId="165" fontId="72" fillId="0" borderId="5" xfId="0" applyNumberFormat="1" applyFont="1" applyBorder="1" applyAlignment="1" applyProtection="1">
      <alignment horizontal="center" vertical="top"/>
      <protection locked="0"/>
    </xf>
    <xf numFmtId="0" fontId="72" fillId="5" borderId="1" xfId="8" applyFont="1" applyFill="1" applyBorder="1" applyAlignment="1" applyProtection="1">
      <alignment horizontal="center" vertical="top" wrapText="1"/>
      <protection locked="0"/>
    </xf>
    <xf numFmtId="0" fontId="72" fillId="5" borderId="1" xfId="97" applyFont="1" applyFill="1" applyBorder="1" applyAlignment="1" applyProtection="1">
      <alignment horizontal="left" vertical="top" wrapText="1"/>
      <protection locked="0"/>
    </xf>
    <xf numFmtId="2" fontId="72" fillId="0" borderId="5" xfId="0" applyNumberFormat="1" applyFont="1" applyBorder="1" applyAlignment="1" applyProtection="1">
      <alignment horizontal="left" vertical="top" wrapText="1"/>
      <protection locked="0"/>
    </xf>
    <xf numFmtId="2" fontId="74" fillId="11" borderId="1" xfId="48" applyNumberFormat="1" applyFont="1" applyFill="1" applyBorder="1" applyAlignment="1" applyProtection="1">
      <alignment horizontal="left" vertical="top"/>
      <protection locked="0"/>
    </xf>
    <xf numFmtId="0" fontId="72" fillId="0" borderId="1" xfId="5" applyFont="1" applyFill="1" applyBorder="1" applyAlignment="1" applyProtection="1">
      <alignment horizontal="center" vertical="top" wrapText="1"/>
    </xf>
    <xf numFmtId="0" fontId="72" fillId="0" borderId="1" xfId="5" applyFont="1" applyFill="1" applyBorder="1" applyAlignment="1" applyProtection="1">
      <alignment horizontal="left" vertical="top"/>
    </xf>
    <xf numFmtId="0" fontId="72" fillId="29" borderId="1" xfId="5" applyFont="1" applyFill="1" applyBorder="1" applyAlignment="1" applyProtection="1">
      <alignment horizontal="center" vertical="top"/>
    </xf>
    <xf numFmtId="0" fontId="72" fillId="0" borderId="1" xfId="5" applyFont="1" applyBorder="1" applyAlignment="1" applyProtection="1">
      <alignment horizontal="center" vertical="top"/>
      <protection locked="0"/>
    </xf>
    <xf numFmtId="2" fontId="72" fillId="0" borderId="5" xfId="97" applyNumberFormat="1" applyFont="1" applyBorder="1" applyAlignment="1" applyProtection="1">
      <alignment horizontal="left" vertical="top"/>
      <protection locked="0"/>
    </xf>
    <xf numFmtId="0" fontId="72" fillId="0" borderId="0" xfId="97" applyFont="1" applyAlignment="1" applyProtection="1">
      <alignment horizontal="left" vertical="top"/>
    </xf>
    <xf numFmtId="0" fontId="72" fillId="0" borderId="0" xfId="97" applyFont="1" applyFill="1" applyAlignment="1" applyProtection="1">
      <alignment horizontal="left" vertical="top"/>
    </xf>
    <xf numFmtId="0" fontId="72" fillId="0" borderId="0" xfId="97" applyFont="1" applyAlignment="1" applyProtection="1">
      <alignment horizontal="left" vertical="top" wrapText="1"/>
    </xf>
    <xf numFmtId="0" fontId="72" fillId="0" borderId="0" xfId="97" applyFont="1" applyAlignment="1" applyProtection="1">
      <alignment horizontal="center" vertical="top" wrapText="1"/>
    </xf>
    <xf numFmtId="0" fontId="72" fillId="0" borderId="19" xfId="97" applyFont="1" applyBorder="1" applyAlignment="1" applyProtection="1">
      <alignment horizontal="center" vertical="top"/>
    </xf>
    <xf numFmtId="43" fontId="72" fillId="0" borderId="0" xfId="1" applyFont="1" applyAlignment="1" applyProtection="1">
      <alignment horizontal="center" vertical="top"/>
    </xf>
    <xf numFmtId="1" fontId="72" fillId="0" borderId="0" xfId="97" applyNumberFormat="1" applyFont="1" applyAlignment="1" applyProtection="1">
      <alignment horizontal="center" vertical="top"/>
    </xf>
    <xf numFmtId="2" fontId="72" fillId="0" borderId="0" xfId="97" applyNumberFormat="1" applyFont="1" applyAlignment="1" applyProtection="1">
      <alignment horizontal="left" vertical="top"/>
    </xf>
    <xf numFmtId="0" fontId="72" fillId="0" borderId="0" xfId="97" applyFont="1" applyAlignment="1" applyProtection="1">
      <alignment horizontal="right" vertical="top"/>
    </xf>
    <xf numFmtId="43" fontId="72" fillId="0" borderId="0" xfId="1" applyFont="1" applyAlignment="1" applyProtection="1">
      <alignment vertical="top"/>
    </xf>
    <xf numFmtId="0" fontId="68" fillId="0" borderId="0" xfId="0" applyFont="1" applyFill="1" applyProtection="1"/>
    <xf numFmtId="43" fontId="66" fillId="0" borderId="1" xfId="1" applyFont="1" applyFill="1" applyBorder="1" applyProtection="1"/>
    <xf numFmtId="0" fontId="68" fillId="0" borderId="0" xfId="0" applyFont="1" applyFill="1" applyAlignment="1" applyProtection="1">
      <alignment horizontal="center"/>
    </xf>
    <xf numFmtId="0" fontId="72" fillId="0" borderId="0" xfId="38" applyFont="1" applyAlignment="1" applyProtection="1">
      <alignment horizontal="center" vertical="center" wrapText="1"/>
    </xf>
    <xf numFmtId="0" fontId="66" fillId="0" borderId="1" xfId="0" applyFont="1" applyFill="1" applyBorder="1" applyAlignment="1" applyProtection="1">
      <alignment horizontal="left" vertical="center" wrapText="1"/>
    </xf>
    <xf numFmtId="0" fontId="67" fillId="0" borderId="1" xfId="0" applyFont="1" applyBorder="1" applyAlignment="1" applyProtection="1">
      <alignment horizontal="left" vertical="center" wrapText="1"/>
    </xf>
    <xf numFmtId="0" fontId="78" fillId="0" borderId="1" xfId="0" applyFont="1" applyFill="1" applyBorder="1" applyAlignment="1" applyProtection="1">
      <alignment vertical="center" wrapText="1"/>
      <protection locked="0"/>
    </xf>
    <xf numFmtId="0" fontId="78" fillId="0" borderId="1" xfId="0" applyFont="1" applyFill="1" applyBorder="1" applyAlignment="1" applyProtection="1">
      <alignment horizontal="center" vertical="center" wrapText="1"/>
      <protection locked="0"/>
    </xf>
    <xf numFmtId="2" fontId="78" fillId="0" borderId="1" xfId="0" applyNumberFormat="1" applyFont="1" applyFill="1" applyBorder="1" applyAlignment="1" applyProtection="1">
      <alignment horizontal="right" vertical="center" wrapText="1"/>
      <protection locked="0"/>
    </xf>
    <xf numFmtId="2" fontId="78" fillId="0" borderId="1" xfId="0" applyNumberFormat="1" applyFont="1" applyFill="1" applyBorder="1" applyAlignment="1" applyProtection="1">
      <alignment vertical="center" wrapText="1"/>
      <protection locked="0"/>
    </xf>
    <xf numFmtId="0" fontId="66" fillId="0" borderId="1" xfId="0" applyFont="1" applyFill="1" applyBorder="1" applyAlignment="1" applyProtection="1">
      <alignment vertical="center" wrapText="1"/>
      <protection locked="0"/>
    </xf>
    <xf numFmtId="2" fontId="66" fillId="0" borderId="1" xfId="0" applyNumberFormat="1" applyFont="1" applyFill="1" applyBorder="1" applyAlignment="1" applyProtection="1">
      <alignment horizontal="right" vertical="center" wrapText="1"/>
    </xf>
    <xf numFmtId="0" fontId="66" fillId="0" borderId="1" xfId="0" applyFont="1" applyFill="1" applyBorder="1" applyAlignment="1" applyProtection="1">
      <alignment horizontal="left" vertical="center" wrapText="1"/>
      <protection locked="0"/>
    </xf>
    <xf numFmtId="0" fontId="88" fillId="0" borderId="1" xfId="0" applyFont="1" applyBorder="1" applyAlignment="1" applyProtection="1">
      <alignment vertical="center" wrapText="1"/>
      <protection locked="0"/>
    </xf>
    <xf numFmtId="2" fontId="88" fillId="0" borderId="1" xfId="0" applyNumberFormat="1" applyFont="1" applyBorder="1" applyAlignment="1" applyProtection="1">
      <alignment horizontal="right" vertical="center" wrapText="1"/>
      <protection locked="0"/>
    </xf>
    <xf numFmtId="2" fontId="78" fillId="0" borderId="1" xfId="0" applyNumberFormat="1" applyFont="1" applyBorder="1" applyAlignment="1" applyProtection="1">
      <alignment vertical="center" wrapText="1"/>
      <protection locked="0"/>
    </xf>
    <xf numFmtId="0" fontId="67" fillId="0" borderId="1" xfId="4" applyFont="1" applyBorder="1" applyAlignment="1" applyProtection="1">
      <alignment vertical="center" wrapText="1"/>
    </xf>
    <xf numFmtId="0" fontId="72" fillId="23" borderId="1" xfId="4" applyFont="1" applyFill="1" applyBorder="1" applyAlignment="1" applyProtection="1">
      <alignment vertical="center" wrapText="1"/>
      <protection locked="0"/>
    </xf>
    <xf numFmtId="0" fontId="72" fillId="52" borderId="1" xfId="4" applyFont="1" applyFill="1" applyBorder="1" applyAlignment="1" applyProtection="1">
      <alignment vertical="center" wrapText="1"/>
      <protection locked="0"/>
    </xf>
    <xf numFmtId="0" fontId="72" fillId="52" borderId="1" xfId="4" applyFont="1" applyFill="1" applyBorder="1" applyAlignment="1" applyProtection="1">
      <alignment horizontal="left" vertical="center" wrapText="1"/>
    </xf>
    <xf numFmtId="0" fontId="68" fillId="52" borderId="0" xfId="0" applyFont="1" applyFill="1" applyProtection="1"/>
    <xf numFmtId="0" fontId="72" fillId="51" borderId="1" xfId="4" applyFont="1" applyFill="1" applyBorder="1" applyAlignment="1" applyProtection="1">
      <alignment horizontal="left" vertical="center" wrapText="1"/>
      <protection locked="0"/>
    </xf>
    <xf numFmtId="43" fontId="72" fillId="51" borderId="1" xfId="1" applyFont="1" applyFill="1" applyBorder="1" applyAlignment="1" applyProtection="1">
      <alignment horizontal="right" vertical="center" wrapText="1"/>
      <protection locked="0"/>
    </xf>
    <xf numFmtId="0" fontId="72" fillId="23" borderId="1" xfId="4" applyFont="1" applyFill="1" applyBorder="1" applyAlignment="1" applyProtection="1">
      <alignment horizontal="center" vertical="center" wrapText="1"/>
      <protection locked="0"/>
    </xf>
    <xf numFmtId="2" fontId="72" fillId="23" borderId="1" xfId="4" applyNumberFormat="1" applyFont="1" applyFill="1" applyBorder="1" applyAlignment="1" applyProtection="1">
      <alignment horizontal="right" vertical="center" wrapText="1"/>
      <protection locked="0"/>
    </xf>
    <xf numFmtId="0" fontId="68" fillId="0" borderId="0" xfId="0" applyFont="1" applyAlignment="1" applyProtection="1">
      <alignment horizontal="center"/>
    </xf>
    <xf numFmtId="2" fontId="68" fillId="0" borderId="0" xfId="0" applyNumberFormat="1" applyFont="1" applyAlignment="1" applyProtection="1">
      <alignment horizontal="right"/>
    </xf>
    <xf numFmtId="43" fontId="68" fillId="0" borderId="0" xfId="1" applyFont="1" applyAlignment="1" applyProtection="1">
      <alignment horizontal="right"/>
    </xf>
    <xf numFmtId="0" fontId="68" fillId="0" borderId="0" xfId="0" applyFont="1" applyAlignment="1" applyProtection="1">
      <alignment horizontal="left" vertical="center"/>
    </xf>
    <xf numFmtId="0" fontId="71" fillId="0" borderId="1" xfId="48" applyFont="1" applyFill="1" applyBorder="1" applyAlignment="1">
      <alignment horizontal="center" vertical="center"/>
    </xf>
    <xf numFmtId="0" fontId="68" fillId="0" borderId="0" xfId="0" applyFont="1" applyAlignment="1">
      <alignment vertical="center"/>
    </xf>
    <xf numFmtId="0" fontId="69" fillId="24" borderId="1" xfId="3" applyFont="1" applyFill="1" applyBorder="1" applyAlignment="1">
      <alignment horizontal="left" vertical="center" wrapText="1"/>
    </xf>
    <xf numFmtId="0" fontId="68" fillId="0" borderId="0" xfId="0" applyFont="1" applyFill="1" applyAlignment="1">
      <alignment horizontal="center" vertical="center" wrapText="1"/>
    </xf>
    <xf numFmtId="0" fontId="71" fillId="0" borderId="1" xfId="8" applyFont="1" applyFill="1" applyBorder="1" applyAlignment="1">
      <alignment horizontal="center" vertical="center"/>
    </xf>
    <xf numFmtId="0" fontId="70" fillId="29" borderId="1" xfId="0" applyFont="1" applyFill="1" applyBorder="1" applyAlignment="1">
      <alignment horizontal="center" vertical="center" wrapText="1"/>
    </xf>
    <xf numFmtId="0" fontId="81" fillId="29" borderId="1" xfId="0" applyFont="1" applyFill="1" applyBorder="1" applyAlignment="1">
      <alignment horizontal="center" vertical="center" wrapText="1"/>
    </xf>
    <xf numFmtId="43" fontId="70" fillId="29" borderId="1" xfId="1" applyFont="1" applyFill="1" applyBorder="1" applyAlignment="1">
      <alignment horizontal="center" vertical="center" wrapText="1"/>
    </xf>
    <xf numFmtId="43" fontId="67" fillId="30" borderId="1" xfId="1" applyFont="1" applyFill="1" applyBorder="1" applyAlignment="1">
      <alignment horizontal="center" vertical="center" wrapText="1"/>
    </xf>
    <xf numFmtId="0" fontId="67" fillId="10" borderId="1" xfId="0" applyFont="1" applyFill="1" applyBorder="1" applyAlignment="1">
      <alignment horizontal="center" vertical="center" wrapText="1"/>
    </xf>
    <xf numFmtId="0" fontId="67" fillId="28" borderId="1" xfId="8" applyFont="1" applyFill="1" applyBorder="1" applyAlignment="1">
      <alignment horizontal="center" vertical="center"/>
    </xf>
    <xf numFmtId="0" fontId="68" fillId="0" borderId="0" xfId="0" applyFont="1" applyFill="1" applyAlignment="1">
      <alignment vertical="center"/>
    </xf>
    <xf numFmtId="0" fontId="69" fillId="39" borderId="1" xfId="3" applyFont="1" applyFill="1" applyBorder="1" applyAlignment="1">
      <alignment horizontal="left"/>
    </xf>
    <xf numFmtId="43" fontId="66" fillId="0" borderId="1" xfId="1" applyFont="1" applyFill="1" applyBorder="1" applyAlignment="1">
      <alignment horizontal="left" vertical="center" wrapText="1"/>
    </xf>
    <xf numFmtId="2" fontId="67" fillId="0" borderId="1" xfId="3" applyNumberFormat="1" applyFont="1" applyFill="1" applyBorder="1"/>
    <xf numFmtId="43" fontId="67" fillId="0" borderId="1" xfId="1" applyFont="1" applyFill="1" applyBorder="1" applyAlignment="1">
      <alignment horizontal="center" vertical="center" wrapText="1"/>
    </xf>
    <xf numFmtId="43" fontId="67" fillId="0" borderId="1" xfId="1" applyFont="1" applyFill="1" applyBorder="1" applyAlignment="1">
      <alignment vertical="center" wrapText="1"/>
    </xf>
    <xf numFmtId="0" fontId="68" fillId="0" borderId="1" xfId="0" applyFont="1" applyFill="1" applyBorder="1" applyAlignment="1">
      <alignment vertical="center"/>
    </xf>
    <xf numFmtId="2" fontId="68" fillId="0" borderId="1" xfId="0" applyNumberFormat="1" applyFont="1" applyFill="1" applyBorder="1" applyAlignment="1">
      <alignment vertical="center"/>
    </xf>
    <xf numFmtId="0" fontId="68" fillId="0" borderId="0" xfId="0" applyFont="1" applyFill="1" applyAlignment="1">
      <alignment horizontal="center" vertical="center"/>
    </xf>
    <xf numFmtId="0" fontId="66" fillId="18" borderId="1" xfId="38" applyFont="1" applyFill="1" applyBorder="1" applyAlignment="1">
      <alignment horizontal="center" vertical="center" wrapText="1"/>
    </xf>
    <xf numFmtId="0" fontId="66" fillId="18" borderId="1" xfId="38" applyFont="1" applyFill="1" applyBorder="1" applyAlignment="1" applyProtection="1">
      <alignment horizontal="center" vertical="center" wrapText="1"/>
      <protection locked="0"/>
    </xf>
    <xf numFmtId="0" fontId="66" fillId="24" borderId="1" xfId="38" applyFont="1" applyFill="1" applyBorder="1" applyAlignment="1">
      <alignment horizontal="center" vertical="center" wrapText="1"/>
    </xf>
    <xf numFmtId="43" fontId="66" fillId="24" borderId="1" xfId="1" applyFont="1" applyFill="1" applyBorder="1" applyAlignment="1">
      <alignment horizontal="center" vertical="center" wrapText="1"/>
    </xf>
    <xf numFmtId="0" fontId="66" fillId="5" borderId="1" xfId="38" applyFont="1" applyFill="1" applyBorder="1" applyAlignment="1">
      <alignment horizontal="center" vertical="center" wrapText="1"/>
    </xf>
    <xf numFmtId="43" fontId="66" fillId="5" borderId="1" xfId="1" applyFont="1" applyFill="1" applyBorder="1" applyAlignment="1">
      <alignment horizontal="center" vertical="center" wrapText="1"/>
    </xf>
    <xf numFmtId="0" fontId="68" fillId="0" borderId="0" xfId="0" applyFont="1" applyAlignment="1">
      <alignment horizontal="center" vertical="center"/>
    </xf>
    <xf numFmtId="0" fontId="71" fillId="7" borderId="1" xfId="50" applyFont="1" applyFill="1" applyBorder="1" applyAlignment="1">
      <alignment horizontal="left" vertical="center" wrapText="1"/>
    </xf>
    <xf numFmtId="0" fontId="71" fillId="7" borderId="1" xfId="50" applyFont="1" applyFill="1" applyBorder="1" applyAlignment="1" applyProtection="1">
      <alignment horizontal="center" vertical="center" wrapText="1"/>
      <protection locked="0"/>
    </xf>
    <xf numFmtId="0" fontId="71" fillId="7" borderId="1" xfId="50" applyFont="1" applyFill="1" applyBorder="1" applyAlignment="1" applyProtection="1">
      <alignment horizontal="left" vertical="center" wrapText="1"/>
      <protection locked="0"/>
    </xf>
    <xf numFmtId="43" fontId="71" fillId="7" borderId="1" xfId="1" applyFont="1" applyFill="1" applyBorder="1" applyAlignment="1">
      <alignment horizontal="right" vertical="center" wrapText="1"/>
    </xf>
    <xf numFmtId="43" fontId="71" fillId="7" borderId="1" xfId="1" applyFont="1" applyFill="1" applyBorder="1" applyAlignment="1" applyProtection="1">
      <alignment horizontal="right" vertical="center" wrapText="1"/>
      <protection locked="0"/>
    </xf>
    <xf numFmtId="0" fontId="66" fillId="0" borderId="0" xfId="0" applyFont="1" applyAlignment="1">
      <alignment vertical="center"/>
    </xf>
    <xf numFmtId="0" fontId="66" fillId="4" borderId="1" xfId="0" applyFont="1" applyFill="1" applyBorder="1" applyAlignment="1">
      <alignment horizontal="left" vertical="center"/>
    </xf>
    <xf numFmtId="0" fontId="66" fillId="4" borderId="1" xfId="0" applyFont="1" applyFill="1" applyBorder="1" applyAlignment="1" applyProtection="1">
      <alignment vertical="center"/>
      <protection locked="0"/>
    </xf>
    <xf numFmtId="0" fontId="66" fillId="4" borderId="1" xfId="0" applyFont="1" applyFill="1" applyBorder="1" applyAlignment="1" applyProtection="1">
      <alignment horizontal="center" vertical="center"/>
      <protection locked="0"/>
    </xf>
    <xf numFmtId="43" fontId="66" fillId="4" borderId="1" xfId="1" applyFont="1" applyFill="1" applyBorder="1" applyAlignment="1">
      <alignment horizontal="right" vertical="center"/>
    </xf>
    <xf numFmtId="0" fontId="66" fillId="4" borderId="1" xfId="0" applyFont="1" applyFill="1" applyBorder="1" applyAlignment="1" applyProtection="1">
      <alignment horizontal="left" vertical="center"/>
      <protection locked="0"/>
    </xf>
    <xf numFmtId="0" fontId="68" fillId="0" borderId="1" xfId="0" applyFont="1" applyBorder="1" applyAlignment="1">
      <alignment horizontal="left" vertical="center"/>
    </xf>
    <xf numFmtId="0" fontId="68" fillId="0" borderId="1" xfId="0" applyFont="1" applyBorder="1" applyAlignment="1" applyProtection="1">
      <alignment vertical="center"/>
      <protection locked="0"/>
    </xf>
    <xf numFmtId="0" fontId="66" fillId="29" borderId="1" xfId="0" applyFont="1" applyFill="1" applyBorder="1" applyAlignment="1" applyProtection="1">
      <alignment horizontal="center" vertical="center"/>
      <protection locked="0"/>
    </xf>
    <xf numFmtId="43" fontId="68" fillId="0" borderId="1" xfId="1" applyFont="1" applyBorder="1" applyAlignment="1">
      <alignment horizontal="right" vertical="center"/>
    </xf>
    <xf numFmtId="0" fontId="68" fillId="0" borderId="1" xfId="0" applyFont="1" applyBorder="1" applyAlignment="1" applyProtection="1">
      <alignment horizontal="left" vertical="center"/>
      <protection locked="0"/>
    </xf>
    <xf numFmtId="43" fontId="68" fillId="0" borderId="1" xfId="1" applyFont="1" applyBorder="1" applyAlignment="1" applyProtection="1">
      <alignment horizontal="left" vertical="center"/>
      <protection locked="0"/>
    </xf>
    <xf numFmtId="0" fontId="67" fillId="30" borderId="1" xfId="0" applyFont="1" applyFill="1" applyBorder="1" applyAlignment="1">
      <alignment horizontal="center" vertical="center" wrapText="1"/>
    </xf>
    <xf numFmtId="43" fontId="68" fillId="0" borderId="1" xfId="1" applyFont="1" applyBorder="1" applyAlignment="1" applyProtection="1">
      <alignment horizontal="right" vertical="center"/>
      <protection locked="0"/>
    </xf>
    <xf numFmtId="0" fontId="66" fillId="10" borderId="1" xfId="8" applyFont="1" applyFill="1" applyBorder="1" applyAlignment="1">
      <alignment horizontal="center" vertical="center" wrapText="1"/>
    </xf>
    <xf numFmtId="0" fontId="66" fillId="28" borderId="1" xfId="0" applyFont="1" applyFill="1" applyBorder="1" applyAlignment="1" applyProtection="1">
      <alignment horizontal="center" vertical="center"/>
      <protection locked="0"/>
    </xf>
    <xf numFmtId="43" fontId="68" fillId="0" borderId="0" xfId="1" applyFont="1" applyAlignment="1">
      <alignment horizontal="right" vertical="center"/>
    </xf>
    <xf numFmtId="0" fontId="68" fillId="0" borderId="0" xfId="0" applyFont="1" applyAlignment="1">
      <alignment horizontal="left" vertical="center"/>
    </xf>
    <xf numFmtId="3" fontId="72" fillId="0" borderId="1" xfId="0" applyNumberFormat="1" applyFont="1" applyBorder="1" applyAlignment="1" applyProtection="1">
      <alignment horizontal="center" vertical="center" wrapText="1"/>
      <protection locked="0"/>
    </xf>
    <xf numFmtId="0" fontId="40" fillId="24" borderId="1" xfId="38" applyFont="1" applyFill="1" applyBorder="1" applyAlignment="1" applyProtection="1">
      <alignment horizontal="center" vertical="center" wrapText="1"/>
    </xf>
    <xf numFmtId="0" fontId="40" fillId="7" borderId="1" xfId="8" applyFont="1" applyFill="1" applyBorder="1" applyAlignment="1" applyProtection="1">
      <alignment horizontal="center" vertical="center" wrapText="1"/>
    </xf>
    <xf numFmtId="0" fontId="40" fillId="2" borderId="1" xfId="4" applyFont="1" applyFill="1" applyBorder="1" applyAlignment="1" applyProtection="1">
      <alignment horizontal="center" vertical="center" wrapText="1"/>
    </xf>
    <xf numFmtId="0" fontId="14" fillId="4" borderId="1" xfId="8" applyFont="1" applyFill="1" applyBorder="1" applyAlignment="1" applyProtection="1">
      <alignment horizontal="center" vertical="center" wrapText="1"/>
    </xf>
    <xf numFmtId="0" fontId="14" fillId="0" borderId="1" xfId="38" applyFont="1" applyFill="1" applyBorder="1" applyAlignment="1" applyProtection="1">
      <alignment horizontal="center" vertical="center" wrapText="1"/>
    </xf>
    <xf numFmtId="0" fontId="40" fillId="4" borderId="1" xfId="4" applyFont="1" applyFill="1" applyBorder="1" applyAlignment="1" applyProtection="1">
      <alignment horizontal="center" vertical="center" wrapText="1"/>
    </xf>
    <xf numFmtId="0" fontId="40" fillId="2" borderId="1" xfId="4" applyFont="1" applyFill="1" applyBorder="1" applyAlignment="1" applyProtection="1">
      <alignment horizontal="center" vertical="center" wrapText="1"/>
      <protection locked="0"/>
    </xf>
    <xf numFmtId="0" fontId="14" fillId="4" borderId="1" xfId="8" applyFont="1" applyFill="1" applyBorder="1" applyAlignment="1" applyProtection="1">
      <alignment horizontal="center" vertical="center" wrapText="1"/>
      <protection locked="0"/>
    </xf>
    <xf numFmtId="0" fontId="45" fillId="4" borderId="1" xfId="4" applyFont="1" applyFill="1" applyBorder="1" applyAlignment="1" applyProtection="1">
      <alignment horizontal="left" vertical="center" wrapText="1"/>
    </xf>
    <xf numFmtId="0" fontId="14" fillId="0" borderId="1" xfId="8" applyFont="1" applyFill="1" applyBorder="1" applyAlignment="1" applyProtection="1">
      <alignment horizontal="left" vertical="center" wrapText="1"/>
      <protection locked="0"/>
    </xf>
    <xf numFmtId="0" fontId="43" fillId="0" borderId="1" xfId="8" applyFont="1" applyBorder="1" applyAlignment="1" applyProtection="1">
      <alignment horizontal="left" vertical="center" wrapText="1"/>
      <protection locked="0"/>
    </xf>
    <xf numFmtId="0" fontId="43" fillId="4" borderId="1" xfId="8" applyFont="1" applyFill="1" applyBorder="1" applyAlignment="1" applyProtection="1">
      <alignment horizontal="left" vertical="center" wrapText="1"/>
      <protection locked="0"/>
    </xf>
    <xf numFmtId="0" fontId="43" fillId="0" borderId="0" xfId="8" applyFont="1" applyAlignment="1" applyProtection="1">
      <alignment horizontal="left" vertical="center" wrapText="1"/>
    </xf>
    <xf numFmtId="0" fontId="72" fillId="0" borderId="1" xfId="4" applyFont="1" applyFill="1" applyBorder="1" applyAlignment="1" applyProtection="1">
      <alignment horizontal="left" vertical="center" wrapText="1"/>
      <protection locked="0"/>
    </xf>
    <xf numFmtId="0" fontId="43" fillId="0" borderId="1" xfId="0" applyFont="1" applyBorder="1" applyAlignment="1">
      <alignment horizontal="left" vertical="top" wrapText="1"/>
    </xf>
    <xf numFmtId="0" fontId="12" fillId="0" borderId="3" xfId="38" applyFont="1" applyBorder="1" applyAlignment="1">
      <alignment horizontal="left" vertical="top" wrapText="1"/>
    </xf>
    <xf numFmtId="0" fontId="94" fillId="0" borderId="0" xfId="0" applyFont="1" applyFill="1" applyAlignment="1" applyProtection="1">
      <alignment horizontal="center" vertical="center" wrapText="1"/>
      <protection locked="0"/>
    </xf>
    <xf numFmtId="0" fontId="94" fillId="0" borderId="0" xfId="0" applyFont="1" applyFill="1" applyAlignment="1">
      <alignment horizontal="center" vertical="center" wrapText="1"/>
    </xf>
    <xf numFmtId="43" fontId="95" fillId="24" borderId="1" xfId="1" applyFont="1" applyFill="1" applyBorder="1" applyAlignment="1">
      <alignment horizontal="center" vertical="center" wrapText="1"/>
    </xf>
    <xf numFmtId="43" fontId="96" fillId="2" borderId="1" xfId="1" applyFont="1" applyFill="1" applyBorder="1" applyAlignment="1">
      <alignment horizontal="center" vertical="center" wrapText="1"/>
    </xf>
    <xf numFmtId="0" fontId="97" fillId="0" borderId="3" xfId="38" applyFont="1" applyBorder="1" applyAlignment="1">
      <alignment horizontal="center" vertical="center" wrapText="1"/>
    </xf>
    <xf numFmtId="0" fontId="94" fillId="0" borderId="1" xfId="0" applyFont="1" applyBorder="1" applyAlignment="1">
      <alignment horizontal="center" vertical="center" wrapText="1"/>
    </xf>
    <xf numFmtId="43" fontId="96" fillId="2" borderId="1" xfId="1" applyFont="1" applyFill="1" applyBorder="1" applyAlignment="1" applyProtection="1">
      <alignment horizontal="center" vertical="center" wrapText="1"/>
      <protection locked="0"/>
    </xf>
    <xf numFmtId="0" fontId="94" fillId="0" borderId="0" xfId="0" applyFont="1" applyAlignment="1">
      <alignment horizontal="center" vertical="center" wrapText="1"/>
    </xf>
    <xf numFmtId="0" fontId="72" fillId="0" borderId="1" xfId="9" applyFont="1" applyBorder="1" applyAlignment="1" applyProtection="1">
      <alignment horizontal="center" vertical="top"/>
    </xf>
    <xf numFmtId="2" fontId="72" fillId="0" borderId="1" xfId="0" applyNumberFormat="1" applyFont="1" applyBorder="1" applyAlignment="1" applyProtection="1">
      <alignment horizontal="right" vertical="top" wrapText="1"/>
    </xf>
    <xf numFmtId="2" fontId="72" fillId="0" borderId="1" xfId="9" applyNumberFormat="1" applyFont="1" applyBorder="1" applyAlignment="1" applyProtection="1">
      <alignment vertical="top" wrapText="1"/>
    </xf>
    <xf numFmtId="0" fontId="72" fillId="0" borderId="5" xfId="0" applyFont="1" applyBorder="1" applyAlignment="1" applyProtection="1">
      <alignment horizontal="left" vertical="top" wrapText="1"/>
      <protection locked="0"/>
    </xf>
    <xf numFmtId="0" fontId="72" fillId="0" borderId="1" xfId="9" applyFont="1" applyBorder="1" applyAlignment="1" applyProtection="1">
      <alignment vertical="top" wrapText="1"/>
      <protection locked="0"/>
    </xf>
    <xf numFmtId="0" fontId="74" fillId="11" borderId="1" xfId="8" applyFont="1" applyFill="1" applyBorder="1" applyAlignment="1" applyProtection="1">
      <alignment vertical="top" wrapText="1"/>
      <protection locked="0"/>
    </xf>
    <xf numFmtId="0" fontId="67" fillId="28" borderId="0" xfId="8" applyFont="1" applyFill="1" applyAlignment="1" applyProtection="1">
      <alignment vertical="top"/>
    </xf>
    <xf numFmtId="0" fontId="68" fillId="4" borderId="1" xfId="4" applyFont="1" applyFill="1" applyBorder="1" applyAlignment="1" applyProtection="1">
      <alignment vertical="top" wrapText="1"/>
    </xf>
    <xf numFmtId="0" fontId="66" fillId="4" borderId="1" xfId="4" applyFont="1" applyFill="1" applyBorder="1" applyAlignment="1" applyProtection="1">
      <alignment vertical="top" wrapText="1"/>
    </xf>
    <xf numFmtId="0" fontId="68" fillId="4" borderId="1" xfId="8" applyFont="1" applyFill="1" applyBorder="1" applyAlignment="1" applyProtection="1">
      <alignment vertical="top" wrapText="1"/>
      <protection locked="0"/>
    </xf>
    <xf numFmtId="2" fontId="72" fillId="4" borderId="1" xfId="8" applyNumberFormat="1" applyFont="1" applyFill="1" applyBorder="1" applyAlignment="1" applyProtection="1">
      <alignment vertical="top" wrapText="1"/>
    </xf>
    <xf numFmtId="2" fontId="67" fillId="4" borderId="1" xfId="8" applyNumberFormat="1" applyFont="1" applyFill="1" applyBorder="1" applyAlignment="1" applyProtection="1">
      <alignment vertical="top" wrapText="1"/>
      <protection locked="0"/>
    </xf>
    <xf numFmtId="2" fontId="67" fillId="4" borderId="1" xfId="8" applyNumberFormat="1" applyFont="1" applyFill="1" applyBorder="1" applyAlignment="1" applyProtection="1">
      <alignment vertical="top" wrapText="1"/>
    </xf>
    <xf numFmtId="0" fontId="68" fillId="4" borderId="5" xfId="8" applyFont="1" applyFill="1" applyBorder="1" applyAlignment="1" applyProtection="1">
      <alignment horizontal="left" vertical="top" wrapText="1"/>
      <protection locked="0"/>
    </xf>
    <xf numFmtId="0" fontId="87" fillId="46" borderId="1" xfId="0" applyFont="1" applyFill="1" applyBorder="1" applyAlignment="1" applyProtection="1">
      <alignment vertical="top" wrapText="1"/>
    </xf>
    <xf numFmtId="43" fontId="86" fillId="46" borderId="1" xfId="1" applyFont="1" applyFill="1" applyBorder="1" applyAlignment="1" applyProtection="1">
      <alignment horizontal="right" vertical="top" wrapText="1"/>
    </xf>
    <xf numFmtId="0" fontId="88" fillId="0" borderId="1" xfId="9" applyFont="1" applyBorder="1" applyAlignment="1" applyProtection="1">
      <alignment vertical="top" wrapText="1"/>
      <protection locked="0"/>
    </xf>
    <xf numFmtId="0" fontId="88" fillId="0" borderId="1" xfId="9" applyFont="1" applyBorder="1" applyAlignment="1" applyProtection="1">
      <alignment horizontal="center" vertical="top" wrapText="1"/>
      <protection locked="0"/>
    </xf>
    <xf numFmtId="167" fontId="88" fillId="0" borderId="1" xfId="9" applyNumberFormat="1" applyFont="1" applyBorder="1" applyAlignment="1" applyProtection="1">
      <alignment vertical="top" wrapText="1"/>
      <protection locked="0"/>
    </xf>
    <xf numFmtId="0" fontId="72" fillId="0" borderId="1" xfId="9" applyFont="1" applyFill="1" applyBorder="1" applyAlignment="1" applyProtection="1">
      <alignment horizontal="center" vertical="top"/>
    </xf>
    <xf numFmtId="0" fontId="72" fillId="0" borderId="0" xfId="8" applyFont="1" applyFill="1" applyAlignment="1" applyProtection="1">
      <alignment vertical="top"/>
    </xf>
    <xf numFmtId="0" fontId="72" fillId="0" borderId="1" xfId="9" applyFont="1" applyFill="1" applyBorder="1" applyAlignment="1" applyProtection="1">
      <alignment vertical="top" wrapText="1"/>
      <protection locked="0"/>
    </xf>
    <xf numFmtId="0" fontId="68" fillId="0" borderId="1" xfId="0" applyFont="1" applyFill="1" applyBorder="1" applyAlignment="1" applyProtection="1">
      <alignment vertical="center"/>
    </xf>
    <xf numFmtId="43" fontId="68" fillId="0" borderId="1" xfId="1" applyFont="1" applyFill="1" applyBorder="1" applyAlignment="1" applyProtection="1">
      <alignment horizontal="right" vertical="center"/>
    </xf>
    <xf numFmtId="0" fontId="43" fillId="0" borderId="1" xfId="38" applyFont="1" applyFill="1" applyBorder="1" applyAlignment="1" applyProtection="1">
      <alignment horizontal="left" vertical="top" wrapText="1"/>
    </xf>
    <xf numFmtId="0" fontId="43" fillId="0" borderId="1" xfId="38" applyFont="1" applyFill="1" applyBorder="1" applyAlignment="1" applyProtection="1">
      <alignment vertical="top" wrapText="1"/>
    </xf>
    <xf numFmtId="0" fontId="43" fillId="0" borderId="1" xfId="38" applyFont="1" applyFill="1" applyBorder="1" applyAlignment="1" applyProtection="1">
      <alignment horizontal="center" vertical="top" wrapText="1"/>
    </xf>
    <xf numFmtId="43" fontId="43" fillId="0" borderId="1" xfId="1" applyFont="1" applyFill="1" applyBorder="1" applyAlignment="1" applyProtection="1">
      <alignment horizontal="center" vertical="top" wrapText="1"/>
    </xf>
    <xf numFmtId="0" fontId="43" fillId="0" borderId="1" xfId="0" applyFont="1" applyFill="1" applyBorder="1" applyAlignment="1" applyProtection="1">
      <alignment horizontal="left" vertical="top" wrapText="1"/>
      <protection locked="0"/>
    </xf>
    <xf numFmtId="43" fontId="43" fillId="0" borderId="1" xfId="1" applyFont="1" applyFill="1" applyBorder="1" applyAlignment="1" applyProtection="1">
      <alignment horizontal="center" vertical="top" wrapText="1"/>
      <protection locked="0"/>
    </xf>
    <xf numFmtId="0" fontId="43" fillId="0" borderId="0" xfId="0" applyFont="1" applyFill="1" applyAlignment="1" applyProtection="1">
      <alignment vertical="top" wrapText="1"/>
    </xf>
    <xf numFmtId="0" fontId="45" fillId="0" borderId="1" xfId="38" applyFont="1" applyFill="1" applyBorder="1" applyAlignment="1" applyProtection="1">
      <alignment horizontal="left" vertical="top" wrapText="1"/>
    </xf>
    <xf numFmtId="0" fontId="45" fillId="0" borderId="1" xfId="38" applyFont="1" applyFill="1" applyBorder="1" applyAlignment="1" applyProtection="1">
      <alignment vertical="top" wrapText="1"/>
    </xf>
    <xf numFmtId="0" fontId="45" fillId="0" borderId="1" xfId="38" applyFont="1" applyFill="1" applyBorder="1" applyAlignment="1" applyProtection="1">
      <alignment horizontal="center" vertical="top" wrapText="1"/>
    </xf>
    <xf numFmtId="43" fontId="45" fillId="0" borderId="1" xfId="1" applyFont="1" applyFill="1" applyBorder="1" applyAlignment="1" applyProtection="1">
      <alignment horizontal="center" vertical="top" wrapText="1"/>
    </xf>
    <xf numFmtId="43" fontId="45" fillId="0" borderId="1" xfId="1" applyFont="1" applyFill="1" applyBorder="1" applyAlignment="1" applyProtection="1">
      <alignment horizontal="center" vertical="top" wrapText="1"/>
      <protection locked="0"/>
    </xf>
    <xf numFmtId="0" fontId="45" fillId="0" borderId="0" xfId="0" applyFont="1" applyFill="1" applyAlignment="1" applyProtection="1">
      <alignment vertical="top" wrapText="1"/>
    </xf>
    <xf numFmtId="0" fontId="45" fillId="2" borderId="1" xfId="38" applyFont="1" applyFill="1" applyBorder="1" applyAlignment="1" applyProtection="1">
      <alignment horizontal="left" vertical="top" wrapText="1"/>
    </xf>
    <xf numFmtId="0" fontId="45" fillId="2" borderId="1" xfId="38" applyFont="1" applyFill="1" applyBorder="1" applyAlignment="1" applyProtection="1">
      <alignment vertical="top" wrapText="1"/>
    </xf>
    <xf numFmtId="0" fontId="45" fillId="2" borderId="1" xfId="38" applyFont="1" applyFill="1" applyBorder="1" applyAlignment="1" applyProtection="1">
      <alignment horizontal="center" vertical="top" wrapText="1"/>
    </xf>
    <xf numFmtId="43" fontId="45" fillId="2" borderId="1" xfId="1" applyFont="1" applyFill="1" applyBorder="1" applyAlignment="1" applyProtection="1">
      <alignment horizontal="center" vertical="top" wrapText="1"/>
    </xf>
    <xf numFmtId="0" fontId="45" fillId="2" borderId="1" xfId="38" applyFont="1" applyFill="1" applyBorder="1" applyAlignment="1" applyProtection="1">
      <alignment horizontal="left" vertical="top" wrapText="1"/>
      <protection locked="0"/>
    </xf>
    <xf numFmtId="43" fontId="45" fillId="2" borderId="1" xfId="1" applyFont="1" applyFill="1" applyBorder="1" applyAlignment="1" applyProtection="1">
      <alignment horizontal="center" vertical="top" wrapText="1"/>
      <protection locked="0"/>
    </xf>
    <xf numFmtId="0" fontId="45" fillId="2" borderId="1" xfId="0" applyFont="1" applyFill="1" applyBorder="1" applyAlignment="1" applyProtection="1">
      <alignment horizontal="left" vertical="top" wrapText="1"/>
      <protection locked="0"/>
    </xf>
    <xf numFmtId="43" fontId="43" fillId="0" borderId="1" xfId="1" applyFont="1" applyFill="1" applyBorder="1" applyAlignment="1" applyProtection="1">
      <alignment horizontal="left" vertical="top" wrapText="1"/>
    </xf>
    <xf numFmtId="0" fontId="43" fillId="2" borderId="1" xfId="38" applyFont="1" applyFill="1" applyBorder="1" applyAlignment="1" applyProtection="1">
      <alignment horizontal="left" vertical="top" wrapText="1"/>
    </xf>
    <xf numFmtId="0" fontId="43" fillId="2" borderId="1" xfId="0" applyFont="1" applyFill="1" applyBorder="1" applyAlignment="1" applyProtection="1">
      <alignment horizontal="center" vertical="top" wrapText="1"/>
    </xf>
    <xf numFmtId="43" fontId="43" fillId="2" borderId="1" xfId="1" applyFont="1" applyFill="1" applyBorder="1" applyAlignment="1" applyProtection="1">
      <alignment horizontal="center" vertical="top" wrapText="1"/>
    </xf>
    <xf numFmtId="0" fontId="43" fillId="2" borderId="1" xfId="0" applyFont="1" applyFill="1" applyBorder="1" applyAlignment="1" applyProtection="1">
      <alignment horizontal="left" vertical="top" wrapText="1"/>
    </xf>
    <xf numFmtId="0" fontId="43" fillId="2" borderId="1" xfId="0" applyFont="1" applyFill="1" applyBorder="1" applyAlignment="1" applyProtection="1">
      <alignment horizontal="left" vertical="top" wrapText="1"/>
      <protection locked="0"/>
    </xf>
    <xf numFmtId="43" fontId="43" fillId="2" borderId="1" xfId="1" applyFont="1" applyFill="1" applyBorder="1" applyAlignment="1" applyProtection="1">
      <alignment horizontal="center" vertical="top" wrapText="1"/>
      <protection locked="0"/>
    </xf>
    <xf numFmtId="49" fontId="43" fillId="0" borderId="1" xfId="38" applyNumberFormat="1" applyFont="1" applyFill="1" applyBorder="1" applyAlignment="1" applyProtection="1">
      <alignment horizontal="left" vertical="top" wrapText="1"/>
    </xf>
    <xf numFmtId="49" fontId="43" fillId="0" borderId="1" xfId="38" applyNumberFormat="1" applyFont="1" applyFill="1" applyBorder="1" applyAlignment="1" applyProtection="1">
      <alignment vertical="top" wrapText="1"/>
    </xf>
    <xf numFmtId="49" fontId="43" fillId="0" borderId="1" xfId="38" applyNumberFormat="1" applyFont="1" applyFill="1" applyBorder="1" applyAlignment="1" applyProtection="1">
      <alignment horizontal="center" vertical="top" wrapText="1"/>
    </xf>
    <xf numFmtId="0" fontId="43" fillId="0" borderId="1" xfId="38" applyNumberFormat="1" applyFont="1" applyFill="1" applyBorder="1" applyAlignment="1" applyProtection="1">
      <alignment horizontal="left" vertical="top" wrapText="1"/>
    </xf>
    <xf numFmtId="2" fontId="43" fillId="0" borderId="1" xfId="38" applyNumberFormat="1" applyFont="1" applyFill="1" applyBorder="1" applyAlignment="1" applyProtection="1">
      <alignment horizontal="left" vertical="top" wrapText="1"/>
    </xf>
    <xf numFmtId="2" fontId="43" fillId="0" borderId="1" xfId="38" applyNumberFormat="1" applyFont="1" applyFill="1" applyBorder="1" applyAlignment="1" applyProtection="1">
      <alignment vertical="top" wrapText="1"/>
    </xf>
    <xf numFmtId="2" fontId="43" fillId="0" borderId="1" xfId="38" applyNumberFormat="1" applyFont="1" applyFill="1" applyBorder="1" applyAlignment="1" applyProtection="1">
      <alignment horizontal="center" vertical="top" wrapText="1"/>
    </xf>
    <xf numFmtId="2" fontId="43" fillId="0" borderId="1" xfId="38" applyNumberFormat="1" applyFont="1" applyFill="1" applyBorder="1" applyAlignment="1" applyProtection="1">
      <alignment horizontal="left" vertical="top" wrapText="1"/>
      <protection locked="0"/>
    </xf>
    <xf numFmtId="0" fontId="0" fillId="0" borderId="0" xfId="0" applyAlignment="1">
      <alignment vertical="top"/>
    </xf>
    <xf numFmtId="0" fontId="45" fillId="23" borderId="1" xfId="38" applyFont="1" applyFill="1" applyBorder="1" applyAlignment="1" applyProtection="1">
      <alignment horizontal="left" vertical="top" wrapText="1"/>
    </xf>
    <xf numFmtId="0" fontId="45" fillId="23" borderId="1" xfId="38" applyFont="1" applyFill="1" applyBorder="1" applyAlignment="1" applyProtection="1">
      <alignment vertical="top" wrapText="1"/>
    </xf>
    <xf numFmtId="0" fontId="45" fillId="23" borderId="1" xfId="38" applyFont="1" applyFill="1" applyBorder="1" applyAlignment="1" applyProtection="1">
      <alignment horizontal="center" vertical="top" wrapText="1"/>
    </xf>
    <xf numFmtId="43" fontId="45" fillId="23" borderId="1" xfId="1" applyFont="1" applyFill="1" applyBorder="1" applyAlignment="1" applyProtection="1">
      <alignment horizontal="center" vertical="top" wrapText="1"/>
    </xf>
    <xf numFmtId="0" fontId="43" fillId="23" borderId="1" xfId="0" applyFont="1" applyFill="1" applyBorder="1" applyAlignment="1" applyProtection="1">
      <alignment horizontal="center" vertical="top" wrapText="1"/>
    </xf>
    <xf numFmtId="43" fontId="43" fillId="23" borderId="1" xfId="1" applyFont="1" applyFill="1" applyBorder="1" applyAlignment="1" applyProtection="1">
      <alignment horizontal="center" vertical="top" wrapText="1"/>
    </xf>
    <xf numFmtId="0" fontId="43" fillId="23" borderId="1" xfId="0" applyFont="1" applyFill="1" applyBorder="1" applyAlignment="1" applyProtection="1">
      <alignment horizontal="left" vertical="top" wrapText="1"/>
    </xf>
    <xf numFmtId="0" fontId="43" fillId="23" borderId="1" xfId="0" applyFont="1" applyFill="1" applyBorder="1" applyAlignment="1" applyProtection="1">
      <alignment horizontal="left" vertical="top" wrapText="1"/>
      <protection locked="0"/>
    </xf>
    <xf numFmtId="43" fontId="43" fillId="23" borderId="1" xfId="1" applyFont="1" applyFill="1" applyBorder="1" applyAlignment="1" applyProtection="1">
      <alignment horizontal="center" vertical="top" wrapText="1"/>
      <protection locked="0"/>
    </xf>
    <xf numFmtId="43" fontId="43" fillId="0" borderId="1" xfId="1" applyFont="1" applyFill="1" applyBorder="1" applyAlignment="1" applyProtection="1">
      <alignment horizontal="left" vertical="top" wrapText="1"/>
      <protection locked="0"/>
    </xf>
    <xf numFmtId="0" fontId="43" fillId="0" borderId="1" xfId="0" applyFont="1" applyFill="1" applyBorder="1" applyAlignment="1" applyProtection="1">
      <alignment horizontal="left" vertical="top" wrapText="1"/>
    </xf>
    <xf numFmtId="0" fontId="43" fillId="2" borderId="1" xfId="0" applyNumberFormat="1" applyFont="1" applyFill="1" applyBorder="1" applyAlignment="1" applyProtection="1">
      <alignment horizontal="left" vertical="top" wrapText="1"/>
    </xf>
    <xf numFmtId="0" fontId="43" fillId="23" borderId="1" xfId="0" applyNumberFormat="1" applyFont="1" applyFill="1" applyBorder="1" applyAlignment="1" applyProtection="1">
      <alignment horizontal="left" vertical="top" wrapText="1"/>
    </xf>
    <xf numFmtId="0" fontId="45" fillId="2" borderId="1" xfId="38" applyNumberFormat="1" applyFont="1" applyFill="1" applyBorder="1" applyAlignment="1" applyProtection="1">
      <alignment horizontal="left" vertical="top" wrapText="1"/>
    </xf>
    <xf numFmtId="0" fontId="43" fillId="0" borderId="1" xfId="38" applyFont="1" applyFill="1" applyBorder="1" applyAlignment="1" applyProtection="1">
      <alignment horizontal="left" vertical="top" wrapText="1"/>
      <protection locked="0"/>
    </xf>
    <xf numFmtId="0" fontId="45" fillId="2" borderId="1" xfId="11" applyFont="1" applyFill="1" applyBorder="1" applyAlignment="1" applyProtection="1">
      <alignment horizontal="left" vertical="top" wrapText="1"/>
    </xf>
    <xf numFmtId="0" fontId="45" fillId="2" borderId="1" xfId="11" applyFont="1" applyFill="1" applyBorder="1" applyAlignment="1" applyProtection="1">
      <alignment vertical="top" wrapText="1"/>
    </xf>
    <xf numFmtId="0" fontId="45" fillId="2" borderId="1" xfId="11" applyFont="1" applyFill="1" applyBorder="1" applyAlignment="1" applyProtection="1">
      <alignment horizontal="center" vertical="top" wrapText="1"/>
    </xf>
    <xf numFmtId="0" fontId="45" fillId="2" borderId="1" xfId="11" applyNumberFormat="1" applyFont="1" applyFill="1" applyBorder="1" applyAlignment="1" applyProtection="1">
      <alignment horizontal="left" vertical="top" wrapText="1"/>
    </xf>
    <xf numFmtId="0" fontId="45" fillId="2" borderId="1" xfId="11" applyFont="1" applyFill="1" applyBorder="1" applyAlignment="1" applyProtection="1">
      <alignment horizontal="left" vertical="top" wrapText="1"/>
      <protection locked="0"/>
    </xf>
    <xf numFmtId="0" fontId="43" fillId="2" borderId="1" xfId="38" applyFont="1" applyFill="1" applyBorder="1" applyAlignment="1" applyProtection="1">
      <alignment horizontal="center" vertical="top" wrapText="1"/>
    </xf>
    <xf numFmtId="43" fontId="43" fillId="23" borderId="1" xfId="1" applyFont="1" applyFill="1" applyBorder="1" applyAlignment="1" applyProtection="1">
      <alignment horizontal="left" vertical="top" wrapText="1"/>
    </xf>
    <xf numFmtId="43" fontId="43" fillId="23" borderId="1" xfId="1" applyFont="1" applyFill="1" applyBorder="1" applyAlignment="1" applyProtection="1">
      <alignment horizontal="left" vertical="top" wrapText="1"/>
      <protection locked="0"/>
    </xf>
    <xf numFmtId="0" fontId="45" fillId="2" borderId="1" xfId="0" applyFont="1" applyFill="1" applyBorder="1" applyAlignment="1" applyProtection="1">
      <alignment horizontal="center" vertical="top" wrapText="1"/>
    </xf>
    <xf numFmtId="0" fontId="45" fillId="2" borderId="1" xfId="0" applyNumberFormat="1" applyFont="1" applyFill="1" applyBorder="1" applyAlignment="1" applyProtection="1">
      <alignment horizontal="left" vertical="top" wrapText="1"/>
    </xf>
    <xf numFmtId="0" fontId="45" fillId="23" borderId="1" xfId="11" applyFont="1" applyFill="1" applyBorder="1" applyAlignment="1" applyProtection="1">
      <alignment horizontal="left" vertical="top" wrapText="1"/>
    </xf>
    <xf numFmtId="0" fontId="45" fillId="23" borderId="1" xfId="11" applyFont="1" applyFill="1" applyBorder="1" applyAlignment="1" applyProtection="1">
      <alignment vertical="top" wrapText="1"/>
    </xf>
    <xf numFmtId="0" fontId="45" fillId="23" borderId="1" xfId="11" applyFont="1" applyFill="1" applyBorder="1" applyAlignment="1" applyProtection="1">
      <alignment horizontal="center" vertical="top" wrapText="1"/>
    </xf>
    <xf numFmtId="0" fontId="45" fillId="23" borderId="1" xfId="11" applyNumberFormat="1" applyFont="1" applyFill="1" applyBorder="1" applyAlignment="1" applyProtection="1">
      <alignment horizontal="left" vertical="top" wrapText="1"/>
    </xf>
    <xf numFmtId="0" fontId="45" fillId="23" borderId="1" xfId="11" applyFont="1" applyFill="1" applyBorder="1" applyAlignment="1" applyProtection="1">
      <alignment horizontal="left" vertical="top" wrapText="1"/>
      <protection locked="0"/>
    </xf>
    <xf numFmtId="43" fontId="45" fillId="23" borderId="1" xfId="1" applyFont="1" applyFill="1" applyBorder="1" applyAlignment="1" applyProtection="1">
      <alignment horizontal="center" vertical="top" wrapText="1"/>
      <protection locked="0"/>
    </xf>
    <xf numFmtId="0" fontId="43" fillId="0" borderId="0" xfId="0" applyFont="1" applyAlignment="1" applyProtection="1">
      <alignment vertical="top" wrapText="1"/>
    </xf>
    <xf numFmtId="0" fontId="45" fillId="2" borderId="1" xfId="0" applyFont="1" applyFill="1" applyBorder="1" applyAlignment="1" applyProtection="1">
      <alignment horizontal="left" vertical="top" wrapText="1"/>
    </xf>
    <xf numFmtId="0" fontId="45" fillId="2" borderId="1" xfId="0" applyFont="1" applyFill="1" applyBorder="1" applyAlignment="1" applyProtection="1">
      <alignment vertical="top" wrapText="1"/>
    </xf>
    <xf numFmtId="0" fontId="43" fillId="0" borderId="1" xfId="0" applyFont="1" applyBorder="1" applyAlignment="1" applyProtection="1">
      <alignment horizontal="left" vertical="top" wrapText="1"/>
    </xf>
    <xf numFmtId="0" fontId="43" fillId="0" borderId="1" xfId="0" applyFont="1" applyBorder="1" applyAlignment="1" applyProtection="1">
      <alignment vertical="top" wrapText="1"/>
    </xf>
    <xf numFmtId="0" fontId="43" fillId="0" borderId="1" xfId="0" applyFont="1" applyBorder="1" applyAlignment="1" applyProtection="1">
      <alignment horizontal="center" vertical="top" wrapText="1"/>
    </xf>
    <xf numFmtId="43" fontId="43" fillId="0" borderId="1" xfId="1" applyFont="1" applyBorder="1" applyAlignment="1" applyProtection="1">
      <alignment horizontal="center" vertical="top" wrapText="1"/>
    </xf>
    <xf numFmtId="0" fontId="43" fillId="0" borderId="1" xfId="0" applyNumberFormat="1" applyFont="1" applyBorder="1" applyAlignment="1" applyProtection="1">
      <alignment horizontal="left" vertical="top" wrapText="1"/>
    </xf>
    <xf numFmtId="0" fontId="43" fillId="0" borderId="1" xfId="0" applyFont="1" applyBorder="1" applyAlignment="1" applyProtection="1">
      <alignment horizontal="left" vertical="top" wrapText="1"/>
      <protection locked="0"/>
    </xf>
    <xf numFmtId="43" fontId="43" fillId="0" borderId="1" xfId="1" applyFont="1" applyBorder="1" applyAlignment="1" applyProtection="1">
      <alignment horizontal="center" vertical="top" wrapText="1"/>
      <protection locked="0"/>
    </xf>
    <xf numFmtId="0" fontId="66" fillId="11" borderId="1" xfId="0" applyFont="1" applyFill="1" applyBorder="1" applyAlignment="1" applyProtection="1">
      <alignment horizontal="left" vertical="top" wrapText="1"/>
      <protection locked="0"/>
    </xf>
    <xf numFmtId="0" fontId="68" fillId="0" borderId="1" xfId="4" applyFont="1" applyBorder="1" applyAlignment="1" applyProtection="1">
      <alignment horizontal="center" vertical="top" wrapText="1"/>
    </xf>
    <xf numFmtId="43" fontId="68" fillId="0" borderId="1" xfId="1" applyFont="1" applyBorder="1" applyAlignment="1" applyProtection="1">
      <alignment horizontal="right" vertical="top" wrapText="1"/>
    </xf>
    <xf numFmtId="43" fontId="68" fillId="0" borderId="1" xfId="0" applyNumberFormat="1" applyFont="1" applyBorder="1" applyAlignment="1" applyProtection="1">
      <alignment vertical="top" wrapText="1"/>
    </xf>
    <xf numFmtId="0" fontId="68" fillId="0" borderId="5" xfId="0" applyFont="1" applyBorder="1" applyAlignment="1" applyProtection="1">
      <alignment horizontal="left" vertical="top" wrapText="1"/>
      <protection locked="0"/>
    </xf>
    <xf numFmtId="0" fontId="68" fillId="11" borderId="1" xfId="87" applyFont="1" applyFill="1" applyBorder="1" applyAlignment="1" applyProtection="1">
      <alignment horizontal="left" vertical="top" wrapText="1"/>
      <protection locked="0"/>
    </xf>
    <xf numFmtId="0" fontId="68" fillId="0" borderId="5" xfId="87" applyFont="1" applyBorder="1" applyAlignment="1" applyProtection="1">
      <alignment vertical="center" wrapText="1"/>
      <protection locked="0"/>
    </xf>
    <xf numFmtId="0" fontId="68" fillId="0" borderId="1" xfId="0" applyFont="1" applyFill="1" applyBorder="1" applyAlignment="1">
      <alignment horizontal="left" vertical="center"/>
    </xf>
    <xf numFmtId="0" fontId="68" fillId="0" borderId="1" xfId="0" applyFont="1" applyFill="1" applyBorder="1" applyAlignment="1" applyProtection="1">
      <alignment vertical="center"/>
      <protection locked="0"/>
    </xf>
    <xf numFmtId="0" fontId="66" fillId="0" borderId="1" xfId="0" applyFont="1" applyFill="1" applyBorder="1" applyAlignment="1" applyProtection="1">
      <alignment horizontal="center" vertical="center"/>
      <protection locked="0"/>
    </xf>
    <xf numFmtId="43" fontId="68" fillId="0" borderId="1" xfId="1" applyFont="1" applyFill="1" applyBorder="1" applyAlignment="1">
      <alignment horizontal="right" vertical="center"/>
    </xf>
    <xf numFmtId="0" fontId="68" fillId="0" borderId="1" xfId="0" applyFont="1" applyFill="1" applyBorder="1" applyAlignment="1" applyProtection="1">
      <alignment horizontal="left" vertical="center"/>
      <protection locked="0"/>
    </xf>
    <xf numFmtId="43" fontId="68" fillId="0" borderId="1" xfId="1" applyFont="1" applyFill="1" applyBorder="1" applyAlignment="1" applyProtection="1">
      <alignment horizontal="left" vertical="center"/>
      <protection locked="0"/>
    </xf>
    <xf numFmtId="0" fontId="87" fillId="0" borderId="0" xfId="0" applyFont="1" applyAlignment="1" applyProtection="1">
      <alignment vertical="center"/>
    </xf>
    <xf numFmtId="0" fontId="43" fillId="0" borderId="1" xfId="0" applyFont="1" applyBorder="1" applyAlignment="1" applyProtection="1">
      <alignment horizontal="left" vertical="center" wrapText="1"/>
    </xf>
    <xf numFmtId="0" fontId="12" fillId="0" borderId="1" xfId="38" applyFont="1" applyFill="1" applyBorder="1" applyAlignment="1" applyProtection="1">
      <alignment horizontal="left" vertical="top" wrapText="1"/>
    </xf>
    <xf numFmtId="0" fontId="12" fillId="2" borderId="1" xfId="0" applyFont="1" applyFill="1" applyBorder="1" applyAlignment="1" applyProtection="1">
      <alignment horizontal="left" vertical="top"/>
    </xf>
    <xf numFmtId="0" fontId="43" fillId="0" borderId="1" xfId="0" applyFont="1" applyBorder="1" applyAlignment="1" applyProtection="1">
      <alignment horizontal="left" vertical="top"/>
    </xf>
    <xf numFmtId="0" fontId="12" fillId="0" borderId="1" xfId="11" applyFont="1" applyFill="1" applyBorder="1" applyAlignment="1" applyProtection="1">
      <alignment horizontal="left" vertical="top" wrapText="1"/>
    </xf>
    <xf numFmtId="0" fontId="43" fillId="0" borderId="1" xfId="4" applyFont="1" applyBorder="1" applyAlignment="1" applyProtection="1">
      <alignment horizontal="left" vertical="top" wrapText="1"/>
    </xf>
    <xf numFmtId="0" fontId="72" fillId="11" borderId="1" xfId="97" applyFont="1" applyFill="1" applyBorder="1" applyAlignment="1" applyProtection="1">
      <alignment horizontal="left" vertical="top" wrapText="1"/>
      <protection locked="0"/>
    </xf>
    <xf numFmtId="0" fontId="69" fillId="8" borderId="1" xfId="3" applyFont="1" applyFill="1" applyBorder="1" applyAlignment="1" applyProtection="1">
      <alignment horizontal="center" vertical="center"/>
    </xf>
    <xf numFmtId="0" fontId="68" fillId="0" borderId="0" xfId="0" applyFont="1" applyFill="1" applyBorder="1" applyAlignment="1" applyProtection="1">
      <alignment vertical="center" wrapText="1"/>
    </xf>
    <xf numFmtId="0" fontId="72" fillId="0" borderId="0" xfId="62" applyFont="1" applyFill="1" applyAlignment="1" applyProtection="1">
      <alignment horizontal="center" vertical="center"/>
    </xf>
    <xf numFmtId="0" fontId="66" fillId="5" borderId="13" xfId="38" applyFont="1" applyFill="1" applyBorder="1" applyAlignment="1" applyProtection="1">
      <alignment horizontal="center" vertical="center" wrapText="1"/>
    </xf>
    <xf numFmtId="2" fontId="66" fillId="5" borderId="13" xfId="38" applyNumberFormat="1" applyFont="1" applyFill="1" applyBorder="1" applyAlignment="1" applyProtection="1">
      <alignment horizontal="center" vertical="center" wrapText="1"/>
    </xf>
    <xf numFmtId="0" fontId="72" fillId="28" borderId="1" xfId="11" applyFont="1" applyFill="1" applyBorder="1" applyAlignment="1" applyProtection="1">
      <alignment horizontal="center" vertical="center" wrapText="1"/>
    </xf>
    <xf numFmtId="43" fontId="67" fillId="28" borderId="1" xfId="1" applyFont="1" applyFill="1" applyBorder="1" applyAlignment="1" applyProtection="1">
      <alignment horizontal="left" vertical="center" wrapText="1"/>
    </xf>
    <xf numFmtId="43" fontId="67" fillId="28" borderId="1" xfId="1" applyFont="1" applyFill="1" applyBorder="1" applyAlignment="1" applyProtection="1">
      <alignment horizontal="right" vertical="center" wrapText="1"/>
    </xf>
    <xf numFmtId="0" fontId="67" fillId="28" borderId="5" xfId="11" applyFont="1" applyFill="1" applyBorder="1" applyAlignment="1" applyProtection="1">
      <alignment horizontal="left" vertical="center" wrapText="1"/>
    </xf>
    <xf numFmtId="0" fontId="72" fillId="0" borderId="0" xfId="11" applyFont="1" applyFill="1" applyAlignment="1" applyProtection="1">
      <alignment horizontal="center" vertical="center" wrapText="1"/>
    </xf>
    <xf numFmtId="0" fontId="67" fillId="28" borderId="0" xfId="62" applyFont="1" applyFill="1" applyAlignment="1" applyProtection="1">
      <alignment horizontal="center" vertical="center"/>
    </xf>
    <xf numFmtId="0" fontId="66" fillId="2" borderId="5" xfId="4" applyFont="1" applyFill="1" applyBorder="1" applyAlignment="1" applyProtection="1">
      <alignment horizontal="left" vertical="center" wrapText="1"/>
    </xf>
    <xf numFmtId="0" fontId="86" fillId="33" borderId="1" xfId="0" applyFont="1" applyFill="1" applyBorder="1" applyAlignment="1" applyProtection="1">
      <alignment horizontal="left" vertical="center" wrapText="1"/>
    </xf>
    <xf numFmtId="0" fontId="72" fillId="0" borderId="0" xfId="62" applyFont="1" applyAlignment="1" applyProtection="1">
      <alignment horizontal="right" vertical="center"/>
    </xf>
    <xf numFmtId="0" fontId="68" fillId="0" borderId="1" xfId="62" applyFont="1" applyBorder="1" applyAlignment="1" applyProtection="1">
      <alignment horizontal="left" vertical="center"/>
    </xf>
    <xf numFmtId="0" fontId="66" fillId="29" borderId="1" xfId="4" applyFont="1" applyFill="1" applyBorder="1" applyAlignment="1" applyProtection="1">
      <alignment horizontal="center" vertical="center" wrapText="1"/>
    </xf>
    <xf numFmtId="0" fontId="66" fillId="0" borderId="1" xfId="4" applyFont="1" applyBorder="1" applyAlignment="1" applyProtection="1">
      <alignment horizontal="right" vertical="center" wrapText="1"/>
      <protection locked="0"/>
    </xf>
    <xf numFmtId="0" fontId="68" fillId="0" borderId="1" xfId="62" applyFont="1" applyBorder="1" applyAlignment="1" applyProtection="1">
      <alignment horizontal="right" vertical="center"/>
      <protection locked="0"/>
    </xf>
    <xf numFmtId="2" fontId="68" fillId="0" borderId="1" xfId="11" applyNumberFormat="1" applyFont="1" applyBorder="1" applyAlignment="1" applyProtection="1">
      <alignment horizontal="right" vertical="center" wrapText="1"/>
    </xf>
    <xf numFmtId="0" fontId="68" fillId="0" borderId="1" xfId="0" applyFont="1" applyBorder="1" applyAlignment="1" applyProtection="1">
      <alignment horizontal="left" vertical="center"/>
    </xf>
    <xf numFmtId="43" fontId="68" fillId="0" borderId="1" xfId="0" applyNumberFormat="1" applyFont="1" applyBorder="1" applyAlignment="1" applyProtection="1">
      <alignment vertical="center"/>
    </xf>
    <xf numFmtId="0" fontId="68" fillId="0" borderId="1" xfId="62" applyFont="1" applyBorder="1" applyAlignment="1" applyProtection="1">
      <alignment horizontal="right" vertical="center" wrapText="1"/>
      <protection locked="0"/>
    </xf>
    <xf numFmtId="0" fontId="68" fillId="0" borderId="1" xfId="4" applyFont="1" applyBorder="1" applyAlignment="1" applyProtection="1">
      <alignment horizontal="center" vertical="center" wrapText="1"/>
      <protection locked="0"/>
    </xf>
    <xf numFmtId="0" fontId="68" fillId="0" borderId="1" xfId="62" applyFont="1" applyBorder="1" applyAlignment="1" applyProtection="1">
      <alignment horizontal="left" vertical="center" wrapText="1"/>
    </xf>
    <xf numFmtId="0" fontId="68" fillId="0" borderId="1" xfId="4" applyFont="1" applyBorder="1" applyAlignment="1" applyProtection="1">
      <alignment horizontal="right" vertical="center" wrapText="1"/>
      <protection locked="0"/>
    </xf>
    <xf numFmtId="49" fontId="68" fillId="0" borderId="1" xfId="4" applyNumberFormat="1" applyFont="1" applyFill="1" applyBorder="1" applyAlignment="1" applyProtection="1">
      <alignment horizontal="left" vertical="center" wrapText="1"/>
    </xf>
    <xf numFmtId="2" fontId="68" fillId="0" borderId="1" xfId="4" applyNumberFormat="1" applyFont="1" applyBorder="1" applyAlignment="1" applyProtection="1">
      <alignment horizontal="right" vertical="center" wrapText="1"/>
      <protection locked="0"/>
    </xf>
    <xf numFmtId="0" fontId="68" fillId="0" borderId="1" xfId="62" applyFont="1" applyBorder="1" applyAlignment="1" applyProtection="1">
      <alignment horizontal="center" vertical="center"/>
    </xf>
    <xf numFmtId="2" fontId="66" fillId="2" borderId="1" xfId="4" applyNumberFormat="1" applyFont="1" applyFill="1" applyBorder="1" applyAlignment="1" applyProtection="1">
      <alignment horizontal="left" vertical="center" wrapText="1"/>
    </xf>
    <xf numFmtId="0" fontId="67" fillId="28" borderId="1" xfId="11" applyFont="1" applyFill="1" applyBorder="1" applyAlignment="1" applyProtection="1">
      <alignment horizontal="left" vertical="center" wrapText="1"/>
      <protection locked="0"/>
    </xf>
    <xf numFmtId="0" fontId="67" fillId="28" borderId="5" xfId="11" applyFont="1" applyFill="1" applyBorder="1" applyAlignment="1" applyProtection="1">
      <alignment horizontal="left" vertical="center" wrapText="1"/>
      <protection locked="0"/>
    </xf>
    <xf numFmtId="0" fontId="86" fillId="49" borderId="1" xfId="0" applyFont="1" applyFill="1" applyBorder="1" applyAlignment="1" applyProtection="1">
      <alignment horizontal="left" vertical="center" wrapText="1"/>
    </xf>
    <xf numFmtId="0" fontId="67" fillId="28" borderId="0" xfId="11" applyFont="1" applyFill="1" applyAlignment="1" applyProtection="1">
      <alignment horizontal="center" vertical="center" wrapText="1"/>
    </xf>
    <xf numFmtId="0" fontId="72" fillId="0" borderId="0" xfId="11" applyFont="1" applyAlignment="1" applyProtection="1">
      <alignment horizontal="right" vertical="center" wrapText="1"/>
    </xf>
    <xf numFmtId="0" fontId="66" fillId="2" borderId="1" xfId="4" quotePrefix="1" applyFont="1" applyFill="1" applyBorder="1" applyAlignment="1" applyProtection="1">
      <alignment horizontal="left" vertical="center" wrapText="1"/>
    </xf>
    <xf numFmtId="43" fontId="68" fillId="0" borderId="1" xfId="0" applyNumberFormat="1" applyFont="1" applyBorder="1" applyAlignment="1" applyProtection="1">
      <alignment horizontal="right" vertical="center"/>
    </xf>
    <xf numFmtId="0" fontId="68" fillId="0" borderId="1" xfId="62" applyFont="1" applyFill="1" applyBorder="1" applyAlignment="1" applyProtection="1">
      <alignment horizontal="left" vertical="center"/>
    </xf>
    <xf numFmtId="2" fontId="68" fillId="0" borderId="1" xfId="4" applyNumberFormat="1" applyFont="1" applyBorder="1" applyAlignment="1" applyProtection="1">
      <alignment horizontal="left" vertical="center" wrapText="1"/>
    </xf>
    <xf numFmtId="43" fontId="68" fillId="0" borderId="1" xfId="0" applyNumberFormat="1" applyFont="1" applyBorder="1" applyAlignment="1" applyProtection="1">
      <alignment horizontal="right" vertical="center" wrapText="1"/>
    </xf>
    <xf numFmtId="0" fontId="68" fillId="0" borderId="1" xfId="62" applyFont="1" applyFill="1" applyBorder="1" applyAlignment="1" applyProtection="1">
      <alignment horizontal="right" vertical="center"/>
      <protection locked="0"/>
    </xf>
    <xf numFmtId="2" fontId="68" fillId="0" borderId="1" xfId="11" applyNumberFormat="1" applyFont="1" applyFill="1" applyBorder="1" applyAlignment="1" applyProtection="1">
      <alignment horizontal="right" vertical="center" wrapText="1"/>
    </xf>
    <xf numFmtId="0" fontId="72" fillId="0" borderId="0" xfId="62" applyFont="1" applyFill="1" applyAlignment="1" applyProtection="1">
      <alignment horizontal="right" vertical="center"/>
    </xf>
    <xf numFmtId="0" fontId="68" fillId="0" borderId="0" xfId="62" applyFont="1" applyAlignment="1" applyProtection="1">
      <alignment horizontal="center" vertical="center"/>
    </xf>
    <xf numFmtId="0" fontId="68" fillId="0" borderId="0" xfId="62" applyFont="1" applyAlignment="1" applyProtection="1">
      <alignment horizontal="right" vertical="center"/>
    </xf>
    <xf numFmtId="0" fontId="66" fillId="4" borderId="13" xfId="4" applyFont="1" applyFill="1" applyBorder="1" applyAlignment="1" applyProtection="1">
      <alignment horizontal="left" vertical="center" wrapText="1"/>
    </xf>
    <xf numFmtId="0" fontId="68" fillId="4" borderId="13" xfId="4" applyFont="1" applyFill="1" applyBorder="1" applyAlignment="1" applyProtection="1">
      <alignment horizontal="left" vertical="center" wrapText="1"/>
    </xf>
    <xf numFmtId="0" fontId="86" fillId="46" borderId="1" xfId="0" applyFont="1" applyFill="1" applyBorder="1" applyAlignment="1" applyProtection="1">
      <alignment horizontal="left" vertical="center" wrapText="1"/>
    </xf>
    <xf numFmtId="0" fontId="66" fillId="0" borderId="1" xfId="62" applyFont="1" applyBorder="1" applyAlignment="1" applyProtection="1">
      <alignment horizontal="right" vertical="center"/>
      <protection locked="0"/>
    </xf>
    <xf numFmtId="0" fontId="72" fillId="0" borderId="1" xfId="62" applyFont="1" applyBorder="1" applyAlignment="1" applyProtection="1">
      <alignment horizontal="center" vertical="center"/>
    </xf>
    <xf numFmtId="0" fontId="66" fillId="28" borderId="1" xfId="62" applyFont="1" applyFill="1" applyBorder="1" applyAlignment="1" applyProtection="1">
      <alignment horizontal="center" vertical="center"/>
    </xf>
    <xf numFmtId="0" fontId="68" fillId="0" borderId="1" xfId="62" applyFont="1" applyBorder="1" applyAlignment="1" applyProtection="1">
      <alignment horizontal="center" vertical="center" wrapText="1"/>
    </xf>
    <xf numFmtId="167" fontId="68" fillId="0" borderId="1" xfId="11" applyNumberFormat="1" applyFont="1" applyBorder="1" applyAlignment="1" applyProtection="1">
      <alignment horizontal="right" vertical="center" wrapText="1"/>
      <protection locked="0"/>
    </xf>
    <xf numFmtId="0" fontId="67" fillId="28" borderId="1" xfId="62" applyFont="1" applyFill="1" applyBorder="1" applyAlignment="1" applyProtection="1">
      <alignment horizontal="center" vertical="center"/>
    </xf>
    <xf numFmtId="0" fontId="68" fillId="0" borderId="1" xfId="62" applyFont="1" applyFill="1" applyBorder="1" applyAlignment="1" applyProtection="1">
      <alignment horizontal="center" vertical="center"/>
    </xf>
    <xf numFmtId="0" fontId="68" fillId="0" borderId="1" xfId="62" applyFont="1" applyFill="1" applyBorder="1" applyAlignment="1" applyProtection="1">
      <alignment horizontal="left" vertical="center" wrapText="1"/>
    </xf>
    <xf numFmtId="0" fontId="68" fillId="0" borderId="1" xfId="62" quotePrefix="1" applyFont="1" applyFill="1" applyBorder="1" applyAlignment="1" applyProtection="1">
      <alignment horizontal="left" vertical="center" wrapText="1"/>
    </xf>
    <xf numFmtId="0" fontId="66" fillId="0" borderId="1" xfId="4" applyFont="1" applyFill="1" applyBorder="1" applyAlignment="1" applyProtection="1">
      <alignment horizontal="right" vertical="center" wrapText="1"/>
      <protection locked="0"/>
    </xf>
    <xf numFmtId="0" fontId="68" fillId="0" borderId="0" xfId="62" applyFont="1" applyFill="1" applyAlignment="1" applyProtection="1">
      <alignment horizontal="right" vertical="center"/>
    </xf>
    <xf numFmtId="0" fontId="68" fillId="0" borderId="1" xfId="62" applyFont="1" applyFill="1" applyBorder="1" applyAlignment="1" applyProtection="1">
      <alignment horizontal="center" vertical="center"/>
      <protection locked="0"/>
    </xf>
    <xf numFmtId="43" fontId="68" fillId="0" borderId="1" xfId="1" applyFont="1" applyBorder="1" applyAlignment="1" applyProtection="1">
      <alignment horizontal="left" vertical="center"/>
    </xf>
    <xf numFmtId="0" fontId="66" fillId="0" borderId="1" xfId="62" applyFont="1" applyBorder="1" applyAlignment="1" applyProtection="1">
      <alignment horizontal="right" vertical="center" wrapText="1"/>
      <protection locked="0"/>
    </xf>
    <xf numFmtId="167" fontId="68" fillId="0" borderId="1" xfId="11" applyNumberFormat="1" applyFont="1" applyFill="1" applyBorder="1" applyAlignment="1" applyProtection="1">
      <alignment horizontal="right" vertical="center" wrapText="1"/>
      <protection locked="0"/>
    </xf>
    <xf numFmtId="0" fontId="72" fillId="0" borderId="0" xfId="62" applyFont="1" applyAlignment="1" applyProtection="1">
      <alignment horizontal="left" vertical="center"/>
    </xf>
    <xf numFmtId="0" fontId="72" fillId="0" borderId="0" xfId="62" applyFont="1" applyFill="1" applyAlignment="1" applyProtection="1">
      <alignment horizontal="left" vertical="center"/>
    </xf>
    <xf numFmtId="0" fontId="68" fillId="0" borderId="1" xfId="8" applyFont="1" applyFill="1" applyBorder="1" applyAlignment="1" applyProtection="1">
      <alignment horizontal="center" vertical="center" wrapText="1"/>
      <protection locked="0"/>
    </xf>
    <xf numFmtId="0" fontId="68" fillId="0" borderId="5" xfId="0" applyFont="1" applyFill="1" applyBorder="1" applyAlignment="1" applyProtection="1">
      <alignment horizontal="left" vertical="center" wrapText="1"/>
      <protection locked="0"/>
    </xf>
    <xf numFmtId="2" fontId="72" fillId="0" borderId="1" xfId="0" applyNumberFormat="1" applyFont="1" applyFill="1" applyBorder="1" applyAlignment="1" applyProtection="1">
      <alignment horizontal="right" vertical="top" wrapText="1"/>
    </xf>
    <xf numFmtId="2" fontId="72" fillId="0" borderId="1" xfId="9" applyNumberFormat="1" applyFont="1" applyFill="1" applyBorder="1" applyAlignment="1" applyProtection="1">
      <alignment vertical="top" wrapText="1"/>
    </xf>
    <xf numFmtId="0" fontId="72" fillId="0" borderId="1" xfId="9" applyFont="1" applyFill="1" applyBorder="1" applyAlignment="1" applyProtection="1">
      <alignment horizontal="left" vertical="top" wrapText="1"/>
      <protection locked="0"/>
    </xf>
    <xf numFmtId="0" fontId="72" fillId="0" borderId="5" xfId="9" applyFont="1" applyFill="1" applyBorder="1" applyAlignment="1" applyProtection="1">
      <alignment horizontal="left" vertical="top" wrapText="1"/>
      <protection locked="0"/>
    </xf>
    <xf numFmtId="0" fontId="72" fillId="11" borderId="1" xfId="9" applyFont="1" applyFill="1" applyBorder="1" applyAlignment="1" applyProtection="1">
      <alignment horizontal="left" vertical="top" wrapText="1"/>
      <protection locked="0"/>
    </xf>
    <xf numFmtId="0" fontId="43" fillId="0" borderId="1" xfId="8" applyFont="1" applyFill="1" applyBorder="1" applyAlignment="1" applyProtection="1">
      <alignment horizontal="left" vertical="top" wrapText="1"/>
    </xf>
    <xf numFmtId="0" fontId="43" fillId="0" borderId="1" xfId="9" applyFont="1" applyBorder="1" applyAlignment="1" applyProtection="1">
      <alignment vertical="center" wrapText="1"/>
      <protection locked="0"/>
    </xf>
    <xf numFmtId="0" fontId="8" fillId="0" borderId="1" xfId="8" applyFont="1" applyBorder="1" applyAlignment="1" applyProtection="1">
      <alignment horizontal="center" vertical="center" wrapText="1"/>
      <protection locked="0"/>
    </xf>
    <xf numFmtId="0" fontId="68" fillId="0" borderId="5" xfId="9" applyFont="1" applyFill="1" applyBorder="1" applyAlignment="1" applyProtection="1">
      <alignment horizontal="left" vertical="top" wrapText="1"/>
      <protection locked="0"/>
    </xf>
    <xf numFmtId="0" fontId="67" fillId="0" borderId="1" xfId="87" applyFont="1" applyFill="1" applyBorder="1" applyAlignment="1" applyProtection="1">
      <alignment horizontal="center" vertical="center"/>
    </xf>
    <xf numFmtId="0" fontId="67" fillId="0" borderId="5" xfId="87" applyFont="1" applyFill="1" applyBorder="1" applyAlignment="1" applyProtection="1">
      <alignment vertical="center" wrapText="1"/>
      <protection locked="0"/>
    </xf>
    <xf numFmtId="43" fontId="68" fillId="0" borderId="1" xfId="1" applyFont="1" applyFill="1" applyBorder="1" applyAlignment="1" applyProtection="1">
      <alignment vertical="center"/>
    </xf>
    <xf numFmtId="0" fontId="68" fillId="0" borderId="5" xfId="4" applyFont="1" applyBorder="1" applyAlignment="1" applyProtection="1">
      <alignment horizontal="left" wrapText="1"/>
      <protection locked="0"/>
    </xf>
    <xf numFmtId="0" fontId="66" fillId="28" borderId="1" xfId="4" applyFont="1" applyFill="1" applyBorder="1" applyAlignment="1" applyProtection="1">
      <alignment horizontal="left" vertical="center" wrapText="1"/>
    </xf>
    <xf numFmtId="0" fontId="67" fillId="28" borderId="1" xfId="11" applyFont="1" applyFill="1" applyBorder="1" applyAlignment="1" applyProtection="1">
      <alignment horizontal="left" vertical="center" wrapText="1"/>
    </xf>
    <xf numFmtId="0" fontId="74" fillId="0" borderId="1" xfId="0" applyFont="1" applyFill="1" applyBorder="1" applyAlignment="1" applyProtection="1">
      <alignment horizontal="left" vertical="top" wrapText="1"/>
      <protection locked="0"/>
    </xf>
    <xf numFmtId="0" fontId="65" fillId="0" borderId="0" xfId="0" applyFont="1" applyFill="1" applyBorder="1" applyAlignment="1" applyProtection="1">
      <alignment horizontal="left" vertical="center" wrapText="1"/>
    </xf>
    <xf numFmtId="0" fontId="68" fillId="28" borderId="1" xfId="8" applyFont="1" applyFill="1" applyBorder="1" applyAlignment="1" applyProtection="1">
      <alignment horizontal="left" vertical="center" wrapText="1"/>
    </xf>
    <xf numFmtId="0" fontId="68" fillId="0" borderId="3" xfId="8" applyFont="1" applyBorder="1" applyAlignment="1" applyProtection="1">
      <alignment horizontal="left" vertical="center" wrapText="1"/>
    </xf>
    <xf numFmtId="0" fontId="68" fillId="0" borderId="0" xfId="8" applyFont="1" applyFill="1" applyAlignment="1" applyProtection="1">
      <alignment horizontal="left" vertical="center" wrapText="1"/>
    </xf>
    <xf numFmtId="0" fontId="66" fillId="0" borderId="0" xfId="8" applyFont="1" applyAlignment="1" applyProtection="1">
      <alignment horizontal="left" vertical="center" wrapText="1"/>
    </xf>
    <xf numFmtId="0" fontId="74" fillId="0" borderId="1" xfId="0" applyFont="1" applyFill="1" applyBorder="1" applyAlignment="1" applyProtection="1">
      <alignment horizontal="left" vertical="center" wrapText="1"/>
      <protection locked="0"/>
    </xf>
    <xf numFmtId="0" fontId="68" fillId="0" borderId="1" xfId="82" applyFont="1" applyFill="1" applyBorder="1" applyAlignment="1" applyProtection="1">
      <alignment horizontal="left" vertical="center" wrapText="1"/>
      <protection locked="0"/>
    </xf>
    <xf numFmtId="2" fontId="78" fillId="0" borderId="1" xfId="8" applyNumberFormat="1" applyFont="1" applyFill="1" applyBorder="1" applyAlignment="1" applyProtection="1">
      <alignment vertical="center" wrapText="1"/>
      <protection locked="0"/>
    </xf>
    <xf numFmtId="43" fontId="68" fillId="0" borderId="1" xfId="0" applyNumberFormat="1" applyFont="1" applyFill="1" applyBorder="1" applyAlignment="1" applyProtection="1">
      <alignment vertical="center" wrapText="1"/>
    </xf>
    <xf numFmtId="0" fontId="68" fillId="0" borderId="1" xfId="87" applyFont="1" applyFill="1" applyBorder="1" applyAlignment="1" applyProtection="1">
      <alignment horizontal="center" vertical="center" wrapText="1"/>
      <protection locked="0"/>
    </xf>
    <xf numFmtId="0" fontId="72" fillId="0" borderId="1" xfId="87" applyFont="1" applyFill="1" applyBorder="1" applyAlignment="1" applyProtection="1">
      <alignment horizontal="left" vertical="center" wrapText="1"/>
      <protection locked="0"/>
    </xf>
    <xf numFmtId="0" fontId="68" fillId="0" borderId="1" xfId="38" applyFont="1" applyFill="1" applyBorder="1" applyAlignment="1" applyProtection="1">
      <alignment horizontal="center" vertical="center" wrapText="1"/>
      <protection locked="0"/>
    </xf>
    <xf numFmtId="0" fontId="66" fillId="0" borderId="1" xfId="8" applyFont="1" applyFill="1" applyBorder="1" applyAlignment="1" applyProtection="1">
      <alignment horizontal="center" vertical="center" wrapText="1"/>
    </xf>
    <xf numFmtId="167" fontId="68" fillId="0" borderId="1" xfId="87" applyNumberFormat="1" applyFont="1" applyFill="1" applyBorder="1" applyAlignment="1" applyProtection="1">
      <alignment horizontal="right" vertical="center"/>
      <protection locked="0"/>
    </xf>
    <xf numFmtId="0" fontId="68" fillId="0" borderId="5" xfId="87" applyFont="1" applyFill="1" applyBorder="1" applyAlignment="1" applyProtection="1">
      <alignment horizontal="left" vertical="top" wrapText="1"/>
      <protection locked="0"/>
    </xf>
    <xf numFmtId="0" fontId="68" fillId="0" borderId="1" xfId="4" applyFont="1" applyFill="1" applyBorder="1" applyAlignment="1" applyProtection="1">
      <alignment horizontal="left" vertical="center" wrapText="1"/>
      <protection locked="0"/>
    </xf>
    <xf numFmtId="0" fontId="72" fillId="0" borderId="1" xfId="4" applyFont="1" applyFill="1" applyBorder="1" applyAlignment="1" applyProtection="1">
      <alignment vertical="center"/>
    </xf>
    <xf numFmtId="0" fontId="66" fillId="0" borderId="1" xfId="87" applyFont="1" applyFill="1" applyBorder="1" applyAlignment="1" applyProtection="1">
      <alignment horizontal="center" vertical="center" wrapText="1"/>
      <protection locked="0"/>
    </xf>
    <xf numFmtId="167" fontId="66" fillId="0" borderId="1" xfId="87" applyNumberFormat="1" applyFont="1" applyFill="1" applyBorder="1" applyAlignment="1" applyProtection="1">
      <alignment vertical="center"/>
      <protection locked="0"/>
    </xf>
    <xf numFmtId="167" fontId="66" fillId="0" borderId="1" xfId="87" applyNumberFormat="1" applyFont="1" applyFill="1" applyBorder="1" applyAlignment="1" applyProtection="1">
      <alignment horizontal="right" vertical="center"/>
      <protection locked="0"/>
    </xf>
    <xf numFmtId="2" fontId="66" fillId="0" borderId="1" xfId="87" applyNumberFormat="1" applyFont="1" applyFill="1" applyBorder="1" applyAlignment="1" applyProtection="1">
      <alignment vertical="center" wrapText="1"/>
      <protection locked="0"/>
    </xf>
    <xf numFmtId="0" fontId="66" fillId="0" borderId="5" xfId="87" applyFont="1" applyFill="1" applyBorder="1" applyAlignment="1" applyProtection="1">
      <alignment horizontal="left" vertical="center" wrapText="1"/>
      <protection locked="0"/>
    </xf>
    <xf numFmtId="0" fontId="66" fillId="0" borderId="1" xfId="9" applyFont="1" applyFill="1" applyBorder="1" applyAlignment="1" applyProtection="1">
      <alignment horizontal="left" vertical="center" wrapText="1"/>
      <protection locked="0"/>
    </xf>
    <xf numFmtId="167" fontId="66" fillId="0" borderId="1" xfId="9" applyNumberFormat="1" applyFont="1" applyFill="1" applyBorder="1" applyAlignment="1" applyProtection="1">
      <alignment horizontal="center" vertical="center" wrapText="1"/>
      <protection locked="0"/>
    </xf>
    <xf numFmtId="43" fontId="72" fillId="0" borderId="1" xfId="1" applyFont="1" applyFill="1" applyBorder="1" applyAlignment="1" applyProtection="1">
      <alignment horizontal="center" vertical="center" wrapText="1"/>
      <protection locked="0"/>
    </xf>
    <xf numFmtId="2" fontId="72" fillId="0" borderId="1" xfId="8" applyNumberFormat="1" applyFont="1" applyFill="1" applyBorder="1" applyAlignment="1" applyProtection="1">
      <alignment vertical="center" wrapText="1"/>
    </xf>
    <xf numFmtId="2" fontId="68" fillId="0" borderId="1" xfId="0" applyNumberFormat="1" applyFont="1" applyFill="1" applyBorder="1" applyAlignment="1" applyProtection="1">
      <alignment horizontal="right" vertical="center" wrapText="1"/>
    </xf>
    <xf numFmtId="2" fontId="68" fillId="0" borderId="1" xfId="9" applyNumberFormat="1" applyFont="1" applyFill="1" applyBorder="1" applyAlignment="1" applyProtection="1">
      <alignment vertical="center" wrapText="1"/>
    </xf>
    <xf numFmtId="0" fontId="66" fillId="0" borderId="0" xfId="0" applyFont="1" applyFill="1" applyBorder="1" applyAlignment="1" applyProtection="1">
      <alignment horizontal="left" vertical="center" wrapText="1"/>
    </xf>
    <xf numFmtId="0" fontId="70" fillId="0" borderId="0" xfId="0" applyFont="1" applyFill="1" applyBorder="1" applyAlignment="1" applyProtection="1">
      <alignment horizontal="left" vertical="center" wrapText="1"/>
    </xf>
    <xf numFmtId="0" fontId="66" fillId="24" borderId="1" xfId="38" applyFont="1" applyFill="1" applyBorder="1" applyAlignment="1" applyProtection="1">
      <alignment horizontal="left" vertical="center" wrapText="1"/>
    </xf>
    <xf numFmtId="0" fontId="66" fillId="4" borderId="1" xfId="4" applyFont="1" applyFill="1" applyBorder="1" applyAlignment="1" applyProtection="1">
      <alignment horizontal="left" vertical="center" wrapText="1"/>
      <protection locked="0"/>
    </xf>
    <xf numFmtId="0" fontId="68" fillId="4" borderId="1" xfId="8" applyFont="1" applyFill="1" applyBorder="1" applyAlignment="1" applyProtection="1">
      <alignment horizontal="left" vertical="top" wrapText="1"/>
      <protection locked="0"/>
    </xf>
    <xf numFmtId="0" fontId="68" fillId="0" borderId="1" xfId="9" applyFont="1" applyBorder="1" applyAlignment="1" applyProtection="1">
      <alignment horizontal="left" vertical="top" wrapText="1"/>
      <protection locked="0"/>
    </xf>
    <xf numFmtId="0" fontId="72" fillId="0" borderId="1" xfId="8" applyFont="1" applyFill="1" applyBorder="1" applyAlignment="1" applyProtection="1">
      <alignment horizontal="left" wrapText="1"/>
      <protection locked="0"/>
    </xf>
    <xf numFmtId="0" fontId="72" fillId="0" borderId="1" xfId="0" applyFont="1" applyBorder="1" applyAlignment="1" applyProtection="1">
      <alignment horizontal="left" wrapText="1"/>
      <protection locked="0"/>
    </xf>
    <xf numFmtId="0" fontId="66" fillId="0" borderId="0" xfId="0" applyFont="1" applyFill="1" applyBorder="1" applyAlignment="1" applyProtection="1">
      <alignment horizontal="center" wrapText="1"/>
    </xf>
    <xf numFmtId="0" fontId="70" fillId="0" borderId="0" xfId="0" applyFont="1" applyFill="1" applyBorder="1" applyAlignment="1" applyProtection="1">
      <alignment horizontal="center" wrapText="1"/>
    </xf>
    <xf numFmtId="0" fontId="66" fillId="24" borderId="1" xfId="38" applyFont="1" applyFill="1" applyBorder="1" applyAlignment="1" applyProtection="1">
      <alignment horizontal="center" wrapText="1"/>
    </xf>
    <xf numFmtId="0" fontId="72" fillId="0" borderId="1" xfId="8" applyFont="1" applyFill="1" applyBorder="1" applyAlignment="1" applyProtection="1">
      <alignment horizontal="center" wrapText="1"/>
      <protection locked="0"/>
    </xf>
    <xf numFmtId="0" fontId="72" fillId="0" borderId="1" xfId="0" applyFont="1" applyBorder="1" applyAlignment="1" applyProtection="1">
      <alignment horizontal="center" wrapText="1"/>
      <protection locked="0"/>
    </xf>
    <xf numFmtId="0" fontId="66" fillId="0" borderId="0" xfId="0" applyFont="1" applyFill="1" applyBorder="1" applyAlignment="1" applyProtection="1">
      <alignment horizontal="center" vertical="center" wrapText="1"/>
    </xf>
    <xf numFmtId="0" fontId="67" fillId="6" borderId="1" xfId="9" applyFont="1" applyFill="1" applyBorder="1" applyAlignment="1" applyProtection="1">
      <alignment horizontal="center" vertical="center" wrapText="1"/>
      <protection locked="0"/>
    </xf>
    <xf numFmtId="0" fontId="67" fillId="0" borderId="1" xfId="9" applyFont="1" applyFill="1" applyBorder="1" applyAlignment="1" applyProtection="1">
      <alignment horizontal="center" vertical="center" wrapText="1"/>
      <protection locked="0"/>
    </xf>
    <xf numFmtId="0" fontId="68" fillId="11" borderId="1" xfId="9" applyFont="1" applyFill="1" applyBorder="1" applyAlignment="1" applyProtection="1">
      <alignment horizontal="center" vertical="center" wrapText="1"/>
      <protection locked="0"/>
    </xf>
    <xf numFmtId="0" fontId="67" fillId="6" borderId="1" xfId="4" applyFont="1" applyFill="1" applyBorder="1" applyAlignment="1" applyProtection="1">
      <alignment horizontal="center" vertical="center" wrapText="1"/>
      <protection locked="0"/>
    </xf>
    <xf numFmtId="0" fontId="67" fillId="4" borderId="1" xfId="4" applyFont="1" applyFill="1" applyBorder="1" applyAlignment="1" applyProtection="1">
      <alignment horizontal="center" vertical="center" wrapText="1"/>
      <protection locked="0"/>
    </xf>
    <xf numFmtId="0" fontId="68" fillId="4" borderId="1" xfId="4" applyFont="1" applyFill="1" applyBorder="1" applyAlignment="1" applyProtection="1">
      <alignment horizontal="center" vertical="center" wrapText="1"/>
      <protection locked="0"/>
    </xf>
    <xf numFmtId="0" fontId="66" fillId="4" borderId="1" xfId="4" applyFont="1" applyFill="1" applyBorder="1" applyAlignment="1" applyProtection="1">
      <alignment horizontal="center" vertical="center" wrapText="1"/>
      <protection locked="0"/>
    </xf>
    <xf numFmtId="0" fontId="72" fillId="0" borderId="1" xfId="11" applyFont="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68" fillId="0" borderId="1" xfId="4" applyFont="1" applyFill="1" applyBorder="1" applyAlignment="1" applyProtection="1">
      <alignment horizontal="center" vertical="center" wrapText="1"/>
      <protection locked="0"/>
    </xf>
    <xf numFmtId="2" fontId="68" fillId="0" borderId="1" xfId="0" applyNumberFormat="1" applyFont="1" applyBorder="1" applyAlignment="1" applyProtection="1">
      <alignment horizontal="right" vertical="center" wrapText="1"/>
    </xf>
    <xf numFmtId="2" fontId="68" fillId="0" borderId="1" xfId="9" applyNumberFormat="1" applyFont="1" applyBorder="1" applyAlignment="1" applyProtection="1">
      <alignment vertical="center" wrapText="1"/>
    </xf>
    <xf numFmtId="0" fontId="68" fillId="0" borderId="5" xfId="11" applyFont="1" applyBorder="1" applyAlignment="1" applyProtection="1">
      <alignment horizontal="left" vertical="center" wrapText="1"/>
      <protection locked="0"/>
    </xf>
    <xf numFmtId="0" fontId="66" fillId="0" borderId="1" xfId="9" applyFont="1" applyBorder="1" applyAlignment="1" applyProtection="1">
      <alignment horizontal="center" vertical="center" wrapText="1"/>
      <protection locked="0"/>
    </xf>
    <xf numFmtId="0" fontId="66" fillId="0" borderId="5" xfId="9" applyFont="1" applyBorder="1" applyAlignment="1" applyProtection="1">
      <alignment horizontal="left" vertical="top" wrapText="1"/>
      <protection locked="0"/>
    </xf>
    <xf numFmtId="2" fontId="72" fillId="0" borderId="1" xfId="4" applyNumberFormat="1" applyFont="1" applyFill="1" applyBorder="1" applyAlignment="1" applyProtection="1">
      <alignment horizontal="left" vertical="center" wrapText="1"/>
      <protection locked="0"/>
    </xf>
    <xf numFmtId="0" fontId="67" fillId="28" borderId="1" xfId="11" applyFont="1" applyFill="1" applyBorder="1" applyAlignment="1" applyProtection="1">
      <alignment horizontal="center" vertical="center" wrapText="1"/>
    </xf>
    <xf numFmtId="0" fontId="67" fillId="28" borderId="1" xfId="11" applyFont="1" applyFill="1" applyBorder="1" applyAlignment="1" applyProtection="1">
      <alignment horizontal="center" vertical="center" wrapText="1"/>
      <protection locked="0"/>
    </xf>
    <xf numFmtId="43" fontId="66" fillId="5" borderId="13" xfId="1" applyFont="1" applyFill="1" applyBorder="1" applyAlignment="1" applyProtection="1">
      <alignment horizontal="center" vertical="center" wrapText="1"/>
    </xf>
    <xf numFmtId="0" fontId="72" fillId="0" borderId="0" xfId="11" applyFont="1" applyAlignment="1" applyProtection="1">
      <alignment vertical="center" wrapText="1"/>
    </xf>
    <xf numFmtId="0" fontId="67" fillId="28" borderId="1" xfId="62" applyFont="1" applyFill="1" applyBorder="1" applyAlignment="1" applyProtection="1">
      <alignment vertical="center"/>
    </xf>
    <xf numFmtId="0" fontId="72" fillId="2" borderId="1" xfId="4" applyFont="1" applyFill="1" applyBorder="1" applyAlignment="1" applyProtection="1">
      <alignment horizontal="center" vertical="center" wrapText="1"/>
    </xf>
    <xf numFmtId="0" fontId="67" fillId="2" borderId="5" xfId="4" applyFont="1" applyFill="1" applyBorder="1" applyAlignment="1" applyProtection="1">
      <alignment horizontal="left" vertical="center" wrapText="1"/>
    </xf>
    <xf numFmtId="0" fontId="72" fillId="0" borderId="1" xfId="82" applyFont="1" applyBorder="1" applyAlignment="1" applyProtection="1">
      <alignment vertical="center"/>
    </xf>
    <xf numFmtId="0" fontId="67" fillId="29" borderId="1" xfId="4" applyFont="1" applyFill="1" applyBorder="1" applyAlignment="1" applyProtection="1">
      <alignment horizontal="center" vertical="center" wrapText="1"/>
    </xf>
    <xf numFmtId="0" fontId="72" fillId="0" borderId="1" xfId="82" applyFont="1" applyBorder="1" applyAlignment="1" applyProtection="1">
      <alignment vertical="center"/>
      <protection locked="0"/>
    </xf>
    <xf numFmtId="0" fontId="99" fillId="0" borderId="1" xfId="82" applyFont="1" applyFill="1" applyBorder="1" applyAlignment="1" applyProtection="1">
      <alignment vertical="center"/>
      <protection locked="0"/>
    </xf>
    <xf numFmtId="0" fontId="99" fillId="0" borderId="1" xfId="8" applyFont="1" applyFill="1" applyBorder="1" applyAlignment="1" applyProtection="1">
      <alignment horizontal="center" vertical="center" wrapText="1"/>
      <protection locked="0"/>
    </xf>
    <xf numFmtId="43" fontId="72" fillId="0" borderId="1" xfId="1" applyFont="1" applyBorder="1" applyAlignment="1" applyProtection="1">
      <alignment vertical="center" wrapText="1"/>
    </xf>
    <xf numFmtId="0" fontId="99" fillId="0" borderId="1" xfId="82" applyFont="1" applyFill="1" applyBorder="1" applyAlignment="1" applyProtection="1">
      <alignment horizontal="left" vertical="center" wrapText="1"/>
      <protection locked="0"/>
    </xf>
    <xf numFmtId="43" fontId="87" fillId="0" borderId="1" xfId="1" applyFont="1" applyBorder="1" applyAlignment="1" applyProtection="1">
      <alignment vertical="center"/>
    </xf>
    <xf numFmtId="0" fontId="72" fillId="0" borderId="0" xfId="82" applyFont="1" applyAlignment="1" applyProtection="1">
      <alignment vertical="center"/>
    </xf>
    <xf numFmtId="0" fontId="72" fillId="0" borderId="1" xfId="82" applyFont="1" applyBorder="1" applyAlignment="1" applyProtection="1">
      <alignment horizontal="center" vertical="center"/>
    </xf>
    <xf numFmtId="0" fontId="99" fillId="0" borderId="1" xfId="82" applyFont="1" applyFill="1" applyBorder="1" applyAlignment="1" applyProtection="1">
      <alignment vertical="center" wrapText="1"/>
      <protection locked="0"/>
    </xf>
    <xf numFmtId="0" fontId="99" fillId="0" borderId="5" xfId="82" applyFont="1" applyFill="1" applyBorder="1" applyAlignment="1" applyProtection="1">
      <alignment horizontal="left" vertical="center" wrapText="1"/>
      <protection locked="0"/>
    </xf>
    <xf numFmtId="0" fontId="99" fillId="0" borderId="0" xfId="0" applyFont="1" applyFill="1" applyAlignment="1" applyProtection="1">
      <alignment horizontal="center" vertical="center"/>
      <protection locked="0"/>
    </xf>
    <xf numFmtId="0" fontId="98" fillId="0" borderId="5" xfId="82" applyFont="1" applyFill="1" applyBorder="1" applyAlignment="1" applyProtection="1">
      <alignment horizontal="left" vertical="center" wrapText="1"/>
      <protection locked="0"/>
    </xf>
    <xf numFmtId="0" fontId="99" fillId="0" borderId="5" xfId="82" applyNumberFormat="1" applyFont="1" applyFill="1" applyBorder="1" applyAlignment="1" applyProtection="1">
      <alignment horizontal="left" vertical="center" wrapText="1"/>
      <protection locked="0"/>
    </xf>
    <xf numFmtId="0" fontId="67" fillId="28" borderId="1" xfId="82" applyFont="1" applyFill="1" applyBorder="1" applyAlignment="1" applyProtection="1">
      <alignment vertical="center"/>
    </xf>
    <xf numFmtId="0" fontId="67" fillId="2" borderId="5" xfId="4" applyFont="1" applyFill="1" applyBorder="1" applyAlignment="1" applyProtection="1">
      <alignment horizontal="left" vertical="center" wrapText="1"/>
      <protection locked="0"/>
    </xf>
    <xf numFmtId="0" fontId="99" fillId="0" borderId="5" xfId="0" applyFont="1" applyFill="1" applyBorder="1" applyAlignment="1" applyProtection="1">
      <alignment horizontal="left" vertical="center" wrapText="1"/>
      <protection locked="0"/>
    </xf>
    <xf numFmtId="0" fontId="98" fillId="0" borderId="1" xfId="0" applyFont="1" applyFill="1" applyBorder="1" applyAlignment="1" applyProtection="1">
      <alignment horizontal="left" vertical="center" wrapText="1"/>
      <protection locked="0"/>
    </xf>
    <xf numFmtId="0" fontId="99" fillId="0" borderId="1" xfId="0" applyFont="1" applyFill="1" applyBorder="1" applyAlignment="1" applyProtection="1">
      <alignment horizontal="left" wrapText="1"/>
      <protection locked="0"/>
    </xf>
    <xf numFmtId="167" fontId="72" fillId="0" borderId="1" xfId="14" applyNumberFormat="1" applyFont="1" applyBorder="1" applyAlignment="1" applyProtection="1">
      <alignment vertical="center" wrapText="1"/>
      <protection locked="0"/>
    </xf>
    <xf numFmtId="0" fontId="99" fillId="0" borderId="1" xfId="0" applyFont="1" applyFill="1" applyBorder="1" applyAlignment="1" applyProtection="1">
      <alignment horizontal="left" vertical="center" wrapText="1"/>
      <protection locked="0"/>
    </xf>
    <xf numFmtId="0" fontId="72" fillId="0" borderId="1" xfId="82" applyFont="1" applyBorder="1" applyAlignment="1" applyProtection="1">
      <alignment vertical="center" wrapText="1"/>
      <protection locked="0"/>
    </xf>
    <xf numFmtId="0" fontId="99" fillId="0" borderId="5" xfId="82" applyFont="1" applyFill="1" applyBorder="1" applyAlignment="1" applyProtection="1">
      <alignment horizontal="left" vertical="center"/>
      <protection locked="0"/>
    </xf>
    <xf numFmtId="0" fontId="72" fillId="0" borderId="1" xfId="0" applyFont="1" applyBorder="1" applyAlignment="1" applyProtection="1">
      <alignment horizontal="left" vertical="center" wrapText="1"/>
    </xf>
    <xf numFmtId="0" fontId="72" fillId="0" borderId="1" xfId="82" applyFont="1" applyFill="1" applyBorder="1" applyAlignment="1" applyProtection="1">
      <alignment vertical="center"/>
    </xf>
    <xf numFmtId="0" fontId="87" fillId="0" borderId="1" xfId="0" applyFont="1" applyBorder="1" applyAlignment="1" applyProtection="1">
      <alignment wrapText="1"/>
    </xf>
    <xf numFmtId="0" fontId="72" fillId="0" borderId="5" xfId="82" applyFont="1" applyBorder="1" applyAlignment="1" applyProtection="1">
      <alignment horizontal="left" vertical="center" wrapText="1"/>
      <protection locked="0"/>
    </xf>
    <xf numFmtId="0" fontId="72" fillId="0" borderId="5" xfId="82" applyFont="1" applyBorder="1" applyAlignment="1" applyProtection="1">
      <alignment horizontal="left" vertical="center"/>
      <protection locked="0"/>
    </xf>
    <xf numFmtId="0" fontId="67" fillId="0" borderId="1" xfId="4" applyFont="1" applyBorder="1" applyAlignment="1" applyProtection="1">
      <alignment vertical="center" wrapText="1"/>
      <protection locked="0"/>
    </xf>
    <xf numFmtId="0" fontId="98" fillId="0" borderId="1" xfId="82" applyFont="1" applyFill="1" applyBorder="1" applyAlignment="1" applyProtection="1">
      <alignment vertical="center" wrapText="1"/>
      <protection locked="0"/>
    </xf>
    <xf numFmtId="0" fontId="72" fillId="0" borderId="1" xfId="82" applyFont="1" applyBorder="1" applyAlignment="1" applyProtection="1">
      <alignment vertical="center" wrapText="1"/>
    </xf>
    <xf numFmtId="0" fontId="98" fillId="0" borderId="1" xfId="4" applyFont="1" applyFill="1" applyBorder="1" applyAlignment="1" applyProtection="1">
      <alignment vertical="center" wrapText="1"/>
      <protection locked="0"/>
    </xf>
    <xf numFmtId="0" fontId="98" fillId="0" borderId="1" xfId="8" applyFont="1" applyFill="1" applyBorder="1" applyAlignment="1" applyProtection="1">
      <alignment horizontal="center" vertical="center" wrapText="1"/>
      <protection locked="0"/>
    </xf>
    <xf numFmtId="0" fontId="98" fillId="0" borderId="1" xfId="82" applyFont="1" applyFill="1" applyBorder="1" applyAlignment="1" applyProtection="1">
      <alignment horizontal="left" vertical="center" wrapText="1"/>
      <protection locked="0"/>
    </xf>
    <xf numFmtId="0" fontId="67" fillId="0" borderId="1" xfId="0" applyFont="1" applyBorder="1" applyAlignment="1" applyProtection="1">
      <alignment vertical="center"/>
      <protection locked="0"/>
    </xf>
    <xf numFmtId="2" fontId="72" fillId="0" borderId="1" xfId="4" applyNumberFormat="1" applyFont="1" applyBorder="1" applyAlignment="1" applyProtection="1">
      <alignment vertical="center" wrapText="1"/>
    </xf>
    <xf numFmtId="0" fontId="99" fillId="0" borderId="1" xfId="0" applyFont="1" applyFill="1" applyBorder="1" applyAlignment="1" applyProtection="1">
      <alignment horizontal="center" vertical="center"/>
      <protection locked="0"/>
    </xf>
    <xf numFmtId="2" fontId="67" fillId="2" borderId="1" xfId="4" applyNumberFormat="1" applyFont="1" applyFill="1" applyBorder="1" applyAlignment="1" applyProtection="1">
      <alignment horizontal="left" vertical="center" wrapText="1"/>
    </xf>
    <xf numFmtId="0" fontId="72" fillId="0" borderId="1" xfId="0" applyFont="1" applyBorder="1" applyAlignment="1" applyProtection="1">
      <alignment horizontal="left"/>
    </xf>
    <xf numFmtId="43" fontId="87" fillId="47" borderId="1" xfId="1" applyFont="1" applyFill="1" applyBorder="1" applyAlignment="1" applyProtection="1">
      <alignment vertical="center"/>
      <protection locked="0"/>
    </xf>
    <xf numFmtId="0" fontId="72" fillId="0" borderId="1" xfId="0" applyFont="1" applyBorder="1" applyAlignment="1" applyProtection="1">
      <alignment vertical="center"/>
      <protection locked="0"/>
    </xf>
    <xf numFmtId="0" fontId="67" fillId="0" borderId="1" xfId="0" applyFont="1" applyBorder="1" applyAlignment="1" applyProtection="1">
      <alignment horizontal="left" wrapText="1"/>
      <protection locked="0"/>
    </xf>
    <xf numFmtId="2" fontId="99" fillId="0" borderId="1" xfId="0" applyNumberFormat="1"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1" xfId="4" applyFont="1" applyFill="1" applyBorder="1" applyAlignment="1" applyProtection="1">
      <alignment horizontal="left" vertical="center" wrapText="1"/>
      <protection locked="0"/>
    </xf>
    <xf numFmtId="0" fontId="87" fillId="0" borderId="1" xfId="0" applyFont="1" applyBorder="1" applyAlignment="1" applyProtection="1">
      <alignment horizontal="left" vertical="center" wrapText="1"/>
    </xf>
    <xf numFmtId="0" fontId="72" fillId="0" borderId="1" xfId="0" applyFont="1" applyBorder="1" applyAlignment="1" applyProtection="1">
      <alignment horizontal="left" wrapText="1"/>
    </xf>
    <xf numFmtId="0" fontId="72" fillId="0" borderId="1" xfId="82" applyFont="1" applyBorder="1" applyAlignment="1" applyProtection="1">
      <alignment horizontal="left" vertical="center" wrapText="1"/>
    </xf>
    <xf numFmtId="0" fontId="72" fillId="0" borderId="1" xfId="82" applyFont="1" applyBorder="1" applyAlignment="1" applyProtection="1">
      <alignment horizontal="center" vertical="center" wrapText="1"/>
    </xf>
    <xf numFmtId="0" fontId="72" fillId="0" borderId="1" xfId="82" applyFont="1" applyFill="1" applyBorder="1" applyAlignment="1" applyProtection="1">
      <alignment horizontal="left" vertical="center" wrapText="1"/>
    </xf>
    <xf numFmtId="0" fontId="72" fillId="0" borderId="1" xfId="82" applyFont="1" applyFill="1" applyBorder="1" applyAlignment="1" applyProtection="1">
      <alignment horizontal="center" vertical="center" wrapText="1"/>
    </xf>
    <xf numFmtId="0" fontId="67" fillId="0" borderId="1" xfId="0" applyFont="1" applyFill="1" applyBorder="1" applyAlignment="1" applyProtection="1">
      <alignment vertical="center"/>
      <protection locked="0"/>
    </xf>
    <xf numFmtId="0" fontId="72" fillId="0" borderId="0" xfId="82" applyFont="1" applyFill="1" applyAlignment="1" applyProtection="1">
      <alignment vertical="center"/>
    </xf>
    <xf numFmtId="0" fontId="72" fillId="0" borderId="1" xfId="82" applyFont="1" applyBorder="1" applyAlignment="1" applyProtection="1">
      <alignment horizontal="left" vertical="center"/>
    </xf>
    <xf numFmtId="0" fontId="72" fillId="0" borderId="1" xfId="82" applyFont="1" applyFill="1" applyBorder="1" applyAlignment="1" applyProtection="1">
      <alignment vertical="center" wrapText="1"/>
    </xf>
    <xf numFmtId="0" fontId="72" fillId="0" borderId="1" xfId="82" applyFont="1" applyFill="1" applyBorder="1" applyAlignment="1" applyProtection="1">
      <alignment horizontal="center" vertical="center"/>
    </xf>
    <xf numFmtId="0" fontId="72" fillId="0" borderId="1" xfId="82" applyFont="1" applyFill="1" applyBorder="1" applyAlignment="1" applyProtection="1">
      <alignment vertical="center"/>
      <protection locked="0"/>
    </xf>
    <xf numFmtId="0" fontId="72" fillId="0" borderId="1" xfId="82" applyFont="1" applyFill="1" applyBorder="1" applyAlignment="1" applyProtection="1">
      <alignment horizontal="center" vertical="center"/>
      <protection locked="0"/>
    </xf>
    <xf numFmtId="0" fontId="72" fillId="0" borderId="5" xfId="82" applyFont="1" applyFill="1" applyBorder="1" applyAlignment="1" applyProtection="1">
      <alignment horizontal="left" vertical="center" wrapText="1"/>
      <protection locked="0"/>
    </xf>
    <xf numFmtId="43" fontId="87" fillId="0" borderId="1" xfId="1" applyFont="1" applyBorder="1" applyAlignment="1" applyProtection="1">
      <alignment horizontal="left" vertical="center"/>
    </xf>
    <xf numFmtId="0" fontId="67" fillId="0" borderId="1" xfId="11" applyFont="1" applyFill="1" applyBorder="1" applyAlignment="1" applyProtection="1">
      <alignment horizontal="left" vertical="center" wrapText="1"/>
    </xf>
    <xf numFmtId="0" fontId="67" fillId="0" borderId="1" xfId="11" applyFont="1" applyFill="1" applyBorder="1" applyAlignment="1" applyProtection="1">
      <alignment horizontal="left" vertical="center" wrapText="1"/>
      <protection locked="0"/>
    </xf>
    <xf numFmtId="0" fontId="67" fillId="0" borderId="5" xfId="11" applyFont="1" applyFill="1" applyBorder="1" applyAlignment="1" applyProtection="1">
      <alignment horizontal="left" vertical="center" wrapText="1"/>
      <protection locked="0"/>
    </xf>
    <xf numFmtId="43" fontId="87" fillId="0" borderId="1" xfId="1" applyFont="1" applyBorder="1" applyAlignment="1" applyProtection="1">
      <alignment horizontal="left" vertical="center" wrapText="1"/>
    </xf>
    <xf numFmtId="0" fontId="72" fillId="0" borderId="0" xfId="11" applyFont="1" applyFill="1" applyAlignment="1" applyProtection="1">
      <alignment vertical="center" wrapText="1"/>
    </xf>
    <xf numFmtId="0" fontId="99" fillId="0" borderId="5" xfId="4" applyFont="1" applyFill="1" applyBorder="1" applyAlignment="1" applyProtection="1">
      <alignment horizontal="left" vertical="center" wrapText="1"/>
      <protection locked="0"/>
    </xf>
    <xf numFmtId="0" fontId="72" fillId="0" borderId="1" xfId="82" applyFont="1" applyFill="1" applyBorder="1" applyAlignment="1" applyProtection="1">
      <alignment horizontal="left" vertical="center"/>
    </xf>
    <xf numFmtId="0" fontId="72" fillId="0" borderId="1" xfId="62" applyFont="1" applyBorder="1" applyAlignment="1" applyProtection="1">
      <alignment vertical="center" wrapText="1"/>
    </xf>
    <xf numFmtId="0" fontId="99" fillId="0" borderId="5" xfId="60" applyFont="1" applyFill="1" applyBorder="1" applyAlignment="1" applyProtection="1">
      <alignment horizontal="left" vertical="center" wrapText="1"/>
      <protection locked="0"/>
    </xf>
    <xf numFmtId="43" fontId="86" fillId="0" borderId="1" xfId="1" applyFont="1" applyBorder="1" applyAlignment="1" applyProtection="1">
      <alignment horizontal="left" vertical="center" wrapText="1"/>
    </xf>
    <xf numFmtId="0" fontId="67" fillId="0" borderId="0" xfId="82" applyFont="1" applyAlignment="1" applyProtection="1">
      <alignment vertical="center"/>
    </xf>
    <xf numFmtId="0" fontId="72" fillId="0" borderId="0" xfId="82" applyFont="1" applyAlignment="1" applyProtection="1">
      <alignment horizontal="center" vertical="center"/>
    </xf>
    <xf numFmtId="43" fontId="72" fillId="0" borderId="0" xfId="1" applyFont="1" applyAlignment="1" applyProtection="1">
      <alignment vertical="center"/>
    </xf>
    <xf numFmtId="0" fontId="72" fillId="0" borderId="0" xfId="82" applyFont="1" applyAlignment="1" applyProtection="1">
      <alignment horizontal="left" vertical="center"/>
    </xf>
    <xf numFmtId="0" fontId="72" fillId="0" borderId="1" xfId="8" applyFont="1" applyFill="1" applyBorder="1" applyAlignment="1" applyProtection="1">
      <alignment horizontal="left" vertical="center"/>
      <protection locked="0"/>
    </xf>
    <xf numFmtId="0" fontId="72" fillId="0" borderId="1" xfId="38" applyFont="1" applyFill="1" applyBorder="1" applyAlignment="1" applyProtection="1">
      <alignment horizontal="left" vertical="top" wrapText="1"/>
      <protection locked="0"/>
    </xf>
    <xf numFmtId="0" fontId="72" fillId="0" borderId="1" xfId="0" applyFont="1" applyFill="1" applyBorder="1" applyAlignment="1" applyProtection="1">
      <alignment horizontal="left" vertical="top" wrapText="1"/>
      <protection locked="0"/>
    </xf>
    <xf numFmtId="0" fontId="72" fillId="0" borderId="1" xfId="11" applyFont="1" applyFill="1" applyBorder="1" applyAlignment="1" applyProtection="1">
      <alignment vertical="top" wrapText="1"/>
      <protection locked="0"/>
    </xf>
    <xf numFmtId="0" fontId="72" fillId="0" borderId="1" xfId="11" applyFont="1" applyFill="1" applyBorder="1" applyAlignment="1" applyProtection="1">
      <alignment horizontal="left" vertical="top" wrapText="1"/>
      <protection locked="0"/>
    </xf>
    <xf numFmtId="2" fontId="68" fillId="0" borderId="5" xfId="48" applyNumberFormat="1" applyFont="1" applyFill="1" applyBorder="1" applyAlignment="1" applyProtection="1">
      <alignment horizontal="left" vertical="top" wrapText="1"/>
      <protection locked="0"/>
    </xf>
    <xf numFmtId="0" fontId="72" fillId="0" borderId="2" xfId="8" applyFont="1" applyFill="1" applyBorder="1" applyAlignment="1" applyProtection="1">
      <alignment horizontal="center" vertical="top" wrapText="1"/>
      <protection locked="0"/>
    </xf>
    <xf numFmtId="0" fontId="68" fillId="0" borderId="20" xfId="97" applyFont="1" applyFill="1" applyBorder="1" applyAlignment="1" applyProtection="1">
      <alignment horizontal="center" vertical="top"/>
      <protection locked="0"/>
    </xf>
    <xf numFmtId="43" fontId="68" fillId="0" borderId="1" xfId="1" applyFont="1" applyFill="1" applyBorder="1" applyAlignment="1" applyProtection="1">
      <alignment horizontal="center" vertical="top"/>
    </xf>
    <xf numFmtId="0" fontId="68" fillId="0" borderId="1" xfId="97" applyFont="1" applyFill="1" applyBorder="1" applyAlignment="1" applyProtection="1">
      <alignment horizontal="center" vertical="top"/>
      <protection locked="0"/>
    </xf>
    <xf numFmtId="0" fontId="68" fillId="0" borderId="1" xfId="0" applyFont="1" applyFill="1" applyBorder="1" applyAlignment="1" applyProtection="1">
      <alignment horizontal="left" vertical="top" wrapText="1"/>
      <protection locked="0"/>
    </xf>
    <xf numFmtId="2" fontId="68" fillId="0" borderId="1" xfId="48" applyNumberFormat="1" applyFont="1" applyFill="1" applyBorder="1" applyAlignment="1" applyProtection="1">
      <alignment horizontal="left" vertical="top" wrapText="1"/>
      <protection locked="0"/>
    </xf>
    <xf numFmtId="0" fontId="68" fillId="0" borderId="1" xfId="97" applyFont="1" applyFill="1" applyBorder="1" applyAlignment="1" applyProtection="1">
      <alignment vertical="top"/>
      <protection locked="0"/>
    </xf>
    <xf numFmtId="0" fontId="68" fillId="0" borderId="1" xfId="97" applyFont="1" applyFill="1" applyBorder="1" applyAlignment="1" applyProtection="1">
      <alignment vertical="top" wrapText="1"/>
      <protection locked="0"/>
    </xf>
    <xf numFmtId="0" fontId="68" fillId="0" borderId="2" xfId="8" applyFont="1" applyFill="1" applyBorder="1" applyAlignment="1" applyProtection="1">
      <alignment horizontal="center" vertical="top" wrapText="1"/>
      <protection locked="0"/>
    </xf>
    <xf numFmtId="2" fontId="68" fillId="0" borderId="5" xfId="48" applyNumberFormat="1" applyFont="1" applyFill="1" applyBorder="1" applyAlignment="1" applyProtection="1">
      <alignment horizontal="left" vertical="top"/>
      <protection locked="0"/>
    </xf>
    <xf numFmtId="0" fontId="72" fillId="0" borderId="1" xfId="97" applyFont="1" applyFill="1" applyBorder="1" applyAlignment="1" applyProtection="1">
      <alignment vertical="top" wrapText="1"/>
      <protection locked="0"/>
    </xf>
    <xf numFmtId="0" fontId="68" fillId="0" borderId="0" xfId="97" applyFont="1" applyFill="1" applyAlignment="1" applyProtection="1">
      <alignment horizontal="center" vertical="top"/>
    </xf>
    <xf numFmtId="0" fontId="68" fillId="0" borderId="1" xfId="50" applyFont="1" applyFill="1" applyBorder="1" applyAlignment="1" applyProtection="1">
      <alignment horizontal="left" vertical="top" wrapText="1"/>
    </xf>
    <xf numFmtId="0" fontId="68" fillId="0" borderId="1" xfId="5" applyFont="1" applyFill="1" applyBorder="1" applyAlignment="1" applyProtection="1">
      <alignment horizontal="left" vertical="top" wrapText="1"/>
    </xf>
    <xf numFmtId="0" fontId="68" fillId="0" borderId="1" xfId="97" applyFont="1" applyFill="1" applyBorder="1" applyAlignment="1" applyProtection="1">
      <alignment horizontal="center" vertical="top" wrapText="1"/>
    </xf>
    <xf numFmtId="0" fontId="68" fillId="0" borderId="5" xfId="97" applyFont="1" applyFill="1" applyBorder="1" applyAlignment="1" applyProtection="1">
      <alignment horizontal="center" vertical="top"/>
      <protection locked="0"/>
    </xf>
    <xf numFmtId="43" fontId="68" fillId="0" borderId="1" xfId="1" applyFont="1" applyFill="1" applyBorder="1" applyAlignment="1" applyProtection="1">
      <alignment horizontal="right" vertical="top"/>
      <protection locked="0"/>
    </xf>
    <xf numFmtId="0" fontId="68" fillId="0" borderId="0" xfId="97" applyFont="1" applyFill="1" applyAlignment="1" applyProtection="1">
      <alignment vertical="top"/>
    </xf>
    <xf numFmtId="0" fontId="87" fillId="0" borderId="1" xfId="0" applyFont="1" applyFill="1" applyBorder="1" applyAlignment="1" applyProtection="1">
      <alignment vertical="top" wrapText="1"/>
    </xf>
    <xf numFmtId="43" fontId="87" fillId="0" borderId="1" xfId="1" applyFont="1" applyFill="1" applyBorder="1" applyAlignment="1" applyProtection="1">
      <alignment vertical="top" wrapText="1"/>
    </xf>
    <xf numFmtId="0" fontId="68" fillId="0" borderId="1" xfId="0" applyFont="1" applyFill="1" applyBorder="1" applyAlignment="1" applyProtection="1">
      <alignment horizontal="center" vertical="top"/>
    </xf>
    <xf numFmtId="0" fontId="9" fillId="0" borderId="1" xfId="97" applyFont="1" applyFill="1" applyBorder="1" applyAlignment="1" applyProtection="1">
      <alignment horizontal="center" vertical="center"/>
      <protection locked="0"/>
    </xf>
    <xf numFmtId="0" fontId="9" fillId="0" borderId="1" xfId="8" applyFont="1" applyFill="1" applyBorder="1" applyAlignment="1" applyProtection="1">
      <alignment horizontal="center" vertical="center" wrapText="1"/>
      <protection locked="0"/>
    </xf>
    <xf numFmtId="0" fontId="88" fillId="0" borderId="1" xfId="0" applyFont="1" applyFill="1" applyBorder="1" applyAlignment="1" applyProtection="1">
      <alignment vertical="center" wrapText="1"/>
      <protection locked="0"/>
    </xf>
    <xf numFmtId="0" fontId="69" fillId="0" borderId="1" xfId="3" applyFont="1" applyFill="1" applyBorder="1" applyAlignment="1" applyProtection="1"/>
    <xf numFmtId="0" fontId="71" fillId="0" borderId="1" xfId="8" applyFont="1" applyFill="1" applyBorder="1" applyAlignment="1" applyProtection="1">
      <alignment horizontal="left" vertical="center" wrapText="1"/>
    </xf>
    <xf numFmtId="43" fontId="66" fillId="0" borderId="1" xfId="1" applyFont="1" applyBorder="1" applyAlignment="1" applyProtection="1">
      <alignment horizontal="right" vertical="center" wrapText="1"/>
    </xf>
    <xf numFmtId="2" fontId="67" fillId="0" borderId="1" xfId="8" applyNumberFormat="1" applyFont="1" applyFill="1" applyBorder="1" applyAlignment="1" applyProtection="1">
      <alignment horizontal="left" vertical="center" wrapText="1"/>
    </xf>
    <xf numFmtId="2" fontId="67" fillId="0" borderId="5" xfId="8" applyNumberFormat="1" applyFont="1" applyFill="1" applyBorder="1" applyAlignment="1" applyProtection="1">
      <alignment horizontal="left" vertical="center" wrapText="1"/>
    </xf>
    <xf numFmtId="2" fontId="67" fillId="0" borderId="6" xfId="8" applyNumberFormat="1" applyFont="1" applyFill="1" applyBorder="1" applyAlignment="1" applyProtection="1">
      <alignment horizontal="left" vertical="center" wrapText="1"/>
    </xf>
    <xf numFmtId="2" fontId="67" fillId="0" borderId="6" xfId="8" applyNumberFormat="1" applyFont="1" applyFill="1" applyBorder="1" applyAlignment="1" applyProtection="1">
      <alignment horizontal="right" vertical="center" wrapText="1"/>
    </xf>
    <xf numFmtId="0" fontId="67" fillId="0" borderId="2" xfId="8" applyFont="1" applyFill="1" applyBorder="1" applyAlignment="1" applyProtection="1">
      <alignment horizontal="left" vertical="center" wrapText="1"/>
    </xf>
    <xf numFmtId="0" fontId="67" fillId="0" borderId="5" xfId="8" applyFont="1" applyFill="1" applyBorder="1" applyAlignment="1" applyProtection="1">
      <alignment horizontal="left" vertical="center" wrapText="1"/>
    </xf>
    <xf numFmtId="0" fontId="72" fillId="0" borderId="0" xfId="0" applyFont="1" applyAlignment="1" applyProtection="1">
      <alignment vertical="center" wrapText="1"/>
    </xf>
    <xf numFmtId="0" fontId="72" fillId="0" borderId="0" xfId="0" applyFont="1" applyFill="1" applyAlignment="1" applyProtection="1">
      <alignment vertical="center" wrapText="1"/>
    </xf>
    <xf numFmtId="0" fontId="68" fillId="0" borderId="0" xfId="0" applyFont="1" applyAlignment="1" applyProtection="1">
      <alignment horizontal="center" vertical="center" wrapText="1"/>
    </xf>
    <xf numFmtId="0" fontId="71" fillId="7" borderId="1" xfId="38" applyFont="1" applyFill="1" applyBorder="1" applyAlignment="1" applyProtection="1">
      <alignment horizontal="left" vertical="center" wrapText="1"/>
    </xf>
    <xf numFmtId="2" fontId="71" fillId="7" borderId="1" xfId="38" applyNumberFormat="1" applyFont="1" applyFill="1" applyBorder="1" applyAlignment="1" applyProtection="1">
      <alignment horizontal="right" vertical="center" wrapText="1"/>
    </xf>
    <xf numFmtId="0" fontId="72" fillId="0" borderId="0" xfId="0" applyFont="1" applyFill="1" applyAlignment="1" applyProtection="1">
      <alignment horizontal="left" vertical="center" wrapText="1"/>
    </xf>
    <xf numFmtId="0" fontId="67" fillId="2" borderId="1" xfId="38" applyFont="1" applyFill="1" applyBorder="1" applyAlignment="1" applyProtection="1">
      <alignment horizontal="left" vertical="center" wrapText="1"/>
    </xf>
    <xf numFmtId="2" fontId="67" fillId="2" borderId="1" xfId="38" applyNumberFormat="1" applyFont="1" applyFill="1" applyBorder="1" applyAlignment="1" applyProtection="1">
      <alignment horizontal="right" vertical="center" wrapText="1"/>
    </xf>
    <xf numFmtId="0" fontId="87" fillId="0" borderId="1" xfId="0" applyFont="1" applyBorder="1" applyAlignment="1" applyProtection="1">
      <alignment vertical="center" wrapText="1"/>
      <protection locked="0"/>
    </xf>
    <xf numFmtId="2" fontId="68" fillId="0" borderId="1" xfId="8" applyNumberFormat="1" applyFont="1" applyBorder="1" applyAlignment="1" applyProtection="1">
      <alignment horizontal="right" vertical="center" wrapText="1"/>
    </xf>
    <xf numFmtId="0" fontId="87" fillId="0" borderId="1" xfId="0" applyFont="1" applyBorder="1" applyAlignment="1" applyProtection="1">
      <alignment horizontal="left" vertical="center" wrapText="1"/>
      <protection locked="0"/>
    </xf>
    <xf numFmtId="0" fontId="87" fillId="11" borderId="1" xfId="0" applyFont="1" applyFill="1" applyBorder="1" applyAlignment="1" applyProtection="1">
      <alignment horizontal="left" vertical="center" wrapText="1"/>
      <protection locked="0"/>
    </xf>
    <xf numFmtId="2" fontId="68" fillId="0" borderId="1" xfId="8" applyNumberFormat="1" applyFont="1" applyBorder="1" applyAlignment="1" applyProtection="1">
      <alignment horizontal="right" vertical="center" wrapText="1"/>
      <protection locked="0"/>
    </xf>
    <xf numFmtId="0" fontId="67" fillId="2" borderId="1" xfId="0" applyFont="1" applyFill="1" applyBorder="1" applyAlignment="1" applyProtection="1">
      <alignment horizontal="left" vertical="center" wrapText="1"/>
    </xf>
    <xf numFmtId="0" fontId="67" fillId="2" borderId="1" xfId="0" applyFont="1" applyFill="1" applyBorder="1" applyAlignment="1" applyProtection="1">
      <alignment horizontal="center" vertical="center" wrapText="1"/>
    </xf>
    <xf numFmtId="0" fontId="67" fillId="2" borderId="1" xfId="0" applyFont="1" applyFill="1" applyBorder="1" applyAlignment="1" applyProtection="1">
      <alignment vertical="center" wrapText="1"/>
    </xf>
    <xf numFmtId="0" fontId="78" fillId="2" borderId="1" xfId="0" applyFont="1" applyFill="1" applyBorder="1" applyAlignment="1" applyProtection="1">
      <alignment horizontal="center" vertical="center" wrapText="1"/>
      <protection locked="0"/>
    </xf>
    <xf numFmtId="0" fontId="66" fillId="2" borderId="1" xfId="8" applyFont="1" applyFill="1" applyBorder="1" applyAlignment="1" applyProtection="1">
      <alignment vertical="center" wrapText="1"/>
      <protection locked="0"/>
    </xf>
    <xf numFmtId="0" fontId="78" fillId="2" borderId="1" xfId="0" applyFont="1" applyFill="1" applyBorder="1" applyAlignment="1" applyProtection="1">
      <alignment horizontal="left" vertical="center" wrapText="1"/>
      <protection locked="0"/>
    </xf>
    <xf numFmtId="0" fontId="88" fillId="0" borderId="1" xfId="0" applyFont="1" applyFill="1" applyBorder="1" applyAlignment="1" applyProtection="1">
      <alignment horizontal="left" vertical="center" wrapText="1"/>
      <protection locked="0"/>
    </xf>
    <xf numFmtId="2" fontId="68" fillId="0" borderId="1" xfId="8" applyNumberFormat="1" applyFont="1" applyFill="1" applyBorder="1" applyAlignment="1" applyProtection="1">
      <alignment horizontal="right" vertical="center" wrapText="1"/>
      <protection locked="0"/>
    </xf>
    <xf numFmtId="0" fontId="68" fillId="11" borderId="1" xfId="0" applyFont="1" applyFill="1" applyBorder="1" applyAlignment="1" applyProtection="1">
      <alignment horizontal="left" vertical="center" wrapText="1"/>
      <protection locked="0"/>
    </xf>
    <xf numFmtId="0" fontId="67" fillId="2" borderId="1" xfId="38" applyFont="1" applyFill="1" applyBorder="1" applyAlignment="1" applyProtection="1">
      <alignment horizontal="left" vertical="center" wrapText="1"/>
      <protection locked="0"/>
    </xf>
    <xf numFmtId="0" fontId="71" fillId="7" borderId="1" xfId="38" applyFont="1" applyFill="1" applyBorder="1" applyAlignment="1" applyProtection="1">
      <alignment horizontal="left" vertical="center" wrapText="1"/>
      <protection locked="0"/>
    </xf>
    <xf numFmtId="0" fontId="102" fillId="0" borderId="1" xfId="0" applyFont="1" applyBorder="1" applyAlignment="1" applyProtection="1">
      <alignment horizontal="left" vertical="center" wrapText="1"/>
      <protection locked="0"/>
    </xf>
    <xf numFmtId="0" fontId="66" fillId="4" borderId="1" xfId="8" applyFont="1" applyFill="1" applyBorder="1" applyAlignment="1" applyProtection="1">
      <alignment horizontal="left" vertical="center" wrapText="1"/>
      <protection locked="0"/>
    </xf>
    <xf numFmtId="0" fontId="68" fillId="11" borderId="1" xfId="8" applyFont="1" applyFill="1" applyBorder="1" applyAlignment="1" applyProtection="1">
      <alignment vertical="top" wrapText="1"/>
      <protection locked="0"/>
    </xf>
    <xf numFmtId="0" fontId="68" fillId="40" borderId="1" xfId="8" applyFont="1" applyFill="1" applyBorder="1" applyAlignment="1" applyProtection="1">
      <alignment horizontal="left" vertical="center" wrapText="1"/>
    </xf>
    <xf numFmtId="3" fontId="72" fillId="11" borderId="1" xfId="8" applyNumberFormat="1" applyFont="1" applyFill="1" applyBorder="1" applyAlignment="1" applyProtection="1">
      <alignment horizontal="center" vertical="center" wrapText="1"/>
      <protection locked="0"/>
    </xf>
    <xf numFmtId="0" fontId="68" fillId="11" borderId="1" xfId="4" applyFont="1" applyFill="1" applyBorder="1" applyAlignment="1" applyProtection="1">
      <alignment horizontal="left" vertical="center" wrapText="1"/>
      <protection locked="0"/>
    </xf>
    <xf numFmtId="0" fontId="72" fillId="0" borderId="1" xfId="38" applyFont="1" applyFill="1" applyBorder="1" applyAlignment="1" applyProtection="1">
      <alignment horizontal="left" vertical="center" wrapText="1"/>
    </xf>
    <xf numFmtId="0" fontId="73" fillId="0" borderId="1" xfId="0" applyFont="1" applyFill="1" applyBorder="1" applyAlignment="1" applyProtection="1">
      <alignment horizontal="left" vertical="center" wrapText="1"/>
      <protection locked="0"/>
    </xf>
    <xf numFmtId="0" fontId="72" fillId="0" borderId="1" xfId="38" applyFont="1" applyBorder="1" applyAlignment="1" applyProtection="1">
      <alignment horizontal="left" vertical="center" wrapText="1"/>
    </xf>
    <xf numFmtId="0" fontId="72" fillId="2" borderId="1" xfId="38" applyFont="1" applyFill="1" applyBorder="1" applyAlignment="1" applyProtection="1">
      <alignment horizontal="left" vertical="center" wrapText="1"/>
    </xf>
    <xf numFmtId="2" fontId="67" fillId="2" borderId="1" xfId="38" applyNumberFormat="1" applyFont="1" applyFill="1" applyBorder="1" applyAlignment="1" applyProtection="1">
      <alignment horizontal="right" vertical="center" wrapText="1"/>
      <protection locked="0"/>
    </xf>
    <xf numFmtId="0" fontId="72" fillId="11" borderId="1" xfId="38" applyFont="1" applyFill="1" applyBorder="1" applyAlignment="1" applyProtection="1">
      <alignment horizontal="left" vertical="center" wrapText="1"/>
      <protection locked="0"/>
    </xf>
    <xf numFmtId="0" fontId="66" fillId="0" borderId="1" xfId="0" applyFont="1" applyBorder="1" applyAlignment="1" applyProtection="1">
      <alignment horizontal="center" vertical="center" wrapText="1"/>
    </xf>
    <xf numFmtId="0" fontId="67" fillId="0" borderId="1" xfId="38" applyFont="1" applyFill="1" applyBorder="1" applyAlignment="1" applyProtection="1">
      <alignment horizontal="left" vertical="center" wrapText="1"/>
    </xf>
    <xf numFmtId="0" fontId="67" fillId="0" borderId="1" xfId="38" applyFont="1" applyFill="1" applyBorder="1" applyAlignment="1" applyProtection="1">
      <alignment horizontal="left" vertical="center" wrapText="1"/>
      <protection locked="0"/>
    </xf>
    <xf numFmtId="2" fontId="67" fillId="0" borderId="1" xfId="38" applyNumberFormat="1" applyFont="1" applyFill="1" applyBorder="1" applyAlignment="1" applyProtection="1">
      <alignment horizontal="right" vertical="center" wrapText="1"/>
      <protection locked="0"/>
    </xf>
    <xf numFmtId="0" fontId="66" fillId="0" borderId="1" xfId="8" applyFont="1" applyFill="1" applyBorder="1" applyAlignment="1" applyProtection="1">
      <alignment vertical="center" wrapText="1"/>
      <protection locked="0"/>
    </xf>
    <xf numFmtId="2" fontId="66" fillId="0" borderId="1" xfId="8" applyNumberFormat="1" applyFont="1" applyFill="1" applyBorder="1" applyAlignment="1" applyProtection="1">
      <alignment horizontal="right" vertical="center" wrapText="1"/>
    </xf>
    <xf numFmtId="0" fontId="78" fillId="0" borderId="1" xfId="0" applyFont="1" applyFill="1" applyBorder="1" applyAlignment="1" applyProtection="1">
      <alignment horizontal="left" vertical="center" wrapText="1"/>
      <protection locked="0"/>
    </xf>
    <xf numFmtId="0" fontId="66" fillId="0" borderId="0" xfId="0" applyFont="1" applyAlignment="1" applyProtection="1">
      <alignment vertical="center" wrapText="1"/>
    </xf>
    <xf numFmtId="0" fontId="66" fillId="0" borderId="0" xfId="0" applyFont="1" applyFill="1" applyAlignment="1" applyProtection="1">
      <alignment vertical="center" wrapText="1"/>
    </xf>
    <xf numFmtId="0" fontId="66" fillId="27" borderId="1" xfId="0" applyFont="1" applyFill="1" applyBorder="1" applyAlignment="1" applyProtection="1">
      <alignment horizontal="left" vertical="center" wrapText="1"/>
    </xf>
    <xf numFmtId="0" fontId="66" fillId="27" borderId="1" xfId="4" applyFont="1" applyFill="1" applyBorder="1" applyAlignment="1" applyProtection="1">
      <alignment vertical="center" wrapText="1"/>
    </xf>
    <xf numFmtId="0" fontId="66" fillId="27" borderId="1" xfId="0" applyFont="1" applyFill="1" applyBorder="1" applyAlignment="1" applyProtection="1">
      <alignment horizontal="left" vertical="center" wrapText="1"/>
      <protection locked="0"/>
    </xf>
    <xf numFmtId="2" fontId="66" fillId="27" borderId="1" xfId="8" applyNumberFormat="1" applyFont="1" applyFill="1" applyBorder="1" applyAlignment="1" applyProtection="1">
      <alignment horizontal="right" vertical="center" wrapText="1"/>
    </xf>
    <xf numFmtId="0" fontId="66" fillId="27" borderId="1" xfId="8" applyFont="1" applyFill="1" applyBorder="1" applyAlignment="1" applyProtection="1">
      <alignment vertical="center" wrapText="1"/>
      <protection locked="0"/>
    </xf>
    <xf numFmtId="0" fontId="66" fillId="0" borderId="1" xfId="0" applyFont="1" applyBorder="1" applyAlignment="1" applyProtection="1">
      <alignment horizontal="left" vertical="center" wrapText="1"/>
    </xf>
    <xf numFmtId="0" fontId="66" fillId="0" borderId="1" xfId="0" applyFont="1" applyBorder="1" applyAlignment="1" applyProtection="1">
      <alignment horizontal="left" vertical="center" wrapText="1"/>
      <protection locked="0"/>
    </xf>
    <xf numFmtId="2" fontId="66" fillId="0" borderId="1" xfId="8" applyNumberFormat="1" applyFont="1" applyBorder="1" applyAlignment="1" applyProtection="1">
      <alignment horizontal="right" vertical="center" wrapText="1"/>
    </xf>
    <xf numFmtId="2" fontId="66" fillId="0" borderId="1" xfId="8" applyNumberFormat="1" applyFont="1" applyBorder="1" applyAlignment="1" applyProtection="1">
      <alignment horizontal="right" vertical="center" wrapText="1"/>
      <protection locked="0"/>
    </xf>
    <xf numFmtId="0" fontId="66" fillId="3" borderId="1" xfId="0" applyFont="1" applyFill="1" applyBorder="1" applyAlignment="1" applyProtection="1">
      <alignment horizontal="left" vertical="center" wrapText="1"/>
    </xf>
    <xf numFmtId="0" fontId="68" fillId="3" borderId="1" xfId="0" applyFont="1" applyFill="1" applyBorder="1" applyAlignment="1" applyProtection="1">
      <alignment horizontal="left" vertical="center" wrapText="1"/>
    </xf>
    <xf numFmtId="0" fontId="68" fillId="3" borderId="1" xfId="0" applyFont="1" applyFill="1" applyBorder="1" applyAlignment="1" applyProtection="1">
      <alignment horizontal="left" vertical="center" wrapText="1"/>
      <protection locked="0"/>
    </xf>
    <xf numFmtId="2" fontId="66" fillId="3" borderId="1" xfId="8" applyNumberFormat="1" applyFont="1" applyFill="1" applyBorder="1" applyAlignment="1" applyProtection="1">
      <alignment horizontal="right" vertical="center" wrapText="1"/>
    </xf>
    <xf numFmtId="0" fontId="66" fillId="3" borderId="1" xfId="8" applyFont="1" applyFill="1" applyBorder="1" applyAlignment="1" applyProtection="1">
      <alignment vertical="center" wrapText="1"/>
      <protection locked="0"/>
    </xf>
    <xf numFmtId="0" fontId="67" fillId="0" borderId="0" xfId="0" applyFont="1" applyAlignment="1" applyProtection="1">
      <alignment vertical="center" wrapText="1"/>
    </xf>
    <xf numFmtId="0" fontId="72" fillId="0" borderId="1" xfId="0" applyFont="1" applyFill="1" applyBorder="1" applyAlignment="1" applyProtection="1">
      <alignment horizontal="left" vertical="center" wrapText="1"/>
    </xf>
    <xf numFmtId="0" fontId="72" fillId="11" borderId="1" xfId="0" applyFont="1" applyFill="1" applyBorder="1" applyAlignment="1" applyProtection="1">
      <alignment horizontal="left" vertical="center" wrapText="1"/>
      <protection locked="0"/>
    </xf>
    <xf numFmtId="4" fontId="72" fillId="11" borderId="1" xfId="8" applyNumberFormat="1" applyFont="1" applyFill="1" applyBorder="1" applyAlignment="1" applyProtection="1">
      <alignment horizontal="center" vertical="center" wrapText="1"/>
      <protection locked="0"/>
    </xf>
    <xf numFmtId="0" fontId="66" fillId="0" borderId="1" xfId="8" applyFont="1" applyBorder="1" applyAlignment="1" applyProtection="1">
      <alignment vertical="center" wrapText="1"/>
    </xf>
    <xf numFmtId="0" fontId="66" fillId="0" borderId="1" xfId="8" applyFont="1" applyBorder="1" applyAlignment="1" applyProtection="1">
      <alignment vertical="center" wrapText="1"/>
      <protection locked="0"/>
    </xf>
    <xf numFmtId="0" fontId="66" fillId="0" borderId="1" xfId="8" applyFont="1" applyBorder="1" applyAlignment="1" applyProtection="1">
      <alignment horizontal="left" vertical="center" wrapText="1"/>
      <protection locked="0"/>
    </xf>
    <xf numFmtId="4" fontId="72" fillId="0" borderId="1" xfId="8" applyNumberFormat="1" applyFont="1" applyBorder="1" applyAlignment="1" applyProtection="1">
      <alignment horizontal="center" vertical="center" wrapText="1"/>
      <protection locked="0"/>
    </xf>
    <xf numFmtId="0" fontId="68" fillId="11" borderId="1" xfId="0" applyNumberFormat="1" applyFont="1" applyFill="1" applyBorder="1" applyAlignment="1" applyProtection="1">
      <alignment horizontal="left" vertical="center" wrapText="1"/>
      <protection locked="0"/>
    </xf>
    <xf numFmtId="0" fontId="67" fillId="2" borderId="1" xfId="38" applyFont="1" applyFill="1" applyBorder="1" applyAlignment="1" applyProtection="1">
      <alignment horizontal="center" vertical="center" wrapText="1"/>
      <protection locked="0"/>
    </xf>
    <xf numFmtId="1" fontId="67" fillId="2" borderId="1" xfId="38" applyNumberFormat="1" applyFont="1" applyFill="1" applyBorder="1" applyAlignment="1" applyProtection="1">
      <alignment horizontal="center" vertical="center" wrapText="1"/>
      <protection locked="0"/>
    </xf>
    <xf numFmtId="2" fontId="71" fillId="7" borderId="1" xfId="38" applyNumberFormat="1" applyFont="1" applyFill="1" applyBorder="1" applyAlignment="1" applyProtection="1">
      <alignment horizontal="right" vertical="center" wrapText="1"/>
      <protection locked="0"/>
    </xf>
    <xf numFmtId="0" fontId="88" fillId="0" borderId="1" xfId="0" applyFont="1" applyBorder="1" applyAlignment="1" applyProtection="1">
      <alignment horizontal="center" vertical="center" wrapText="1"/>
    </xf>
    <xf numFmtId="0" fontId="88" fillId="0" borderId="1" xfId="0" applyFont="1" applyBorder="1" applyAlignment="1" applyProtection="1">
      <alignment horizontal="left" vertical="center" wrapText="1"/>
      <protection locked="0"/>
    </xf>
    <xf numFmtId="0" fontId="88" fillId="14" borderId="1" xfId="0" applyFont="1" applyFill="1" applyBorder="1" applyAlignment="1" applyProtection="1">
      <alignment horizontal="center" vertical="center" wrapText="1"/>
      <protection locked="0"/>
    </xf>
    <xf numFmtId="2" fontId="68" fillId="14" borderId="1" xfId="8" applyNumberFormat="1" applyFont="1" applyFill="1" applyBorder="1" applyAlignment="1" applyProtection="1">
      <alignment horizontal="right" vertical="center" wrapText="1"/>
    </xf>
    <xf numFmtId="0" fontId="68" fillId="14" borderId="1" xfId="8" applyFont="1" applyFill="1" applyBorder="1" applyAlignment="1" applyProtection="1">
      <alignment vertical="center" wrapText="1"/>
      <protection locked="0"/>
    </xf>
    <xf numFmtId="0" fontId="88" fillId="14" borderId="1" xfId="0" applyFont="1" applyFill="1" applyBorder="1" applyAlignment="1" applyProtection="1">
      <alignment horizontal="left" vertical="center" wrapText="1"/>
      <protection locked="0"/>
    </xf>
    <xf numFmtId="0" fontId="73" fillId="14" borderId="1" xfId="0" applyFont="1" applyFill="1" applyBorder="1" applyAlignment="1" applyProtection="1">
      <alignment horizontal="left" vertical="center" wrapText="1"/>
      <protection locked="0"/>
    </xf>
    <xf numFmtId="2" fontId="68" fillId="14" borderId="1" xfId="8" applyNumberFormat="1" applyFont="1" applyFill="1" applyBorder="1" applyAlignment="1" applyProtection="1">
      <alignment horizontal="right" vertical="center" wrapText="1"/>
      <protection locked="0"/>
    </xf>
    <xf numFmtId="0" fontId="66" fillId="0" borderId="1" xfId="0" applyFont="1" applyBorder="1" applyAlignment="1" applyProtection="1">
      <alignment horizontal="center" vertical="center" wrapText="1"/>
      <protection locked="0"/>
    </xf>
    <xf numFmtId="2" fontId="68" fillId="11" borderId="1" xfId="8" applyNumberFormat="1" applyFont="1" applyFill="1" applyBorder="1" applyAlignment="1" applyProtection="1">
      <alignment horizontal="left" vertical="center" wrapText="1"/>
      <protection locked="0"/>
    </xf>
    <xf numFmtId="0" fontId="102" fillId="11" borderId="1" xfId="0" applyFont="1" applyFill="1" applyBorder="1" applyAlignment="1" applyProtection="1">
      <alignment horizontal="left" vertical="center" wrapText="1"/>
      <protection locked="0"/>
    </xf>
    <xf numFmtId="2" fontId="68" fillId="0" borderId="1" xfId="8" applyNumberFormat="1" applyFont="1" applyBorder="1" applyAlignment="1" applyProtection="1">
      <alignment vertical="center" wrapText="1"/>
    </xf>
    <xf numFmtId="0" fontId="66" fillId="2" borderId="1" xfId="8" applyFont="1" applyFill="1" applyBorder="1" applyAlignment="1" applyProtection="1">
      <alignment horizontal="center" vertical="center" wrapText="1"/>
      <protection locked="0"/>
    </xf>
    <xf numFmtId="2" fontId="66" fillId="2" borderId="1" xfId="8" applyNumberFormat="1" applyFont="1" applyFill="1" applyBorder="1" applyAlignment="1" applyProtection="1">
      <alignment horizontal="right" vertical="center" wrapText="1"/>
      <protection locked="0"/>
    </xf>
    <xf numFmtId="2" fontId="66" fillId="4" borderId="1" xfId="8" applyNumberFormat="1" applyFont="1" applyFill="1" applyBorder="1" applyAlignment="1" applyProtection="1">
      <alignment vertical="center" wrapText="1"/>
    </xf>
    <xf numFmtId="0" fontId="68" fillId="0" borderId="0" xfId="0" applyFont="1" applyBorder="1" applyAlignment="1" applyProtection="1">
      <alignment horizontal="left" vertical="center" wrapText="1"/>
    </xf>
    <xf numFmtId="0" fontId="68" fillId="0" borderId="0" xfId="0" applyFont="1" applyAlignment="1" applyProtection="1">
      <alignment vertical="center" wrapText="1"/>
      <protection locked="0"/>
    </xf>
    <xf numFmtId="0" fontId="66" fillId="19" borderId="1" xfId="0" applyFont="1" applyFill="1" applyBorder="1" applyAlignment="1" applyProtection="1">
      <alignment horizontal="left" vertical="center" wrapText="1"/>
    </xf>
    <xf numFmtId="0" fontId="67" fillId="19" borderId="1" xfId="50" applyFont="1" applyFill="1" applyBorder="1" applyAlignment="1" applyProtection="1">
      <alignment vertical="center" wrapText="1"/>
    </xf>
    <xf numFmtId="0" fontId="66" fillId="19" borderId="1" xfId="0" applyFont="1" applyFill="1" applyBorder="1" applyAlignment="1" applyProtection="1">
      <alignment horizontal="left" vertical="center" wrapText="1"/>
      <protection locked="0"/>
    </xf>
    <xf numFmtId="2" fontId="66" fillId="19" borderId="1" xfId="8" applyNumberFormat="1" applyFont="1" applyFill="1" applyBorder="1" applyAlignment="1" applyProtection="1">
      <alignment horizontal="right" vertical="center" wrapText="1"/>
    </xf>
    <xf numFmtId="0" fontId="66" fillId="19" borderId="1" xfId="8" applyFont="1" applyFill="1" applyBorder="1" applyAlignment="1" applyProtection="1">
      <alignment vertical="center" wrapText="1"/>
      <protection locked="0"/>
    </xf>
    <xf numFmtId="2" fontId="66" fillId="19" borderId="1" xfId="8" applyNumberFormat="1" applyFont="1" applyFill="1" applyBorder="1" applyAlignment="1" applyProtection="1">
      <alignment horizontal="right" vertical="center" wrapText="1"/>
      <protection locked="0"/>
    </xf>
    <xf numFmtId="0" fontId="72" fillId="0" borderId="1" xfId="5" applyFont="1" applyFill="1" applyBorder="1" applyAlignment="1" applyProtection="1">
      <alignment vertical="center" wrapText="1"/>
    </xf>
    <xf numFmtId="2" fontId="66" fillId="4" borderId="1" xfId="8" applyNumberFormat="1" applyFont="1" applyFill="1" applyBorder="1" applyAlignment="1" applyProtection="1">
      <alignment horizontal="left" vertical="center" wrapText="1"/>
      <protection locked="0"/>
    </xf>
    <xf numFmtId="0" fontId="68" fillId="0" borderId="1" xfId="0" applyFont="1" applyFill="1" applyBorder="1" applyAlignment="1" applyProtection="1">
      <alignment horizontal="center" vertical="center" wrapText="1"/>
    </xf>
    <xf numFmtId="0" fontId="87" fillId="0" borderId="1" xfId="0" applyFont="1" applyFill="1" applyBorder="1" applyAlignment="1" applyProtection="1">
      <alignment vertical="center" wrapText="1"/>
    </xf>
    <xf numFmtId="2" fontId="66" fillId="0" borderId="1" xfId="8" applyNumberFormat="1" applyFont="1" applyFill="1" applyBorder="1" applyAlignment="1" applyProtection="1">
      <alignment horizontal="right" vertical="center" wrapText="1"/>
      <protection locked="0"/>
    </xf>
    <xf numFmtId="0" fontId="68" fillId="14" borderId="1" xfId="0" applyFont="1" applyFill="1" applyBorder="1" applyAlignment="1" applyProtection="1">
      <alignment horizontal="center" vertical="center" wrapText="1"/>
      <protection locked="0"/>
    </xf>
    <xf numFmtId="0" fontId="68" fillId="14" borderId="1" xfId="0" applyFont="1" applyFill="1" applyBorder="1" applyAlignment="1" applyProtection="1">
      <alignment horizontal="left" vertical="center" wrapText="1"/>
      <protection locked="0"/>
    </xf>
    <xf numFmtId="0" fontId="68" fillId="0" borderId="0" xfId="0" applyFont="1" applyAlignment="1" applyProtection="1">
      <alignment horizontal="right" vertical="center" wrapText="1"/>
    </xf>
    <xf numFmtId="0" fontId="68" fillId="0" borderId="0" xfId="0" applyFont="1" applyAlignment="1" applyProtection="1">
      <alignment horizontal="left" vertical="center" wrapText="1"/>
    </xf>
    <xf numFmtId="0" fontId="72" fillId="0" borderId="1" xfId="4" applyFont="1" applyFill="1" applyBorder="1" applyAlignment="1" applyProtection="1">
      <alignment horizontal="left" vertical="top" wrapText="1"/>
      <protection locked="0"/>
    </xf>
    <xf numFmtId="0" fontId="68" fillId="0" borderId="1" xfId="38" applyFont="1" applyFill="1" applyBorder="1" applyAlignment="1" applyProtection="1">
      <alignment horizontal="center" vertical="top" wrapText="1"/>
      <protection locked="0"/>
    </xf>
    <xf numFmtId="0" fontId="66" fillId="0" borderId="0" xfId="0" applyFont="1" applyFill="1" applyBorder="1" applyAlignment="1" applyProtection="1">
      <alignment horizontal="left" vertical="top" wrapText="1"/>
    </xf>
    <xf numFmtId="0" fontId="70" fillId="0" borderId="0" xfId="0" applyFont="1" applyFill="1" applyBorder="1" applyAlignment="1" applyProtection="1">
      <alignment horizontal="left" vertical="top" wrapText="1"/>
    </xf>
    <xf numFmtId="0" fontId="66" fillId="24" borderId="1" xfId="38" applyFont="1" applyFill="1" applyBorder="1" applyAlignment="1" applyProtection="1">
      <alignment horizontal="left" vertical="top" wrapText="1"/>
    </xf>
    <xf numFmtId="0" fontId="68" fillId="4" borderId="1" xfId="8" applyFont="1" applyFill="1" applyBorder="1" applyAlignment="1" applyProtection="1">
      <alignment horizontal="left" vertical="top" wrapText="1"/>
    </xf>
    <xf numFmtId="0" fontId="68" fillId="28" borderId="1" xfId="8" applyFont="1" applyFill="1" applyBorder="1" applyAlignment="1" applyProtection="1">
      <alignment horizontal="left" vertical="top" wrapText="1"/>
    </xf>
    <xf numFmtId="0" fontId="68" fillId="0" borderId="1" xfId="38" applyFont="1" applyFill="1" applyBorder="1" applyAlignment="1" applyProtection="1">
      <alignment horizontal="left" vertical="top" wrapText="1"/>
      <protection locked="0"/>
    </xf>
    <xf numFmtId="0" fontId="68" fillId="28" borderId="1" xfId="8" applyFont="1" applyFill="1" applyBorder="1" applyAlignment="1" applyProtection="1">
      <alignment horizontal="left" vertical="top" wrapText="1"/>
      <protection locked="0"/>
    </xf>
    <xf numFmtId="0" fontId="68" fillId="0" borderId="1" xfId="4" applyFont="1" applyBorder="1" applyAlignment="1" applyProtection="1">
      <alignment horizontal="left" vertical="top" wrapText="1"/>
      <protection locked="0"/>
    </xf>
    <xf numFmtId="0" fontId="66" fillId="28" borderId="1" xfId="8" applyFont="1" applyFill="1" applyBorder="1" applyAlignment="1" applyProtection="1">
      <alignment horizontal="left" vertical="top" wrapText="1"/>
      <protection locked="0"/>
    </xf>
    <xf numFmtId="0" fontId="88" fillId="0" borderId="1" xfId="8" applyFont="1" applyFill="1" applyBorder="1" applyAlignment="1" applyProtection="1">
      <alignment horizontal="left" vertical="top" wrapText="1"/>
      <protection locked="0"/>
    </xf>
    <xf numFmtId="0" fontId="72" fillId="28" borderId="1" xfId="8" applyFont="1" applyFill="1" applyBorder="1" applyAlignment="1" applyProtection="1">
      <alignment horizontal="left" vertical="top" wrapText="1"/>
      <protection locked="0"/>
    </xf>
    <xf numFmtId="0" fontId="88" fillId="0" borderId="1" xfId="9" applyFont="1" applyFill="1" applyBorder="1" applyAlignment="1" applyProtection="1">
      <alignment horizontal="left" vertical="top" wrapText="1"/>
      <protection locked="0"/>
    </xf>
    <xf numFmtId="0" fontId="66" fillId="2" borderId="1" xfId="4" applyFont="1" applyFill="1" applyBorder="1" applyAlignment="1" applyProtection="1">
      <alignment horizontal="left" vertical="top" wrapText="1"/>
      <protection locked="0"/>
    </xf>
    <xf numFmtId="0" fontId="66" fillId="28" borderId="1" xfId="4" applyFont="1" applyFill="1" applyBorder="1" applyAlignment="1" applyProtection="1">
      <alignment horizontal="left" vertical="top" wrapText="1"/>
      <protection locked="0"/>
    </xf>
    <xf numFmtId="0" fontId="88" fillId="28" borderId="1" xfId="8" applyFont="1" applyFill="1" applyBorder="1" applyAlignment="1" applyProtection="1">
      <alignment horizontal="left" vertical="top" wrapText="1"/>
      <protection locked="0"/>
    </xf>
    <xf numFmtId="0" fontId="66" fillId="0" borderId="1" xfId="8" applyFont="1" applyFill="1" applyBorder="1" applyAlignment="1" applyProtection="1">
      <alignment horizontal="left" vertical="top" wrapText="1"/>
      <protection locked="0"/>
    </xf>
    <xf numFmtId="0" fontId="66" fillId="0" borderId="1" xfId="8" applyFont="1" applyBorder="1" applyAlignment="1" applyProtection="1">
      <alignment horizontal="left" vertical="top" wrapText="1"/>
      <protection locked="0"/>
    </xf>
    <xf numFmtId="0" fontId="78" fillId="28" borderId="1" xfId="8" applyFont="1" applyFill="1" applyBorder="1" applyAlignment="1" applyProtection="1">
      <alignment horizontal="left" vertical="top" wrapText="1"/>
      <protection locked="0"/>
    </xf>
    <xf numFmtId="0" fontId="66" fillId="11" borderId="1" xfId="8" applyFont="1" applyFill="1" applyBorder="1" applyAlignment="1" applyProtection="1">
      <alignment horizontal="left" vertical="top" wrapText="1"/>
      <protection locked="0"/>
    </xf>
    <xf numFmtId="0" fontId="68" fillId="0" borderId="0" xfId="8" applyFont="1" applyAlignment="1" applyProtection="1">
      <alignment horizontal="left" vertical="top" wrapText="1"/>
    </xf>
    <xf numFmtId="0" fontId="66" fillId="0" borderId="0" xfId="8" applyFont="1" applyAlignment="1" applyProtection="1">
      <alignment horizontal="left" vertical="top" wrapText="1"/>
    </xf>
    <xf numFmtId="2" fontId="72" fillId="0" borderId="1" xfId="0" applyNumberFormat="1" applyFont="1" applyFill="1" applyBorder="1" applyAlignment="1" applyProtection="1">
      <alignment horizontal="right" wrapText="1"/>
    </xf>
    <xf numFmtId="2" fontId="68" fillId="0" borderId="1" xfId="87" applyNumberFormat="1" applyFont="1" applyFill="1" applyBorder="1" applyAlignment="1" applyProtection="1">
      <alignment horizontal="right"/>
    </xf>
    <xf numFmtId="0" fontId="68" fillId="0" borderId="5" xfId="87" applyFont="1" applyFill="1" applyBorder="1" applyAlignment="1" applyProtection="1">
      <alignment horizontal="left" wrapText="1"/>
      <protection locked="0"/>
    </xf>
    <xf numFmtId="0" fontId="68" fillId="0" borderId="5" xfId="87" applyFont="1" applyFill="1" applyBorder="1" applyAlignment="1" applyProtection="1">
      <alignment horizontal="left"/>
      <protection locked="0"/>
    </xf>
    <xf numFmtId="0" fontId="68" fillId="0" borderId="1" xfId="87" applyFont="1" applyFill="1" applyBorder="1" applyAlignment="1" applyProtection="1">
      <alignment horizontal="center" vertical="center"/>
      <protection locked="0"/>
    </xf>
    <xf numFmtId="0" fontId="66" fillId="3" borderId="1" xfId="4" applyFont="1" applyFill="1" applyBorder="1" applyAlignment="1" applyProtection="1">
      <alignment horizontal="center" vertical="center" wrapText="1"/>
      <protection locked="0"/>
    </xf>
    <xf numFmtId="4" fontId="72" fillId="0" borderId="1" xfId="0" applyNumberFormat="1" applyFont="1" applyFill="1" applyBorder="1" applyAlignment="1" applyProtection="1">
      <alignment horizontal="center" vertical="center" wrapText="1"/>
      <protection locked="0"/>
    </xf>
    <xf numFmtId="0" fontId="66" fillId="0" borderId="1" xfId="4" applyFont="1" applyBorder="1" applyAlignment="1" applyProtection="1">
      <alignment horizontal="center" vertical="center" wrapText="1"/>
      <protection locked="0"/>
    </xf>
    <xf numFmtId="0" fontId="66" fillId="11" borderId="1" xfId="87" applyFont="1" applyFill="1" applyBorder="1" applyAlignment="1" applyProtection="1">
      <alignment horizontal="center" vertical="center"/>
      <protection locked="0"/>
    </xf>
    <xf numFmtId="0" fontId="68" fillId="0" borderId="1" xfId="93" applyFont="1" applyFill="1" applyBorder="1" applyAlignment="1" applyProtection="1">
      <alignment horizontal="center" vertical="center" wrapText="1"/>
      <protection locked="0"/>
    </xf>
    <xf numFmtId="0" fontId="68" fillId="0" borderId="1" xfId="88" applyFont="1" applyBorder="1" applyAlignment="1" applyProtection="1">
      <alignment horizontal="center" vertical="center"/>
      <protection locked="0"/>
    </xf>
    <xf numFmtId="0" fontId="68" fillId="0" borderId="1" xfId="93" applyFont="1" applyBorder="1" applyAlignment="1" applyProtection="1">
      <alignment horizontal="center" vertical="center" wrapText="1"/>
      <protection locked="0"/>
    </xf>
    <xf numFmtId="0" fontId="72" fillId="11" borderId="1" xfId="88" applyFont="1" applyFill="1" applyBorder="1" applyAlignment="1" applyProtection="1">
      <alignment horizontal="center" vertical="center" wrapText="1"/>
      <protection locked="0"/>
    </xf>
    <xf numFmtId="0" fontId="66" fillId="4" borderId="1" xfId="11" applyFont="1" applyFill="1" applyBorder="1" applyAlignment="1" applyProtection="1">
      <alignment horizontal="center" vertical="center" wrapText="1"/>
      <protection locked="0"/>
    </xf>
    <xf numFmtId="0" fontId="72" fillId="11" borderId="1" xfId="87" applyFont="1" applyFill="1" applyBorder="1" applyAlignment="1" applyProtection="1">
      <alignment horizontal="center" vertical="center" wrapText="1"/>
      <protection locked="0"/>
    </xf>
    <xf numFmtId="0" fontId="72" fillId="0" borderId="0" xfId="87" applyFont="1" applyAlignment="1" applyProtection="1">
      <alignment horizontal="center" vertical="center"/>
      <protection locked="0"/>
    </xf>
    <xf numFmtId="0" fontId="66" fillId="3" borderId="1" xfId="4" applyFont="1" applyFill="1" applyBorder="1" applyAlignment="1" applyProtection="1">
      <alignment horizontal="left" vertical="center" wrapText="1"/>
    </xf>
    <xf numFmtId="0" fontId="66" fillId="3" borderId="1" xfId="4" applyFont="1" applyFill="1" applyBorder="1" applyAlignment="1" applyProtection="1">
      <alignment horizontal="left" vertical="center" wrapText="1"/>
      <protection locked="0"/>
    </xf>
    <xf numFmtId="0" fontId="67" fillId="11" borderId="1" xfId="8" applyFont="1" applyFill="1" applyBorder="1" applyAlignment="1" applyProtection="1">
      <alignment horizontal="left" vertical="center" wrapText="1"/>
      <protection locked="0"/>
    </xf>
    <xf numFmtId="0" fontId="68" fillId="0" borderId="1" xfId="87" applyFont="1" applyBorder="1" applyAlignment="1" applyProtection="1">
      <alignment horizontal="left" vertical="center"/>
      <protection locked="0"/>
    </xf>
    <xf numFmtId="0" fontId="72" fillId="11" borderId="1" xfId="87" applyFont="1" applyFill="1" applyBorder="1" applyAlignment="1" applyProtection="1">
      <alignment horizontal="left" vertical="center"/>
      <protection locked="0"/>
    </xf>
    <xf numFmtId="1" fontId="68" fillId="0" borderId="22" xfId="4" applyNumberFormat="1" applyFont="1" applyFill="1" applyBorder="1" applyAlignment="1" applyProtection="1">
      <alignment horizontal="left" vertical="center" wrapText="1"/>
      <protection locked="0"/>
    </xf>
    <xf numFmtId="0" fontId="68" fillId="0" borderId="5" xfId="65" applyFont="1" applyBorder="1" applyAlignment="1" applyProtection="1">
      <alignment horizontal="left" vertical="top" wrapText="1"/>
      <protection locked="0"/>
    </xf>
    <xf numFmtId="0" fontId="68" fillId="0" borderId="5" xfId="73" applyFont="1" applyBorder="1" applyAlignment="1" applyProtection="1">
      <alignment horizontal="left" vertical="top" wrapText="1"/>
      <protection locked="0"/>
    </xf>
    <xf numFmtId="0" fontId="68" fillId="0" borderId="5" xfId="75" applyFont="1" applyBorder="1" applyAlignment="1" applyProtection="1">
      <alignment horizontal="left" vertical="top" wrapText="1"/>
      <protection locked="0"/>
    </xf>
    <xf numFmtId="0" fontId="67" fillId="28" borderId="5" xfId="11" applyFont="1" applyFill="1" applyBorder="1" applyAlignment="1" applyProtection="1">
      <alignment horizontal="left" vertical="top" wrapText="1"/>
      <protection locked="0"/>
    </xf>
    <xf numFmtId="0" fontId="68" fillId="0" borderId="5" xfId="77" applyFont="1" applyBorder="1" applyAlignment="1" applyProtection="1">
      <alignment horizontal="left" vertical="top" wrapText="1"/>
      <protection locked="0"/>
    </xf>
    <xf numFmtId="0" fontId="68" fillId="0" borderId="5" xfId="62" applyFont="1" applyBorder="1" applyAlignment="1" applyProtection="1">
      <alignment horizontal="left" vertical="top"/>
      <protection locked="0"/>
    </xf>
    <xf numFmtId="0" fontId="68" fillId="0" borderId="5" xfId="62" applyFont="1" applyBorder="1" applyAlignment="1" applyProtection="1">
      <alignment horizontal="left" vertical="top" wrapText="1"/>
      <protection locked="0"/>
    </xf>
    <xf numFmtId="0" fontId="66" fillId="4" borderId="5" xfId="4" applyFont="1" applyFill="1" applyBorder="1" applyAlignment="1" applyProtection="1">
      <alignment horizontal="left" vertical="top" wrapText="1"/>
      <protection locked="0"/>
    </xf>
    <xf numFmtId="0" fontId="68" fillId="0" borderId="5" xfId="62" applyFont="1" applyFill="1" applyBorder="1" applyAlignment="1" applyProtection="1">
      <alignment horizontal="left" vertical="top"/>
      <protection locked="0"/>
    </xf>
    <xf numFmtId="0" fontId="68" fillId="0" borderId="1" xfId="62" applyFont="1" applyBorder="1" applyAlignment="1" applyProtection="1">
      <alignment horizontal="center" vertical="center" wrapText="1"/>
      <protection locked="0"/>
    </xf>
    <xf numFmtId="0" fontId="68" fillId="0" borderId="1" xfId="62" applyFont="1" applyFill="1" applyBorder="1" applyAlignment="1" applyProtection="1">
      <alignment horizontal="center" vertical="center" wrapText="1"/>
      <protection locked="0"/>
    </xf>
    <xf numFmtId="0" fontId="72" fillId="0" borderId="0" xfId="62" applyFont="1" applyAlignment="1" applyProtection="1">
      <alignment horizontal="center" vertical="center" wrapText="1"/>
    </xf>
    <xf numFmtId="0" fontId="67" fillId="28" borderId="1" xfId="11" applyFont="1" applyFill="1" applyBorder="1" applyAlignment="1" applyProtection="1">
      <alignment horizontal="center" wrapText="1"/>
    </xf>
    <xf numFmtId="0" fontId="67" fillId="2" borderId="1" xfId="4" applyFont="1" applyFill="1" applyBorder="1" applyAlignment="1" applyProtection="1">
      <alignment horizontal="center" wrapText="1"/>
    </xf>
    <xf numFmtId="0" fontId="99" fillId="0" borderId="1" xfId="82" applyFont="1" applyFill="1" applyBorder="1" applyAlignment="1" applyProtection="1">
      <alignment horizontal="center"/>
      <protection locked="0"/>
    </xf>
    <xf numFmtId="0" fontId="99" fillId="0" borderId="1" xfId="82" applyFont="1" applyFill="1" applyBorder="1" applyAlignment="1" applyProtection="1">
      <alignment horizontal="center" wrapText="1"/>
      <protection locked="0"/>
    </xf>
    <xf numFmtId="0" fontId="67" fillId="2" borderId="1" xfId="4" applyFont="1" applyFill="1" applyBorder="1" applyAlignment="1" applyProtection="1">
      <alignment horizontal="center" wrapText="1"/>
      <protection locked="0"/>
    </xf>
    <xf numFmtId="0" fontId="72" fillId="0" borderId="1" xfId="82" applyFont="1" applyBorder="1" applyAlignment="1" applyProtection="1">
      <alignment horizontal="center" wrapText="1"/>
      <protection locked="0"/>
    </xf>
    <xf numFmtId="0" fontId="72" fillId="0" borderId="1" xfId="82" applyFont="1" applyBorder="1" applyAlignment="1" applyProtection="1">
      <alignment horizontal="center"/>
      <protection locked="0"/>
    </xf>
    <xf numFmtId="0" fontId="67" fillId="28" borderId="1" xfId="11" applyFont="1" applyFill="1" applyBorder="1" applyAlignment="1" applyProtection="1">
      <alignment horizontal="center" wrapText="1"/>
      <protection locked="0"/>
    </xf>
    <xf numFmtId="0" fontId="68" fillId="0" borderId="0" xfId="82" applyFont="1" applyAlignment="1" applyProtection="1">
      <alignment horizontal="center"/>
    </xf>
    <xf numFmtId="0" fontId="71" fillId="0" borderId="0" xfId="8" applyFont="1" applyFill="1" applyBorder="1" applyAlignment="1" applyProtection="1">
      <alignment horizontal="center" vertical="center"/>
    </xf>
    <xf numFmtId="0" fontId="72" fillId="28" borderId="1" xfId="11" applyFont="1" applyFill="1" applyBorder="1" applyAlignment="1" applyProtection="1">
      <alignment horizontal="center" vertical="center"/>
    </xf>
    <xf numFmtId="0" fontId="72" fillId="2" borderId="1" xfId="4" applyFont="1" applyFill="1" applyBorder="1" applyAlignment="1" applyProtection="1">
      <alignment horizontal="center" vertical="center"/>
    </xf>
    <xf numFmtId="0" fontId="72" fillId="0" borderId="1" xfId="4" applyFont="1" applyBorder="1" applyAlignment="1" applyProtection="1">
      <alignment horizontal="center" vertical="center"/>
    </xf>
    <xf numFmtId="0" fontId="72" fillId="0" borderId="1" xfId="0" applyFont="1" applyBorder="1" applyAlignment="1" applyProtection="1">
      <alignment horizontal="center" vertical="center"/>
    </xf>
    <xf numFmtId="0" fontId="72" fillId="0" borderId="1" xfId="11" applyFont="1" applyFill="1" applyBorder="1" applyAlignment="1" applyProtection="1">
      <alignment horizontal="center" vertical="center"/>
    </xf>
    <xf numFmtId="0" fontId="72" fillId="0" borderId="5" xfId="84" applyFont="1" applyFill="1" applyBorder="1" applyAlignment="1" applyProtection="1">
      <alignment horizontal="left" vertical="center" wrapText="1"/>
      <protection locked="0"/>
    </xf>
    <xf numFmtId="0" fontId="104" fillId="8" borderId="1" xfId="3" applyFont="1" applyFill="1" applyBorder="1" applyProtection="1"/>
    <xf numFmtId="0" fontId="102" fillId="0" borderId="1" xfId="0" applyFont="1" applyFill="1" applyBorder="1" applyAlignment="1" applyProtection="1">
      <alignment vertical="center" wrapText="1"/>
    </xf>
    <xf numFmtId="0" fontId="104" fillId="36" borderId="1" xfId="3" applyFont="1" applyFill="1" applyBorder="1" applyAlignment="1" applyProtection="1"/>
    <xf numFmtId="0" fontId="104" fillId="0" borderId="1" xfId="3" applyFont="1" applyFill="1" applyBorder="1" applyAlignment="1" applyProtection="1">
      <alignment horizontal="left" vertical="center" wrapText="1"/>
    </xf>
    <xf numFmtId="0" fontId="102" fillId="0" borderId="0" xfId="0" applyFont="1" applyBorder="1" applyAlignment="1" applyProtection="1">
      <alignment vertical="center"/>
    </xf>
    <xf numFmtId="0" fontId="105" fillId="0" borderId="1" xfId="8" applyFont="1" applyFill="1" applyBorder="1" applyAlignment="1" applyProtection="1">
      <alignment horizontal="left" vertical="center"/>
    </xf>
    <xf numFmtId="0" fontId="40" fillId="2" borderId="1" xfId="40" applyFont="1" applyFill="1" applyBorder="1" applyAlignment="1" applyProtection="1">
      <alignment horizontal="left" vertical="center" wrapText="1"/>
    </xf>
    <xf numFmtId="0" fontId="43" fillId="0" borderId="1" xfId="0" applyFont="1" applyBorder="1" applyAlignment="1" applyProtection="1">
      <alignment horizontal="left" vertical="center" wrapText="1"/>
    </xf>
    <xf numFmtId="0" fontId="43" fillId="0" borderId="1" xfId="0" applyFont="1" applyBorder="1" applyAlignment="1" applyProtection="1">
      <alignment horizontal="left" vertical="center" wrapText="1"/>
    </xf>
    <xf numFmtId="0" fontId="72" fillId="0" borderId="0" xfId="0" applyFont="1" applyAlignment="1" applyProtection="1">
      <alignment vertical="top" wrapText="1"/>
    </xf>
    <xf numFmtId="0" fontId="66" fillId="0" borderId="0" xfId="0" applyFont="1" applyAlignment="1" applyProtection="1">
      <alignment horizontal="center" vertical="center" wrapText="1"/>
      <protection locked="0"/>
    </xf>
    <xf numFmtId="2" fontId="66" fillId="5" borderId="1" xfId="0" applyNumberFormat="1" applyFont="1" applyFill="1" applyBorder="1" applyAlignment="1" applyProtection="1">
      <alignment horizontal="center" vertical="center" wrapText="1"/>
    </xf>
    <xf numFmtId="2" fontId="66" fillId="5" borderId="1" xfId="4" applyNumberFormat="1"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xf>
    <xf numFmtId="1" fontId="66" fillId="6" borderId="5" xfId="4" applyNumberFormat="1" applyFont="1" applyFill="1" applyBorder="1" applyAlignment="1" applyProtection="1">
      <alignment horizontal="center" vertical="center" wrapText="1"/>
    </xf>
    <xf numFmtId="0" fontId="66" fillId="42" borderId="1" xfId="0" applyFont="1" applyFill="1" applyBorder="1" applyAlignment="1" applyProtection="1">
      <alignment horizontal="center" vertical="center" wrapText="1"/>
    </xf>
    <xf numFmtId="0" fontId="86" fillId="6" borderId="2" xfId="0" applyFont="1" applyFill="1" applyBorder="1" applyAlignment="1" applyProtection="1">
      <alignment vertical="center"/>
    </xf>
    <xf numFmtId="2" fontId="66" fillId="6" borderId="1" xfId="0" applyNumberFormat="1" applyFont="1" applyFill="1" applyBorder="1" applyAlignment="1" applyProtection="1">
      <alignment horizontal="center" vertical="center" wrapText="1"/>
    </xf>
    <xf numFmtId="2" fontId="66" fillId="6" borderId="1" xfId="4" applyNumberFormat="1" applyFont="1" applyFill="1" applyBorder="1" applyAlignment="1" applyProtection="1">
      <alignment horizontal="center" vertical="center" wrapText="1"/>
    </xf>
    <xf numFmtId="165" fontId="68" fillId="0" borderId="5" xfId="4" applyNumberFormat="1" applyFont="1" applyBorder="1" applyAlignment="1" applyProtection="1">
      <alignment horizontal="center" vertical="center" wrapText="1"/>
    </xf>
    <xf numFmtId="2" fontId="68" fillId="0" borderId="2" xfId="4" applyNumberFormat="1" applyFont="1" applyBorder="1" applyAlignment="1" applyProtection="1">
      <alignment horizontal="left" vertical="center" wrapText="1"/>
    </xf>
    <xf numFmtId="2" fontId="66" fillId="0" borderId="1" xfId="0" applyNumberFormat="1" applyFont="1" applyBorder="1" applyAlignment="1" applyProtection="1">
      <alignment horizontal="center" vertical="center" wrapText="1"/>
    </xf>
    <xf numFmtId="2" fontId="66" fillId="0" borderId="1" xfId="4" applyNumberFormat="1" applyFont="1" applyBorder="1" applyAlignment="1" applyProtection="1">
      <alignment horizontal="center" vertical="center" wrapText="1"/>
    </xf>
    <xf numFmtId="2" fontId="68" fillId="0" borderId="1" xfId="4" applyNumberFormat="1" applyFont="1" applyBorder="1" applyAlignment="1" applyProtection="1">
      <alignment horizontal="center" vertical="center" wrapText="1"/>
    </xf>
    <xf numFmtId="2" fontId="68" fillId="0" borderId="1" xfId="4" applyNumberFormat="1" applyFont="1" applyFill="1" applyBorder="1" applyAlignment="1" applyProtection="1">
      <alignment horizontal="center" vertical="center" wrapText="1"/>
    </xf>
    <xf numFmtId="0" fontId="86" fillId="42" borderId="1" xfId="0" applyFont="1" applyFill="1" applyBorder="1" applyAlignment="1" applyProtection="1">
      <alignment horizontal="center" vertical="center" wrapText="1"/>
    </xf>
    <xf numFmtId="1" fontId="66" fillId="6" borderId="2" xfId="4" applyNumberFormat="1" applyFont="1" applyFill="1" applyBorder="1" applyAlignment="1" applyProtection="1">
      <alignment horizontal="left" vertical="center" wrapText="1"/>
    </xf>
    <xf numFmtId="165" fontId="68" fillId="0" borderId="2" xfId="4" applyNumberFormat="1" applyFont="1" applyBorder="1" applyAlignment="1" applyProtection="1">
      <alignment horizontal="left" vertical="center" wrapText="1"/>
    </xf>
    <xf numFmtId="0" fontId="66" fillId="6" borderId="5" xfId="0"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0" fontId="68" fillId="0" borderId="5" xfId="0" applyFont="1" applyBorder="1" applyAlignment="1" applyProtection="1">
      <alignment horizontal="center" vertical="center" wrapText="1"/>
    </xf>
    <xf numFmtId="0" fontId="68" fillId="0" borderId="2" xfId="0" applyFont="1" applyBorder="1" applyAlignment="1" applyProtection="1">
      <alignment horizontal="left" vertical="center" wrapText="1"/>
    </xf>
    <xf numFmtId="2" fontId="68" fillId="0" borderId="1" xfId="0" applyNumberFormat="1" applyFont="1" applyFill="1" applyBorder="1" applyAlignment="1" applyProtection="1">
      <alignment horizontal="center" vertical="center" wrapText="1"/>
    </xf>
    <xf numFmtId="0" fontId="66" fillId="6" borderId="2" xfId="0" applyFont="1" applyFill="1" applyBorder="1" applyAlignment="1" applyProtection="1">
      <alignment horizontal="left" vertical="center" wrapText="1"/>
    </xf>
    <xf numFmtId="0" fontId="68" fillId="6" borderId="1" xfId="0" applyFont="1" applyFill="1" applyBorder="1" applyAlignment="1" applyProtection="1">
      <alignment wrapText="1"/>
    </xf>
    <xf numFmtId="1" fontId="66" fillId="6" borderId="1" xfId="4" applyNumberFormat="1" applyFont="1" applyFill="1" applyBorder="1" applyAlignment="1" applyProtection="1">
      <alignment horizontal="center" vertical="center" wrapText="1"/>
    </xf>
    <xf numFmtId="165" fontId="68" fillId="0" borderId="1" xfId="4" applyNumberFormat="1" applyFont="1" applyBorder="1" applyAlignment="1" applyProtection="1">
      <alignment horizontal="center" vertical="center" wrapText="1"/>
    </xf>
    <xf numFmtId="0" fontId="86" fillId="6" borderId="5" xfId="0" applyFont="1" applyFill="1" applyBorder="1" applyAlignment="1" applyProtection="1">
      <alignment horizontal="center" vertical="center"/>
    </xf>
    <xf numFmtId="0" fontId="86" fillId="42" borderId="1" xfId="0" applyFont="1" applyFill="1" applyBorder="1" applyAlignment="1" applyProtection="1">
      <alignment horizontal="center" vertical="center"/>
    </xf>
    <xf numFmtId="2" fontId="86" fillId="6" borderId="1" xfId="0" applyNumberFormat="1" applyFont="1" applyFill="1" applyBorder="1" applyAlignment="1" applyProtection="1">
      <alignment horizontal="center" vertical="center"/>
    </xf>
    <xf numFmtId="165" fontId="68" fillId="0" borderId="5" xfId="4" applyNumberFormat="1" applyFont="1" applyBorder="1" applyAlignment="1" applyProtection="1">
      <alignment horizontal="left" vertical="center" wrapText="1"/>
    </xf>
    <xf numFmtId="2" fontId="66" fillId="6" borderId="2" xfId="4" applyNumberFormat="1" applyFont="1" applyFill="1" applyBorder="1" applyAlignment="1" applyProtection="1">
      <alignment horizontal="left" vertical="center" wrapText="1"/>
    </xf>
    <xf numFmtId="0" fontId="87" fillId="0" borderId="2" xfId="0" applyFont="1" applyBorder="1" applyAlignment="1" applyProtection="1">
      <alignment vertical="center" wrapText="1"/>
    </xf>
    <xf numFmtId="2" fontId="68" fillId="0" borderId="1" xfId="0" applyNumberFormat="1" applyFont="1" applyBorder="1" applyAlignment="1" applyProtection="1">
      <alignment horizontal="center" vertical="center" wrapText="1"/>
    </xf>
    <xf numFmtId="0" fontId="67" fillId="28" borderId="1" xfId="11" applyFont="1" applyFill="1" applyBorder="1" applyAlignment="1" applyProtection="1">
      <alignment horizontal="left" vertical="center" wrapText="1"/>
    </xf>
    <xf numFmtId="0" fontId="68" fillId="0" borderId="5" xfId="0" applyFont="1" applyFill="1" applyBorder="1" applyAlignment="1" applyProtection="1">
      <alignment horizontal="left" vertical="center" wrapText="1"/>
    </xf>
    <xf numFmtId="0" fontId="68" fillId="0" borderId="1" xfId="67" applyFont="1" applyFill="1" applyBorder="1" applyAlignment="1" applyProtection="1">
      <alignment horizontal="left" vertical="top" wrapText="1"/>
      <protection locked="0"/>
    </xf>
    <xf numFmtId="0" fontId="68" fillId="0" borderId="5" xfId="67" applyFont="1" applyFill="1" applyBorder="1" applyAlignment="1" applyProtection="1">
      <alignment horizontal="left" vertical="top" wrapText="1"/>
      <protection locked="0"/>
    </xf>
    <xf numFmtId="0" fontId="68" fillId="0" borderId="5" xfId="67" applyFont="1" applyFill="1" applyBorder="1" applyAlignment="1" applyProtection="1">
      <alignment horizontal="left" vertical="top"/>
      <protection locked="0"/>
    </xf>
    <xf numFmtId="0" fontId="72" fillId="0" borderId="1" xfId="62" applyFont="1" applyFill="1" applyBorder="1" applyAlignment="1" applyProtection="1">
      <alignment horizontal="left" vertical="top" wrapText="1"/>
      <protection locked="0"/>
    </xf>
    <xf numFmtId="0" fontId="67" fillId="0" borderId="1" xfId="62" applyFont="1" applyFill="1" applyBorder="1" applyAlignment="1" applyProtection="1">
      <alignment horizontal="left" vertical="top" wrapText="1"/>
      <protection locked="0"/>
    </xf>
    <xf numFmtId="0" fontId="68" fillId="0" borderId="5" xfId="71" applyFont="1" applyFill="1" applyBorder="1" applyAlignment="1" applyProtection="1">
      <alignment horizontal="left" vertical="top" wrapText="1"/>
      <protection locked="0"/>
    </xf>
    <xf numFmtId="0" fontId="68" fillId="0" borderId="1" xfId="71" applyFont="1" applyFill="1" applyBorder="1" applyAlignment="1" applyProtection="1">
      <alignment horizontal="left" vertical="top" wrapText="1"/>
      <protection locked="0"/>
    </xf>
    <xf numFmtId="0" fontId="68" fillId="0" borderId="1" xfId="73" applyFont="1" applyFill="1" applyBorder="1" applyAlignment="1" applyProtection="1">
      <alignment horizontal="left" vertical="top" wrapText="1"/>
      <protection locked="0"/>
    </xf>
    <xf numFmtId="0" fontId="68" fillId="0" borderId="5" xfId="62" applyFont="1" applyFill="1" applyBorder="1" applyAlignment="1" applyProtection="1">
      <alignment horizontal="left" vertical="top" wrapText="1"/>
      <protection locked="0"/>
    </xf>
    <xf numFmtId="0" fontId="72" fillId="0" borderId="1" xfId="62" applyFont="1" applyFill="1" applyBorder="1" applyAlignment="1" applyProtection="1">
      <alignment horizontal="center" vertical="center" wrapText="1"/>
      <protection locked="0"/>
    </xf>
    <xf numFmtId="0" fontId="68" fillId="0" borderId="1" xfId="63" applyFont="1" applyFill="1" applyBorder="1" applyAlignment="1" applyProtection="1">
      <alignment horizontal="center" vertical="center" wrapText="1"/>
      <protection locked="0"/>
    </xf>
    <xf numFmtId="0" fontId="68" fillId="0" borderId="1" xfId="63" applyFont="1" applyFill="1" applyBorder="1" applyAlignment="1" applyProtection="1">
      <alignment horizontal="left" vertical="top" wrapText="1"/>
      <protection locked="0"/>
    </xf>
    <xf numFmtId="0" fontId="68" fillId="0" borderId="1" xfId="62" applyFont="1" applyFill="1" applyBorder="1" applyAlignment="1" applyProtection="1">
      <alignment horizontal="left" vertical="top" wrapText="1"/>
      <protection locked="0"/>
    </xf>
    <xf numFmtId="0" fontId="68" fillId="0" borderId="6" xfId="0" applyFont="1" applyFill="1" applyBorder="1" applyAlignment="1" applyProtection="1">
      <alignment horizontal="center" vertical="center" wrapText="1"/>
      <protection locked="0"/>
    </xf>
    <xf numFmtId="0" fontId="68" fillId="0" borderId="1" xfId="80" applyFont="1" applyFill="1" applyBorder="1" applyAlignment="1" applyProtection="1">
      <alignment horizontal="left" vertical="top" wrapText="1"/>
      <protection locked="0"/>
    </xf>
    <xf numFmtId="0" fontId="68" fillId="0" borderId="5" xfId="38" applyFont="1" applyFill="1" applyBorder="1" applyAlignment="1" applyProtection="1">
      <alignment horizontal="left" vertical="top" wrapText="1"/>
      <protection locked="0"/>
    </xf>
    <xf numFmtId="2" fontId="68" fillId="0" borderId="1" xfId="87" applyNumberFormat="1" applyFont="1" applyFill="1" applyBorder="1" applyAlignment="1" applyProtection="1">
      <alignment horizontal="right" vertical="top"/>
    </xf>
    <xf numFmtId="0" fontId="72" fillId="0" borderId="5" xfId="8" applyFont="1" applyFill="1" applyBorder="1" applyAlignment="1" applyProtection="1">
      <alignment horizontal="left" vertical="top" wrapText="1"/>
      <protection locked="0"/>
    </xf>
    <xf numFmtId="0" fontId="7" fillId="0" borderId="1" xfId="8" applyFont="1" applyBorder="1" applyAlignment="1" applyProtection="1">
      <alignment horizontal="center" vertical="center" wrapText="1"/>
      <protection locked="0"/>
    </xf>
    <xf numFmtId="0" fontId="40" fillId="0" borderId="1" xfId="48" applyFont="1" applyBorder="1" applyAlignment="1" applyProtection="1">
      <alignment horizontal="left" vertical="center" wrapText="1"/>
      <protection locked="0"/>
    </xf>
    <xf numFmtId="0" fontId="66" fillId="4" borderId="1" xfId="4" applyFont="1" applyFill="1" applyBorder="1" applyAlignment="1" applyProtection="1">
      <alignment horizontal="left" vertical="center" wrapText="1"/>
    </xf>
    <xf numFmtId="0" fontId="67" fillId="28" borderId="1" xfId="8" applyFont="1" applyFill="1" applyBorder="1" applyAlignment="1" applyProtection="1">
      <alignment horizontal="center" vertical="center"/>
    </xf>
    <xf numFmtId="0" fontId="72" fillId="0" borderId="5" xfId="84" applyFont="1" applyBorder="1" applyAlignment="1" applyProtection="1">
      <alignment horizontal="left" vertical="top" wrapText="1"/>
      <protection locked="0"/>
    </xf>
    <xf numFmtId="0" fontId="68" fillId="0" borderId="5" xfId="54" applyFont="1" applyFill="1" applyBorder="1" applyAlignment="1" applyProtection="1">
      <alignment horizontal="left" vertical="top" wrapText="1"/>
      <protection locked="0"/>
    </xf>
    <xf numFmtId="0" fontId="99" fillId="0" borderId="1" xfId="82" applyFont="1" applyFill="1" applyBorder="1" applyAlignment="1" applyProtection="1">
      <alignment horizontal="center" vertical="center" wrapText="1"/>
      <protection locked="0"/>
    </xf>
    <xf numFmtId="0" fontId="99" fillId="0" borderId="1" xfId="82" applyFont="1" applyFill="1" applyBorder="1" applyAlignment="1" applyProtection="1">
      <alignment horizontal="center" vertical="center"/>
      <protection locked="0"/>
    </xf>
    <xf numFmtId="0" fontId="72" fillId="0" borderId="1" xfId="82" applyFont="1" applyBorder="1" applyAlignment="1" applyProtection="1">
      <alignment horizontal="center" vertical="center" wrapText="1"/>
      <protection locked="0"/>
    </xf>
    <xf numFmtId="0" fontId="67" fillId="2" borderId="1" xfId="4" applyFont="1" applyFill="1" applyBorder="1" applyAlignment="1" applyProtection="1">
      <alignment horizontal="center" vertical="center" wrapText="1"/>
      <protection locked="0"/>
    </xf>
    <xf numFmtId="0" fontId="72" fillId="0" borderId="1" xfId="82" applyFont="1" applyBorder="1" applyAlignment="1" applyProtection="1">
      <alignment horizontal="center" vertical="center"/>
      <protection locked="0"/>
    </xf>
    <xf numFmtId="0" fontId="67" fillId="0" borderId="1" xfId="4" applyFont="1" applyBorder="1" applyAlignment="1" applyProtection="1">
      <alignment horizontal="center" vertical="center" wrapText="1"/>
      <protection locked="0"/>
    </xf>
    <xf numFmtId="0" fontId="68" fillId="0" borderId="1" xfId="82" applyFont="1" applyBorder="1" applyAlignment="1" applyProtection="1">
      <alignment horizontal="center" vertical="center"/>
      <protection locked="0"/>
    </xf>
    <xf numFmtId="0" fontId="99" fillId="0" borderId="1" xfId="14"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wrapText="1"/>
      <protection locked="0"/>
    </xf>
    <xf numFmtId="0" fontId="67" fillId="0" borderId="1" xfId="11" applyFont="1" applyFill="1" applyBorder="1" applyAlignment="1" applyProtection="1">
      <alignment horizontal="center" vertical="center" wrapText="1"/>
      <protection locked="0"/>
    </xf>
    <xf numFmtId="0" fontId="99" fillId="0" borderId="1" xfId="4" applyFont="1" applyFill="1" applyBorder="1" applyAlignment="1" applyProtection="1">
      <alignment horizontal="center" vertical="center" wrapText="1"/>
      <protection locked="0"/>
    </xf>
    <xf numFmtId="0" fontId="99" fillId="0" borderId="1" xfId="85" applyFont="1" applyFill="1" applyBorder="1" applyAlignment="1" applyProtection="1">
      <alignment horizontal="center" vertical="center" wrapText="1"/>
      <protection locked="0"/>
    </xf>
    <xf numFmtId="0" fontId="108" fillId="0" borderId="1" xfId="9" applyFont="1" applyBorder="1" applyAlignment="1" applyProtection="1">
      <alignment horizontal="left" vertical="center" wrapText="1"/>
      <protection locked="0"/>
    </xf>
    <xf numFmtId="0" fontId="109" fillId="0" borderId="1" xfId="9" applyFont="1" applyBorder="1" applyAlignment="1" applyProtection="1">
      <alignment horizontal="left" vertical="center" wrapText="1"/>
      <protection locked="0"/>
    </xf>
    <xf numFmtId="0" fontId="66" fillId="0" borderId="1" xfId="9" applyFont="1" applyBorder="1" applyAlignment="1" applyProtection="1">
      <alignment horizontal="left" vertical="center" wrapText="1"/>
      <protection locked="0"/>
    </xf>
    <xf numFmtId="0" fontId="110" fillId="0" borderId="1" xfId="9" applyFont="1" applyBorder="1" applyAlignment="1" applyProtection="1">
      <alignment horizontal="left" vertical="center" wrapText="1"/>
      <protection locked="0"/>
    </xf>
    <xf numFmtId="0" fontId="71" fillId="32" borderId="1" xfId="8" applyFont="1" applyFill="1" applyBorder="1" applyAlignment="1" applyProtection="1">
      <alignment horizontal="left" vertical="center" wrapText="1"/>
      <protection locked="0"/>
    </xf>
    <xf numFmtId="0" fontId="90" fillId="0" borderId="1" xfId="9" applyFont="1" applyBorder="1" applyAlignment="1" applyProtection="1">
      <alignment horizontal="left" vertical="center" wrapText="1"/>
      <protection locked="0"/>
    </xf>
    <xf numFmtId="0" fontId="78" fillId="0" borderId="1" xfId="9" applyFont="1" applyBorder="1" applyAlignment="1" applyProtection="1">
      <alignment horizontal="left" vertical="center" wrapText="1"/>
      <protection locked="0"/>
    </xf>
    <xf numFmtId="1" fontId="40" fillId="0" borderId="1" xfId="8" applyNumberFormat="1" applyFont="1" applyBorder="1" applyAlignment="1" applyProtection="1">
      <alignment horizontal="center" vertical="center" wrapText="1"/>
      <protection locked="0"/>
    </xf>
    <xf numFmtId="0" fontId="6" fillId="0" borderId="1" xfId="8" applyFont="1" applyBorder="1" applyAlignment="1" applyProtection="1">
      <alignment horizontal="left" vertical="center" wrapText="1"/>
      <protection locked="0"/>
    </xf>
    <xf numFmtId="1" fontId="40" fillId="0" borderId="1" xfId="9" applyNumberFormat="1" applyFont="1" applyBorder="1" applyAlignment="1" applyProtection="1">
      <alignment horizontal="center" vertical="center" wrapText="1"/>
      <protection locked="0"/>
    </xf>
    <xf numFmtId="0" fontId="72" fillId="0" borderId="1" xfId="4" applyFont="1" applyBorder="1" applyAlignment="1" applyProtection="1">
      <alignment vertical="top" wrapText="1"/>
      <protection locked="0"/>
    </xf>
    <xf numFmtId="0" fontId="52" fillId="0" borderId="0" xfId="0" applyFont="1" applyAlignment="1">
      <alignment vertical="top" wrapText="1"/>
    </xf>
    <xf numFmtId="0" fontId="68" fillId="12" borderId="1" xfId="4" applyFont="1" applyFill="1" applyBorder="1" applyAlignment="1" applyProtection="1">
      <alignment horizontal="center" vertical="center" wrapText="1"/>
    </xf>
    <xf numFmtId="0" fontId="68" fillId="12" borderId="1" xfId="4" applyFont="1" applyFill="1" applyBorder="1" applyAlignment="1" applyProtection="1">
      <alignment horizontal="left" vertical="center" wrapText="1"/>
    </xf>
    <xf numFmtId="0" fontId="68" fillId="12" borderId="1" xfId="4" applyFont="1" applyFill="1" applyBorder="1" applyAlignment="1" applyProtection="1">
      <alignment vertical="center" wrapText="1"/>
    </xf>
    <xf numFmtId="0" fontId="66" fillId="12" borderId="1" xfId="8" applyFont="1" applyFill="1" applyBorder="1" applyAlignment="1" applyProtection="1">
      <alignment horizontal="center" vertical="center" wrapText="1"/>
    </xf>
    <xf numFmtId="0" fontId="68" fillId="12" borderId="1" xfId="9" applyFont="1" applyFill="1" applyBorder="1" applyAlignment="1" applyProtection="1">
      <alignment horizontal="left" vertical="center" wrapText="1"/>
    </xf>
    <xf numFmtId="0" fontId="68" fillId="12" borderId="1" xfId="8" applyFont="1" applyFill="1" applyBorder="1" applyAlignment="1" applyProtection="1">
      <alignment vertical="center" wrapText="1"/>
      <protection locked="0"/>
    </xf>
    <xf numFmtId="0" fontId="68" fillId="12" borderId="1" xfId="8" applyFont="1" applyFill="1" applyBorder="1" applyAlignment="1" applyProtection="1">
      <alignment horizontal="left" vertical="top" wrapText="1"/>
      <protection locked="0"/>
    </xf>
    <xf numFmtId="0" fontId="72" fillId="12" borderId="1" xfId="8" applyFont="1" applyFill="1" applyBorder="1" applyAlignment="1" applyProtection="1">
      <alignment horizontal="center" vertical="center" wrapText="1"/>
      <protection locked="0"/>
    </xf>
    <xf numFmtId="43" fontId="72" fillId="12" borderId="1" xfId="1" applyFont="1" applyFill="1" applyBorder="1" applyAlignment="1" applyProtection="1">
      <alignment horizontal="right" vertical="center" wrapText="1"/>
    </xf>
    <xf numFmtId="43" fontId="68" fillId="12" borderId="1" xfId="1" applyFont="1" applyFill="1" applyBorder="1" applyAlignment="1" applyProtection="1">
      <alignment horizontal="right" vertical="center" wrapText="1"/>
    </xf>
    <xf numFmtId="0" fontId="66" fillId="12" borderId="1" xfId="8" applyFont="1" applyFill="1" applyBorder="1" applyAlignment="1" applyProtection="1">
      <alignment vertical="center" wrapText="1"/>
      <protection locked="0"/>
    </xf>
    <xf numFmtId="0" fontId="68" fillId="12" borderId="1" xfId="0" applyFont="1" applyFill="1" applyBorder="1" applyAlignment="1" applyProtection="1">
      <alignment vertical="center" wrapText="1"/>
    </xf>
    <xf numFmtId="43" fontId="68" fillId="12" borderId="1" xfId="0" applyNumberFormat="1" applyFont="1" applyFill="1" applyBorder="1" applyAlignment="1" applyProtection="1">
      <alignment vertical="center" wrapText="1"/>
    </xf>
    <xf numFmtId="2" fontId="68" fillId="12" borderId="0" xfId="8" applyNumberFormat="1" applyFont="1" applyFill="1" applyAlignment="1" applyProtection="1">
      <alignment vertical="center" wrapText="1"/>
    </xf>
    <xf numFmtId="0" fontId="68" fillId="12" borderId="0" xfId="8" applyFont="1" applyFill="1" applyAlignment="1" applyProtection="1">
      <alignment vertical="center" wrapText="1"/>
    </xf>
    <xf numFmtId="0" fontId="68" fillId="12" borderId="1" xfId="8" applyFont="1" applyFill="1" applyBorder="1" applyAlignment="1" applyProtection="1">
      <alignment horizontal="left" vertical="center" wrapText="1"/>
    </xf>
    <xf numFmtId="0" fontId="88" fillId="12" borderId="1" xfId="8" applyFont="1" applyFill="1" applyBorder="1" applyAlignment="1" applyProtection="1">
      <alignment vertical="center" wrapText="1"/>
      <protection locked="0"/>
    </xf>
    <xf numFmtId="0" fontId="88" fillId="12" borderId="1" xfId="8" applyFont="1" applyFill="1" applyBorder="1" applyAlignment="1" applyProtection="1">
      <alignment horizontal="center" vertical="center" wrapText="1"/>
      <protection locked="0"/>
    </xf>
    <xf numFmtId="167" fontId="88" fillId="12" borderId="1" xfId="8" applyNumberFormat="1" applyFont="1" applyFill="1" applyBorder="1" applyAlignment="1" applyProtection="1">
      <alignment horizontal="right" vertical="center" wrapText="1"/>
      <protection locked="0"/>
    </xf>
    <xf numFmtId="4" fontId="72" fillId="12" borderId="1" xfId="0" applyNumberFormat="1" applyFont="1" applyFill="1" applyBorder="1" applyAlignment="1" applyProtection="1">
      <alignment horizontal="left" vertical="top" wrapText="1"/>
      <protection locked="0"/>
    </xf>
    <xf numFmtId="0" fontId="74" fillId="12" borderId="1" xfId="0" applyFont="1" applyFill="1" applyBorder="1" applyAlignment="1" applyProtection="1">
      <alignment horizontal="left" vertical="center" wrapText="1"/>
      <protection locked="0"/>
    </xf>
    <xf numFmtId="0" fontId="72" fillId="12" borderId="1" xfId="8" applyFont="1" applyFill="1" applyBorder="1" applyAlignment="1" applyProtection="1">
      <alignment horizontal="left" vertical="center" wrapText="1"/>
    </xf>
    <xf numFmtId="0" fontId="67" fillId="12" borderId="1" xfId="8" applyFont="1" applyFill="1" applyBorder="1" applyAlignment="1" applyProtection="1">
      <alignment horizontal="center" vertical="center" wrapText="1"/>
    </xf>
    <xf numFmtId="0" fontId="72" fillId="12" borderId="1" xfId="8" applyFont="1" applyFill="1" applyBorder="1" applyAlignment="1" applyProtection="1">
      <alignment horizontal="center" vertical="center" wrapText="1"/>
    </xf>
    <xf numFmtId="0" fontId="72" fillId="12" borderId="1" xfId="9" applyFont="1" applyFill="1" applyBorder="1" applyAlignment="1" applyProtection="1">
      <alignment horizontal="center" vertical="center" wrapText="1"/>
      <protection locked="0"/>
    </xf>
    <xf numFmtId="43" fontId="72" fillId="12" borderId="1" xfId="1" applyFont="1" applyFill="1" applyBorder="1" applyAlignment="1" applyProtection="1">
      <alignment horizontal="center" vertical="center" wrapText="1"/>
      <protection locked="0"/>
    </xf>
    <xf numFmtId="43" fontId="67" fillId="12" borderId="1" xfId="1" applyFont="1" applyFill="1" applyBorder="1" applyAlignment="1" applyProtection="1">
      <alignment horizontal="center" vertical="center" wrapText="1"/>
      <protection locked="0"/>
    </xf>
    <xf numFmtId="0" fontId="72" fillId="12" borderId="1" xfId="9" applyFont="1" applyFill="1" applyBorder="1" applyAlignment="1" applyProtection="1">
      <alignment vertical="center" wrapText="1"/>
      <protection locked="0"/>
    </xf>
    <xf numFmtId="43" fontId="72" fillId="12" borderId="1" xfId="1" applyFont="1" applyFill="1" applyBorder="1" applyAlignment="1" applyProtection="1">
      <alignment horizontal="left" vertical="center" wrapText="1"/>
    </xf>
    <xf numFmtId="0" fontId="72" fillId="12" borderId="0" xfId="8" applyFont="1" applyFill="1" applyAlignment="1" applyProtection="1">
      <alignment vertical="center" wrapText="1"/>
    </xf>
    <xf numFmtId="0" fontId="72" fillId="52" borderId="0" xfId="97" applyFont="1" applyFill="1" applyAlignment="1" applyProtection="1">
      <alignment horizontal="center" vertical="top"/>
    </xf>
    <xf numFmtId="0" fontId="72" fillId="52" borderId="1" xfId="50" applyFont="1" applyFill="1" applyBorder="1" applyAlignment="1" applyProtection="1">
      <alignment horizontal="left" vertical="top" wrapText="1"/>
    </xf>
    <xf numFmtId="0" fontId="72" fillId="52" borderId="1" xfId="5" applyFont="1" applyFill="1" applyBorder="1" applyAlignment="1" applyProtection="1">
      <alignment horizontal="left" vertical="top"/>
    </xf>
    <xf numFmtId="0" fontId="72" fillId="52" borderId="1" xfId="5" applyFont="1" applyFill="1" applyBorder="1" applyAlignment="1" applyProtection="1">
      <alignment horizontal="left" vertical="top" wrapText="1"/>
    </xf>
    <xf numFmtId="0" fontId="68" fillId="52" borderId="1" xfId="8" applyFont="1" applyFill="1" applyBorder="1" applyAlignment="1" applyProtection="1">
      <alignment horizontal="center" vertical="top" wrapText="1"/>
    </xf>
    <xf numFmtId="0" fontId="72" fillId="52" borderId="1" xfId="97" applyFont="1" applyFill="1" applyBorder="1" applyAlignment="1" applyProtection="1">
      <alignment horizontal="center" vertical="top" wrapText="1"/>
    </xf>
    <xf numFmtId="0" fontId="72" fillId="52" borderId="1" xfId="97" applyFont="1" applyFill="1" applyBorder="1" applyAlignment="1" applyProtection="1">
      <alignment horizontal="center" vertical="top"/>
      <protection locked="0"/>
    </xf>
    <xf numFmtId="0" fontId="72" fillId="52" borderId="1" xfId="97" applyFont="1" applyFill="1" applyBorder="1" applyAlignment="1" applyProtection="1">
      <alignment horizontal="center" vertical="top" wrapText="1"/>
      <protection locked="0"/>
    </xf>
    <xf numFmtId="0" fontId="72" fillId="52" borderId="5" xfId="97" applyFont="1" applyFill="1" applyBorder="1" applyAlignment="1" applyProtection="1">
      <alignment horizontal="center" vertical="top" wrapText="1"/>
      <protection locked="0"/>
    </xf>
    <xf numFmtId="0" fontId="72" fillId="52" borderId="1" xfId="8" applyFont="1" applyFill="1" applyBorder="1" applyAlignment="1" applyProtection="1">
      <alignment horizontal="center" vertical="top" wrapText="1"/>
      <protection locked="0"/>
    </xf>
    <xf numFmtId="43" fontId="72" fillId="52" borderId="1" xfId="1" applyFont="1" applyFill="1" applyBorder="1" applyAlignment="1" applyProtection="1">
      <alignment horizontal="center" vertical="top" wrapText="1"/>
    </xf>
    <xf numFmtId="2" fontId="72" fillId="52" borderId="5" xfId="48" applyNumberFormat="1" applyFont="1" applyFill="1" applyBorder="1" applyAlignment="1" applyProtection="1">
      <alignment horizontal="left" vertical="top" wrapText="1"/>
      <protection locked="0"/>
    </xf>
    <xf numFmtId="0" fontId="87" fillId="52" borderId="1" xfId="0" applyFont="1" applyFill="1" applyBorder="1" applyAlignment="1" applyProtection="1">
      <alignment vertical="top" wrapText="1"/>
    </xf>
    <xf numFmtId="43" fontId="87" fillId="52" borderId="1" xfId="1" applyFont="1" applyFill="1" applyBorder="1" applyAlignment="1" applyProtection="1">
      <alignment vertical="top" wrapText="1"/>
    </xf>
    <xf numFmtId="0" fontId="72" fillId="52" borderId="0" xfId="97" applyFont="1" applyFill="1" applyAlignment="1" applyProtection="1">
      <alignment vertical="top"/>
    </xf>
    <xf numFmtId="0" fontId="72" fillId="12" borderId="0" xfId="97" applyFont="1" applyFill="1" applyAlignment="1" applyProtection="1">
      <alignment horizontal="center" vertical="top"/>
    </xf>
    <xf numFmtId="0" fontId="72" fillId="12" borderId="1" xfId="50" applyFont="1" applyFill="1" applyBorder="1" applyAlignment="1" applyProtection="1">
      <alignment horizontal="left" vertical="top" wrapText="1"/>
    </xf>
    <xf numFmtId="0" fontId="72" fillId="12" borderId="1" xfId="5" applyFont="1" applyFill="1" applyBorder="1" applyAlignment="1" applyProtection="1">
      <alignment horizontal="left" vertical="top" wrapText="1"/>
    </xf>
    <xf numFmtId="0" fontId="68" fillId="12" borderId="1" xfId="8" applyFont="1" applyFill="1" applyBorder="1" applyAlignment="1" applyProtection="1">
      <alignment horizontal="center" vertical="top" wrapText="1"/>
    </xf>
    <xf numFmtId="0" fontId="72" fillId="12" borderId="1" xfId="97" applyFont="1" applyFill="1" applyBorder="1" applyAlignment="1" applyProtection="1">
      <alignment horizontal="center" vertical="top" wrapText="1"/>
    </xf>
    <xf numFmtId="0" fontId="72" fillId="12" borderId="1" xfId="97" applyFont="1" applyFill="1" applyBorder="1" applyAlignment="1" applyProtection="1">
      <alignment horizontal="center" vertical="top"/>
      <protection locked="0"/>
    </xf>
    <xf numFmtId="0" fontId="72" fillId="12" borderId="1" xfId="97" applyFont="1" applyFill="1" applyBorder="1" applyAlignment="1" applyProtection="1">
      <alignment horizontal="center" vertical="top" wrapText="1"/>
      <protection locked="0"/>
    </xf>
    <xf numFmtId="0" fontId="72" fillId="12" borderId="5" xfId="97" applyFont="1" applyFill="1" applyBorder="1" applyAlignment="1" applyProtection="1">
      <alignment horizontal="center" vertical="top" wrapText="1"/>
      <protection locked="0"/>
    </xf>
    <xf numFmtId="0" fontId="72" fillId="12" borderId="1" xfId="8" applyFont="1" applyFill="1" applyBorder="1" applyAlignment="1" applyProtection="1">
      <alignment horizontal="center" vertical="top" wrapText="1"/>
      <protection locked="0"/>
    </xf>
    <xf numFmtId="43" fontId="72" fillId="12" borderId="1" xfId="1" applyFont="1" applyFill="1" applyBorder="1" applyAlignment="1" applyProtection="1">
      <alignment horizontal="center" vertical="top" wrapText="1"/>
    </xf>
    <xf numFmtId="2" fontId="72" fillId="12" borderId="5" xfId="48" applyNumberFormat="1" applyFont="1" applyFill="1" applyBorder="1" applyAlignment="1" applyProtection="1">
      <alignment horizontal="left" vertical="top" wrapText="1"/>
      <protection locked="0"/>
    </xf>
    <xf numFmtId="0" fontId="87" fillId="12" borderId="1" xfId="0" applyFont="1" applyFill="1" applyBorder="1" applyAlignment="1" applyProtection="1">
      <alignment vertical="top" wrapText="1"/>
    </xf>
    <xf numFmtId="43" fontId="87" fillId="12" borderId="1" xfId="1" applyFont="1" applyFill="1" applyBorder="1" applyAlignment="1" applyProtection="1">
      <alignment vertical="top" wrapText="1"/>
    </xf>
    <xf numFmtId="0" fontId="72" fillId="12" borderId="0" xfId="97" applyFont="1" applyFill="1" applyAlignment="1" applyProtection="1">
      <alignment vertical="top"/>
    </xf>
    <xf numFmtId="0" fontId="72" fillId="52" borderId="5" xfId="97" applyFont="1" applyFill="1" applyBorder="1" applyAlignment="1" applyProtection="1">
      <alignment horizontal="center" vertical="top"/>
      <protection locked="0"/>
    </xf>
    <xf numFmtId="0" fontId="72" fillId="52" borderId="20" xfId="97" applyFont="1" applyFill="1" applyBorder="1" applyAlignment="1" applyProtection="1">
      <alignment horizontal="center" vertical="top"/>
      <protection locked="0"/>
    </xf>
    <xf numFmtId="0" fontId="72" fillId="52" borderId="2" xfId="8" applyFont="1" applyFill="1" applyBorder="1" applyAlignment="1" applyProtection="1">
      <alignment horizontal="center" vertical="top" wrapText="1"/>
      <protection locked="0"/>
    </xf>
    <xf numFmtId="43" fontId="72" fillId="52" borderId="1" xfId="1" applyFont="1" applyFill="1" applyBorder="1" applyAlignment="1" applyProtection="1">
      <alignment horizontal="center" vertical="top"/>
    </xf>
    <xf numFmtId="0" fontId="72" fillId="52" borderId="1" xfId="0" applyFont="1" applyFill="1" applyBorder="1" applyAlignment="1" applyProtection="1">
      <alignment horizontal="center" vertical="top" wrapText="1"/>
    </xf>
    <xf numFmtId="0" fontId="87" fillId="52" borderId="1" xfId="0" applyFont="1" applyFill="1" applyBorder="1" applyAlignment="1" applyProtection="1">
      <alignment vertical="top" wrapText="1"/>
      <protection locked="0"/>
    </xf>
    <xf numFmtId="43" fontId="87" fillId="52" borderId="1" xfId="1" applyFont="1" applyFill="1" applyBorder="1" applyAlignment="1" applyProtection="1">
      <alignment horizontal="right" vertical="top"/>
      <protection locked="0"/>
    </xf>
    <xf numFmtId="0" fontId="72" fillId="52" borderId="1" xfId="5" applyFont="1" applyFill="1" applyBorder="1" applyAlignment="1" applyProtection="1">
      <alignment horizontal="center" vertical="top" wrapText="1"/>
    </xf>
    <xf numFmtId="167" fontId="72" fillId="52" borderId="1" xfId="48" applyNumberFormat="1" applyFont="1" applyFill="1" applyBorder="1" applyAlignment="1" applyProtection="1">
      <alignment horizontal="center" vertical="top"/>
      <protection locked="0"/>
    </xf>
    <xf numFmtId="0" fontId="72" fillId="52" borderId="1" xfId="97" applyFont="1" applyFill="1" applyBorder="1" applyAlignment="1" applyProtection="1">
      <alignment vertical="top" wrapText="1"/>
      <protection locked="0"/>
    </xf>
    <xf numFmtId="0" fontId="72" fillId="52" borderId="1" xfId="97" applyFont="1" applyFill="1" applyBorder="1" applyAlignment="1" applyProtection="1">
      <alignment vertical="top"/>
      <protection locked="0"/>
    </xf>
    <xf numFmtId="43" fontId="87" fillId="52" borderId="1" xfId="1" applyFont="1" applyFill="1" applyBorder="1" applyAlignment="1" applyProtection="1">
      <alignment vertical="top"/>
    </xf>
    <xf numFmtId="0" fontId="66" fillId="52" borderId="1" xfId="4" applyFont="1" applyFill="1" applyBorder="1" applyAlignment="1" applyProtection="1">
      <alignment horizontal="left" vertical="center" wrapText="1"/>
    </xf>
    <xf numFmtId="0" fontId="68" fillId="52" borderId="1" xfId="4" applyFont="1" applyFill="1" applyBorder="1" applyAlignment="1" applyProtection="1">
      <alignment horizontal="left" vertical="center" wrapText="1"/>
    </xf>
    <xf numFmtId="0" fontId="68" fillId="52" borderId="1" xfId="4" applyFont="1" applyFill="1" applyBorder="1" applyAlignment="1" applyProtection="1">
      <alignment vertical="center" wrapText="1"/>
    </xf>
    <xf numFmtId="0" fontId="66" fillId="52" borderId="1" xfId="8" applyFont="1" applyFill="1" applyBorder="1" applyAlignment="1" applyProtection="1">
      <alignment horizontal="center" vertical="center" wrapText="1"/>
    </xf>
    <xf numFmtId="0" fontId="68" fillId="52" borderId="1" xfId="8" applyFont="1" applyFill="1" applyBorder="1" applyAlignment="1" applyProtection="1">
      <alignment horizontal="left" vertical="center" wrapText="1"/>
    </xf>
    <xf numFmtId="0" fontId="68" fillId="52" borderId="1" xfId="8" applyFont="1" applyFill="1" applyBorder="1" applyAlignment="1" applyProtection="1">
      <alignment vertical="center" wrapText="1"/>
      <protection locked="0"/>
    </xf>
    <xf numFmtId="43" fontId="72" fillId="52" borderId="1" xfId="1" applyFont="1" applyFill="1" applyBorder="1" applyAlignment="1" applyProtection="1">
      <alignment horizontal="left" vertical="top" wrapText="1"/>
      <protection locked="0"/>
    </xf>
    <xf numFmtId="0" fontId="72" fillId="52" borderId="1" xfId="8" applyFont="1" applyFill="1" applyBorder="1" applyAlignment="1" applyProtection="1">
      <alignment horizontal="center" vertical="center" wrapText="1"/>
      <protection locked="0"/>
    </xf>
    <xf numFmtId="43" fontId="68" fillId="52" borderId="1" xfId="1" applyFont="1" applyFill="1" applyBorder="1" applyAlignment="1" applyProtection="1">
      <alignment horizontal="right" vertical="center" wrapText="1"/>
    </xf>
    <xf numFmtId="0" fontId="74" fillId="52" borderId="1" xfId="0" applyFont="1" applyFill="1" applyBorder="1" applyAlignment="1" applyProtection="1">
      <alignment horizontal="left" vertical="top" wrapText="1"/>
      <protection locked="0"/>
    </xf>
    <xf numFmtId="0" fontId="68" fillId="52" borderId="1" xfId="0" applyFont="1" applyFill="1" applyBorder="1" applyAlignment="1" applyProtection="1">
      <alignment vertical="center" wrapText="1"/>
    </xf>
    <xf numFmtId="43" fontId="68" fillId="52" borderId="1" xfId="0" applyNumberFormat="1" applyFont="1" applyFill="1" applyBorder="1" applyAlignment="1" applyProtection="1">
      <alignment vertical="center" wrapText="1"/>
    </xf>
    <xf numFmtId="2" fontId="68" fillId="52" borderId="0" xfId="8" applyNumberFormat="1" applyFont="1" applyFill="1" applyAlignment="1" applyProtection="1">
      <alignment vertical="center" wrapText="1"/>
    </xf>
    <xf numFmtId="0" fontId="68" fillId="52" borderId="0" xfId="8" applyFont="1" applyFill="1" applyAlignment="1" applyProtection="1">
      <alignment vertical="center" wrapText="1"/>
    </xf>
    <xf numFmtId="0" fontId="72" fillId="23" borderId="1" xfId="87" applyFont="1" applyFill="1" applyBorder="1" applyAlignment="1" applyProtection="1">
      <alignment horizontal="center" vertical="center"/>
    </xf>
    <xf numFmtId="0" fontId="72" fillId="23" borderId="1" xfId="87" applyFont="1" applyFill="1" applyBorder="1" applyAlignment="1" applyProtection="1">
      <alignment vertical="center"/>
    </xf>
    <xf numFmtId="0" fontId="67" fillId="23" borderId="1" xfId="87" applyFont="1" applyFill="1" applyBorder="1" applyAlignment="1" applyProtection="1">
      <alignment horizontal="center" vertical="center"/>
    </xf>
    <xf numFmtId="0" fontId="72" fillId="23" borderId="1" xfId="87" applyFont="1" applyFill="1" applyBorder="1" applyAlignment="1" applyProtection="1">
      <alignment horizontal="center" vertical="center" wrapText="1"/>
    </xf>
    <xf numFmtId="0" fontId="68" fillId="23" borderId="1" xfId="0" applyFont="1" applyFill="1" applyBorder="1" applyAlignment="1" applyProtection="1">
      <alignment vertical="center" wrapText="1"/>
      <protection locked="0"/>
    </xf>
    <xf numFmtId="0" fontId="68" fillId="23" borderId="1" xfId="87" applyFont="1" applyFill="1" applyBorder="1" applyAlignment="1" applyProtection="1">
      <alignment horizontal="center" vertical="center"/>
      <protection locked="0"/>
    </xf>
    <xf numFmtId="0" fontId="72" fillId="23" borderId="1" xfId="8" applyFont="1" applyFill="1" applyBorder="1" applyAlignment="1" applyProtection="1">
      <alignment horizontal="left" vertical="center" wrapText="1"/>
      <protection locked="0"/>
    </xf>
    <xf numFmtId="2" fontId="72" fillId="23" borderId="1" xfId="0" applyNumberFormat="1" applyFont="1" applyFill="1" applyBorder="1" applyAlignment="1" applyProtection="1">
      <alignment horizontal="right" vertical="center" wrapText="1"/>
    </xf>
    <xf numFmtId="0" fontId="72" fillId="23" borderId="1" xfId="8" applyFont="1" applyFill="1" applyBorder="1" applyAlignment="1" applyProtection="1">
      <alignment horizontal="center" vertical="center" wrapText="1"/>
      <protection locked="0"/>
    </xf>
    <xf numFmtId="2" fontId="68" fillId="23" borderId="1" xfId="87" applyNumberFormat="1" applyFont="1" applyFill="1" applyBorder="1" applyAlignment="1" applyProtection="1">
      <alignment horizontal="right" vertical="center"/>
    </xf>
    <xf numFmtId="0" fontId="68" fillId="23" borderId="1" xfId="87" applyFont="1" applyFill="1" applyBorder="1" applyAlignment="1" applyProtection="1">
      <alignment horizontal="left" vertical="center" wrapText="1"/>
      <protection locked="0"/>
    </xf>
    <xf numFmtId="0" fontId="68" fillId="23" borderId="1" xfId="0" applyFont="1" applyFill="1" applyBorder="1" applyAlignment="1" applyProtection="1">
      <alignment vertical="center"/>
    </xf>
    <xf numFmtId="43" fontId="68" fillId="23" borderId="1" xfId="1" applyFont="1" applyFill="1" applyBorder="1" applyAlignment="1" applyProtection="1">
      <alignment vertical="center"/>
    </xf>
    <xf numFmtId="0" fontId="72" fillId="23" borderId="0" xfId="87" applyFont="1" applyFill="1" applyAlignment="1" applyProtection="1">
      <alignment vertical="center"/>
    </xf>
    <xf numFmtId="0" fontId="72" fillId="23" borderId="1" xfId="87" applyFont="1" applyFill="1" applyBorder="1" applyAlignment="1" applyProtection="1">
      <alignment horizontal="left" vertical="center"/>
    </xf>
    <xf numFmtId="0" fontId="72" fillId="23" borderId="1" xfId="87" applyFont="1" applyFill="1" applyBorder="1" applyAlignment="1" applyProtection="1">
      <alignment horizontal="left" vertical="center" wrapText="1"/>
    </xf>
    <xf numFmtId="0" fontId="67" fillId="23" borderId="1" xfId="8" applyFont="1" applyFill="1" applyBorder="1" applyAlignment="1" applyProtection="1">
      <alignment horizontal="center" vertical="center"/>
    </xf>
    <xf numFmtId="0" fontId="68" fillId="23" borderId="1" xfId="87" applyFont="1" applyFill="1" applyBorder="1" applyAlignment="1" applyProtection="1">
      <alignment horizontal="center" vertical="center" wrapText="1"/>
      <protection locked="0"/>
    </xf>
    <xf numFmtId="0" fontId="68" fillId="23" borderId="5" xfId="87" applyFont="1" applyFill="1" applyBorder="1" applyAlignment="1" applyProtection="1">
      <alignment horizontal="left" vertical="center" wrapText="1"/>
      <protection locked="0"/>
    </xf>
    <xf numFmtId="43" fontId="68" fillId="23" borderId="1" xfId="1" applyFont="1" applyFill="1" applyBorder="1" applyAlignment="1" applyProtection="1">
      <alignment horizontal="right" vertical="center"/>
    </xf>
    <xf numFmtId="0" fontId="72" fillId="23" borderId="0" xfId="97" applyFont="1" applyFill="1" applyAlignment="1" applyProtection="1">
      <alignment horizontal="center" vertical="top"/>
    </xf>
    <xf numFmtId="0" fontId="72" fillId="23" borderId="1" xfId="50" applyFont="1" applyFill="1" applyBorder="1" applyAlignment="1" applyProtection="1">
      <alignment horizontal="left" vertical="top" wrapText="1"/>
    </xf>
    <xf numFmtId="0" fontId="72" fillId="23" borderId="1" xfId="5" applyFont="1" applyFill="1" applyBorder="1" applyAlignment="1" applyProtection="1">
      <alignment horizontal="left" vertical="top" wrapText="1"/>
    </xf>
    <xf numFmtId="0" fontId="68" fillId="23" borderId="1" xfId="0" applyFont="1" applyFill="1" applyBorder="1" applyAlignment="1" applyProtection="1">
      <alignment horizontal="center" vertical="top"/>
    </xf>
    <xf numFmtId="0" fontId="72" fillId="23" borderId="1" xfId="97" applyFont="1" applyFill="1" applyBorder="1" applyAlignment="1" applyProtection="1">
      <alignment horizontal="center" vertical="top" wrapText="1"/>
    </xf>
    <xf numFmtId="0" fontId="72" fillId="23" borderId="1" xfId="97" applyFont="1" applyFill="1" applyBorder="1" applyAlignment="1" applyProtection="1">
      <alignment horizontal="center" vertical="top"/>
      <protection locked="0"/>
    </xf>
    <xf numFmtId="0" fontId="72" fillId="23" borderId="1" xfId="8" applyFont="1" applyFill="1" applyBorder="1" applyAlignment="1" applyProtection="1">
      <alignment horizontal="center" vertical="top" wrapText="1"/>
      <protection locked="0"/>
    </xf>
    <xf numFmtId="43" fontId="72" fillId="23" borderId="1" xfId="1" applyFont="1" applyFill="1" applyBorder="1" applyAlignment="1" applyProtection="1">
      <alignment horizontal="center" vertical="top" wrapText="1"/>
    </xf>
    <xf numFmtId="43" fontId="72" fillId="23" borderId="1" xfId="1" applyFont="1" applyFill="1" applyBorder="1" applyAlignment="1" applyProtection="1">
      <alignment horizontal="center" vertical="top"/>
    </xf>
    <xf numFmtId="2" fontId="72" fillId="23" borderId="1" xfId="48" applyNumberFormat="1" applyFont="1" applyFill="1" applyBorder="1" applyAlignment="1" applyProtection="1">
      <alignment horizontal="left" vertical="top" wrapText="1"/>
      <protection locked="0"/>
    </xf>
    <xf numFmtId="0" fontId="87" fillId="23" borderId="1" xfId="0" applyFont="1" applyFill="1" applyBorder="1" applyAlignment="1" applyProtection="1">
      <alignment vertical="top" wrapText="1"/>
    </xf>
    <xf numFmtId="43" fontId="87" fillId="23" borderId="1" xfId="1" applyFont="1" applyFill="1" applyBorder="1" applyAlignment="1" applyProtection="1">
      <alignment horizontal="right" vertical="top"/>
    </xf>
    <xf numFmtId="0" fontId="72" fillId="23" borderId="0" xfId="97" applyFont="1" applyFill="1" applyAlignment="1" applyProtection="1">
      <alignment vertical="top"/>
    </xf>
    <xf numFmtId="0" fontId="68" fillId="23" borderId="1" xfId="0" applyFont="1" applyFill="1" applyBorder="1" applyAlignment="1" applyProtection="1">
      <alignment horizontal="left" vertical="top" wrapText="1"/>
    </xf>
    <xf numFmtId="0" fontId="72" fillId="23" borderId="1" xfId="4" applyFont="1" applyFill="1" applyBorder="1" applyAlignment="1" applyProtection="1">
      <alignment horizontal="left" vertical="top" wrapText="1"/>
    </xf>
    <xf numFmtId="0" fontId="67" fillId="23" borderId="1" xfId="0" applyFont="1" applyFill="1" applyBorder="1" applyAlignment="1" applyProtection="1">
      <alignment horizontal="center" vertical="top" wrapText="1"/>
    </xf>
    <xf numFmtId="0" fontId="72" fillId="23" borderId="1" xfId="0" applyFont="1" applyFill="1" applyBorder="1" applyAlignment="1" applyProtection="1">
      <alignment horizontal="center" vertical="top" wrapText="1"/>
    </xf>
    <xf numFmtId="0" fontId="68" fillId="23" borderId="1" xfId="0" applyFont="1" applyFill="1" applyBorder="1" applyAlignment="1" applyProtection="1">
      <alignment horizontal="center" vertical="top" wrapText="1"/>
      <protection locked="0"/>
    </xf>
    <xf numFmtId="166" fontId="68" fillId="23" borderId="1" xfId="1" applyNumberFormat="1" applyFont="1" applyFill="1" applyBorder="1" applyAlignment="1" applyProtection="1">
      <alignment horizontal="center" vertical="top"/>
      <protection locked="0"/>
    </xf>
    <xf numFmtId="167" fontId="68" fillId="23" borderId="1" xfId="0" applyNumberFormat="1" applyFont="1" applyFill="1" applyBorder="1" applyAlignment="1" applyProtection="1">
      <alignment horizontal="center" vertical="top" wrapText="1"/>
      <protection locked="0"/>
    </xf>
    <xf numFmtId="0" fontId="72" fillId="23" borderId="1" xfId="4" applyFont="1" applyFill="1" applyBorder="1" applyAlignment="1" applyProtection="1">
      <alignment horizontal="left" vertical="top" wrapText="1"/>
      <protection locked="0"/>
    </xf>
    <xf numFmtId="43" fontId="68" fillId="23" borderId="1" xfId="1" applyFont="1" applyFill="1" applyBorder="1" applyAlignment="1" applyProtection="1">
      <alignment horizontal="left" vertical="top" wrapText="1"/>
    </xf>
    <xf numFmtId="0" fontId="68" fillId="23" borderId="0" xfId="0" applyFont="1" applyFill="1" applyBorder="1" applyAlignment="1" applyProtection="1">
      <alignment vertical="top" wrapText="1"/>
    </xf>
    <xf numFmtId="2" fontId="68" fillId="23" borderId="1" xfId="0" applyNumberFormat="1" applyFont="1" applyFill="1" applyBorder="1" applyAlignment="1" applyProtection="1">
      <alignment horizontal="center" vertical="top" wrapText="1"/>
      <protection locked="0"/>
    </xf>
    <xf numFmtId="0" fontId="74" fillId="23" borderId="1" xfId="0" applyFont="1" applyFill="1" applyBorder="1" applyAlignment="1" applyProtection="1">
      <alignment horizontal="left" vertical="top" wrapText="1"/>
      <protection locked="0"/>
    </xf>
    <xf numFmtId="0" fontId="66" fillId="23" borderId="1" xfId="0" applyFont="1" applyFill="1" applyBorder="1" applyAlignment="1" applyProtection="1">
      <alignment horizontal="center" vertical="top" wrapText="1"/>
    </xf>
    <xf numFmtId="0" fontId="68" fillId="23" borderId="1" xfId="0" applyFont="1" applyFill="1" applyBorder="1" applyAlignment="1" applyProtection="1">
      <alignment horizontal="center" vertical="top" wrapText="1"/>
    </xf>
    <xf numFmtId="0" fontId="72" fillId="23" borderId="0" xfId="8" applyFont="1" applyFill="1" applyAlignment="1" applyProtection="1">
      <alignment vertical="center"/>
    </xf>
    <xf numFmtId="0" fontId="72" fillId="23" borderId="1" xfId="8" applyFont="1" applyFill="1" applyBorder="1" applyAlignment="1" applyProtection="1">
      <alignment horizontal="left" vertical="center"/>
    </xf>
    <xf numFmtId="0" fontId="72" fillId="23" borderId="1" xfId="4" applyFont="1" applyFill="1" applyBorder="1" applyAlignment="1" applyProtection="1">
      <alignment horizontal="left" vertical="center" wrapText="1"/>
    </xf>
    <xf numFmtId="0" fontId="68" fillId="23" borderId="1" xfId="4" applyFont="1" applyFill="1" applyBorder="1" applyAlignment="1" applyProtection="1">
      <alignment vertical="center" wrapText="1"/>
    </xf>
    <xf numFmtId="0" fontId="72" fillId="23" borderId="1" xfId="8" applyFont="1" applyFill="1" applyBorder="1" applyAlignment="1" applyProtection="1">
      <alignment horizontal="center" vertical="center"/>
    </xf>
    <xf numFmtId="0" fontId="88" fillId="23" borderId="1" xfId="38" applyFont="1" applyFill="1" applyBorder="1" applyAlignment="1" applyProtection="1">
      <alignment horizontal="center" vertical="center" wrapText="1"/>
      <protection locked="0"/>
    </xf>
    <xf numFmtId="0" fontId="88" fillId="23" borderId="1" xfId="9" applyFont="1" applyFill="1" applyBorder="1" applyAlignment="1" applyProtection="1">
      <alignment horizontal="center" vertical="center" wrapText="1"/>
      <protection locked="0"/>
    </xf>
    <xf numFmtId="167" fontId="88" fillId="23" borderId="1" xfId="9" applyNumberFormat="1" applyFont="1" applyFill="1" applyBorder="1" applyAlignment="1" applyProtection="1">
      <alignment vertical="center" wrapText="1"/>
      <protection locked="0"/>
    </xf>
    <xf numFmtId="0" fontId="88" fillId="23" borderId="1" xfId="0" applyFont="1" applyFill="1" applyBorder="1" applyAlignment="1" applyProtection="1">
      <alignment horizontal="center" vertical="center" wrapText="1"/>
      <protection locked="0"/>
    </xf>
    <xf numFmtId="0" fontId="68" fillId="23" borderId="1" xfId="38" applyFont="1" applyFill="1" applyBorder="1" applyAlignment="1" applyProtection="1">
      <alignment horizontal="center" vertical="center" wrapText="1"/>
      <protection locked="0"/>
    </xf>
    <xf numFmtId="0" fontId="68" fillId="23" borderId="1" xfId="8" applyFont="1" applyFill="1" applyBorder="1" applyAlignment="1" applyProtection="1">
      <alignment horizontal="center" vertical="center" wrapText="1"/>
      <protection locked="0"/>
    </xf>
    <xf numFmtId="2" fontId="68" fillId="23" borderId="1" xfId="0" applyNumberFormat="1" applyFont="1" applyFill="1" applyBorder="1" applyAlignment="1" applyProtection="1">
      <alignment horizontal="right" vertical="center" wrapText="1"/>
    </xf>
    <xf numFmtId="2" fontId="68" fillId="23" borderId="1" xfId="9" applyNumberFormat="1" applyFont="1" applyFill="1" applyBorder="1" applyAlignment="1" applyProtection="1">
      <alignment vertical="center" wrapText="1"/>
    </xf>
    <xf numFmtId="0" fontId="68" fillId="23" borderId="5" xfId="38" applyFont="1" applyFill="1" applyBorder="1" applyAlignment="1" applyProtection="1">
      <alignment horizontal="left" vertical="center" wrapText="1"/>
      <protection locked="0"/>
    </xf>
    <xf numFmtId="0" fontId="87" fillId="23" borderId="1" xfId="0" applyFont="1" applyFill="1" applyBorder="1" applyAlignment="1" applyProtection="1">
      <alignment vertical="center" wrapText="1"/>
    </xf>
    <xf numFmtId="43" fontId="87" fillId="23" borderId="1" xfId="1" applyFont="1" applyFill="1" applyBorder="1" applyAlignment="1" applyProtection="1">
      <alignment vertical="center" wrapText="1"/>
    </xf>
    <xf numFmtId="0" fontId="88" fillId="23" borderId="1" xfId="9" applyFont="1" applyFill="1" applyBorder="1" applyAlignment="1" applyProtection="1">
      <alignment vertical="center" wrapText="1"/>
      <protection locked="0"/>
    </xf>
    <xf numFmtId="2" fontId="78" fillId="23" borderId="1" xfId="9" applyNumberFormat="1" applyFont="1" applyFill="1" applyBorder="1" applyAlignment="1" applyProtection="1">
      <alignment vertical="center" wrapText="1"/>
      <protection locked="0"/>
    </xf>
    <xf numFmtId="0" fontId="68" fillId="23" borderId="1" xfId="38" applyFont="1" applyFill="1" applyBorder="1" applyAlignment="1" applyProtection="1">
      <alignment horizontal="center" vertical="center"/>
      <protection locked="0"/>
    </xf>
    <xf numFmtId="2" fontId="72" fillId="23" borderId="1" xfId="9" applyNumberFormat="1" applyFont="1" applyFill="1" applyBorder="1" applyAlignment="1" applyProtection="1">
      <alignment vertical="center" wrapText="1"/>
    </xf>
    <xf numFmtId="0" fontId="68" fillId="23" borderId="1" xfId="38" applyNumberFormat="1" applyFont="1" applyFill="1" applyBorder="1" applyAlignment="1" applyProtection="1">
      <alignment horizontal="left" vertical="center" wrapText="1"/>
      <protection locked="0"/>
    </xf>
    <xf numFmtId="2" fontId="72" fillId="23" borderId="1" xfId="4" applyNumberFormat="1" applyFont="1" applyFill="1" applyBorder="1" applyAlignment="1" applyProtection="1">
      <alignment horizontal="left" vertical="center" wrapText="1"/>
    </xf>
    <xf numFmtId="49" fontId="72" fillId="23" borderId="1" xfId="4" applyNumberFormat="1" applyFont="1" applyFill="1" applyBorder="1" applyAlignment="1" applyProtection="1">
      <alignment vertical="center" wrapText="1"/>
    </xf>
    <xf numFmtId="0" fontId="72" fillId="23" borderId="1" xfId="4" applyFont="1" applyFill="1" applyBorder="1" applyAlignment="1" applyProtection="1">
      <alignment vertical="center" wrapText="1"/>
    </xf>
    <xf numFmtId="2" fontId="67" fillId="23" borderId="1" xfId="4" applyNumberFormat="1" applyFont="1" applyFill="1" applyBorder="1" applyAlignment="1" applyProtection="1">
      <alignment horizontal="center" vertical="center" wrapText="1"/>
    </xf>
    <xf numFmtId="2" fontId="72" fillId="23" borderId="1" xfId="4" applyNumberFormat="1" applyFont="1" applyFill="1" applyBorder="1" applyAlignment="1" applyProtection="1">
      <alignment horizontal="center" vertical="center" wrapText="1"/>
    </xf>
    <xf numFmtId="2" fontId="72" fillId="23" borderId="1" xfId="4" applyNumberFormat="1" applyFont="1" applyFill="1" applyBorder="1" applyAlignment="1" applyProtection="1">
      <alignment horizontal="center" vertical="center" wrapText="1"/>
      <protection locked="0"/>
    </xf>
    <xf numFmtId="1" fontId="72" fillId="23" borderId="1" xfId="4" applyNumberFormat="1" applyFont="1" applyFill="1" applyBorder="1" applyAlignment="1" applyProtection="1">
      <alignment horizontal="center" vertical="center" wrapText="1"/>
      <protection locked="0"/>
    </xf>
    <xf numFmtId="167" fontId="72" fillId="23" borderId="1" xfId="9" applyNumberFormat="1" applyFont="1" applyFill="1" applyBorder="1" applyAlignment="1" applyProtection="1">
      <alignment vertical="center" wrapText="1"/>
      <protection locked="0"/>
    </xf>
    <xf numFmtId="0" fontId="72" fillId="23" borderId="1" xfId="0" applyFont="1" applyFill="1" applyBorder="1" applyAlignment="1" applyProtection="1">
      <alignment horizontal="center" vertical="center" wrapText="1"/>
      <protection locked="0"/>
    </xf>
    <xf numFmtId="43" fontId="72" fillId="23" borderId="1" xfId="1" applyFont="1" applyFill="1" applyBorder="1" applyAlignment="1" applyProtection="1">
      <alignment horizontal="right" vertical="center" wrapText="1"/>
    </xf>
    <xf numFmtId="0" fontId="68" fillId="23" borderId="1" xfId="38" applyFont="1" applyFill="1" applyBorder="1" applyAlignment="1" applyProtection="1">
      <alignment horizontal="left" vertical="center" wrapText="1"/>
      <protection locked="0"/>
    </xf>
    <xf numFmtId="0" fontId="68" fillId="23" borderId="1" xfId="38" applyFont="1" applyFill="1" applyBorder="1" applyAlignment="1" applyProtection="1">
      <alignment horizontal="left" vertical="center" wrapText="1"/>
    </xf>
    <xf numFmtId="43" fontId="68" fillId="23" borderId="1" xfId="1" applyFont="1" applyFill="1" applyBorder="1" applyAlignment="1" applyProtection="1">
      <alignment horizontal="left" vertical="center" wrapText="1"/>
    </xf>
    <xf numFmtId="2" fontId="68" fillId="23" borderId="0" xfId="4" applyNumberFormat="1" applyFont="1" applyFill="1" applyAlignment="1" applyProtection="1">
      <alignment horizontal="left" vertical="center" wrapText="1"/>
    </xf>
    <xf numFmtId="0" fontId="67" fillId="23" borderId="1" xfId="0" applyFont="1" applyFill="1" applyBorder="1" applyAlignment="1" applyProtection="1">
      <alignment horizontal="center" vertical="center" wrapText="1"/>
    </xf>
    <xf numFmtId="0" fontId="72" fillId="23" borderId="1" xfId="8" applyFont="1" applyFill="1" applyBorder="1" applyAlignment="1" applyProtection="1">
      <alignment vertical="center"/>
      <protection locked="0"/>
    </xf>
    <xf numFmtId="0" fontId="72" fillId="23" borderId="1" xfId="8" applyFont="1" applyFill="1" applyBorder="1" applyAlignment="1" applyProtection="1">
      <alignment horizontal="center" vertical="center"/>
      <protection locked="0"/>
    </xf>
    <xf numFmtId="167" fontId="72" fillId="23" borderId="1" xfId="8" applyNumberFormat="1" applyFont="1" applyFill="1" applyBorder="1" applyAlignment="1" applyProtection="1">
      <alignment horizontal="right" vertical="center" wrapText="1"/>
      <protection locked="0"/>
    </xf>
    <xf numFmtId="0" fontId="67" fillId="23" borderId="1" xfId="8" applyFont="1" applyFill="1" applyBorder="1" applyAlignment="1" applyProtection="1">
      <alignment horizontal="left" vertical="center" wrapText="1"/>
      <protection locked="0"/>
    </xf>
    <xf numFmtId="0" fontId="72" fillId="23" borderId="1" xfId="8" applyFont="1" applyFill="1" applyBorder="1" applyAlignment="1" applyProtection="1">
      <alignment horizontal="left" vertical="center"/>
      <protection locked="0"/>
    </xf>
    <xf numFmtId="43" fontId="72" fillId="23" borderId="1" xfId="1" applyFont="1" applyFill="1" applyBorder="1" applyAlignment="1" applyProtection="1">
      <alignment horizontal="right" vertical="center"/>
      <protection locked="0"/>
    </xf>
    <xf numFmtId="0" fontId="72" fillId="23" borderId="1" xfId="87" applyFont="1" applyFill="1" applyBorder="1" applyAlignment="1" applyProtection="1">
      <alignment vertical="center" wrapText="1"/>
    </xf>
    <xf numFmtId="167" fontId="68" fillId="23" borderId="1" xfId="87" applyNumberFormat="1" applyFont="1" applyFill="1" applyBorder="1" applyAlignment="1" applyProtection="1">
      <alignment horizontal="right" vertical="center"/>
      <protection locked="0"/>
    </xf>
    <xf numFmtId="0" fontId="68" fillId="23" borderId="5" xfId="0" applyFont="1" applyFill="1" applyBorder="1" applyAlignment="1" applyProtection="1">
      <alignment horizontal="left" vertical="center" wrapText="1"/>
      <protection locked="0"/>
    </xf>
    <xf numFmtId="0" fontId="66" fillId="23" borderId="1" xfId="0" applyFont="1" applyFill="1" applyBorder="1" applyAlignment="1" applyProtection="1">
      <alignment vertical="center" wrapText="1"/>
      <protection locked="0"/>
    </xf>
    <xf numFmtId="0" fontId="72" fillId="52" borderId="1" xfId="97" applyFont="1" applyFill="1" applyBorder="1" applyAlignment="1" applyProtection="1">
      <alignment horizontal="left" wrapText="1"/>
      <protection locked="0"/>
    </xf>
    <xf numFmtId="0" fontId="68" fillId="23" borderId="1" xfId="0" applyFont="1" applyFill="1" applyBorder="1" applyAlignment="1" applyProtection="1">
      <alignment vertical="top" wrapText="1"/>
      <protection locked="0"/>
    </xf>
    <xf numFmtId="0" fontId="72" fillId="23" borderId="1" xfId="8" applyFont="1" applyFill="1" applyBorder="1" applyAlignment="1" applyProtection="1">
      <alignment horizontal="left" vertical="center" wrapText="1"/>
    </xf>
    <xf numFmtId="0" fontId="72" fillId="23" borderId="1" xfId="8" applyFont="1" applyFill="1" applyBorder="1" applyAlignment="1" applyProtection="1">
      <alignment vertical="center"/>
    </xf>
    <xf numFmtId="1" fontId="72" fillId="23" borderId="1" xfId="8" applyNumberFormat="1" applyFont="1" applyFill="1" applyBorder="1" applyAlignment="1" applyProtection="1">
      <alignment horizontal="left" vertical="center"/>
    </xf>
    <xf numFmtId="43" fontId="72" fillId="23" borderId="1" xfId="1" applyFont="1" applyFill="1" applyBorder="1" applyAlignment="1" applyProtection="1">
      <alignment horizontal="left" vertical="center"/>
    </xf>
    <xf numFmtId="0" fontId="68" fillId="23" borderId="1" xfId="0" applyFont="1" applyFill="1" applyBorder="1" applyAlignment="1">
      <alignment horizontal="left" vertical="center"/>
    </xf>
    <xf numFmtId="0" fontId="68" fillId="23" borderId="1" xfId="0" applyFont="1" applyFill="1" applyBorder="1" applyAlignment="1" applyProtection="1">
      <alignment vertical="center"/>
      <protection locked="0"/>
    </xf>
    <xf numFmtId="0" fontId="66" fillId="23" borderId="1" xfId="0" applyFont="1" applyFill="1" applyBorder="1" applyAlignment="1" applyProtection="1">
      <alignment horizontal="center" vertical="center"/>
      <protection locked="0"/>
    </xf>
    <xf numFmtId="43" fontId="68" fillId="23" borderId="1" xfId="1" applyFont="1" applyFill="1" applyBorder="1" applyAlignment="1">
      <alignment horizontal="right" vertical="center"/>
    </xf>
    <xf numFmtId="0" fontId="68" fillId="23" borderId="1" xfId="0" applyFont="1" applyFill="1" applyBorder="1" applyAlignment="1" applyProtection="1">
      <alignment horizontal="left" vertical="center"/>
      <protection locked="0"/>
    </xf>
    <xf numFmtId="43" fontId="68" fillId="23" borderId="1" xfId="1" applyFont="1" applyFill="1" applyBorder="1" applyAlignment="1" applyProtection="1">
      <alignment horizontal="left" vertical="center"/>
      <protection locked="0"/>
    </xf>
    <xf numFmtId="0" fontId="68" fillId="23" borderId="0" xfId="0" applyFont="1" applyFill="1" applyAlignment="1">
      <alignment vertical="center"/>
    </xf>
    <xf numFmtId="0" fontId="68" fillId="23" borderId="1" xfId="38" applyFont="1" applyFill="1" applyBorder="1" applyAlignment="1" applyProtection="1">
      <alignment horizontal="center" vertical="top" wrapText="1"/>
      <protection locked="0"/>
    </xf>
    <xf numFmtId="0" fontId="78" fillId="23" borderId="1" xfId="9" applyFont="1" applyFill="1" applyBorder="1" applyAlignment="1" applyProtection="1">
      <alignment vertical="center" wrapText="1"/>
      <protection locked="0"/>
    </xf>
    <xf numFmtId="0" fontId="68" fillId="23" borderId="5" xfId="9" applyFont="1" applyFill="1" applyBorder="1" applyAlignment="1" applyProtection="1">
      <alignment horizontal="left" vertical="center" wrapText="1"/>
      <protection locked="0"/>
    </xf>
    <xf numFmtId="43" fontId="87" fillId="23" borderId="1" xfId="1" applyFont="1" applyFill="1" applyBorder="1" applyAlignment="1" applyProtection="1">
      <alignment horizontal="right" vertical="center" wrapText="1"/>
    </xf>
    <xf numFmtId="0" fontId="72" fillId="23" borderId="0" xfId="62" applyFont="1" applyFill="1" applyAlignment="1" applyProtection="1">
      <alignment horizontal="center" vertical="center"/>
    </xf>
    <xf numFmtId="0" fontId="68" fillId="23" borderId="1" xfId="62" applyFont="1" applyFill="1" applyBorder="1" applyAlignment="1" applyProtection="1">
      <alignment horizontal="left" vertical="center"/>
    </xf>
    <xf numFmtId="0" fontId="68" fillId="23" borderId="1" xfId="4" applyFont="1" applyFill="1" applyBorder="1" applyAlignment="1" applyProtection="1">
      <alignment horizontal="left" vertical="center" wrapText="1"/>
    </xf>
    <xf numFmtId="0" fontId="68" fillId="23" borderId="1" xfId="62" applyFont="1" applyFill="1" applyBorder="1" applyAlignment="1" applyProtection="1">
      <alignment horizontal="center" vertical="center"/>
    </xf>
    <xf numFmtId="0" fontId="68" fillId="23" borderId="1" xfId="62" applyFont="1" applyFill="1" applyBorder="1" applyAlignment="1" applyProtection="1">
      <alignment horizontal="right" vertical="center"/>
      <protection locked="0"/>
    </xf>
    <xf numFmtId="0" fontId="68" fillId="23" borderId="1" xfId="62" applyFont="1" applyFill="1" applyBorder="1" applyAlignment="1" applyProtection="1">
      <alignment horizontal="center" vertical="center" wrapText="1"/>
      <protection locked="0"/>
    </xf>
    <xf numFmtId="2" fontId="68" fillId="23" borderId="1" xfId="11" applyNumberFormat="1" applyFont="1" applyFill="1" applyBorder="1" applyAlignment="1" applyProtection="1">
      <alignment horizontal="right" vertical="center" wrapText="1"/>
    </xf>
    <xf numFmtId="0" fontId="68" fillId="23" borderId="5" xfId="77" applyFont="1" applyFill="1" applyBorder="1" applyAlignment="1" applyProtection="1">
      <alignment horizontal="left" vertical="top" wrapText="1"/>
      <protection locked="0"/>
    </xf>
    <xf numFmtId="0" fontId="68" fillId="23" borderId="1" xfId="0" applyFont="1" applyFill="1" applyBorder="1" applyAlignment="1" applyProtection="1">
      <alignment horizontal="left" vertical="center"/>
    </xf>
    <xf numFmtId="43" fontId="68" fillId="23" borderId="1" xfId="0" applyNumberFormat="1" applyFont="1" applyFill="1" applyBorder="1" applyAlignment="1" applyProtection="1">
      <alignment horizontal="right" vertical="center"/>
    </xf>
    <xf numFmtId="0" fontId="72" fillId="23" borderId="0" xfId="62" applyFont="1" applyFill="1" applyAlignment="1" applyProtection="1">
      <alignment horizontal="right" vertical="center"/>
    </xf>
    <xf numFmtId="0" fontId="72" fillId="23" borderId="1" xfId="0" applyFont="1" applyFill="1" applyBorder="1" applyAlignment="1" applyProtection="1">
      <alignment horizontal="left" vertical="top" wrapText="1"/>
    </xf>
    <xf numFmtId="43" fontId="68" fillId="23" borderId="1" xfId="1" applyFont="1" applyFill="1" applyBorder="1" applyAlignment="1" applyProtection="1">
      <alignment horizontal="center" vertical="top" wrapText="1"/>
    </xf>
    <xf numFmtId="0" fontId="72" fillId="23" borderId="1" xfId="8" applyFont="1" applyFill="1" applyBorder="1" applyAlignment="1" applyProtection="1">
      <alignment horizontal="left" vertical="top" wrapText="1"/>
    </xf>
    <xf numFmtId="0" fontId="68" fillId="23" borderId="1" xfId="8" applyFont="1" applyFill="1" applyBorder="1" applyAlignment="1" applyProtection="1">
      <alignment horizontal="left" vertical="top" wrapText="1"/>
    </xf>
    <xf numFmtId="0" fontId="66" fillId="23" borderId="1" xfId="8" applyFont="1" applyFill="1" applyBorder="1" applyAlignment="1" applyProtection="1">
      <alignment horizontal="center" vertical="top" wrapText="1"/>
    </xf>
    <xf numFmtId="0" fontId="68" fillId="23" borderId="1" xfId="8" applyFont="1" applyFill="1" applyBorder="1" applyAlignment="1" applyProtection="1">
      <alignment horizontal="center" vertical="top" wrapText="1"/>
    </xf>
    <xf numFmtId="0" fontId="68" fillId="23" borderId="1" xfId="8" applyFont="1" applyFill="1" applyBorder="1" applyAlignment="1" applyProtection="1">
      <alignment horizontal="center" vertical="top" wrapText="1"/>
      <protection locked="0"/>
    </xf>
    <xf numFmtId="0" fontId="68" fillId="23" borderId="1" xfId="0" applyFont="1" applyFill="1" applyBorder="1" applyAlignment="1" applyProtection="1">
      <alignment vertical="top" wrapText="1"/>
    </xf>
    <xf numFmtId="0" fontId="72" fillId="23" borderId="0" xfId="8" applyFont="1" applyFill="1" applyAlignment="1" applyProtection="1">
      <alignment vertical="top" wrapText="1"/>
    </xf>
    <xf numFmtId="0" fontId="66" fillId="23" borderId="1" xfId="8" applyFont="1" applyFill="1" applyBorder="1" applyAlignment="1" applyProtection="1">
      <alignment horizontal="center" vertical="center" wrapText="1"/>
    </xf>
    <xf numFmtId="0" fontId="72" fillId="23" borderId="1" xfId="87" applyFont="1" applyFill="1" applyBorder="1" applyAlignment="1" applyProtection="1">
      <alignment horizontal="left" vertical="center"/>
      <protection locked="0"/>
    </xf>
    <xf numFmtId="0" fontId="72" fillId="23" borderId="1" xfId="87" applyFont="1" applyFill="1" applyBorder="1" applyAlignment="1" applyProtection="1">
      <alignment horizontal="left" vertical="center" wrapText="1"/>
      <protection locked="0"/>
    </xf>
    <xf numFmtId="2" fontId="68" fillId="23" borderId="1" xfId="0" applyNumberFormat="1" applyFont="1" applyFill="1" applyBorder="1" applyAlignment="1" applyProtection="1">
      <alignment vertical="center" wrapText="1"/>
      <protection locked="0"/>
    </xf>
    <xf numFmtId="0" fontId="72" fillId="23" borderId="1" xfId="87" applyFont="1" applyFill="1" applyBorder="1" applyAlignment="1" applyProtection="1">
      <alignment horizontal="center" vertical="center" wrapText="1"/>
      <protection locked="0"/>
    </xf>
    <xf numFmtId="0" fontId="72" fillId="23" borderId="1" xfId="87" applyFont="1" applyFill="1" applyBorder="1" applyAlignment="1" applyProtection="1">
      <alignment horizontal="center" vertical="center"/>
      <protection locked="0"/>
    </xf>
    <xf numFmtId="0" fontId="68" fillId="23" borderId="1" xfId="8" applyFont="1" applyFill="1" applyBorder="1" applyAlignment="1" applyProtection="1">
      <alignment horizontal="left" vertical="center" wrapText="1"/>
    </xf>
    <xf numFmtId="0" fontId="68" fillId="23" borderId="1" xfId="8" applyFont="1" applyFill="1" applyBorder="1" applyAlignment="1" applyProtection="1">
      <alignment vertical="center" wrapText="1"/>
    </xf>
    <xf numFmtId="0" fontId="68" fillId="23" borderId="1" xfId="8" applyFont="1" applyFill="1" applyBorder="1" applyAlignment="1" applyProtection="1">
      <alignment horizontal="center" vertical="center" wrapText="1"/>
    </xf>
    <xf numFmtId="0" fontId="68" fillId="23" borderId="1" xfId="8" applyFont="1" applyFill="1" applyBorder="1" applyAlignment="1" applyProtection="1">
      <alignment vertical="center" wrapText="1"/>
      <protection locked="0"/>
    </xf>
    <xf numFmtId="43" fontId="68" fillId="23" borderId="1" xfId="1" applyFont="1" applyFill="1" applyBorder="1" applyAlignment="1" applyProtection="1">
      <alignment horizontal="right" vertical="center" wrapText="1"/>
    </xf>
    <xf numFmtId="0" fontId="68" fillId="23" borderId="1" xfId="8" applyFont="1" applyFill="1" applyBorder="1" applyAlignment="1" applyProtection="1">
      <alignment horizontal="left" vertical="center" wrapText="1"/>
      <protection locked="0"/>
    </xf>
    <xf numFmtId="0" fontId="68" fillId="23" borderId="0" xfId="8" applyFont="1" applyFill="1" applyAlignment="1" applyProtection="1">
      <alignment vertical="center" wrapText="1"/>
    </xf>
    <xf numFmtId="0" fontId="72" fillId="23" borderId="5" xfId="97" applyFont="1" applyFill="1" applyBorder="1" applyAlignment="1" applyProtection="1">
      <alignment horizontal="center" vertical="top"/>
      <protection locked="0"/>
    </xf>
    <xf numFmtId="0" fontId="72" fillId="23" borderId="1" xfId="97" applyFont="1" applyFill="1" applyBorder="1" applyAlignment="1" applyProtection="1">
      <alignment horizontal="center" vertical="top" wrapText="1"/>
      <protection locked="0"/>
    </xf>
    <xf numFmtId="43" fontId="87" fillId="23" borderId="1" xfId="1" applyFont="1" applyFill="1" applyBorder="1" applyAlignment="1" applyProtection="1">
      <alignment vertical="top" wrapText="1"/>
    </xf>
    <xf numFmtId="0" fontId="88" fillId="23" borderId="1" xfId="8" applyFont="1" applyFill="1" applyBorder="1" applyAlignment="1" applyProtection="1">
      <alignment vertical="center" wrapText="1"/>
      <protection locked="0"/>
    </xf>
    <xf numFmtId="0" fontId="88" fillId="23" borderId="1" xfId="8" applyFont="1" applyFill="1" applyBorder="1" applyAlignment="1" applyProtection="1">
      <alignment horizontal="center" vertical="center" wrapText="1"/>
      <protection locked="0"/>
    </xf>
    <xf numFmtId="2" fontId="72" fillId="23" borderId="1" xfId="0" applyNumberFormat="1" applyFont="1" applyFill="1" applyBorder="1" applyAlignment="1" applyProtection="1">
      <alignment vertical="top" wrapText="1"/>
      <protection locked="0"/>
    </xf>
    <xf numFmtId="0" fontId="68" fillId="23" borderId="1" xfId="0" applyFont="1" applyFill="1" applyBorder="1" applyProtection="1">
      <protection locked="0"/>
    </xf>
    <xf numFmtId="0" fontId="68" fillId="23" borderId="1" xfId="0" applyFont="1" applyFill="1" applyBorder="1" applyAlignment="1" applyProtection="1">
      <alignment horizontal="left" vertical="top" wrapText="1"/>
      <protection locked="0"/>
    </xf>
    <xf numFmtId="0" fontId="68" fillId="23" borderId="1" xfId="8" applyFont="1" applyFill="1" applyBorder="1" applyAlignment="1" applyProtection="1">
      <alignment horizontal="left" vertical="top" wrapText="1"/>
      <protection locked="0"/>
    </xf>
    <xf numFmtId="0" fontId="68" fillId="23" borderId="1" xfId="0" applyFont="1" applyFill="1" applyBorder="1" applyAlignment="1" applyProtection="1">
      <alignment vertical="center" wrapText="1"/>
    </xf>
    <xf numFmtId="0" fontId="68" fillId="23" borderId="1" xfId="0" applyFont="1" applyFill="1" applyBorder="1" applyAlignment="1" applyProtection="1">
      <alignment horizontal="right" vertical="center" wrapText="1"/>
    </xf>
    <xf numFmtId="2" fontId="68" fillId="23" borderId="0" xfId="8" applyNumberFormat="1" applyFont="1" applyFill="1" applyAlignment="1" applyProtection="1">
      <alignment vertical="center" wrapText="1"/>
    </xf>
    <xf numFmtId="0" fontId="68" fillId="23" borderId="23" xfId="8" applyFont="1" applyFill="1" applyBorder="1" applyAlignment="1" applyProtection="1">
      <alignment vertical="center" wrapText="1"/>
    </xf>
    <xf numFmtId="0" fontId="68" fillId="23" borderId="1" xfId="0" applyFont="1" applyFill="1" applyBorder="1" applyAlignment="1" applyProtection="1">
      <alignment horizontal="left" vertical="center" wrapText="1"/>
    </xf>
    <xf numFmtId="0" fontId="68" fillId="23" borderId="0" xfId="8" applyFont="1" applyFill="1" applyBorder="1" applyAlignment="1" applyProtection="1">
      <alignment vertical="center" wrapText="1"/>
    </xf>
    <xf numFmtId="2" fontId="66" fillId="23" borderId="1" xfId="0" applyNumberFormat="1" applyFont="1" applyFill="1" applyBorder="1" applyAlignment="1" applyProtection="1">
      <alignment vertical="center" wrapText="1"/>
      <protection locked="0"/>
    </xf>
    <xf numFmtId="0" fontId="67" fillId="23" borderId="1" xfId="8" applyFont="1" applyFill="1" applyBorder="1" applyAlignment="1" applyProtection="1">
      <alignment horizontal="center" vertical="top"/>
    </xf>
    <xf numFmtId="0" fontId="68" fillId="23" borderId="0" xfId="0" applyFont="1" applyFill="1" applyAlignment="1" applyProtection="1">
      <alignment horizontal="center" vertical="top" wrapText="1"/>
      <protection locked="0"/>
    </xf>
    <xf numFmtId="0" fontId="68" fillId="23" borderId="1" xfId="4" applyFont="1" applyFill="1" applyBorder="1" applyAlignment="1" applyProtection="1">
      <alignment horizontal="left" vertical="top" wrapText="1"/>
    </xf>
    <xf numFmtId="0" fontId="66" fillId="23" borderId="1" xfId="0" applyFont="1" applyFill="1" applyBorder="1" applyAlignment="1" applyProtection="1">
      <alignment horizontal="center" vertical="center"/>
    </xf>
    <xf numFmtId="0" fontId="72" fillId="23" borderId="1" xfId="9" applyFont="1" applyFill="1" applyBorder="1" applyAlignment="1" applyProtection="1">
      <alignment vertical="center" wrapText="1"/>
      <protection locked="0"/>
    </xf>
    <xf numFmtId="0" fontId="72" fillId="23" borderId="1" xfId="9" applyFont="1" applyFill="1" applyBorder="1" applyAlignment="1" applyProtection="1">
      <alignment horizontal="center" vertical="center" wrapText="1"/>
      <protection locked="0"/>
    </xf>
    <xf numFmtId="0" fontId="72" fillId="23" borderId="5" xfId="9" applyFont="1" applyFill="1" applyBorder="1" applyAlignment="1" applyProtection="1">
      <alignment horizontal="left" vertical="center" wrapText="1"/>
      <protection locked="0"/>
    </xf>
    <xf numFmtId="0" fontId="72" fillId="23" borderId="1" xfId="11" applyFont="1" applyFill="1" applyBorder="1" applyAlignment="1" applyProtection="1">
      <alignment horizontal="left" vertical="top"/>
    </xf>
    <xf numFmtId="0" fontId="72" fillId="23" borderId="1" xfId="11" applyFont="1" applyFill="1" applyBorder="1" applyAlignment="1" applyProtection="1">
      <alignment horizontal="left" vertical="top" wrapText="1"/>
    </xf>
    <xf numFmtId="0" fontId="66" fillId="23" borderId="1" xfId="0" applyFont="1" applyFill="1" applyBorder="1" applyAlignment="1" applyProtection="1">
      <alignment horizontal="center" vertical="top"/>
    </xf>
    <xf numFmtId="2" fontId="72" fillId="23" borderId="1" xfId="4" applyNumberFormat="1" applyFont="1" applyFill="1" applyBorder="1" applyAlignment="1" applyProtection="1">
      <alignment horizontal="center" vertical="top" wrapText="1"/>
    </xf>
    <xf numFmtId="2" fontId="72" fillId="23" borderId="1" xfId="4" applyNumberFormat="1" applyFont="1" applyFill="1" applyBorder="1" applyAlignment="1" applyProtection="1">
      <alignment horizontal="center" vertical="top" wrapText="1"/>
      <protection locked="0"/>
    </xf>
    <xf numFmtId="0" fontId="72" fillId="23" borderId="1" xfId="11" applyFont="1" applyFill="1" applyBorder="1" applyAlignment="1" applyProtection="1">
      <alignment vertical="top"/>
      <protection locked="0"/>
    </xf>
    <xf numFmtId="43" fontId="72" fillId="23" borderId="1" xfId="1" applyFont="1" applyFill="1" applyBorder="1" applyAlignment="1" applyProtection="1">
      <alignment horizontal="right" vertical="top" wrapText="1"/>
    </xf>
    <xf numFmtId="0" fontId="72" fillId="23" borderId="1" xfId="11" applyFont="1" applyFill="1" applyBorder="1" applyAlignment="1" applyProtection="1">
      <alignment horizontal="left" vertical="top" wrapText="1"/>
      <protection locked="0"/>
    </xf>
    <xf numFmtId="43" fontId="72" fillId="23" borderId="1" xfId="1" applyFont="1" applyFill="1" applyBorder="1" applyAlignment="1" applyProtection="1">
      <alignment horizontal="right" vertical="top"/>
    </xf>
    <xf numFmtId="0" fontId="72" fillId="23" borderId="0" xfId="11" applyFont="1" applyFill="1" applyAlignment="1" applyProtection="1">
      <alignment vertical="top"/>
    </xf>
    <xf numFmtId="0" fontId="72" fillId="23" borderId="1" xfId="97" applyFont="1" applyFill="1" applyBorder="1" applyAlignment="1" applyProtection="1">
      <alignment horizontal="left" vertical="top"/>
    </xf>
    <xf numFmtId="0" fontId="72" fillId="23" borderId="1" xfId="97" applyFont="1" applyFill="1" applyBorder="1" applyAlignment="1" applyProtection="1">
      <alignment horizontal="left" vertical="top" wrapText="1"/>
    </xf>
    <xf numFmtId="0" fontId="68" fillId="23" borderId="1" xfId="97" applyFont="1" applyFill="1" applyBorder="1" applyAlignment="1" applyProtection="1">
      <alignment horizontal="center" vertical="top"/>
      <protection locked="0"/>
    </xf>
    <xf numFmtId="43" fontId="68" fillId="23" borderId="1" xfId="1" applyFont="1" applyFill="1" applyBorder="1" applyAlignment="1" applyProtection="1">
      <alignment horizontal="center" vertical="top"/>
    </xf>
    <xf numFmtId="2" fontId="68" fillId="23" borderId="1" xfId="48" applyNumberFormat="1" applyFont="1" applyFill="1" applyBorder="1" applyAlignment="1" applyProtection="1">
      <alignment horizontal="left" vertical="top" wrapText="1"/>
      <protection locked="0"/>
    </xf>
    <xf numFmtId="43" fontId="68" fillId="23" borderId="1" xfId="1" applyFont="1" applyFill="1" applyBorder="1" applyAlignment="1" applyProtection="1">
      <alignment horizontal="right" vertical="center"/>
      <protection locked="0"/>
    </xf>
    <xf numFmtId="0" fontId="88" fillId="23" borderId="1" xfId="8" applyFont="1" applyFill="1" applyBorder="1" applyAlignment="1" applyProtection="1">
      <alignment horizontal="center" vertical="top" wrapText="1"/>
      <protection locked="0"/>
    </xf>
    <xf numFmtId="43" fontId="68" fillId="23" borderId="1" xfId="1" applyFont="1" applyFill="1" applyBorder="1" applyAlignment="1" applyProtection="1">
      <alignment vertical="top" wrapText="1"/>
    </xf>
    <xf numFmtId="0" fontId="72" fillId="23" borderId="1" xfId="8" applyFont="1" applyFill="1" applyBorder="1" applyAlignment="1" applyProtection="1">
      <alignment horizontal="center" vertical="center" wrapText="1"/>
    </xf>
    <xf numFmtId="167" fontId="78" fillId="23" borderId="1" xfId="9" applyNumberFormat="1" applyFont="1" applyFill="1" applyBorder="1" applyAlignment="1" applyProtection="1">
      <alignment horizontal="center" vertical="center" wrapText="1"/>
      <protection locked="0"/>
    </xf>
    <xf numFmtId="43" fontId="72" fillId="23" borderId="1" xfId="1" applyFont="1" applyFill="1" applyBorder="1" applyAlignment="1" applyProtection="1">
      <alignment horizontal="center" vertical="center" wrapText="1"/>
      <protection locked="0"/>
    </xf>
    <xf numFmtId="43" fontId="67" fillId="23" borderId="1" xfId="1" applyFont="1" applyFill="1" applyBorder="1" applyAlignment="1" applyProtection="1">
      <alignment horizontal="center" vertical="center" wrapText="1"/>
      <protection locked="0"/>
    </xf>
    <xf numFmtId="43" fontId="72" fillId="23" borderId="1" xfId="1" applyFont="1" applyFill="1" applyBorder="1" applyAlignment="1" applyProtection="1">
      <alignment horizontal="left" vertical="center" wrapText="1"/>
    </xf>
    <xf numFmtId="0" fontId="72" fillId="23" borderId="0" xfId="8" applyFont="1" applyFill="1" applyAlignment="1" applyProtection="1">
      <alignment vertical="center" wrapText="1"/>
    </xf>
    <xf numFmtId="43" fontId="68" fillId="23" borderId="1" xfId="1" applyFont="1" applyFill="1" applyBorder="1" applyAlignment="1" applyProtection="1">
      <alignment horizontal="center" vertical="center" wrapText="1"/>
      <protection locked="0"/>
    </xf>
    <xf numFmtId="43" fontId="66" fillId="23" borderId="1" xfId="1" applyFont="1" applyFill="1" applyBorder="1" applyAlignment="1" applyProtection="1">
      <alignment horizontal="center" vertical="center" wrapText="1"/>
      <protection locked="0"/>
    </xf>
    <xf numFmtId="0" fontId="72" fillId="23" borderId="1" xfId="0" applyFont="1" applyFill="1" applyBorder="1" applyAlignment="1" applyProtection="1">
      <alignment horizontal="center" vertical="center" wrapText="1"/>
    </xf>
    <xf numFmtId="0" fontId="88" fillId="23" borderId="1" xfId="0" applyFont="1" applyFill="1" applyBorder="1" applyAlignment="1" applyProtection="1">
      <alignment vertical="center" wrapText="1"/>
      <protection locked="0"/>
    </xf>
    <xf numFmtId="2" fontId="88" fillId="23" borderId="1" xfId="0" applyNumberFormat="1" applyFont="1" applyFill="1" applyBorder="1" applyAlignment="1" applyProtection="1">
      <alignment horizontal="right" vertical="center" wrapText="1"/>
      <protection locked="0"/>
    </xf>
    <xf numFmtId="2" fontId="78" fillId="23" borderId="1" xfId="0" applyNumberFormat="1" applyFont="1" applyFill="1" applyBorder="1" applyAlignment="1" applyProtection="1">
      <alignment vertical="center" wrapText="1"/>
      <protection locked="0"/>
    </xf>
    <xf numFmtId="0" fontId="68" fillId="23" borderId="0" xfId="0" applyFont="1" applyFill="1" applyAlignment="1" applyProtection="1">
      <alignment vertical="center" wrapText="1"/>
    </xf>
    <xf numFmtId="0" fontId="72" fillId="23" borderId="1" xfId="0" applyFont="1" applyFill="1" applyBorder="1" applyAlignment="1" applyProtection="1">
      <alignment horizontal="left" vertical="top"/>
    </xf>
    <xf numFmtId="167" fontId="72" fillId="23" borderId="1" xfId="48" applyNumberFormat="1" applyFont="1" applyFill="1" applyBorder="1" applyAlignment="1" applyProtection="1">
      <alignment horizontal="center" vertical="top"/>
      <protection locked="0"/>
    </xf>
    <xf numFmtId="167" fontId="72" fillId="23" borderId="5" xfId="48" applyNumberFormat="1" applyFont="1" applyFill="1" applyBorder="1" applyAlignment="1" applyProtection="1">
      <alignment horizontal="center" vertical="top"/>
      <protection locked="0"/>
    </xf>
    <xf numFmtId="0" fontId="68" fillId="23" borderId="20" xfId="97" applyFont="1" applyFill="1" applyBorder="1" applyAlignment="1" applyProtection="1">
      <alignment horizontal="center" vertical="top" wrapText="1"/>
      <protection locked="0"/>
    </xf>
    <xf numFmtId="2" fontId="68" fillId="23" borderId="5" xfId="48" applyNumberFormat="1" applyFont="1" applyFill="1" applyBorder="1" applyAlignment="1" applyProtection="1">
      <alignment horizontal="left" vertical="top" wrapText="1"/>
      <protection locked="0"/>
    </xf>
    <xf numFmtId="0" fontId="87" fillId="23" borderId="1" xfId="0" applyFont="1" applyFill="1" applyBorder="1" applyAlignment="1" applyProtection="1">
      <alignment vertical="top" wrapText="1"/>
      <protection locked="0"/>
    </xf>
    <xf numFmtId="43" fontId="87" fillId="23" borderId="1" xfId="1" applyFont="1" applyFill="1" applyBorder="1" applyAlignment="1" applyProtection="1">
      <alignment horizontal="right" vertical="top"/>
      <protection locked="0"/>
    </xf>
    <xf numFmtId="0" fontId="87" fillId="23" borderId="1" xfId="0" applyFont="1" applyFill="1" applyBorder="1" applyAlignment="1" applyProtection="1">
      <alignment vertical="center"/>
    </xf>
    <xf numFmtId="0" fontId="68" fillId="23" borderId="1" xfId="9" applyFont="1" applyFill="1" applyBorder="1" applyAlignment="1" applyProtection="1">
      <alignment horizontal="left" vertical="top" wrapText="1"/>
      <protection locked="0"/>
    </xf>
    <xf numFmtId="0" fontId="68" fillId="23" borderId="5" xfId="9" applyFont="1" applyFill="1" applyBorder="1" applyAlignment="1" applyProtection="1">
      <alignment horizontal="left" vertical="top" wrapText="1"/>
      <protection locked="0"/>
    </xf>
    <xf numFmtId="0" fontId="72" fillId="23" borderId="5" xfId="9" applyFont="1" applyFill="1" applyBorder="1" applyAlignment="1" applyProtection="1">
      <alignment horizontal="left" vertical="top" wrapText="1"/>
      <protection locked="0"/>
    </xf>
    <xf numFmtId="0" fontId="72" fillId="23" borderId="1" xfId="8" applyFont="1" applyFill="1" applyBorder="1" applyAlignment="1" applyProtection="1">
      <alignment vertical="center" wrapText="1"/>
    </xf>
    <xf numFmtId="0" fontId="72" fillId="23" borderId="1" xfId="8" applyFont="1" applyFill="1" applyBorder="1" applyAlignment="1" applyProtection="1">
      <alignment vertical="center" wrapText="1"/>
      <protection locked="0"/>
    </xf>
    <xf numFmtId="2" fontId="72" fillId="23" borderId="1" xfId="4" applyNumberFormat="1" applyFont="1" applyFill="1" applyBorder="1" applyAlignment="1" applyProtection="1">
      <alignment horizontal="left" vertical="top" wrapText="1"/>
      <protection locked="0"/>
    </xf>
    <xf numFmtId="2" fontId="72" fillId="23" borderId="1" xfId="8" applyNumberFormat="1" applyFont="1" applyFill="1" applyBorder="1" applyAlignment="1" applyProtection="1">
      <alignment horizontal="left" vertical="center"/>
      <protection locked="0"/>
    </xf>
    <xf numFmtId="0" fontId="72" fillId="23" borderId="1" xfId="0" applyFont="1" applyFill="1" applyBorder="1" applyAlignment="1" applyProtection="1">
      <alignment vertical="center" wrapText="1"/>
    </xf>
    <xf numFmtId="0" fontId="68" fillId="23" borderId="1" xfId="87" applyFont="1" applyFill="1" applyBorder="1" applyAlignment="1" applyProtection="1">
      <alignment vertical="center" wrapText="1"/>
      <protection locked="0"/>
    </xf>
    <xf numFmtId="4" fontId="72" fillId="23" borderId="1" xfId="0" applyNumberFormat="1" applyFont="1" applyFill="1" applyBorder="1" applyAlignment="1" applyProtection="1">
      <alignment horizontal="center" vertical="center" wrapText="1"/>
      <protection locked="0"/>
    </xf>
    <xf numFmtId="4" fontId="72" fillId="23" borderId="1" xfId="0" applyNumberFormat="1" applyFont="1" applyFill="1" applyBorder="1" applyAlignment="1" applyProtection="1">
      <alignment horizontal="left" vertical="center" wrapText="1"/>
      <protection locked="0"/>
    </xf>
    <xf numFmtId="0" fontId="87" fillId="0" borderId="1" xfId="0" applyFont="1" applyFill="1" applyBorder="1" applyAlignment="1" applyProtection="1">
      <alignment vertical="center"/>
    </xf>
    <xf numFmtId="43" fontId="87" fillId="0" borderId="1" xfId="1" applyFont="1" applyFill="1" applyBorder="1" applyAlignment="1" applyProtection="1">
      <alignment horizontal="right" vertical="center" wrapText="1"/>
    </xf>
    <xf numFmtId="0" fontId="72" fillId="23" borderId="1" xfId="97" applyFont="1" applyFill="1" applyBorder="1" applyAlignment="1" applyProtection="1">
      <alignment vertical="top" wrapText="1"/>
      <protection locked="0"/>
    </xf>
    <xf numFmtId="0" fontId="66" fillId="23" borderId="1" xfId="0" applyFont="1" applyFill="1" applyBorder="1" applyAlignment="1" applyProtection="1">
      <alignment horizontal="left" vertical="center" wrapText="1"/>
    </xf>
    <xf numFmtId="0" fontId="67" fillId="23" borderId="1" xfId="4" applyFont="1" applyFill="1" applyBorder="1" applyAlignment="1" applyProtection="1">
      <alignment vertical="center" wrapText="1"/>
    </xf>
    <xf numFmtId="0" fontId="72" fillId="23" borderId="1" xfId="4" applyFont="1" applyFill="1" applyBorder="1" applyAlignment="1" applyProtection="1">
      <alignment horizontal="center" vertical="center" wrapText="1"/>
    </xf>
    <xf numFmtId="0" fontId="68" fillId="23" borderId="0" xfId="0" applyFont="1" applyFill="1" applyProtection="1"/>
    <xf numFmtId="2" fontId="68" fillId="23" borderId="1" xfId="4" applyNumberFormat="1" applyFont="1" applyFill="1" applyBorder="1" applyAlignment="1" applyProtection="1">
      <alignment horizontal="left" vertical="top" wrapText="1"/>
      <protection locked="0"/>
    </xf>
    <xf numFmtId="0" fontId="68" fillId="23" borderId="1" xfId="4" applyFont="1" applyFill="1" applyBorder="1" applyAlignment="1" applyProtection="1">
      <alignment horizontal="center" vertical="center" wrapText="1"/>
    </xf>
    <xf numFmtId="167" fontId="88" fillId="23" borderId="1" xfId="8" applyNumberFormat="1" applyFont="1" applyFill="1" applyBorder="1" applyAlignment="1" applyProtection="1">
      <alignment horizontal="right" vertical="center" wrapText="1"/>
      <protection locked="0"/>
    </xf>
    <xf numFmtId="43" fontId="68" fillId="23" borderId="1" xfId="0" applyNumberFormat="1" applyFont="1" applyFill="1" applyBorder="1" applyAlignment="1" applyProtection="1">
      <alignment vertical="center" wrapText="1"/>
    </xf>
    <xf numFmtId="0" fontId="72" fillId="23" borderId="1" xfId="9" applyFont="1" applyFill="1" applyBorder="1" applyAlignment="1" applyProtection="1">
      <alignment horizontal="left" vertical="top" wrapText="1"/>
      <protection locked="0"/>
    </xf>
    <xf numFmtId="0" fontId="67" fillId="23" borderId="1" xfId="9" applyFont="1" applyFill="1" applyBorder="1" applyAlignment="1" applyProtection="1">
      <alignment horizontal="left" vertical="center" wrapText="1"/>
    </xf>
    <xf numFmtId="0" fontId="67" fillId="23" borderId="1" xfId="4" applyFont="1" applyFill="1" applyBorder="1" applyAlignment="1" applyProtection="1">
      <alignment horizontal="left" vertical="center" wrapText="1"/>
    </xf>
    <xf numFmtId="167" fontId="88" fillId="23" borderId="1" xfId="8" applyNumberFormat="1" applyFont="1" applyFill="1" applyBorder="1" applyAlignment="1" applyProtection="1">
      <alignment vertical="center" wrapText="1"/>
      <protection locked="0"/>
    </xf>
    <xf numFmtId="43" fontId="66" fillId="23" borderId="1" xfId="1" applyFont="1" applyFill="1" applyBorder="1" applyAlignment="1" applyProtection="1">
      <alignment horizontal="right" vertical="center" wrapText="1"/>
    </xf>
    <xf numFmtId="0" fontId="74" fillId="23" borderId="1" xfId="0" applyFont="1" applyFill="1" applyBorder="1" applyAlignment="1" applyProtection="1">
      <alignment horizontal="left" vertical="center" wrapText="1"/>
      <protection locked="0"/>
    </xf>
    <xf numFmtId="0" fontId="78" fillId="23" borderId="1" xfId="8" applyFont="1" applyFill="1" applyBorder="1" applyAlignment="1" applyProtection="1">
      <alignment vertical="center" wrapText="1"/>
      <protection locked="0"/>
    </xf>
    <xf numFmtId="0" fontId="72" fillId="23" borderId="0" xfId="8" applyFont="1" applyFill="1" applyAlignment="1" applyProtection="1">
      <alignment vertical="top"/>
    </xf>
    <xf numFmtId="0" fontId="72" fillId="23" borderId="1" xfId="8" applyFont="1" applyFill="1" applyBorder="1" applyAlignment="1" applyProtection="1">
      <alignment horizontal="center" vertical="top"/>
    </xf>
    <xf numFmtId="0" fontId="72" fillId="23" borderId="1" xfId="9" applyFont="1" applyFill="1" applyBorder="1" applyAlignment="1" applyProtection="1">
      <alignment vertical="top" wrapText="1"/>
      <protection locked="0"/>
    </xf>
    <xf numFmtId="0" fontId="72" fillId="23" borderId="1" xfId="9" applyFont="1" applyFill="1" applyBorder="1" applyAlignment="1" applyProtection="1">
      <alignment horizontal="left" vertical="top" wrapText="1"/>
    </xf>
    <xf numFmtId="2" fontId="72" fillId="23" borderId="1" xfId="9" applyNumberFormat="1" applyFont="1" applyFill="1" applyBorder="1" applyAlignment="1" applyProtection="1">
      <alignment horizontal="right" vertical="top" wrapText="1"/>
    </xf>
    <xf numFmtId="43" fontId="87" fillId="23" borderId="1" xfId="1" applyFont="1" applyFill="1" applyBorder="1" applyAlignment="1" applyProtection="1">
      <alignment horizontal="right" vertical="top" wrapText="1"/>
    </xf>
    <xf numFmtId="0" fontId="72" fillId="23" borderId="0" xfId="97" applyFont="1" applyFill="1" applyAlignment="1" applyProtection="1">
      <alignment horizontal="center" vertical="top"/>
      <protection locked="0"/>
    </xf>
    <xf numFmtId="0" fontId="74" fillId="23" borderId="1" xfId="97" applyFont="1" applyFill="1" applyBorder="1" applyAlignment="1" applyProtection="1">
      <alignment horizontal="center" vertical="top"/>
      <protection locked="0"/>
    </xf>
    <xf numFmtId="2" fontId="74" fillId="23" borderId="1" xfId="48" applyNumberFormat="1" applyFont="1" applyFill="1" applyBorder="1" applyAlignment="1" applyProtection="1">
      <alignment horizontal="left" vertical="top" wrapText="1"/>
      <protection locked="0"/>
    </xf>
    <xf numFmtId="0" fontId="72" fillId="23" borderId="1" xfId="88" applyFont="1" applyFill="1" applyBorder="1" applyAlignment="1" applyProtection="1">
      <alignment vertical="center"/>
    </xf>
    <xf numFmtId="0" fontId="88" fillId="23" borderId="1" xfId="8" applyFont="1" applyFill="1" applyBorder="1" applyAlignment="1" applyProtection="1">
      <alignment horizontal="left" vertical="top" wrapText="1"/>
      <protection locked="0"/>
    </xf>
    <xf numFmtId="0" fontId="68" fillId="12" borderId="1" xfId="11" applyFont="1" applyFill="1" applyBorder="1" applyAlignment="1" applyProtection="1">
      <alignment horizontal="left" vertical="center"/>
    </xf>
    <xf numFmtId="0" fontId="72" fillId="12" borderId="1" xfId="4" applyFont="1" applyFill="1" applyBorder="1" applyAlignment="1" applyProtection="1">
      <alignment vertical="center" wrapText="1"/>
    </xf>
    <xf numFmtId="0" fontId="72" fillId="12" borderId="1" xfId="0" applyFont="1" applyFill="1" applyBorder="1" applyAlignment="1" applyProtection="1">
      <alignment horizontal="center" vertical="center" wrapText="1"/>
    </xf>
    <xf numFmtId="0" fontId="68" fillId="12" borderId="1" xfId="11" applyFont="1" applyFill="1" applyBorder="1" applyAlignment="1" applyProtection="1">
      <alignment horizontal="center" vertical="center"/>
    </xf>
    <xf numFmtId="0" fontId="68" fillId="12" borderId="1" xfId="11" applyFont="1" applyFill="1" applyBorder="1" applyAlignment="1" applyProtection="1">
      <alignment vertical="center"/>
      <protection locked="0"/>
    </xf>
    <xf numFmtId="1" fontId="68" fillId="12" borderId="1" xfId="4" applyNumberFormat="1" applyFont="1" applyFill="1" applyBorder="1" applyAlignment="1" applyProtection="1">
      <alignment horizontal="center" vertical="center" wrapText="1"/>
      <protection locked="0"/>
    </xf>
    <xf numFmtId="167" fontId="68" fillId="12" borderId="1" xfId="11" applyNumberFormat="1" applyFont="1" applyFill="1" applyBorder="1" applyAlignment="1" applyProtection="1">
      <alignment vertical="center" wrapText="1"/>
      <protection locked="0"/>
    </xf>
    <xf numFmtId="0" fontId="68" fillId="12" borderId="1" xfId="11" applyFont="1" applyFill="1" applyBorder="1" applyAlignment="1" applyProtection="1">
      <alignment vertical="center" wrapText="1"/>
      <protection locked="0"/>
    </xf>
    <xf numFmtId="2" fontId="72" fillId="12" borderId="1" xfId="0" applyNumberFormat="1" applyFont="1" applyFill="1" applyBorder="1" applyAlignment="1" applyProtection="1">
      <alignment horizontal="right" vertical="center" wrapText="1"/>
    </xf>
    <xf numFmtId="2" fontId="68" fillId="12" borderId="1" xfId="11" applyNumberFormat="1" applyFont="1" applyFill="1" applyBorder="1" applyAlignment="1" applyProtection="1">
      <alignment vertical="center" wrapText="1"/>
    </xf>
    <xf numFmtId="0" fontId="68" fillId="12" borderId="1" xfId="11" applyFont="1" applyFill="1" applyBorder="1" applyAlignment="1" applyProtection="1">
      <alignment horizontal="left" vertical="top" wrapText="1"/>
      <protection locked="0"/>
    </xf>
    <xf numFmtId="0" fontId="68" fillId="12" borderId="1" xfId="11" applyFont="1" applyFill="1" applyBorder="1" applyAlignment="1" applyProtection="1">
      <alignment horizontal="left"/>
      <protection locked="0"/>
    </xf>
    <xf numFmtId="2" fontId="68" fillId="12" borderId="1" xfId="11" applyNumberFormat="1" applyFont="1" applyFill="1" applyBorder="1" applyAlignment="1" applyProtection="1">
      <alignment vertical="center"/>
      <protection locked="0"/>
    </xf>
    <xf numFmtId="0" fontId="68" fillId="12" borderId="0" xfId="0" applyFont="1" applyFill="1" applyProtection="1"/>
    <xf numFmtId="0" fontId="72" fillId="12" borderId="1" xfId="0" applyFont="1" applyFill="1" applyBorder="1" applyAlignment="1" applyProtection="1">
      <alignment horizontal="left" vertical="center" wrapText="1"/>
    </xf>
    <xf numFmtId="0" fontId="72" fillId="12" borderId="1" xfId="0" applyFont="1" applyFill="1" applyBorder="1" applyAlignment="1" applyProtection="1">
      <alignment vertical="center" wrapText="1"/>
    </xf>
    <xf numFmtId="0" fontId="88" fillId="12" borderId="1" xfId="0" applyFont="1" applyFill="1" applyBorder="1" applyAlignment="1" applyProtection="1">
      <alignment horizontal="center" vertical="center" wrapText="1"/>
      <protection locked="0"/>
    </xf>
    <xf numFmtId="0" fontId="68" fillId="12" borderId="1" xfId="0" applyFont="1" applyFill="1" applyBorder="1" applyAlignment="1" applyProtection="1">
      <alignment horizontal="center" vertical="center" wrapText="1"/>
      <protection locked="0"/>
    </xf>
    <xf numFmtId="2" fontId="68" fillId="12" borderId="1" xfId="8" applyNumberFormat="1" applyFont="1" applyFill="1" applyBorder="1" applyAlignment="1" applyProtection="1">
      <alignment horizontal="right" vertical="center" wrapText="1"/>
    </xf>
    <xf numFmtId="0" fontId="68" fillId="12" borderId="1" xfId="0" applyFont="1" applyFill="1" applyBorder="1" applyAlignment="1" applyProtection="1">
      <alignment horizontal="left" vertical="center" wrapText="1"/>
      <protection locked="0"/>
    </xf>
    <xf numFmtId="0" fontId="88" fillId="12" borderId="1" xfId="0" applyFont="1" applyFill="1" applyBorder="1" applyAlignment="1" applyProtection="1">
      <alignment horizontal="left" vertical="center" wrapText="1"/>
      <protection locked="0"/>
    </xf>
    <xf numFmtId="2" fontId="68" fillId="12" borderId="1" xfId="8" applyNumberFormat="1" applyFont="1" applyFill="1" applyBorder="1" applyAlignment="1" applyProtection="1">
      <alignment horizontal="right" vertical="center" wrapText="1"/>
      <protection locked="0"/>
    </xf>
    <xf numFmtId="0" fontId="68" fillId="12" borderId="0" xfId="0" applyFont="1" applyFill="1" applyAlignment="1" applyProtection="1">
      <alignment vertical="center" wrapText="1"/>
    </xf>
    <xf numFmtId="0" fontId="68" fillId="12" borderId="1" xfId="0" applyFont="1" applyFill="1" applyBorder="1" applyAlignment="1" applyProtection="1">
      <alignment horizontal="left" vertical="center" wrapText="1"/>
    </xf>
    <xf numFmtId="0" fontId="68" fillId="12" borderId="1" xfId="0" applyFont="1" applyFill="1" applyBorder="1" applyAlignment="1" applyProtection="1">
      <alignment horizontal="left" vertical="top" wrapText="1"/>
      <protection locked="0"/>
    </xf>
    <xf numFmtId="0" fontId="66" fillId="12" borderId="1" xfId="0" applyFont="1" applyFill="1" applyBorder="1" applyAlignment="1" applyProtection="1">
      <alignment horizontal="left" vertical="center" wrapText="1"/>
    </xf>
    <xf numFmtId="0" fontId="72" fillId="12" borderId="1" xfId="0" applyFont="1" applyFill="1" applyBorder="1" applyAlignment="1" applyProtection="1">
      <alignment horizontal="center" vertical="center" wrapText="1"/>
      <protection locked="0"/>
    </xf>
    <xf numFmtId="2" fontId="66" fillId="12" borderId="1" xfId="8" applyNumberFormat="1" applyFont="1" applyFill="1" applyBorder="1" applyAlignment="1" applyProtection="1">
      <alignment horizontal="right" vertical="center" wrapText="1"/>
    </xf>
    <xf numFmtId="0" fontId="72" fillId="12" borderId="1" xfId="0" applyFont="1" applyFill="1" applyBorder="1" applyAlignment="1" applyProtection="1">
      <alignment horizontal="left" vertical="center" wrapText="1"/>
      <protection locked="0"/>
    </xf>
    <xf numFmtId="0" fontId="72" fillId="12" borderId="0" xfId="0" applyFont="1" applyFill="1" applyAlignment="1" applyProtection="1">
      <alignment vertical="center" wrapText="1"/>
    </xf>
    <xf numFmtId="4" fontId="72" fillId="12" borderId="1" xfId="8" applyNumberFormat="1" applyFont="1" applyFill="1" applyBorder="1" applyAlignment="1" applyProtection="1">
      <alignment horizontal="center" vertical="center" wrapText="1"/>
      <protection locked="0"/>
    </xf>
    <xf numFmtId="0" fontId="67" fillId="12" borderId="1" xfId="38" applyFont="1" applyFill="1" applyBorder="1" applyAlignment="1" applyProtection="1">
      <alignment horizontal="left" vertical="center" wrapText="1"/>
    </xf>
    <xf numFmtId="0" fontId="72" fillId="12" borderId="1" xfId="38" applyFont="1" applyFill="1" applyBorder="1" applyAlignment="1" applyProtection="1">
      <alignment horizontal="left" vertical="center" wrapText="1"/>
    </xf>
    <xf numFmtId="0" fontId="67" fillId="12" borderId="1" xfId="38" applyFont="1" applyFill="1" applyBorder="1" applyAlignment="1" applyProtection="1">
      <alignment horizontal="left" vertical="center" wrapText="1"/>
      <protection locked="0"/>
    </xf>
    <xf numFmtId="0" fontId="67" fillId="12" borderId="1" xfId="38" applyFont="1" applyFill="1" applyBorder="1" applyAlignment="1" applyProtection="1">
      <alignment horizontal="center" vertical="center" wrapText="1"/>
      <protection locked="0"/>
    </xf>
    <xf numFmtId="2" fontId="67" fillId="12" borderId="1" xfId="38" applyNumberFormat="1" applyFont="1" applyFill="1" applyBorder="1" applyAlignment="1" applyProtection="1">
      <alignment horizontal="right" vertical="center" wrapText="1"/>
    </xf>
    <xf numFmtId="1" fontId="67" fillId="12" borderId="1" xfId="38" applyNumberFormat="1" applyFont="1" applyFill="1" applyBorder="1" applyAlignment="1" applyProtection="1">
      <alignment horizontal="center" vertical="center" wrapText="1"/>
      <protection locked="0"/>
    </xf>
    <xf numFmtId="2" fontId="67" fillId="12" borderId="1" xfId="38" applyNumberFormat="1" applyFont="1" applyFill="1" applyBorder="1" applyAlignment="1" applyProtection="1">
      <alignment horizontal="right" vertical="center" wrapText="1"/>
      <protection locked="0"/>
    </xf>
    <xf numFmtId="0" fontId="68" fillId="12" borderId="1" xfId="0" applyFont="1" applyFill="1" applyBorder="1" applyAlignment="1" applyProtection="1">
      <alignment horizontal="center" vertical="center" wrapText="1"/>
    </xf>
    <xf numFmtId="0" fontId="87" fillId="12" borderId="1" xfId="0" applyFont="1" applyFill="1" applyBorder="1" applyAlignment="1" applyProtection="1">
      <alignment vertical="center" wrapText="1"/>
    </xf>
    <xf numFmtId="0" fontId="68" fillId="12" borderId="1" xfId="8" applyFont="1" applyFill="1" applyBorder="1" applyAlignment="1" applyProtection="1">
      <alignment vertical="center" wrapText="1"/>
    </xf>
    <xf numFmtId="3" fontId="72" fillId="12" borderId="1" xfId="8" applyNumberFormat="1" applyFont="1" applyFill="1" applyBorder="1" applyAlignment="1" applyProtection="1">
      <alignment horizontal="center" vertical="center" wrapText="1"/>
      <protection locked="0"/>
    </xf>
    <xf numFmtId="168" fontId="72" fillId="12" borderId="1" xfId="1" applyNumberFormat="1" applyFont="1" applyFill="1" applyBorder="1" applyAlignment="1" applyProtection="1">
      <alignment horizontal="center" vertical="center" wrapText="1"/>
      <protection locked="0"/>
    </xf>
    <xf numFmtId="0" fontId="66" fillId="12" borderId="1" xfId="8" applyFont="1" applyFill="1" applyBorder="1" applyAlignment="1" applyProtection="1">
      <alignment horizontal="left" vertical="center" wrapText="1"/>
    </xf>
    <xf numFmtId="0" fontId="66" fillId="12" borderId="1" xfId="8" applyFont="1" applyFill="1" applyBorder="1" applyAlignment="1" applyProtection="1">
      <alignment horizontal="left" vertical="center" wrapText="1"/>
      <protection locked="0"/>
    </xf>
    <xf numFmtId="0" fontId="66" fillId="12" borderId="1" xfId="8" applyFont="1" applyFill="1" applyBorder="1" applyAlignment="1" applyProtection="1">
      <alignment horizontal="center" vertical="center" wrapText="1"/>
      <protection locked="0"/>
    </xf>
    <xf numFmtId="2" fontId="66" fillId="12" borderId="1" xfId="8" applyNumberFormat="1" applyFont="1" applyFill="1" applyBorder="1" applyAlignment="1" applyProtection="1">
      <alignment horizontal="right" vertical="center" wrapText="1"/>
      <protection locked="0"/>
    </xf>
    <xf numFmtId="0" fontId="68" fillId="12" borderId="1" xfId="0" applyFont="1" applyFill="1" applyBorder="1" applyAlignment="1" applyProtection="1">
      <alignment vertical="center" wrapText="1"/>
      <protection locked="0"/>
    </xf>
    <xf numFmtId="0" fontId="66" fillId="23" borderId="1" xfId="8" applyFont="1" applyFill="1" applyBorder="1" applyAlignment="1">
      <alignment horizontal="center" vertical="center" wrapText="1"/>
    </xf>
    <xf numFmtId="0" fontId="72" fillId="23" borderId="1" xfId="9" applyFont="1" applyFill="1" applyBorder="1" applyAlignment="1" applyProtection="1">
      <alignment horizontal="left" vertical="center" wrapText="1"/>
    </xf>
    <xf numFmtId="0" fontId="72" fillId="23" borderId="1" xfId="9" applyFont="1" applyFill="1" applyBorder="1" applyAlignment="1" applyProtection="1">
      <alignment horizontal="center" vertical="center"/>
    </xf>
    <xf numFmtId="2" fontId="72" fillId="23" borderId="1" xfId="8" applyNumberFormat="1" applyFont="1" applyFill="1" applyBorder="1" applyAlignment="1" applyProtection="1">
      <alignment vertical="center" wrapText="1"/>
    </xf>
    <xf numFmtId="0" fontId="72" fillId="23" borderId="5" xfId="8" applyFont="1" applyFill="1" applyBorder="1" applyAlignment="1" applyProtection="1">
      <alignment horizontal="left" vertical="top" wrapText="1"/>
      <protection locked="0"/>
    </xf>
    <xf numFmtId="0" fontId="87" fillId="23" borderId="1" xfId="0" applyFont="1" applyFill="1" applyBorder="1" applyAlignment="1" applyProtection="1">
      <alignment vertical="center"/>
      <protection locked="0"/>
    </xf>
    <xf numFmtId="43" fontId="87" fillId="23" borderId="1" xfId="1" applyFont="1" applyFill="1" applyBorder="1" applyAlignment="1" applyProtection="1">
      <alignment horizontal="right" vertical="center"/>
      <protection locked="0"/>
    </xf>
    <xf numFmtId="0" fontId="68" fillId="23" borderId="1" xfId="62" applyFont="1" applyFill="1" applyBorder="1" applyAlignment="1" applyProtection="1">
      <alignment horizontal="center" vertical="center" wrapText="1"/>
    </xf>
    <xf numFmtId="0" fontId="68" fillId="23" borderId="1" xfId="62" applyFont="1" applyFill="1" applyBorder="1" applyAlignment="1" applyProtection="1">
      <alignment horizontal="center" vertical="center"/>
      <protection locked="0"/>
    </xf>
    <xf numFmtId="0" fontId="68" fillId="23" borderId="0" xfId="62" applyFont="1" applyFill="1" applyAlignment="1" applyProtection="1">
      <alignment horizontal="right" vertical="center"/>
    </xf>
    <xf numFmtId="0" fontId="68" fillId="23" borderId="5" xfId="62" applyFont="1" applyFill="1" applyBorder="1" applyAlignment="1" applyProtection="1">
      <alignment horizontal="left" vertical="center" wrapText="1"/>
      <protection locked="0"/>
    </xf>
    <xf numFmtId="0" fontId="68" fillId="23" borderId="1" xfId="97" applyFont="1" applyFill="1" applyBorder="1" applyAlignment="1" applyProtection="1">
      <alignment vertical="top" wrapText="1"/>
      <protection locked="0"/>
    </xf>
    <xf numFmtId="2" fontId="88" fillId="23" borderId="5" xfId="48" applyNumberFormat="1" applyFont="1" applyFill="1" applyBorder="1" applyAlignment="1" applyProtection="1">
      <alignment horizontal="left" vertical="top" wrapText="1"/>
      <protection locked="0"/>
    </xf>
    <xf numFmtId="0" fontId="72" fillId="23" borderId="1" xfId="5" applyFont="1" applyFill="1" applyBorder="1" applyAlignment="1" applyProtection="1">
      <alignment horizontal="left" vertical="top"/>
    </xf>
    <xf numFmtId="0" fontId="72" fillId="23" borderId="20" xfId="97" applyFont="1" applyFill="1" applyBorder="1" applyAlignment="1" applyProtection="1">
      <alignment horizontal="center" vertical="top"/>
      <protection locked="0"/>
    </xf>
    <xf numFmtId="0" fontId="72" fillId="23" borderId="2" xfId="8" applyFont="1" applyFill="1" applyBorder="1" applyAlignment="1" applyProtection="1">
      <alignment horizontal="center" vertical="top" wrapText="1"/>
      <protection locked="0"/>
    </xf>
    <xf numFmtId="2" fontId="72" fillId="23" borderId="5" xfId="48" applyNumberFormat="1" applyFont="1" applyFill="1" applyBorder="1" applyAlignment="1" applyProtection="1">
      <alignment horizontal="left" vertical="top"/>
      <protection locked="0"/>
    </xf>
    <xf numFmtId="0" fontId="72" fillId="23" borderId="1" xfId="0" applyFont="1" applyFill="1" applyBorder="1" applyAlignment="1" applyProtection="1">
      <alignment horizontal="left" vertical="top" wrapText="1"/>
      <protection locked="0"/>
    </xf>
    <xf numFmtId="2" fontId="72" fillId="23" borderId="5" xfId="48" applyNumberFormat="1" applyFont="1" applyFill="1" applyBorder="1" applyAlignment="1" applyProtection="1">
      <alignment horizontal="left" vertical="top" wrapText="1"/>
      <protection locked="0"/>
    </xf>
    <xf numFmtId="0" fontId="72" fillId="23" borderId="1" xfId="0" applyFont="1" applyFill="1" applyBorder="1" applyAlignment="1" applyProtection="1">
      <alignment horizontal="left" vertical="center" wrapText="1"/>
      <protection locked="0"/>
    </xf>
    <xf numFmtId="0" fontId="68" fillId="23" borderId="1" xfId="9" applyFont="1" applyFill="1" applyBorder="1" applyAlignment="1" applyProtection="1">
      <alignment horizontal="left" vertical="center" wrapText="1"/>
      <protection locked="0"/>
    </xf>
    <xf numFmtId="1" fontId="68" fillId="23" borderId="1" xfId="8" applyNumberFormat="1" applyFont="1" applyFill="1" applyBorder="1" applyAlignment="1" applyProtection="1">
      <alignment horizontal="left" vertical="center" wrapText="1"/>
    </xf>
    <xf numFmtId="0" fontId="72" fillId="23" borderId="1" xfId="40" applyFont="1" applyFill="1" applyBorder="1" applyAlignment="1" applyProtection="1">
      <alignment horizontal="center" vertical="center" wrapText="1"/>
    </xf>
    <xf numFmtId="0" fontId="72" fillId="23" borderId="1" xfId="40" applyFont="1" applyFill="1" applyBorder="1" applyAlignment="1" applyProtection="1">
      <alignment horizontal="left" vertical="center" wrapText="1"/>
    </xf>
    <xf numFmtId="2" fontId="68" fillId="23" borderId="1" xfId="4" applyNumberFormat="1" applyFont="1" applyFill="1" applyBorder="1" applyAlignment="1" applyProtection="1">
      <alignment vertical="center" wrapText="1"/>
    </xf>
    <xf numFmtId="0" fontId="78" fillId="23" borderId="1" xfId="8" applyFont="1" applyFill="1" applyBorder="1" applyAlignment="1" applyProtection="1">
      <alignment horizontal="center" vertical="center" wrapText="1"/>
      <protection locked="0"/>
    </xf>
    <xf numFmtId="0" fontId="66" fillId="23" borderId="1" xfId="8" applyFont="1" applyFill="1" applyBorder="1" applyAlignment="1" applyProtection="1">
      <alignment horizontal="left" vertical="center" wrapText="1"/>
      <protection locked="0"/>
    </xf>
    <xf numFmtId="0" fontId="87" fillId="23" borderId="1" xfId="0" applyFont="1" applyFill="1" applyBorder="1" applyAlignment="1" applyProtection="1">
      <alignment vertical="center" wrapText="1"/>
      <protection locked="0"/>
    </xf>
    <xf numFmtId="2" fontId="68" fillId="23" borderId="1" xfId="8" applyNumberFormat="1" applyFont="1" applyFill="1" applyBorder="1" applyAlignment="1" applyProtection="1">
      <alignment horizontal="right" vertical="center" wrapText="1"/>
    </xf>
    <xf numFmtId="0" fontId="87" fillId="23" borderId="1" xfId="0" applyFont="1" applyFill="1" applyBorder="1" applyAlignment="1" applyProtection="1">
      <alignment horizontal="left" vertical="center" wrapText="1"/>
      <protection locked="0"/>
    </xf>
    <xf numFmtId="0" fontId="87" fillId="23" borderId="1" xfId="0" applyFont="1" applyFill="1" applyBorder="1" applyAlignment="1" applyProtection="1">
      <alignment horizontal="left" vertical="center" wrapText="1"/>
    </xf>
    <xf numFmtId="43" fontId="87" fillId="23" borderId="1" xfId="1" applyFont="1" applyFill="1" applyBorder="1" applyAlignment="1" applyProtection="1">
      <alignment horizontal="left" vertical="center" wrapText="1"/>
    </xf>
    <xf numFmtId="0" fontId="68" fillId="23" borderId="1" xfId="11" applyFont="1" applyFill="1" applyBorder="1" applyAlignment="1" applyProtection="1">
      <alignment horizontal="center" vertical="center" wrapText="1"/>
      <protection locked="0"/>
    </xf>
    <xf numFmtId="2" fontId="68" fillId="23" borderId="1" xfId="11" applyNumberFormat="1" applyFont="1" applyFill="1" applyBorder="1" applyAlignment="1" applyProtection="1">
      <alignment horizontal="center" vertical="center" wrapText="1"/>
      <protection locked="0"/>
    </xf>
    <xf numFmtId="0" fontId="68" fillId="23" borderId="1" xfId="11" applyFont="1" applyFill="1" applyBorder="1" applyAlignment="1" applyProtection="1">
      <alignment horizontal="left" vertical="top" wrapText="1"/>
      <protection locked="0"/>
    </xf>
    <xf numFmtId="0" fontId="68" fillId="23" borderId="5" xfId="87" applyFont="1" applyFill="1" applyBorder="1" applyAlignment="1" applyProtection="1">
      <alignment horizontal="left" vertical="center"/>
      <protection locked="0"/>
    </xf>
    <xf numFmtId="2" fontId="68" fillId="23" borderId="1" xfId="87" applyNumberFormat="1" applyFont="1" applyFill="1" applyBorder="1" applyAlignment="1" applyProtection="1">
      <alignment horizontal="right" vertical="center" wrapText="1"/>
    </xf>
    <xf numFmtId="0" fontId="68" fillId="23" borderId="5" xfId="4" applyFont="1" applyFill="1" applyBorder="1" applyAlignment="1" applyProtection="1">
      <alignment horizontal="left" vertical="center" wrapText="1"/>
      <protection locked="0"/>
    </xf>
    <xf numFmtId="0" fontId="67" fillId="23" borderId="1" xfId="82" applyFont="1" applyFill="1" applyBorder="1" applyAlignment="1" applyProtection="1">
      <alignment vertical="center"/>
    </xf>
    <xf numFmtId="0" fontId="72" fillId="23" borderId="1" xfId="82" applyFont="1" applyFill="1" applyBorder="1" applyAlignment="1" applyProtection="1">
      <alignment vertical="center"/>
    </xf>
    <xf numFmtId="0" fontId="72" fillId="23" borderId="1" xfId="82" applyFont="1" applyFill="1" applyBorder="1" applyAlignment="1" applyProtection="1">
      <alignment vertical="center" wrapText="1"/>
    </xf>
    <xf numFmtId="0" fontId="72" fillId="23" borderId="1" xfId="82" applyFont="1" applyFill="1" applyBorder="1" applyAlignment="1" applyProtection="1">
      <alignment horizontal="center" vertical="center"/>
    </xf>
    <xf numFmtId="0" fontId="72" fillId="23" borderId="1" xfId="82" applyFont="1" applyFill="1" applyBorder="1" applyAlignment="1" applyProtection="1">
      <alignment vertical="center"/>
      <protection locked="0"/>
    </xf>
    <xf numFmtId="0" fontId="72" fillId="23" borderId="1" xfId="82" applyFont="1" applyFill="1" applyBorder="1" applyAlignment="1" applyProtection="1">
      <alignment horizontal="center" vertical="center"/>
      <protection locked="0"/>
    </xf>
    <xf numFmtId="43" fontId="72" fillId="23" borderId="1" xfId="1" applyFont="1" applyFill="1" applyBorder="1" applyAlignment="1" applyProtection="1">
      <alignment vertical="center" wrapText="1"/>
    </xf>
    <xf numFmtId="0" fontId="72" fillId="23" borderId="5" xfId="82" applyFont="1" applyFill="1" applyBorder="1" applyAlignment="1" applyProtection="1">
      <alignment horizontal="left" vertical="center"/>
      <protection locked="0"/>
    </xf>
    <xf numFmtId="0" fontId="87" fillId="23" borderId="1" xfId="0" applyFont="1" applyFill="1" applyBorder="1" applyAlignment="1" applyProtection="1">
      <alignment horizontal="left" vertical="center"/>
    </xf>
    <xf numFmtId="43" fontId="87" fillId="23" borderId="1" xfId="1" applyFont="1" applyFill="1" applyBorder="1" applyAlignment="1" applyProtection="1">
      <alignment horizontal="left" vertical="center"/>
    </xf>
    <xf numFmtId="0" fontId="72" fillId="23" borderId="0" xfId="82" applyFont="1" applyFill="1" applyAlignment="1" applyProtection="1">
      <alignment vertical="center"/>
    </xf>
    <xf numFmtId="2" fontId="74" fillId="23" borderId="1" xfId="48" applyNumberFormat="1" applyFont="1" applyFill="1" applyBorder="1" applyAlignment="1" applyProtection="1">
      <alignment horizontal="left" vertical="top"/>
      <protection locked="0"/>
    </xf>
    <xf numFmtId="1" fontId="88" fillId="23" borderId="1" xfId="0" applyNumberFormat="1" applyFont="1" applyFill="1" applyBorder="1" applyAlignment="1" applyProtection="1">
      <alignment horizontal="center"/>
      <protection locked="0"/>
    </xf>
    <xf numFmtId="167" fontId="88" fillId="23" borderId="1" xfId="9" applyNumberFormat="1" applyFont="1" applyFill="1" applyBorder="1" applyAlignment="1" applyProtection="1">
      <alignment horizontal="right" vertical="center" wrapText="1"/>
      <protection locked="0"/>
    </xf>
    <xf numFmtId="0" fontId="68" fillId="23" borderId="5" xfId="84" applyFont="1" applyFill="1" applyBorder="1" applyAlignment="1" applyProtection="1">
      <alignment horizontal="left" vertical="center" wrapText="1"/>
      <protection locked="0"/>
    </xf>
    <xf numFmtId="43" fontId="87" fillId="23" borderId="1" xfId="1" applyFont="1" applyFill="1" applyBorder="1" applyAlignment="1" applyProtection="1">
      <alignment horizontal="right" vertical="center" wrapText="1"/>
      <protection locked="0"/>
    </xf>
    <xf numFmtId="0" fontId="72" fillId="23" borderId="5" xfId="84" applyFont="1" applyFill="1" applyBorder="1" applyAlignment="1" applyProtection="1">
      <alignment horizontal="left" vertical="center" wrapText="1"/>
      <protection locked="0"/>
    </xf>
    <xf numFmtId="0" fontId="72" fillId="23" borderId="1" xfId="4" applyFont="1" applyFill="1" applyBorder="1" applyAlignment="1" applyProtection="1">
      <alignment vertical="top" wrapText="1"/>
    </xf>
    <xf numFmtId="167" fontId="72" fillId="23" borderId="1" xfId="8" applyNumberFormat="1" applyFont="1" applyFill="1" applyBorder="1" applyAlignment="1" applyProtection="1">
      <alignment horizontal="right" vertical="top" wrapText="1"/>
      <protection locked="0"/>
    </xf>
    <xf numFmtId="1" fontId="72" fillId="23" borderId="1" xfId="8" applyNumberFormat="1" applyFont="1" applyFill="1" applyBorder="1" applyAlignment="1" applyProtection="1">
      <alignment horizontal="left" vertical="top"/>
    </xf>
    <xf numFmtId="43" fontId="72" fillId="23" borderId="1" xfId="1" applyFont="1" applyFill="1" applyBorder="1" applyAlignment="1" applyProtection="1">
      <alignment horizontal="left" vertical="top"/>
    </xf>
    <xf numFmtId="2" fontId="72" fillId="23" borderId="1" xfId="4" applyNumberFormat="1" applyFont="1" applyFill="1" applyBorder="1" applyAlignment="1" applyProtection="1">
      <alignment horizontal="left" vertical="center" wrapText="1"/>
      <protection locked="0"/>
    </xf>
    <xf numFmtId="49" fontId="72" fillId="23" borderId="1" xfId="4" applyNumberFormat="1" applyFont="1" applyFill="1" applyBorder="1" applyAlignment="1" applyProtection="1">
      <alignment horizontal="left" vertical="center" wrapText="1"/>
    </xf>
    <xf numFmtId="0" fontId="67" fillId="23" borderId="2" xfId="8" applyFont="1" applyFill="1" applyBorder="1" applyAlignment="1" applyProtection="1">
      <alignment horizontal="center" vertical="center"/>
    </xf>
    <xf numFmtId="0" fontId="67" fillId="23" borderId="1" xfId="9" applyFont="1" applyFill="1" applyBorder="1" applyAlignment="1" applyProtection="1">
      <alignment horizontal="center" vertical="center" wrapText="1"/>
      <protection locked="0"/>
    </xf>
    <xf numFmtId="0" fontId="67" fillId="23" borderId="5" xfId="9" applyFont="1" applyFill="1" applyBorder="1" applyAlignment="1" applyProtection="1">
      <alignment horizontal="left" vertical="center" wrapText="1"/>
      <protection locked="0"/>
    </xf>
    <xf numFmtId="0" fontId="67" fillId="23" borderId="0" xfId="8" applyFont="1" applyFill="1" applyAlignment="1" applyProtection="1">
      <alignment vertical="center"/>
    </xf>
    <xf numFmtId="167" fontId="68" fillId="23" borderId="1" xfId="8" applyNumberFormat="1" applyFont="1" applyFill="1" applyBorder="1" applyAlignment="1" applyProtection="1">
      <alignment horizontal="right" vertical="center" wrapText="1"/>
      <protection locked="0"/>
    </xf>
    <xf numFmtId="0" fontId="68" fillId="0" borderId="1" xfId="87" applyFont="1" applyFill="1" applyBorder="1" applyAlignment="1" applyProtection="1">
      <alignment horizontal="left" vertical="top" wrapText="1"/>
      <protection locked="0"/>
    </xf>
    <xf numFmtId="0" fontId="68" fillId="23" borderId="1" xfId="87" applyFont="1" applyFill="1" applyBorder="1" applyAlignment="1" applyProtection="1">
      <alignment horizontal="left" vertical="top" wrapText="1"/>
      <protection locked="0"/>
    </xf>
    <xf numFmtId="0" fontId="68" fillId="0" borderId="1" xfId="87" applyNumberFormat="1" applyFont="1" applyBorder="1" applyAlignment="1" applyProtection="1">
      <alignment horizontal="left" vertical="center" wrapText="1"/>
      <protection locked="0"/>
    </xf>
    <xf numFmtId="0" fontId="72" fillId="0" borderId="1" xfId="87" applyFont="1" applyBorder="1" applyAlignment="1" applyProtection="1">
      <alignment horizontal="left" vertical="center"/>
      <protection locked="0"/>
    </xf>
    <xf numFmtId="0" fontId="68" fillId="0" borderId="1" xfId="87" applyFont="1" applyBorder="1" applyAlignment="1" applyProtection="1">
      <alignment horizontal="left" vertical="top" wrapText="1"/>
      <protection locked="0"/>
    </xf>
    <xf numFmtId="0" fontId="68" fillId="13" borderId="1" xfId="8" applyFont="1" applyFill="1" applyBorder="1" applyAlignment="1" applyProtection="1">
      <alignment horizontal="center" vertical="center" wrapText="1"/>
      <protection locked="0"/>
    </xf>
    <xf numFmtId="0" fontId="5" fillId="55" borderId="1" xfId="8" applyFont="1" applyFill="1" applyBorder="1" applyAlignment="1" applyProtection="1">
      <alignment horizontal="center" vertical="center" wrapText="1"/>
      <protection locked="0"/>
    </xf>
    <xf numFmtId="0" fontId="66" fillId="23" borderId="1" xfId="8" applyFont="1" applyFill="1" applyBorder="1" applyAlignment="1" applyProtection="1">
      <alignment horizontal="left" vertical="center" wrapText="1"/>
    </xf>
    <xf numFmtId="0" fontId="66" fillId="23" borderId="1" xfId="4" applyFont="1" applyFill="1" applyBorder="1" applyAlignment="1" applyProtection="1">
      <alignment horizontal="left" vertical="center" wrapText="1"/>
    </xf>
    <xf numFmtId="1" fontId="72" fillId="23" borderId="1" xfId="9" applyNumberFormat="1" applyFont="1" applyFill="1" applyBorder="1" applyAlignment="1" applyProtection="1">
      <alignment horizontal="center" vertical="center" wrapText="1"/>
      <protection locked="0"/>
    </xf>
    <xf numFmtId="1" fontId="40" fillId="27" borderId="1" xfId="8" applyNumberFormat="1" applyFont="1" applyFill="1" applyBorder="1" applyAlignment="1" applyProtection="1">
      <alignment horizontal="center" vertical="center" wrapText="1"/>
      <protection locked="0"/>
    </xf>
    <xf numFmtId="1" fontId="40" fillId="4" borderId="1" xfId="9" applyNumberFormat="1" applyFont="1" applyFill="1" applyBorder="1" applyAlignment="1" applyProtection="1">
      <alignment horizontal="center" vertical="center" wrapText="1"/>
      <protection locked="0"/>
    </xf>
    <xf numFmtId="1" fontId="40" fillId="3" borderId="1" xfId="4" applyNumberFormat="1" applyFont="1" applyFill="1" applyBorder="1" applyAlignment="1" applyProtection="1">
      <alignment horizontal="center" vertical="center" wrapText="1"/>
      <protection locked="0"/>
    </xf>
    <xf numFmtId="1" fontId="40" fillId="4" borderId="1" xfId="8" applyNumberFormat="1" applyFont="1" applyFill="1" applyBorder="1" applyAlignment="1" applyProtection="1">
      <alignment horizontal="center" vertical="center" wrapText="1"/>
      <protection locked="0"/>
    </xf>
    <xf numFmtId="1" fontId="40" fillId="3" borderId="1" xfId="8" applyNumberFormat="1" applyFont="1" applyFill="1" applyBorder="1" applyAlignment="1" applyProtection="1">
      <alignment horizontal="center" vertical="center" wrapText="1"/>
      <protection locked="0"/>
    </xf>
    <xf numFmtId="1" fontId="40" fillId="32" borderId="1" xfId="8" applyNumberFormat="1" applyFont="1" applyFill="1" applyBorder="1" applyAlignment="1" applyProtection="1">
      <alignment horizontal="center" vertical="center" wrapText="1"/>
      <protection locked="0"/>
    </xf>
    <xf numFmtId="1" fontId="4" fillId="0" borderId="1" xfId="9" applyNumberFormat="1" applyFont="1" applyBorder="1" applyAlignment="1" applyProtection="1">
      <alignment horizontal="center" vertical="center" wrapText="1"/>
      <protection locked="0"/>
    </xf>
    <xf numFmtId="1" fontId="4" fillId="14" borderId="1" xfId="9" applyNumberFormat="1" applyFont="1" applyFill="1" applyBorder="1" applyAlignment="1" applyProtection="1">
      <alignment horizontal="center" vertical="center" wrapText="1"/>
      <protection locked="0"/>
    </xf>
    <xf numFmtId="1" fontId="40" fillId="14" borderId="1" xfId="8" applyNumberFormat="1" applyFont="1" applyFill="1" applyBorder="1" applyAlignment="1" applyProtection="1">
      <alignment horizontal="center" vertical="center" wrapText="1"/>
      <protection locked="0"/>
    </xf>
    <xf numFmtId="1" fontId="40" fillId="14" borderId="1" xfId="9" applyNumberFormat="1" applyFont="1" applyFill="1" applyBorder="1" applyAlignment="1" applyProtection="1">
      <alignment horizontal="center" vertical="center" wrapText="1"/>
      <protection locked="0"/>
    </xf>
    <xf numFmtId="0" fontId="66" fillId="23" borderId="1" xfId="4" applyFont="1" applyFill="1" applyBorder="1" applyAlignment="1" applyProtection="1">
      <alignment vertical="center" wrapText="1"/>
    </xf>
    <xf numFmtId="2" fontId="72" fillId="23" borderId="1" xfId="9" applyNumberFormat="1" applyFont="1" applyFill="1" applyBorder="1" applyAlignment="1" applyProtection="1">
      <alignment horizontal="right" vertical="center" wrapText="1"/>
    </xf>
    <xf numFmtId="0" fontId="86" fillId="23" borderId="1" xfId="0" applyFont="1" applyFill="1" applyBorder="1" applyAlignment="1" applyProtection="1">
      <alignment vertical="center" wrapText="1"/>
      <protection locked="0"/>
    </xf>
    <xf numFmtId="43" fontId="86" fillId="23" borderId="1" xfId="1" applyFont="1" applyFill="1" applyBorder="1" applyAlignment="1" applyProtection="1">
      <alignment horizontal="right" vertical="center" wrapText="1"/>
      <protection locked="0"/>
    </xf>
    <xf numFmtId="0" fontId="67" fillId="23" borderId="1" xfId="48" applyFont="1" applyFill="1" applyBorder="1" applyAlignment="1" applyProtection="1">
      <alignment horizontal="left" vertical="center" wrapText="1"/>
    </xf>
    <xf numFmtId="0" fontId="67" fillId="23" borderId="1" xfId="48" applyFont="1" applyFill="1" applyBorder="1" applyAlignment="1" applyProtection="1">
      <alignment vertical="center" wrapText="1"/>
    </xf>
    <xf numFmtId="0" fontId="67" fillId="23" borderId="1" xfId="48" applyFont="1" applyFill="1" applyBorder="1" applyAlignment="1" applyProtection="1">
      <alignment vertical="center" wrapText="1"/>
      <protection locked="0"/>
    </xf>
    <xf numFmtId="0" fontId="72" fillId="23" borderId="1" xfId="48" applyFont="1" applyFill="1" applyBorder="1" applyAlignment="1" applyProtection="1">
      <alignment horizontal="center" vertical="center" wrapText="1"/>
      <protection locked="0"/>
    </xf>
    <xf numFmtId="2" fontId="72" fillId="23" borderId="1" xfId="48" applyNumberFormat="1" applyFont="1" applyFill="1" applyBorder="1" applyAlignment="1" applyProtection="1">
      <alignment vertical="center" wrapText="1"/>
    </xf>
    <xf numFmtId="2" fontId="67" fillId="23" borderId="1" xfId="48" applyNumberFormat="1" applyFont="1" applyFill="1" applyBorder="1" applyAlignment="1" applyProtection="1">
      <alignment horizontal="left" vertical="center" wrapText="1"/>
    </xf>
    <xf numFmtId="2" fontId="67" fillId="23" borderId="1" xfId="48" applyNumberFormat="1" applyFont="1" applyFill="1" applyBorder="1" applyAlignment="1" applyProtection="1">
      <alignment horizontal="right" vertical="center" wrapText="1"/>
    </xf>
    <xf numFmtId="0" fontId="72" fillId="23" borderId="0" xfId="48" applyFont="1" applyFill="1" applyAlignment="1" applyProtection="1">
      <alignment vertical="center"/>
    </xf>
    <xf numFmtId="0" fontId="72" fillId="23" borderId="1" xfId="48" applyFont="1" applyFill="1" applyBorder="1" applyAlignment="1" applyProtection="1">
      <alignment horizontal="left" vertical="center"/>
    </xf>
    <xf numFmtId="0" fontId="72" fillId="23" borderId="1" xfId="48" applyFont="1" applyFill="1" applyBorder="1" applyAlignment="1" applyProtection="1">
      <alignment horizontal="left" vertical="center" wrapText="1"/>
      <protection locked="0"/>
    </xf>
    <xf numFmtId="2" fontId="67" fillId="23" borderId="1" xfId="48" applyNumberFormat="1" applyFont="1" applyFill="1" applyBorder="1" applyAlignment="1" applyProtection="1">
      <alignment horizontal="left" vertical="center" wrapText="1"/>
      <protection locked="0"/>
    </xf>
    <xf numFmtId="0" fontId="72" fillId="23" borderId="1" xfId="48" applyFont="1" applyFill="1" applyBorder="1" applyAlignment="1" applyProtection="1">
      <alignment vertical="center"/>
    </xf>
    <xf numFmtId="0" fontId="72" fillId="23" borderId="1" xfId="48" applyFont="1" applyFill="1" applyBorder="1" applyAlignment="1" applyProtection="1">
      <alignment vertical="center" wrapText="1"/>
      <protection locked="0"/>
    </xf>
    <xf numFmtId="0" fontId="72" fillId="23" borderId="1" xfId="0" applyFont="1" applyFill="1" applyBorder="1" applyAlignment="1" applyProtection="1">
      <alignment wrapText="1"/>
      <protection locked="0"/>
    </xf>
    <xf numFmtId="2" fontId="83" fillId="23" borderId="1" xfId="48" applyNumberFormat="1" applyFont="1" applyFill="1" applyBorder="1" applyAlignment="1" applyProtection="1">
      <alignment horizontal="left" vertical="center" wrapText="1"/>
      <protection locked="0"/>
    </xf>
    <xf numFmtId="0" fontId="72" fillId="23" borderId="1" xfId="0" applyFont="1" applyFill="1" applyBorder="1" applyAlignment="1" applyProtection="1">
      <alignment wrapText="1"/>
    </xf>
    <xf numFmtId="0" fontId="111" fillId="11" borderId="1" xfId="87" applyFont="1" applyFill="1" applyBorder="1" applyAlignment="1" applyProtection="1">
      <alignment vertical="center"/>
      <protection locked="0"/>
    </xf>
    <xf numFmtId="0" fontId="68" fillId="12" borderId="23" xfId="8" applyFont="1" applyFill="1" applyBorder="1" applyAlignment="1" applyProtection="1">
      <alignment vertical="center" wrapText="1"/>
    </xf>
    <xf numFmtId="0" fontId="67" fillId="12" borderId="1" xfId="0" applyFont="1" applyFill="1" applyBorder="1" applyAlignment="1" applyProtection="1">
      <alignment horizontal="center" vertical="center" wrapText="1"/>
    </xf>
    <xf numFmtId="0" fontId="68" fillId="12" borderId="1" xfId="8" applyFont="1" applyFill="1" applyBorder="1" applyAlignment="1" applyProtection="1">
      <alignment horizontal="center" vertical="center" wrapText="1"/>
    </xf>
    <xf numFmtId="0" fontId="88" fillId="12" borderId="1" xfId="9" applyFont="1" applyFill="1" applyBorder="1" applyAlignment="1" applyProtection="1">
      <alignment vertical="center" wrapText="1"/>
      <protection locked="0"/>
    </xf>
    <xf numFmtId="0" fontId="88" fillId="12" borderId="1" xfId="9" applyFont="1" applyFill="1" applyBorder="1" applyAlignment="1" applyProtection="1">
      <alignment horizontal="center" vertical="center" wrapText="1"/>
      <protection locked="0"/>
    </xf>
    <xf numFmtId="167" fontId="88" fillId="12" borderId="1" xfId="9" applyNumberFormat="1" applyFont="1" applyFill="1" applyBorder="1" applyAlignment="1" applyProtection="1">
      <alignment horizontal="right" vertical="center" wrapText="1"/>
      <protection locked="0"/>
    </xf>
    <xf numFmtId="2" fontId="78" fillId="12" borderId="1" xfId="9" applyNumberFormat="1" applyFont="1" applyFill="1" applyBorder="1" applyAlignment="1" applyProtection="1">
      <alignment vertical="center" wrapText="1"/>
      <protection locked="0"/>
    </xf>
    <xf numFmtId="0" fontId="68" fillId="12" borderId="1" xfId="9" applyFont="1" applyFill="1" applyBorder="1" applyAlignment="1" applyProtection="1">
      <alignment vertical="center" wrapText="1"/>
      <protection locked="0"/>
    </xf>
    <xf numFmtId="0" fontId="5" fillId="12" borderId="1" xfId="8" applyFont="1" applyFill="1" applyBorder="1" applyAlignment="1" applyProtection="1">
      <alignment horizontal="center" vertical="center" wrapText="1"/>
      <protection locked="0"/>
    </xf>
    <xf numFmtId="0" fontId="72" fillId="12" borderId="5" xfId="84" applyFont="1" applyFill="1" applyBorder="1" applyAlignment="1" applyProtection="1">
      <alignment horizontal="left" vertical="center" wrapText="1"/>
      <protection locked="0"/>
    </xf>
    <xf numFmtId="0" fontId="87" fillId="12" borderId="1" xfId="0" applyFont="1" applyFill="1" applyBorder="1" applyAlignment="1" applyProtection="1">
      <alignment horizontal="left" vertical="center" wrapText="1"/>
      <protection locked="0"/>
    </xf>
    <xf numFmtId="43" fontId="87" fillId="12" borderId="1" xfId="1" applyFont="1" applyFill="1" applyBorder="1" applyAlignment="1" applyProtection="1">
      <alignment horizontal="right" vertical="center" wrapText="1"/>
      <protection locked="0"/>
    </xf>
    <xf numFmtId="0" fontId="68" fillId="12" borderId="0" xfId="8" applyFont="1" applyFill="1" applyBorder="1" applyAlignment="1" applyProtection="1">
      <alignment vertical="center" wrapText="1"/>
    </xf>
    <xf numFmtId="0" fontId="66" fillId="12" borderId="1" xfId="4" applyFont="1" applyFill="1" applyBorder="1" applyAlignment="1" applyProtection="1">
      <alignment vertical="center" wrapText="1"/>
    </xf>
    <xf numFmtId="0" fontId="68" fillId="12" borderId="1" xfId="9" applyFont="1" applyFill="1" applyBorder="1" applyAlignment="1" applyProtection="1">
      <alignment horizontal="left" vertical="top" wrapText="1"/>
      <protection locked="0"/>
    </xf>
    <xf numFmtId="0" fontId="72" fillId="12" borderId="1" xfId="4" applyFont="1" applyFill="1" applyBorder="1" applyAlignment="1" applyProtection="1">
      <alignment horizontal="center" vertical="center" wrapText="1"/>
      <protection locked="0"/>
    </xf>
    <xf numFmtId="2" fontId="72" fillId="12" borderId="1" xfId="4" applyNumberFormat="1" applyFont="1" applyFill="1" applyBorder="1" applyAlignment="1" applyProtection="1">
      <alignment horizontal="right" vertical="center" wrapText="1"/>
    </xf>
    <xf numFmtId="2" fontId="67" fillId="12" borderId="1" xfId="9" applyNumberFormat="1" applyFont="1" applyFill="1" applyBorder="1" applyAlignment="1" applyProtection="1">
      <alignment horizontal="right" vertical="center" wrapText="1"/>
    </xf>
    <xf numFmtId="0" fontId="68" fillId="12" borderId="1" xfId="9" applyFont="1" applyFill="1" applyBorder="1" applyAlignment="1" applyProtection="1">
      <alignment horizontal="left" vertical="center" wrapText="1"/>
      <protection locked="0"/>
    </xf>
    <xf numFmtId="43" fontId="68" fillId="12" borderId="1" xfId="1" applyFont="1" applyFill="1" applyBorder="1" applyAlignment="1" applyProtection="1">
      <alignment horizontal="left" vertical="center" wrapText="1"/>
    </xf>
    <xf numFmtId="0" fontId="72" fillId="12" borderId="0" xfId="8" applyFont="1" applyFill="1" applyAlignment="1" applyProtection="1">
      <alignment vertical="center"/>
    </xf>
    <xf numFmtId="0" fontId="72" fillId="12" borderId="1" xfId="8" applyFont="1" applyFill="1" applyBorder="1" applyAlignment="1" applyProtection="1">
      <alignment horizontal="left" vertical="center"/>
    </xf>
    <xf numFmtId="0" fontId="72" fillId="12" borderId="1" xfId="8" applyFont="1" applyFill="1" applyBorder="1" applyAlignment="1" applyProtection="1">
      <alignment horizontal="center" vertical="center"/>
    </xf>
    <xf numFmtId="0" fontId="72" fillId="12" borderId="1" xfId="9" applyFont="1" applyFill="1" applyBorder="1" applyAlignment="1" applyProtection="1">
      <alignment horizontal="left" vertical="center" wrapText="1"/>
      <protection locked="0"/>
    </xf>
    <xf numFmtId="2" fontId="68" fillId="12" borderId="1" xfId="4" applyNumberFormat="1" applyFont="1" applyFill="1" applyBorder="1" applyAlignment="1" applyProtection="1">
      <alignment horizontal="center" vertical="center" wrapText="1"/>
      <protection locked="0"/>
    </xf>
    <xf numFmtId="2" fontId="72" fillId="12" borderId="1" xfId="0" applyNumberFormat="1" applyFont="1" applyFill="1" applyBorder="1" applyAlignment="1" applyProtection="1">
      <alignment horizontal="right" vertical="center" wrapText="1"/>
      <protection locked="0"/>
    </xf>
    <xf numFmtId="2" fontId="72" fillId="12" borderId="1" xfId="9" applyNumberFormat="1" applyFont="1" applyFill="1" applyBorder="1" applyAlignment="1" applyProtection="1">
      <alignment horizontal="right" vertical="center" wrapText="1"/>
    </xf>
    <xf numFmtId="0" fontId="72" fillId="12" borderId="1" xfId="8" applyFont="1" applyFill="1" applyBorder="1" applyAlignment="1" applyProtection="1">
      <alignment horizontal="left" vertical="center" wrapText="1"/>
      <protection locked="0"/>
    </xf>
    <xf numFmtId="2" fontId="72" fillId="12" borderId="1" xfId="8" applyNumberFormat="1" applyFont="1" applyFill="1" applyBorder="1" applyAlignment="1" applyProtection="1">
      <alignment horizontal="right" vertical="center" wrapText="1"/>
      <protection locked="0"/>
    </xf>
    <xf numFmtId="0" fontId="72" fillId="12" borderId="1" xfId="8" applyFont="1" applyFill="1" applyBorder="1" applyAlignment="1" applyProtection="1">
      <alignment horizontal="left" vertical="top" wrapText="1"/>
    </xf>
    <xf numFmtId="0" fontId="68" fillId="12" borderId="1" xfId="4" applyFont="1" applyFill="1" applyBorder="1" applyAlignment="1" applyProtection="1">
      <alignment horizontal="left" vertical="top" wrapText="1"/>
    </xf>
    <xf numFmtId="0" fontId="67" fillId="12" borderId="1" xfId="0" applyFont="1" applyFill="1" applyBorder="1" applyAlignment="1" applyProtection="1">
      <alignment horizontal="center" vertical="top" wrapText="1"/>
    </xf>
    <xf numFmtId="0" fontId="72" fillId="12" borderId="1" xfId="8" applyFont="1" applyFill="1" applyBorder="1" applyAlignment="1" applyProtection="1">
      <alignment horizontal="center" vertical="top" wrapText="1"/>
    </xf>
    <xf numFmtId="0" fontId="88" fillId="12" borderId="1" xfId="8" applyFont="1" applyFill="1" applyBorder="1" applyAlignment="1" applyProtection="1">
      <alignment horizontal="center" vertical="top" wrapText="1"/>
      <protection locked="0"/>
    </xf>
    <xf numFmtId="0" fontId="88" fillId="12" borderId="1" xfId="6" applyFont="1" applyFill="1" applyBorder="1" applyAlignment="1" applyProtection="1">
      <alignment horizontal="center" vertical="top"/>
      <protection locked="0"/>
    </xf>
    <xf numFmtId="167" fontId="88" fillId="12" borderId="1" xfId="8" applyNumberFormat="1" applyFont="1" applyFill="1" applyBorder="1" applyAlignment="1" applyProtection="1">
      <alignment horizontal="center" vertical="top" wrapText="1"/>
      <protection locked="0"/>
    </xf>
    <xf numFmtId="0" fontId="78" fillId="12" borderId="1" xfId="8" applyFont="1" applyFill="1" applyBorder="1" applyAlignment="1" applyProtection="1">
      <alignment horizontal="center" vertical="top" wrapText="1"/>
      <protection locked="0"/>
    </xf>
    <xf numFmtId="0" fontId="68" fillId="12" borderId="1" xfId="8" applyFont="1" applyFill="1" applyBorder="1" applyAlignment="1" applyProtection="1">
      <alignment horizontal="center" vertical="top" wrapText="1"/>
      <protection locked="0"/>
    </xf>
    <xf numFmtId="0" fontId="74" fillId="12" borderId="1" xfId="0" applyFont="1" applyFill="1" applyBorder="1" applyAlignment="1" applyProtection="1">
      <alignment horizontal="left" vertical="top" wrapText="1"/>
      <protection locked="0"/>
    </xf>
    <xf numFmtId="0" fontId="87" fillId="12" borderId="1" xfId="0" applyFont="1" applyFill="1" applyBorder="1" applyAlignment="1" applyProtection="1">
      <alignment vertical="top" wrapText="1"/>
      <protection locked="0"/>
    </xf>
    <xf numFmtId="43" fontId="87" fillId="12" borderId="1" xfId="1" applyFont="1" applyFill="1" applyBorder="1" applyAlignment="1" applyProtection="1">
      <alignment horizontal="center" vertical="top" wrapText="1"/>
      <protection locked="0"/>
    </xf>
    <xf numFmtId="0" fontId="72" fillId="12" borderId="0" xfId="8" applyFont="1" applyFill="1" applyAlignment="1" applyProtection="1">
      <alignment vertical="top" wrapText="1"/>
    </xf>
    <xf numFmtId="0" fontId="68" fillId="23" borderId="1" xfId="0" applyNumberFormat="1" applyFont="1" applyFill="1" applyBorder="1" applyAlignment="1" applyProtection="1">
      <alignment horizontal="left" vertical="center" wrapText="1"/>
      <protection locked="0"/>
    </xf>
    <xf numFmtId="0" fontId="3" fillId="13" borderId="1" xfId="8" applyFont="1" applyFill="1" applyBorder="1" applyAlignment="1" applyProtection="1">
      <alignment horizontal="center" vertical="center" wrapText="1"/>
      <protection locked="0"/>
    </xf>
    <xf numFmtId="0" fontId="72" fillId="23" borderId="1" xfId="62" applyFont="1" applyFill="1" applyBorder="1" applyAlignment="1" applyProtection="1">
      <alignment horizontal="center" vertical="center"/>
    </xf>
    <xf numFmtId="0" fontId="68" fillId="23" borderId="5" xfId="62" applyFont="1" applyFill="1" applyBorder="1" applyAlignment="1" applyProtection="1">
      <alignment horizontal="left" vertical="top" wrapText="1"/>
      <protection locked="0"/>
    </xf>
    <xf numFmtId="0" fontId="67" fillId="23" borderId="1" xfId="4" applyFont="1" applyFill="1" applyBorder="1" applyAlignment="1" applyProtection="1">
      <alignment horizontal="center" vertical="center" wrapText="1"/>
    </xf>
    <xf numFmtId="0" fontId="99" fillId="23" borderId="1" xfId="82" applyFont="1" applyFill="1" applyBorder="1" applyAlignment="1" applyProtection="1">
      <alignment horizontal="center" vertical="center" wrapText="1"/>
      <protection locked="0"/>
    </xf>
    <xf numFmtId="0" fontId="99" fillId="23" borderId="1" xfId="8" applyFont="1" applyFill="1" applyBorder="1" applyAlignment="1" applyProtection="1">
      <alignment horizontal="center" vertical="center" wrapText="1"/>
      <protection locked="0"/>
    </xf>
    <xf numFmtId="0" fontId="99" fillId="23" borderId="5" xfId="82" applyFont="1" applyFill="1" applyBorder="1" applyAlignment="1" applyProtection="1">
      <alignment horizontal="left" vertical="center" wrapText="1"/>
      <protection locked="0"/>
    </xf>
    <xf numFmtId="43" fontId="87" fillId="23" borderId="1" xfId="1" applyFont="1" applyFill="1" applyBorder="1" applyAlignment="1" applyProtection="1">
      <alignment vertical="center"/>
    </xf>
    <xf numFmtId="0" fontId="72" fillId="23" borderId="1" xfId="4" applyFont="1" applyFill="1" applyBorder="1" applyAlignment="1" applyProtection="1">
      <alignment horizontal="center" vertical="center"/>
    </xf>
    <xf numFmtId="0" fontId="99" fillId="23" borderId="1" xfId="82" applyFont="1" applyFill="1" applyBorder="1" applyAlignment="1" applyProtection="1">
      <alignment horizontal="left" vertical="center" wrapText="1"/>
      <protection locked="0"/>
    </xf>
    <xf numFmtId="0" fontId="67" fillId="23" borderId="1" xfId="0" applyFont="1" applyFill="1" applyBorder="1" applyAlignment="1" applyProtection="1">
      <alignment vertical="center"/>
      <protection locked="0"/>
    </xf>
    <xf numFmtId="0" fontId="72" fillId="23" borderId="1" xfId="82" applyFont="1" applyFill="1" applyBorder="1" applyAlignment="1" applyProtection="1">
      <alignment horizontal="center"/>
      <protection locked="0"/>
    </xf>
    <xf numFmtId="0" fontId="72" fillId="23" borderId="5" xfId="82" applyFont="1" applyFill="1" applyBorder="1" applyAlignment="1" applyProtection="1">
      <alignment horizontal="left" vertical="center" wrapText="1"/>
      <protection locked="0"/>
    </xf>
    <xf numFmtId="0" fontId="87" fillId="23" borderId="1" xfId="0" applyFont="1" applyFill="1" applyBorder="1" applyAlignment="1" applyProtection="1">
      <alignment horizontal="left" vertical="center"/>
      <protection locked="0"/>
    </xf>
    <xf numFmtId="43" fontId="87" fillId="23" borderId="1" xfId="1" applyFont="1" applyFill="1" applyBorder="1" applyAlignment="1" applyProtection="1">
      <alignment vertical="center"/>
      <protection locked="0"/>
    </xf>
    <xf numFmtId="3" fontId="112" fillId="0" borderId="0" xfId="0" applyNumberFormat="1" applyFont="1"/>
    <xf numFmtId="0" fontId="66" fillId="11" borderId="1" xfId="0" applyFont="1" applyFill="1" applyBorder="1" applyAlignment="1" applyProtection="1">
      <alignment horizontal="left" vertical="center" wrapText="1"/>
    </xf>
    <xf numFmtId="0" fontId="67" fillId="11" borderId="1" xfId="4" applyFont="1" applyFill="1" applyBorder="1" applyAlignment="1" applyProtection="1">
      <alignment vertical="center" wrapText="1"/>
    </xf>
    <xf numFmtId="0" fontId="67" fillId="11" borderId="1" xfId="0" applyFont="1" applyFill="1" applyBorder="1" applyAlignment="1" applyProtection="1">
      <alignment horizontal="center" vertical="center" wrapText="1"/>
    </xf>
    <xf numFmtId="0" fontId="72" fillId="11" borderId="1" xfId="4" applyFont="1" applyFill="1" applyBorder="1" applyAlignment="1" applyProtection="1">
      <alignment horizontal="center" vertical="center" wrapText="1"/>
    </xf>
    <xf numFmtId="0" fontId="72" fillId="11" borderId="1" xfId="4" applyFont="1" applyFill="1" applyBorder="1" applyAlignment="1" applyProtection="1">
      <alignment vertical="center" wrapText="1"/>
      <protection locked="0"/>
    </xf>
    <xf numFmtId="0" fontId="72" fillId="11" borderId="1" xfId="4" applyFont="1" applyFill="1" applyBorder="1" applyAlignment="1" applyProtection="1">
      <alignment horizontal="center" vertical="center" wrapText="1"/>
      <protection locked="0"/>
    </xf>
    <xf numFmtId="2" fontId="72" fillId="11" borderId="1" xfId="4" applyNumberFormat="1" applyFont="1" applyFill="1" applyBorder="1" applyAlignment="1" applyProtection="1">
      <alignment horizontal="right" vertical="center" wrapText="1"/>
      <protection locked="0"/>
    </xf>
    <xf numFmtId="0" fontId="2" fillId="11" borderId="1" xfId="4" applyFont="1" applyFill="1" applyBorder="1" applyAlignment="1" applyProtection="1">
      <alignment vertical="center" wrapText="1"/>
      <protection locked="0"/>
    </xf>
    <xf numFmtId="0" fontId="2" fillId="11" borderId="1" xfId="8" applyFont="1" applyFill="1" applyBorder="1" applyAlignment="1" applyProtection="1">
      <alignment horizontal="center" vertical="center" wrapText="1"/>
      <protection locked="0"/>
    </xf>
    <xf numFmtId="2" fontId="72" fillId="11" borderId="1" xfId="0" applyNumberFormat="1" applyFont="1" applyFill="1" applyBorder="1" applyAlignment="1" applyProtection="1">
      <alignment horizontal="right" vertical="center" wrapText="1"/>
    </xf>
    <xf numFmtId="43" fontId="72" fillId="11" borderId="1" xfId="1" applyFont="1" applyFill="1" applyBorder="1" applyAlignment="1" applyProtection="1">
      <alignment horizontal="left" vertical="center" wrapText="1"/>
    </xf>
    <xf numFmtId="0" fontId="68" fillId="11" borderId="0" xfId="0" applyFont="1" applyFill="1" applyProtection="1"/>
    <xf numFmtId="0" fontId="68" fillId="18" borderId="1" xfId="0" applyFont="1" applyFill="1" applyBorder="1" applyAlignment="1" applyProtection="1">
      <alignment horizontal="left" vertical="top" wrapText="1"/>
    </xf>
    <xf numFmtId="0" fontId="72" fillId="18" borderId="1" xfId="0" applyFont="1" applyFill="1" applyBorder="1" applyAlignment="1" applyProtection="1">
      <alignment horizontal="center" vertical="top" wrapText="1"/>
    </xf>
    <xf numFmtId="0" fontId="68" fillId="18" borderId="1" xfId="0" applyFont="1" applyFill="1" applyBorder="1" applyAlignment="1" applyProtection="1">
      <alignment horizontal="center" vertical="top" wrapText="1"/>
      <protection locked="0"/>
    </xf>
    <xf numFmtId="0" fontId="72" fillId="18" borderId="1" xfId="8" applyFont="1" applyFill="1" applyBorder="1" applyAlignment="1" applyProtection="1">
      <alignment horizontal="center" vertical="top" wrapText="1"/>
      <protection locked="0"/>
    </xf>
    <xf numFmtId="43" fontId="72" fillId="18" borderId="1" xfId="1" applyFont="1" applyFill="1" applyBorder="1" applyAlignment="1" applyProtection="1">
      <alignment horizontal="center" vertical="top" wrapText="1"/>
    </xf>
    <xf numFmtId="0" fontId="74" fillId="18" borderId="1" xfId="0" applyFont="1" applyFill="1" applyBorder="1" applyAlignment="1" applyProtection="1">
      <alignment horizontal="left" vertical="top" wrapText="1"/>
      <protection locked="0"/>
    </xf>
    <xf numFmtId="43" fontId="68" fillId="18" borderId="1" xfId="1" applyFont="1" applyFill="1" applyBorder="1" applyAlignment="1" applyProtection="1">
      <alignment horizontal="left" vertical="top" wrapText="1"/>
    </xf>
    <xf numFmtId="0" fontId="68" fillId="18" borderId="0" xfId="0" applyFont="1" applyFill="1" applyBorder="1" applyAlignment="1" applyProtection="1">
      <alignment vertical="top" wrapText="1"/>
    </xf>
    <xf numFmtId="0" fontId="72" fillId="18" borderId="1" xfId="0" applyFont="1" applyFill="1" applyBorder="1" applyAlignment="1" applyProtection="1">
      <alignment horizontal="left" vertical="top" wrapText="1"/>
    </xf>
    <xf numFmtId="0" fontId="67" fillId="18" borderId="1" xfId="8" applyFont="1" applyFill="1" applyBorder="1" applyAlignment="1" applyProtection="1">
      <alignment horizontal="center" vertical="top"/>
    </xf>
    <xf numFmtId="167" fontId="68" fillId="18" borderId="1" xfId="0" applyNumberFormat="1" applyFont="1" applyFill="1" applyBorder="1" applyAlignment="1" applyProtection="1">
      <alignment horizontal="center" vertical="top" wrapText="1"/>
      <protection locked="0"/>
    </xf>
    <xf numFmtId="4" fontId="68" fillId="0" borderId="1" xfId="8" applyNumberFormat="1" applyFont="1" applyFill="1" applyBorder="1" applyAlignment="1" applyProtection="1">
      <alignment horizontal="center" vertical="top" wrapText="1"/>
      <protection locked="0"/>
    </xf>
    <xf numFmtId="0" fontId="26" fillId="5" borderId="1" xfId="0" applyFont="1" applyFill="1" applyBorder="1" applyAlignment="1">
      <alignment horizontal="center" vertical="center"/>
    </xf>
    <xf numFmtId="0" fontId="26" fillId="23" borderId="1" xfId="0" applyFont="1" applyFill="1" applyBorder="1" applyAlignment="1">
      <alignment horizontal="center" vertical="center"/>
    </xf>
    <xf numFmtId="0" fontId="37" fillId="15" borderId="5" xfId="0" applyFont="1" applyFill="1" applyBorder="1" applyAlignment="1">
      <alignment horizontal="center" vertical="center"/>
    </xf>
    <xf numFmtId="0" fontId="37" fillId="15" borderId="2" xfId="0" applyFont="1" applyFill="1" applyBorder="1" applyAlignment="1">
      <alignment horizontal="center" vertical="center"/>
    </xf>
    <xf numFmtId="0" fontId="26" fillId="10" borderId="5" xfId="0" applyFont="1" applyFill="1" applyBorder="1" applyAlignment="1">
      <alignment horizontal="left" vertical="center" wrapText="1"/>
    </xf>
    <xf numFmtId="0" fontId="26" fillId="10" borderId="6" xfId="0" applyFont="1" applyFill="1" applyBorder="1" applyAlignment="1">
      <alignment horizontal="left" vertical="center" wrapText="1"/>
    </xf>
    <xf numFmtId="0" fontId="26" fillId="10" borderId="2" xfId="0" applyFont="1" applyFill="1" applyBorder="1" applyAlignment="1">
      <alignment horizontal="left" vertical="center" wrapText="1"/>
    </xf>
    <xf numFmtId="0" fontId="26" fillId="12" borderId="1" xfId="0" applyFont="1" applyFill="1" applyBorder="1" applyAlignment="1">
      <alignment horizontal="left" vertical="center"/>
    </xf>
    <xf numFmtId="0" fontId="26" fillId="0" borderId="1" xfId="0" applyFont="1" applyFill="1" applyBorder="1" applyAlignment="1">
      <alignment horizontal="center" vertical="center"/>
    </xf>
    <xf numFmtId="0" fontId="26" fillId="0" borderId="1" xfId="0" applyFont="1" applyBorder="1" applyAlignment="1">
      <alignment horizontal="center" vertical="center" wrapText="1"/>
    </xf>
    <xf numFmtId="0" fontId="55" fillId="34" borderId="1" xfId="0" applyFont="1" applyFill="1" applyBorder="1" applyAlignment="1">
      <alignment horizontal="center" vertical="center" wrapText="1" readingOrder="1"/>
    </xf>
    <xf numFmtId="0" fontId="26" fillId="34" borderId="1" xfId="0" applyFont="1" applyFill="1" applyBorder="1" applyAlignment="1">
      <alignment horizontal="left" vertical="center"/>
    </xf>
    <xf numFmtId="0" fontId="26" fillId="0" borderId="1" xfId="0" applyFont="1" applyBorder="1" applyAlignment="1">
      <alignment horizontal="left"/>
    </xf>
    <xf numFmtId="0" fontId="26" fillId="0" borderId="1" xfId="0" applyFont="1" applyBorder="1" applyAlignment="1">
      <alignment horizontal="left" vertical="center" wrapText="1"/>
    </xf>
    <xf numFmtId="0" fontId="57" fillId="0" borderId="1" xfId="107" applyFont="1" applyBorder="1" applyAlignment="1" applyProtection="1">
      <alignment vertical="center" wrapText="1"/>
    </xf>
    <xf numFmtId="0" fontId="10" fillId="0" borderId="1" xfId="107" applyFont="1" applyBorder="1" applyAlignment="1" applyProtection="1">
      <alignment vertical="center" wrapText="1"/>
    </xf>
    <xf numFmtId="0" fontId="10" fillId="0" borderId="1" xfId="107" applyFont="1" applyBorder="1" applyAlignment="1" applyProtection="1">
      <alignment vertical="center"/>
    </xf>
    <xf numFmtId="0" fontId="40" fillId="10" borderId="1" xfId="107" applyFont="1" applyFill="1" applyBorder="1" applyAlignment="1" applyProtection="1">
      <alignment horizontal="center" vertical="center" wrapText="1"/>
    </xf>
    <xf numFmtId="0" fontId="40" fillId="10" borderId="1" xfId="107" applyFont="1" applyFill="1" applyBorder="1" applyAlignment="1" applyProtection="1">
      <alignment horizontal="center" vertical="center"/>
    </xf>
    <xf numFmtId="0" fontId="40" fillId="13" borderId="1" xfId="107" applyFont="1" applyFill="1" applyBorder="1" applyAlignment="1" applyProtection="1">
      <alignment vertical="center" wrapText="1"/>
    </xf>
    <xf numFmtId="0" fontId="57" fillId="0" borderId="1" xfId="107" applyFont="1" applyBorder="1" applyAlignment="1" applyProtection="1">
      <alignment horizontal="center" vertical="center" wrapText="1"/>
    </xf>
    <xf numFmtId="0" fontId="40" fillId="13" borderId="1" xfId="107" applyFont="1" applyFill="1" applyBorder="1" applyAlignment="1" applyProtection="1">
      <alignment vertical="center"/>
    </xf>
    <xf numFmtId="0" fontId="10" fillId="0" borderId="1" xfId="107" applyFont="1" applyBorder="1" applyAlignment="1" applyProtection="1">
      <alignment vertical="center" wrapText="1"/>
      <protection locked="0"/>
    </xf>
    <xf numFmtId="0" fontId="10" fillId="0" borderId="13" xfId="107" applyFont="1" applyBorder="1" applyAlignment="1" applyProtection="1">
      <alignment horizontal="left" vertical="center" wrapText="1"/>
    </xf>
    <xf numFmtId="0" fontId="10" fillId="0" borderId="14" xfId="107" applyFont="1" applyBorder="1" applyAlignment="1" applyProtection="1">
      <alignment horizontal="left" vertical="center" wrapText="1"/>
    </xf>
    <xf numFmtId="0" fontId="10" fillId="0" borderId="3" xfId="107" applyFont="1" applyBorder="1" applyAlignment="1" applyProtection="1">
      <alignment horizontal="left" vertical="center" wrapText="1"/>
    </xf>
    <xf numFmtId="0" fontId="61" fillId="0" borderId="1" xfId="107" applyFont="1" applyBorder="1" applyAlignment="1" applyProtection="1">
      <alignment horizontal="left" vertical="center"/>
    </xf>
    <xf numFmtId="0" fontId="57" fillId="0" borderId="1" xfId="0" applyFont="1" applyBorder="1" applyAlignment="1" applyProtection="1">
      <alignment horizontal="left" vertical="center" wrapText="1"/>
    </xf>
    <xf numFmtId="0" fontId="43" fillId="0" borderId="13" xfId="0" applyFont="1" applyBorder="1" applyAlignment="1" applyProtection="1">
      <alignment horizontal="left" vertical="center"/>
    </xf>
    <xf numFmtId="0" fontId="43" fillId="0" borderId="3" xfId="0" applyFont="1" applyBorder="1" applyAlignment="1" applyProtection="1">
      <alignment horizontal="left" vertical="center"/>
    </xf>
    <xf numFmtId="0" fontId="57" fillId="0" borderId="13" xfId="0" applyFont="1" applyBorder="1" applyAlignment="1" applyProtection="1">
      <alignment vertical="center" wrapText="1"/>
    </xf>
    <xf numFmtId="0" fontId="57" fillId="0" borderId="3" xfId="0" applyFont="1" applyBorder="1" applyAlignment="1" applyProtection="1">
      <alignment vertical="center" wrapText="1"/>
    </xf>
    <xf numFmtId="0" fontId="43" fillId="0" borderId="1" xfId="0" applyFont="1" applyBorder="1" applyAlignment="1" applyProtection="1">
      <alignment horizontal="center" vertical="center"/>
    </xf>
    <xf numFmtId="0" fontId="43" fillId="0" borderId="1" xfId="0" applyFont="1" applyBorder="1" applyAlignment="1" applyProtection="1">
      <alignment horizontal="left" vertical="center"/>
    </xf>
    <xf numFmtId="0" fontId="57" fillId="0" borderId="1" xfId="107" applyFont="1" applyBorder="1" applyAlignment="1" applyProtection="1">
      <alignment vertical="center" wrapText="1"/>
      <protection locked="0"/>
    </xf>
    <xf numFmtId="0" fontId="10" fillId="0" borderId="1" xfId="107" applyFont="1" applyBorder="1" applyAlignment="1" applyProtection="1">
      <alignment horizontal="center" vertical="center" wrapText="1"/>
    </xf>
    <xf numFmtId="43" fontId="45" fillId="0" borderId="1" xfId="1" applyFont="1" applyBorder="1" applyAlignment="1">
      <alignment horizontal="left" vertical="center" wrapText="1"/>
    </xf>
    <xf numFmtId="0" fontId="45" fillId="0" borderId="13" xfId="0" applyFont="1" applyBorder="1" applyAlignment="1">
      <alignment horizontal="left" vertical="center" wrapText="1"/>
    </xf>
    <xf numFmtId="0" fontId="45" fillId="0" borderId="3" xfId="0" applyFont="1" applyBorder="1" applyAlignment="1">
      <alignment horizontal="left" vertical="center" wrapText="1"/>
    </xf>
    <xf numFmtId="43" fontId="55" fillId="0" borderId="1" xfId="1" applyFont="1" applyBorder="1" applyAlignment="1">
      <alignment horizontal="left" vertical="center" wrapText="1" readingOrder="1"/>
    </xf>
    <xf numFmtId="0" fontId="54" fillId="0" borderId="1" xfId="0" applyFont="1" applyBorder="1" applyAlignment="1">
      <alignment horizontal="left" vertical="center" wrapText="1"/>
    </xf>
    <xf numFmtId="43" fontId="55" fillId="0" borderId="1" xfId="1" applyFont="1" applyBorder="1" applyAlignment="1">
      <alignment horizontal="center" vertical="center" wrapText="1" readingOrder="1"/>
    </xf>
    <xf numFmtId="43" fontId="55" fillId="33" borderId="1" xfId="1" applyFont="1" applyFill="1" applyBorder="1" applyAlignment="1">
      <alignment horizontal="center" vertical="center" wrapText="1" readingOrder="1"/>
    </xf>
    <xf numFmtId="43" fontId="55" fillId="34" borderId="1" xfId="1" applyFont="1" applyFill="1" applyBorder="1" applyAlignment="1">
      <alignment horizontal="center" vertical="center" wrapText="1" readingOrder="1"/>
    </xf>
    <xf numFmtId="0" fontId="54" fillId="0" borderId="5" xfId="0" applyFont="1" applyBorder="1" applyAlignment="1">
      <alignment horizontal="left" vertical="center" wrapText="1"/>
    </xf>
    <xf numFmtId="0" fontId="54" fillId="0" borderId="2" xfId="0" applyFont="1" applyBorder="1" applyAlignment="1">
      <alignment horizontal="left" vertical="center" wrapText="1"/>
    </xf>
    <xf numFmtId="43" fontId="55" fillId="33" borderId="10" xfId="1" applyFont="1" applyFill="1" applyBorder="1" applyAlignment="1">
      <alignment horizontal="center" vertical="center" wrapText="1" readingOrder="1"/>
    </xf>
    <xf numFmtId="43" fontId="55" fillId="33" borderId="11" xfId="1" applyFont="1" applyFill="1" applyBorder="1" applyAlignment="1">
      <alignment horizontal="center" vertical="center" wrapText="1" readingOrder="1"/>
    </xf>
    <xf numFmtId="43" fontId="55" fillId="33" borderId="8" xfId="1" applyFont="1" applyFill="1" applyBorder="1" applyAlignment="1">
      <alignment horizontal="center" vertical="center" wrapText="1" readingOrder="1"/>
    </xf>
    <xf numFmtId="43" fontId="55" fillId="33" borderId="7" xfId="1" applyFont="1" applyFill="1" applyBorder="1" applyAlignment="1">
      <alignment horizontal="center" vertical="center" wrapText="1" readingOrder="1"/>
    </xf>
    <xf numFmtId="43" fontId="55" fillId="33" borderId="9" xfId="1" applyFont="1" applyFill="1" applyBorder="1" applyAlignment="1">
      <alignment horizontal="center" vertical="center" wrapText="1" readingOrder="1"/>
    </xf>
    <xf numFmtId="43" fontId="55" fillId="33" borderId="12" xfId="1" applyFont="1" applyFill="1" applyBorder="1" applyAlignment="1">
      <alignment horizontal="center" vertical="center" wrapText="1" readingOrder="1"/>
    </xf>
    <xf numFmtId="43" fontId="55" fillId="0" borderId="1" xfId="1" applyFont="1" applyBorder="1" applyAlignment="1">
      <alignment horizontal="left" vertical="center" wrapText="1"/>
    </xf>
    <xf numFmtId="2" fontId="66" fillId="5" borderId="5" xfId="4" applyNumberFormat="1" applyFont="1" applyFill="1" applyBorder="1" applyAlignment="1" applyProtection="1">
      <alignment horizontal="center" vertical="center" wrapText="1"/>
    </xf>
    <xf numFmtId="2" fontId="66" fillId="5" borderId="2" xfId="4" applyNumberFormat="1" applyFont="1" applyFill="1" applyBorder="1" applyAlignment="1" applyProtection="1">
      <alignment horizontal="center" vertical="center" wrapText="1"/>
    </xf>
    <xf numFmtId="0" fontId="80" fillId="0" borderId="4" xfId="0" applyFont="1" applyBorder="1" applyAlignment="1" applyProtection="1">
      <alignment horizontal="left" vertical="center" wrapText="1"/>
    </xf>
    <xf numFmtId="0" fontId="66" fillId="5" borderId="1" xfId="0" applyFont="1" applyFill="1" applyBorder="1" applyAlignment="1" applyProtection="1">
      <alignment horizontal="center" vertical="center"/>
    </xf>
    <xf numFmtId="0" fontId="66" fillId="0" borderId="1" xfId="0" applyFont="1" applyBorder="1" applyAlignment="1" applyProtection="1">
      <alignment horizontal="center" vertical="center" wrapText="1"/>
    </xf>
    <xf numFmtId="0" fontId="66" fillId="0" borderId="3" xfId="0" applyFont="1" applyBorder="1" applyAlignment="1" applyProtection="1">
      <alignment horizontal="center" vertical="center" wrapText="1"/>
    </xf>
    <xf numFmtId="2" fontId="66" fillId="5" borderId="1" xfId="0" applyNumberFormat="1" applyFont="1" applyFill="1" applyBorder="1" applyAlignment="1" applyProtection="1">
      <alignment horizontal="center" vertical="center" wrapText="1"/>
    </xf>
    <xf numFmtId="0" fontId="66" fillId="5" borderId="10" xfId="0" applyFont="1" applyFill="1" applyBorder="1" applyAlignment="1" applyProtection="1">
      <alignment horizontal="center" vertical="center" wrapText="1"/>
    </xf>
    <xf numFmtId="0" fontId="66" fillId="5" borderId="11" xfId="0" applyFont="1" applyFill="1" applyBorder="1" applyAlignment="1" applyProtection="1">
      <alignment horizontal="center" vertical="center" wrapText="1"/>
    </xf>
    <xf numFmtId="0" fontId="66" fillId="5" borderId="8" xfId="0" applyFont="1" applyFill="1" applyBorder="1" applyAlignment="1" applyProtection="1">
      <alignment horizontal="center" vertical="center" wrapText="1"/>
    </xf>
    <xf numFmtId="0" fontId="66" fillId="5" borderId="7" xfId="0" applyFont="1" applyFill="1" applyBorder="1" applyAlignment="1" applyProtection="1">
      <alignment horizontal="center" vertical="center" wrapText="1"/>
    </xf>
    <xf numFmtId="0" fontId="66" fillId="5" borderId="9" xfId="0" applyFont="1" applyFill="1" applyBorder="1" applyAlignment="1" applyProtection="1">
      <alignment horizontal="center" vertical="center" wrapText="1"/>
    </xf>
    <xf numFmtId="0" fontId="68" fillId="0" borderId="4" xfId="0" applyFont="1" applyBorder="1" applyAlignment="1" applyProtection="1">
      <alignment horizontal="center" wrapText="1"/>
    </xf>
    <xf numFmtId="0" fontId="38" fillId="16" borderId="0" xfId="0" applyFont="1" applyFill="1" applyAlignment="1" applyProtection="1">
      <alignment horizontal="left" vertical="center" wrapText="1"/>
    </xf>
    <xf numFmtId="0" fontId="44" fillId="8" borderId="13" xfId="3" applyFont="1" applyFill="1" applyBorder="1" applyAlignment="1" applyProtection="1">
      <alignment horizontal="center" vertical="center"/>
    </xf>
    <xf numFmtId="0" fontId="44" fillId="8" borderId="14" xfId="3" applyFont="1" applyFill="1" applyBorder="1" applyAlignment="1" applyProtection="1">
      <alignment horizontal="center" vertical="center"/>
    </xf>
    <xf numFmtId="0" fontId="44" fillId="8" borderId="3" xfId="3" applyFont="1" applyFill="1" applyBorder="1" applyAlignment="1" applyProtection="1">
      <alignment horizontal="center" vertical="center"/>
    </xf>
    <xf numFmtId="0" fontId="38" fillId="9" borderId="13" xfId="38" applyFont="1" applyFill="1" applyBorder="1" applyAlignment="1" applyProtection="1">
      <alignment horizontal="center" vertical="center" wrapText="1"/>
    </xf>
    <xf numFmtId="0" fontId="38" fillId="9" borderId="3" xfId="38" applyFont="1" applyFill="1" applyBorder="1" applyAlignment="1" applyProtection="1">
      <alignment horizontal="center" vertical="center" wrapText="1"/>
    </xf>
    <xf numFmtId="0" fontId="29" fillId="34" borderId="5" xfId="3" applyFill="1" applyBorder="1" applyAlignment="1" applyProtection="1">
      <alignment horizontal="center" vertical="center" wrapText="1"/>
    </xf>
    <xf numFmtId="0" fontId="29" fillId="34" borderId="2" xfId="3" applyFill="1" applyBorder="1" applyAlignment="1" applyProtection="1">
      <alignment horizontal="center" vertical="center" wrapText="1"/>
    </xf>
    <xf numFmtId="0" fontId="32" fillId="9" borderId="13" xfId="38" applyFont="1" applyFill="1" applyBorder="1" applyAlignment="1" applyProtection="1">
      <alignment horizontal="center" vertical="center" wrapText="1"/>
    </xf>
    <xf numFmtId="0" fontId="32" fillId="9" borderId="3" xfId="38" applyFont="1" applyFill="1" applyBorder="1" applyAlignment="1" applyProtection="1">
      <alignment horizontal="center" vertical="center" wrapText="1"/>
    </xf>
    <xf numFmtId="0" fontId="67" fillId="28" borderId="1" xfId="8" applyFont="1" applyFill="1" applyBorder="1" applyAlignment="1" applyProtection="1">
      <alignment horizontal="center" vertical="top"/>
    </xf>
    <xf numFmtId="0" fontId="64" fillId="16" borderId="1" xfId="0" applyFont="1" applyFill="1" applyBorder="1" applyAlignment="1" applyProtection="1">
      <alignment horizontal="left" vertical="top" wrapText="1"/>
    </xf>
    <xf numFmtId="0" fontId="71" fillId="17" borderId="3" xfId="0" applyFont="1" applyFill="1" applyBorder="1" applyAlignment="1" applyProtection="1">
      <alignment horizontal="center" vertical="top" wrapText="1"/>
    </xf>
    <xf numFmtId="0" fontId="71" fillId="17" borderId="1" xfId="38" applyFont="1" applyFill="1" applyBorder="1" applyAlignment="1" applyProtection="1">
      <alignment horizontal="center" vertical="top" wrapText="1"/>
    </xf>
    <xf numFmtId="0" fontId="66" fillId="29" borderId="1" xfId="0" applyFont="1" applyFill="1" applyBorder="1" applyAlignment="1" applyProtection="1">
      <alignment horizontal="center" vertical="top" wrapText="1"/>
    </xf>
    <xf numFmtId="0" fontId="69" fillId="8" borderId="13" xfId="3" applyFont="1" applyFill="1" applyBorder="1" applyAlignment="1" applyProtection="1">
      <alignment horizontal="center" vertical="top"/>
    </xf>
    <xf numFmtId="0" fontId="69" fillId="8" borderId="14" xfId="3" applyFont="1" applyFill="1" applyBorder="1" applyAlignment="1" applyProtection="1">
      <alignment horizontal="center" vertical="top"/>
    </xf>
    <xf numFmtId="0" fontId="69" fillId="8" borderId="3" xfId="3" applyFont="1" applyFill="1" applyBorder="1" applyAlignment="1" applyProtection="1">
      <alignment horizontal="center" vertical="top"/>
    </xf>
    <xf numFmtId="0" fontId="71" fillId="35" borderId="1" xfId="0" applyFont="1" applyFill="1" applyBorder="1" applyAlignment="1" applyProtection="1">
      <alignment horizontal="center" vertical="top" wrapText="1"/>
    </xf>
    <xf numFmtId="0" fontId="71" fillId="17" borderId="3" xfId="38" applyFont="1" applyFill="1" applyBorder="1" applyAlignment="1" applyProtection="1">
      <alignment horizontal="center" vertical="top" wrapText="1"/>
    </xf>
    <xf numFmtId="0" fontId="67" fillId="10" borderId="5" xfId="0" applyFont="1" applyFill="1" applyBorder="1" applyAlignment="1" applyProtection="1">
      <alignment horizontal="center" vertical="top" wrapText="1"/>
    </xf>
    <xf numFmtId="0" fontId="67" fillId="10" borderId="6" xfId="0" applyFont="1" applyFill="1" applyBorder="1" applyAlignment="1" applyProtection="1">
      <alignment horizontal="center" vertical="top" wrapText="1"/>
    </xf>
    <xf numFmtId="0" fontId="67" fillId="10" borderId="2" xfId="0" applyFont="1" applyFill="1" applyBorder="1" applyAlignment="1" applyProtection="1">
      <alignment horizontal="center" vertical="top" wrapText="1"/>
    </xf>
    <xf numFmtId="0" fontId="66" fillId="30" borderId="5" xfId="0" applyFont="1" applyFill="1" applyBorder="1" applyAlignment="1" applyProtection="1">
      <alignment horizontal="center" vertical="top" wrapText="1"/>
    </xf>
    <xf numFmtId="0" fontId="66" fillId="30" borderId="6" xfId="0" applyFont="1" applyFill="1" applyBorder="1" applyAlignment="1" applyProtection="1">
      <alignment horizontal="center" vertical="top" wrapText="1"/>
    </xf>
    <xf numFmtId="0" fontId="66" fillId="30" borderId="2" xfId="0" applyFont="1" applyFill="1" applyBorder="1" applyAlignment="1" applyProtection="1">
      <alignment horizontal="center" vertical="top" wrapText="1"/>
    </xf>
    <xf numFmtId="0" fontId="85" fillId="44" borderId="1" xfId="0" applyFont="1" applyFill="1" applyBorder="1" applyAlignment="1" applyProtection="1">
      <alignment horizontal="center" vertical="top" wrapText="1"/>
    </xf>
    <xf numFmtId="0" fontId="67" fillId="28" borderId="9" xfId="8" applyFont="1" applyFill="1" applyBorder="1" applyAlignment="1" applyProtection="1">
      <alignment horizontal="center" vertical="top"/>
    </xf>
    <xf numFmtId="0" fontId="67" fillId="28" borderId="4" xfId="8" applyFont="1" applyFill="1" applyBorder="1" applyAlignment="1" applyProtection="1">
      <alignment horizontal="center" vertical="top"/>
    </xf>
    <xf numFmtId="0" fontId="71" fillId="16" borderId="1" xfId="8" applyFont="1" applyFill="1" applyBorder="1" applyAlignment="1" applyProtection="1">
      <alignment horizontal="left" vertical="top" wrapText="1"/>
    </xf>
    <xf numFmtId="0" fontId="71" fillId="17" borderId="1" xfId="0" applyFont="1" applyFill="1" applyBorder="1" applyAlignment="1" applyProtection="1">
      <alignment horizontal="center" vertical="top" wrapText="1"/>
    </xf>
    <xf numFmtId="0" fontId="65" fillId="35" borderId="1" xfId="0" applyFont="1" applyFill="1" applyBorder="1" applyAlignment="1" applyProtection="1">
      <alignment horizontal="center" vertical="top" wrapText="1"/>
    </xf>
    <xf numFmtId="0" fontId="71" fillId="17" borderId="9" xfId="0" applyFont="1" applyFill="1" applyBorder="1" applyAlignment="1" applyProtection="1">
      <alignment horizontal="center" vertical="top" wrapText="1"/>
    </xf>
    <xf numFmtId="0" fontId="71" fillId="17" borderId="4" xfId="0" applyFont="1" applyFill="1" applyBorder="1" applyAlignment="1" applyProtection="1">
      <alignment horizontal="center" vertical="top" wrapText="1"/>
    </xf>
    <xf numFmtId="0" fontId="38" fillId="16" borderId="5" xfId="8" applyFont="1" applyFill="1" applyBorder="1" applyAlignment="1" applyProtection="1">
      <alignment horizontal="left" vertical="center"/>
    </xf>
    <xf numFmtId="0" fontId="38" fillId="16" borderId="6" xfId="8" applyFont="1" applyFill="1" applyBorder="1" applyAlignment="1" applyProtection="1">
      <alignment horizontal="left" vertical="center"/>
    </xf>
    <xf numFmtId="0" fontId="38" fillId="16" borderId="2" xfId="8" applyFont="1" applyFill="1" applyBorder="1" applyAlignment="1" applyProtection="1">
      <alignment horizontal="left" vertical="center"/>
    </xf>
    <xf numFmtId="0" fontId="53" fillId="35" borderId="7" xfId="0" applyFont="1" applyFill="1" applyBorder="1" applyAlignment="1" applyProtection="1">
      <alignment horizontal="center" vertical="center"/>
    </xf>
    <xf numFmtId="0" fontId="53" fillId="35" borderId="12" xfId="0" applyFont="1" applyFill="1" applyBorder="1" applyAlignment="1" applyProtection="1">
      <alignment horizontal="center" vertical="center"/>
    </xf>
    <xf numFmtId="0" fontId="45" fillId="29" borderId="5" xfId="0" applyFont="1" applyFill="1" applyBorder="1" applyAlignment="1" applyProtection="1">
      <alignment horizontal="center" vertical="center"/>
    </xf>
    <xf numFmtId="0" fontId="45" fillId="29" borderId="6" xfId="0" applyFont="1" applyFill="1" applyBorder="1" applyAlignment="1" applyProtection="1">
      <alignment horizontal="center" vertical="center"/>
    </xf>
    <xf numFmtId="0" fontId="45" fillId="29" borderId="2" xfId="0" applyFont="1" applyFill="1" applyBorder="1" applyAlignment="1" applyProtection="1">
      <alignment horizontal="center" vertical="center"/>
    </xf>
    <xf numFmtId="0" fontId="38" fillId="17" borderId="1" xfId="38" applyFont="1" applyFill="1" applyBorder="1" applyAlignment="1" applyProtection="1">
      <alignment horizontal="center" vertical="center"/>
    </xf>
    <xf numFmtId="0" fontId="38" fillId="17" borderId="1" xfId="38" applyFont="1" applyFill="1" applyBorder="1" applyAlignment="1" applyProtection="1">
      <alignment horizontal="center" vertical="center" wrapText="1"/>
    </xf>
    <xf numFmtId="0" fontId="38" fillId="17" borderId="5" xfId="0" applyFont="1" applyFill="1" applyBorder="1" applyAlignment="1" applyProtection="1">
      <alignment horizontal="center" vertical="center"/>
    </xf>
    <xf numFmtId="0" fontId="38" fillId="17" borderId="6" xfId="0" applyFont="1" applyFill="1" applyBorder="1" applyAlignment="1" applyProtection="1">
      <alignment horizontal="center" vertical="center"/>
    </xf>
    <xf numFmtId="0" fontId="38" fillId="17" borderId="2" xfId="0" applyFont="1" applyFill="1" applyBorder="1" applyAlignment="1" applyProtection="1">
      <alignment horizontal="center" vertical="center"/>
    </xf>
    <xf numFmtId="0" fontId="38" fillId="17" borderId="5" xfId="38" applyFont="1" applyFill="1" applyBorder="1" applyAlignment="1" applyProtection="1">
      <alignment horizontal="center" vertical="center"/>
    </xf>
    <xf numFmtId="0" fontId="38" fillId="17" borderId="2" xfId="38" applyFont="1" applyFill="1" applyBorder="1" applyAlignment="1" applyProtection="1">
      <alignment horizontal="center" vertical="center"/>
    </xf>
    <xf numFmtId="0" fontId="45" fillId="30" borderId="5" xfId="0" applyFont="1" applyFill="1" applyBorder="1" applyAlignment="1" applyProtection="1">
      <alignment horizontal="center" vertical="center"/>
    </xf>
    <xf numFmtId="0" fontId="45" fillId="30" borderId="6" xfId="0" applyFont="1" applyFill="1" applyBorder="1" applyAlignment="1" applyProtection="1">
      <alignment horizontal="center" vertical="center"/>
    </xf>
    <xf numFmtId="0" fontId="45" fillId="30" borderId="2" xfId="0" applyFont="1" applyFill="1" applyBorder="1" applyAlignment="1" applyProtection="1">
      <alignment horizontal="center" vertical="center"/>
    </xf>
    <xf numFmtId="0" fontId="40" fillId="10" borderId="9" xfId="0" applyFont="1" applyFill="1" applyBorder="1" applyAlignment="1" applyProtection="1">
      <alignment horizontal="center" vertical="center"/>
    </xf>
    <xf numFmtId="0" fontId="40" fillId="10" borderId="4" xfId="0" applyFont="1" applyFill="1" applyBorder="1" applyAlignment="1" applyProtection="1">
      <alignment horizontal="center" vertical="center"/>
    </xf>
    <xf numFmtId="0" fontId="40" fillId="10" borderId="12" xfId="0" applyFont="1" applyFill="1" applyBorder="1" applyAlignment="1" applyProtection="1">
      <alignment horizontal="center" vertical="center"/>
    </xf>
    <xf numFmtId="0" fontId="40" fillId="28" borderId="5" xfId="8" applyFont="1" applyFill="1" applyBorder="1" applyAlignment="1" applyProtection="1">
      <alignment horizontal="center" vertical="center"/>
    </xf>
    <xf numFmtId="0" fontId="40" fillId="28" borderId="6" xfId="8" applyFont="1" applyFill="1" applyBorder="1" applyAlignment="1" applyProtection="1">
      <alignment horizontal="center" vertical="center"/>
    </xf>
    <xf numFmtId="0" fontId="40" fillId="28" borderId="2" xfId="8" applyFont="1" applyFill="1" applyBorder="1" applyAlignment="1" applyProtection="1">
      <alignment horizontal="center" vertical="center"/>
    </xf>
    <xf numFmtId="0" fontId="38" fillId="17" borderId="1" xfId="0" applyFont="1" applyFill="1" applyBorder="1" applyAlignment="1" applyProtection="1">
      <alignment horizontal="center" vertical="center"/>
    </xf>
    <xf numFmtId="0" fontId="71" fillId="17" borderId="1" xfId="0" applyFont="1" applyFill="1" applyBorder="1" applyAlignment="1" applyProtection="1">
      <alignment horizontal="center" vertical="center" wrapText="1"/>
    </xf>
    <xf numFmtId="0" fontId="71" fillId="17" borderId="5" xfId="0" applyFont="1" applyFill="1" applyBorder="1" applyAlignment="1" applyProtection="1">
      <alignment horizontal="center" vertical="center" wrapText="1"/>
    </xf>
    <xf numFmtId="0" fontId="85" fillId="44" borderId="1" xfId="0" applyFont="1" applyFill="1" applyBorder="1" applyAlignment="1" applyProtection="1">
      <alignment horizontal="center" vertical="center" wrapText="1"/>
    </xf>
    <xf numFmtId="0" fontId="71" fillId="16" borderId="1" xfId="8" applyFont="1" applyFill="1" applyBorder="1" applyAlignment="1" applyProtection="1">
      <alignment horizontal="left" vertical="center" wrapText="1"/>
    </xf>
    <xf numFmtId="0" fontId="71" fillId="17" borderId="1" xfId="38" applyFont="1" applyFill="1" applyBorder="1" applyAlignment="1" applyProtection="1">
      <alignment horizontal="center" vertical="center" wrapText="1"/>
    </xf>
    <xf numFmtId="0" fontId="71" fillId="17" borderId="1" xfId="38" applyFont="1" applyFill="1" applyBorder="1" applyAlignment="1" applyProtection="1">
      <alignment horizontal="left" vertical="center" wrapText="1"/>
    </xf>
    <xf numFmtId="0" fontId="66" fillId="28" borderId="1" xfId="4" applyFont="1" applyFill="1" applyBorder="1" applyAlignment="1" applyProtection="1">
      <alignment horizontal="left" vertical="center" wrapText="1"/>
    </xf>
    <xf numFmtId="0" fontId="66" fillId="4" borderId="1" xfId="4" applyFont="1" applyFill="1" applyBorder="1" applyAlignment="1" applyProtection="1">
      <alignment horizontal="left" vertical="center" wrapText="1"/>
    </xf>
    <xf numFmtId="0" fontId="66" fillId="4" borderId="5" xfId="4" applyFont="1" applyFill="1" applyBorder="1" applyAlignment="1" applyProtection="1">
      <alignment horizontal="left" vertical="center" wrapText="1"/>
    </xf>
    <xf numFmtId="0" fontId="66" fillId="4" borderId="6" xfId="4" applyFont="1" applyFill="1" applyBorder="1" applyAlignment="1" applyProtection="1">
      <alignment horizontal="left" vertical="center" wrapText="1"/>
    </xf>
    <xf numFmtId="0" fontId="66" fillId="4" borderId="2" xfId="4" applyFont="1" applyFill="1" applyBorder="1" applyAlignment="1" applyProtection="1">
      <alignment horizontal="left" vertical="center" wrapText="1"/>
    </xf>
    <xf numFmtId="0" fontId="72" fillId="10" borderId="9" xfId="0" applyFont="1" applyFill="1" applyBorder="1" applyAlignment="1" applyProtection="1">
      <alignment horizontal="center" vertical="center" wrapText="1"/>
    </xf>
    <xf numFmtId="0" fontId="72" fillId="10" borderId="4" xfId="0" applyFont="1" applyFill="1" applyBorder="1" applyAlignment="1" applyProtection="1">
      <alignment horizontal="center" vertical="center" wrapText="1"/>
    </xf>
    <xf numFmtId="0" fontId="72" fillId="10" borderId="12" xfId="0" applyFont="1" applyFill="1" applyBorder="1" applyAlignment="1" applyProtection="1">
      <alignment horizontal="center" vertical="center" wrapText="1"/>
    </xf>
    <xf numFmtId="0" fontId="72" fillId="28" borderId="5" xfId="8" applyFont="1" applyFill="1" applyBorder="1" applyAlignment="1" applyProtection="1">
      <alignment horizontal="center" vertical="center"/>
    </xf>
    <xf numFmtId="0" fontId="72" fillId="28" borderId="6" xfId="8" applyFont="1" applyFill="1" applyBorder="1" applyAlignment="1" applyProtection="1">
      <alignment horizontal="center" vertical="center"/>
    </xf>
    <xf numFmtId="0" fontId="72" fillId="28" borderId="2" xfId="8" applyFont="1" applyFill="1" applyBorder="1" applyAlignment="1" applyProtection="1">
      <alignment horizontal="center" vertical="center"/>
    </xf>
    <xf numFmtId="0" fontId="73" fillId="17" borderId="5" xfId="0" applyFont="1" applyFill="1" applyBorder="1" applyAlignment="1" applyProtection="1">
      <alignment horizontal="center" vertical="center" wrapText="1"/>
    </xf>
    <xf numFmtId="0" fontId="73" fillId="17" borderId="6" xfId="0"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wrapText="1"/>
    </xf>
    <xf numFmtId="0" fontId="73" fillId="17" borderId="5" xfId="38" applyFont="1" applyFill="1" applyBorder="1" applyAlignment="1" applyProtection="1">
      <alignment horizontal="center" vertical="center" wrapText="1"/>
    </xf>
    <xf numFmtId="0" fontId="73" fillId="17" borderId="2" xfId="38" applyFont="1" applyFill="1" applyBorder="1" applyAlignment="1" applyProtection="1">
      <alignment horizontal="center" vertical="center" wrapText="1"/>
    </xf>
    <xf numFmtId="0" fontId="73" fillId="16" borderId="9" xfId="48" applyFont="1" applyFill="1" applyBorder="1" applyAlignment="1" applyProtection="1">
      <alignment horizontal="left" vertical="center"/>
    </xf>
    <xf numFmtId="0" fontId="73" fillId="16" borderId="4" xfId="48" applyFont="1" applyFill="1" applyBorder="1" applyAlignment="1" applyProtection="1">
      <alignment horizontal="left" vertical="center"/>
    </xf>
    <xf numFmtId="0" fontId="73" fillId="17" borderId="1" xfId="0" applyFont="1" applyFill="1" applyBorder="1" applyAlignment="1" applyProtection="1">
      <alignment horizontal="center" vertical="center" wrapText="1"/>
    </xf>
    <xf numFmtId="0" fontId="73" fillId="17" borderId="1" xfId="38" applyFont="1" applyFill="1" applyBorder="1" applyAlignment="1" applyProtection="1">
      <alignment horizontal="center" vertical="center" wrapText="1"/>
    </xf>
    <xf numFmtId="0" fontId="69" fillId="8" borderId="13" xfId="3" applyFont="1" applyFill="1" applyBorder="1" applyAlignment="1" applyProtection="1">
      <alignment horizontal="center" vertical="center"/>
    </xf>
    <xf numFmtId="0" fontId="69" fillId="8" borderId="14" xfId="3" applyFont="1" applyFill="1" applyBorder="1" applyAlignment="1" applyProtection="1">
      <alignment horizontal="center" vertical="center"/>
    </xf>
    <xf numFmtId="0" fontId="69" fillId="8" borderId="3" xfId="3" applyFont="1" applyFill="1" applyBorder="1" applyAlignment="1" applyProtection="1">
      <alignment horizontal="center" vertical="center"/>
    </xf>
    <xf numFmtId="0" fontId="84" fillId="35" borderId="1" xfId="0" applyFont="1" applyFill="1" applyBorder="1" applyAlignment="1" applyProtection="1">
      <alignment horizontal="center" vertical="center" wrapText="1"/>
    </xf>
    <xf numFmtId="0" fontId="68" fillId="29" borderId="5" xfId="0" applyFont="1" applyFill="1" applyBorder="1" applyAlignment="1" applyProtection="1">
      <alignment horizontal="center" vertical="center" wrapText="1"/>
    </xf>
    <xf numFmtId="0" fontId="68" fillId="29" borderId="6" xfId="0" applyFont="1" applyFill="1" applyBorder="1" applyAlignment="1" applyProtection="1">
      <alignment horizontal="center" vertical="center" wrapText="1"/>
    </xf>
    <xf numFmtId="0" fontId="68" fillId="29" borderId="2" xfId="0" applyFont="1" applyFill="1" applyBorder="1" applyAlignment="1" applyProtection="1">
      <alignment horizontal="center" vertical="center" wrapText="1"/>
    </xf>
    <xf numFmtId="0" fontId="68" fillId="30" borderId="5" xfId="0" applyFont="1" applyFill="1" applyBorder="1" applyAlignment="1" applyProtection="1">
      <alignment horizontal="center" vertical="center" wrapText="1"/>
    </xf>
    <xf numFmtId="0" fontId="68" fillId="30" borderId="6" xfId="0" applyFont="1" applyFill="1" applyBorder="1" applyAlignment="1" applyProtection="1">
      <alignment horizontal="center" vertical="center" wrapText="1"/>
    </xf>
    <xf numFmtId="0" fontId="67" fillId="10" borderId="25" xfId="0" applyFont="1" applyFill="1" applyBorder="1" applyAlignment="1" applyProtection="1">
      <alignment horizontal="center" vertical="center" wrapText="1"/>
    </xf>
    <xf numFmtId="0" fontId="67" fillId="10" borderId="26" xfId="0" applyFont="1" applyFill="1" applyBorder="1" applyAlignment="1" applyProtection="1">
      <alignment horizontal="center" vertical="center" wrapText="1"/>
    </xf>
    <xf numFmtId="0" fontId="67" fillId="10" borderId="27" xfId="0" applyFont="1" applyFill="1" applyBorder="1" applyAlignment="1" applyProtection="1">
      <alignment horizontal="center" vertical="center" wrapText="1"/>
    </xf>
    <xf numFmtId="0" fontId="67" fillId="28" borderId="25" xfId="8" applyFont="1" applyFill="1" applyBorder="1" applyAlignment="1" applyProtection="1">
      <alignment horizontal="center" vertical="center"/>
    </xf>
    <xf numFmtId="0" fontId="67" fillId="28" borderId="26" xfId="8" applyFont="1" applyFill="1" applyBorder="1" applyAlignment="1" applyProtection="1">
      <alignment horizontal="center" vertical="center"/>
    </xf>
    <xf numFmtId="0" fontId="67" fillId="28" borderId="27" xfId="8" applyFont="1" applyFill="1" applyBorder="1" applyAlignment="1" applyProtection="1">
      <alignment horizontal="center" vertical="center"/>
    </xf>
    <xf numFmtId="0" fontId="71" fillId="17" borderId="6" xfId="0" applyFont="1" applyFill="1" applyBorder="1" applyAlignment="1" applyProtection="1">
      <alignment horizontal="center" vertical="center" wrapText="1"/>
    </xf>
    <xf numFmtId="0" fontId="71" fillId="17" borderId="2" xfId="0" applyFont="1" applyFill="1" applyBorder="1" applyAlignment="1" applyProtection="1">
      <alignment horizontal="center" vertical="center" wrapText="1"/>
    </xf>
    <xf numFmtId="0" fontId="71" fillId="17" borderId="10" xfId="38" applyFont="1" applyFill="1" applyBorder="1" applyAlignment="1" applyProtection="1">
      <alignment horizontal="center" vertical="center" wrapText="1"/>
    </xf>
    <xf numFmtId="0" fontId="71" fillId="17" borderId="11" xfId="38" applyFont="1" applyFill="1" applyBorder="1" applyAlignment="1" applyProtection="1">
      <alignment horizontal="center" vertical="center" wrapText="1"/>
    </xf>
    <xf numFmtId="0" fontId="71" fillId="16" borderId="22" xfId="8" applyFont="1" applyFill="1" applyBorder="1" applyAlignment="1" applyProtection="1">
      <alignment horizontal="left" vertical="center"/>
    </xf>
    <xf numFmtId="0" fontId="71" fillId="16" borderId="24" xfId="8" applyFont="1" applyFill="1" applyBorder="1" applyAlignment="1" applyProtection="1">
      <alignment horizontal="left" vertical="center"/>
    </xf>
    <xf numFmtId="0" fontId="71" fillId="17" borderId="23" xfId="38" applyFont="1" applyFill="1" applyBorder="1" applyAlignment="1" applyProtection="1">
      <alignment horizontal="center" vertical="center" wrapText="1"/>
    </xf>
    <xf numFmtId="0" fontId="69" fillId="8" borderId="29" xfId="3" applyFont="1" applyFill="1" applyBorder="1" applyAlignment="1" applyProtection="1">
      <alignment horizontal="center" vertical="center"/>
    </xf>
    <xf numFmtId="0" fontId="69" fillId="8" borderId="30" xfId="3" applyFont="1" applyFill="1" applyBorder="1" applyAlignment="1" applyProtection="1">
      <alignment horizontal="center" vertical="center"/>
    </xf>
    <xf numFmtId="0" fontId="69" fillId="8" borderId="31" xfId="3" applyFont="1" applyFill="1" applyBorder="1" applyAlignment="1" applyProtection="1">
      <alignment horizontal="center" vertical="center"/>
    </xf>
    <xf numFmtId="0" fontId="65" fillId="35" borderId="24" xfId="0" applyFont="1" applyFill="1" applyBorder="1" applyAlignment="1" applyProtection="1">
      <alignment horizontal="center" vertical="center" wrapText="1"/>
    </xf>
    <xf numFmtId="0" fontId="65" fillId="35" borderId="1" xfId="0" applyFont="1" applyFill="1" applyBorder="1" applyAlignment="1" applyProtection="1">
      <alignment horizontal="center" vertical="center" wrapText="1"/>
    </xf>
    <xf numFmtId="0" fontId="66" fillId="29" borderId="25" xfId="0" applyFont="1" applyFill="1" applyBorder="1" applyAlignment="1" applyProtection="1">
      <alignment horizontal="center" vertical="center" wrapText="1"/>
    </xf>
    <xf numFmtId="0" fontId="66" fillId="29" borderId="26" xfId="0" applyFont="1" applyFill="1" applyBorder="1" applyAlignment="1" applyProtection="1">
      <alignment horizontal="center" vertical="center" wrapText="1"/>
    </xf>
    <xf numFmtId="0" fontId="66" fillId="29" borderId="27" xfId="0" applyFont="1" applyFill="1" applyBorder="1" applyAlignment="1" applyProtection="1">
      <alignment horizontal="center" vertical="center" wrapText="1"/>
    </xf>
    <xf numFmtId="0" fontId="66" fillId="30" borderId="25" xfId="0" applyFont="1" applyFill="1" applyBorder="1" applyAlignment="1" applyProtection="1">
      <alignment horizontal="center" vertical="center" wrapText="1"/>
    </xf>
    <xf numFmtId="0" fontId="66" fillId="30" borderId="26" xfId="0" applyFont="1" applyFill="1" applyBorder="1" applyAlignment="1" applyProtection="1">
      <alignment horizontal="center" vertical="center" wrapText="1"/>
    </xf>
    <xf numFmtId="0" fontId="38" fillId="16" borderId="5" xfId="87" applyFont="1" applyFill="1" applyBorder="1" applyAlignment="1" applyProtection="1">
      <alignment horizontal="left" vertical="center" wrapText="1"/>
    </xf>
    <xf numFmtId="0" fontId="38" fillId="16" borderId="6" xfId="87" applyFont="1" applyFill="1" applyBorder="1" applyAlignment="1" applyProtection="1">
      <alignment horizontal="left" vertical="center" wrapText="1"/>
    </xf>
    <xf numFmtId="0" fontId="38" fillId="16" borderId="2" xfId="87" applyFont="1" applyFill="1" applyBorder="1" applyAlignment="1" applyProtection="1">
      <alignment horizontal="left" vertical="center" wrapText="1"/>
    </xf>
    <xf numFmtId="0" fontId="53" fillId="35" borderId="1" xfId="0" applyFont="1" applyFill="1" applyBorder="1" applyAlignment="1" applyProtection="1">
      <alignment horizontal="center" vertical="center" wrapText="1"/>
    </xf>
    <xf numFmtId="0" fontId="45" fillId="29" borderId="5" xfId="0" applyFont="1" applyFill="1" applyBorder="1" applyAlignment="1" applyProtection="1">
      <alignment horizontal="center" vertical="center" wrapText="1"/>
    </xf>
    <xf numFmtId="0" fontId="45" fillId="29" borderId="6" xfId="0" applyFont="1" applyFill="1" applyBorder="1" applyAlignment="1" applyProtection="1">
      <alignment horizontal="center" vertical="center" wrapText="1"/>
    </xf>
    <xf numFmtId="0" fontId="45" fillId="29" borderId="2" xfId="0" applyFont="1" applyFill="1" applyBorder="1" applyAlignment="1" applyProtection="1">
      <alignment horizontal="center" vertical="center" wrapText="1"/>
    </xf>
    <xf numFmtId="0" fontId="45" fillId="30" borderId="5" xfId="0" applyFont="1" applyFill="1" applyBorder="1" applyAlignment="1" applyProtection="1">
      <alignment horizontal="center" vertical="center" wrapText="1"/>
    </xf>
    <xf numFmtId="0" fontId="45" fillId="30" borderId="6" xfId="0" applyFont="1" applyFill="1" applyBorder="1" applyAlignment="1" applyProtection="1">
      <alignment horizontal="center" vertical="center" wrapText="1"/>
    </xf>
    <xf numFmtId="0" fontId="40" fillId="10" borderId="9" xfId="0" applyFont="1" applyFill="1" applyBorder="1" applyAlignment="1" applyProtection="1">
      <alignment horizontal="center" vertical="center" wrapText="1"/>
    </xf>
    <xf numFmtId="0" fontId="40" fillId="10" borderId="4" xfId="0" applyFont="1" applyFill="1" applyBorder="1" applyAlignment="1" applyProtection="1">
      <alignment horizontal="center" vertical="center" wrapText="1"/>
    </xf>
    <xf numFmtId="0" fontId="40" fillId="10" borderId="12" xfId="0" applyFont="1" applyFill="1" applyBorder="1" applyAlignment="1" applyProtection="1">
      <alignment horizontal="center" vertical="center" wrapText="1"/>
    </xf>
    <xf numFmtId="0" fontId="38" fillId="17" borderId="1" xfId="0" applyFont="1" applyFill="1" applyBorder="1" applyAlignment="1" applyProtection="1">
      <alignment horizontal="center" vertical="center" wrapText="1"/>
    </xf>
    <xf numFmtId="0" fontId="67" fillId="28" borderId="1" xfId="62" applyFont="1" applyFill="1" applyBorder="1" applyAlignment="1" applyProtection="1">
      <alignment horizontal="left" vertical="center"/>
    </xf>
    <xf numFmtId="0" fontId="71" fillId="16" borderId="5" xfId="8" applyFont="1" applyFill="1" applyBorder="1" applyAlignment="1" applyProtection="1">
      <alignment horizontal="left" vertical="center" wrapText="1"/>
    </xf>
    <xf numFmtId="0" fontId="71" fillId="16" borderId="6" xfId="8" applyFont="1" applyFill="1" applyBorder="1" applyAlignment="1" applyProtection="1">
      <alignment horizontal="left" vertical="center" wrapText="1"/>
    </xf>
    <xf numFmtId="0" fontId="71" fillId="16" borderId="2" xfId="8" applyFont="1" applyFill="1" applyBorder="1" applyAlignment="1" applyProtection="1">
      <alignment horizontal="left" vertical="center" wrapText="1"/>
    </xf>
    <xf numFmtId="0" fontId="71" fillId="17" borderId="9" xfId="38" applyFont="1" applyFill="1" applyBorder="1" applyAlignment="1" applyProtection="1">
      <alignment horizontal="center" vertical="center" wrapText="1"/>
    </xf>
    <xf numFmtId="0" fontId="71" fillId="17" borderId="12" xfId="38" applyFont="1" applyFill="1" applyBorder="1" applyAlignment="1" applyProtection="1">
      <alignment horizontal="center" vertical="center" wrapText="1"/>
    </xf>
    <xf numFmtId="0" fontId="67" fillId="10" borderId="9" xfId="0" applyFont="1" applyFill="1" applyBorder="1" applyAlignment="1" applyProtection="1">
      <alignment horizontal="center" vertical="center" wrapText="1"/>
    </xf>
    <xf numFmtId="0" fontId="67" fillId="10" borderId="4" xfId="0" applyFont="1" applyFill="1" applyBorder="1" applyAlignment="1" applyProtection="1">
      <alignment horizontal="center" vertical="center" wrapText="1"/>
    </xf>
    <xf numFmtId="0" fontId="67" fillId="10" borderId="12" xfId="0" applyFont="1" applyFill="1" applyBorder="1" applyAlignment="1" applyProtection="1">
      <alignment horizontal="center" vertical="center" wrapText="1"/>
    </xf>
    <xf numFmtId="0" fontId="67" fillId="28" borderId="5" xfId="8" applyFont="1" applyFill="1" applyBorder="1" applyAlignment="1" applyProtection="1">
      <alignment horizontal="center" vertical="center"/>
    </xf>
    <xf numFmtId="0" fontId="67" fillId="28" borderId="6" xfId="8" applyFont="1" applyFill="1" applyBorder="1" applyAlignment="1" applyProtection="1">
      <alignment horizontal="center" vertical="center"/>
    </xf>
    <xf numFmtId="0" fontId="67" fillId="28" borderId="2" xfId="8" applyFont="1" applyFill="1" applyBorder="1" applyAlignment="1" applyProtection="1">
      <alignment horizontal="center" vertical="center"/>
    </xf>
    <xf numFmtId="0" fontId="71" fillId="17" borderId="5" xfId="38" applyFont="1" applyFill="1" applyBorder="1" applyAlignment="1" applyProtection="1">
      <alignment horizontal="center" vertical="center" wrapText="1"/>
    </xf>
    <xf numFmtId="0" fontId="71" fillId="17" borderId="2" xfId="38" applyFont="1" applyFill="1" applyBorder="1" applyAlignment="1" applyProtection="1">
      <alignment horizontal="center" vertical="center" wrapText="1"/>
    </xf>
    <xf numFmtId="0" fontId="71" fillId="16" borderId="5" xfId="8" applyFont="1" applyFill="1" applyBorder="1" applyAlignment="1" applyProtection="1">
      <alignment horizontal="left" vertical="center"/>
    </xf>
    <xf numFmtId="0" fontId="71" fillId="16" borderId="6" xfId="8" applyFont="1" applyFill="1" applyBorder="1" applyAlignment="1" applyProtection="1">
      <alignment horizontal="left" vertical="center"/>
    </xf>
    <xf numFmtId="0" fontId="71" fillId="16" borderId="2" xfId="8" applyFont="1" applyFill="1" applyBorder="1" applyAlignment="1" applyProtection="1">
      <alignment horizontal="left" vertical="center"/>
    </xf>
    <xf numFmtId="0" fontId="66" fillId="29" borderId="5" xfId="0" applyFont="1" applyFill="1" applyBorder="1" applyAlignment="1" applyProtection="1">
      <alignment horizontal="center" vertical="center" wrapText="1"/>
    </xf>
    <xf numFmtId="0" fontId="66" fillId="29" borderId="6" xfId="0" applyFont="1" applyFill="1" applyBorder="1" applyAlignment="1" applyProtection="1">
      <alignment horizontal="center" vertical="center" wrapText="1"/>
    </xf>
    <xf numFmtId="0" fontId="66" fillId="29" borderId="2" xfId="0" applyFont="1" applyFill="1" applyBorder="1" applyAlignment="1" applyProtection="1">
      <alignment horizontal="center" vertical="center" wrapText="1"/>
    </xf>
    <xf numFmtId="0" fontId="66" fillId="30" borderId="5" xfId="0" applyFont="1" applyFill="1" applyBorder="1" applyAlignment="1" applyProtection="1">
      <alignment horizontal="center" vertical="center" wrapText="1"/>
    </xf>
    <xf numFmtId="0" fontId="66" fillId="30" borderId="6" xfId="0" applyFont="1" applyFill="1" applyBorder="1" applyAlignment="1" applyProtection="1">
      <alignment horizontal="center" vertical="center" wrapText="1"/>
    </xf>
    <xf numFmtId="43" fontId="67" fillId="0" borderId="13" xfId="1" applyFont="1" applyBorder="1" applyAlignment="1" applyProtection="1">
      <alignment horizontal="center" vertical="center" wrapText="1"/>
      <protection locked="0"/>
    </xf>
    <xf numFmtId="43" fontId="67" fillId="0" borderId="14" xfId="1" applyFont="1" applyBorder="1" applyAlignment="1" applyProtection="1">
      <alignment horizontal="center" vertical="center" wrapText="1"/>
      <protection locked="0"/>
    </xf>
    <xf numFmtId="43" fontId="67" fillId="0" borderId="3" xfId="1" applyFont="1" applyBorder="1" applyAlignment="1" applyProtection="1">
      <alignment horizontal="center" vertical="center" wrapText="1"/>
      <protection locked="0"/>
    </xf>
    <xf numFmtId="43" fontId="72" fillId="0" borderId="13" xfId="1" applyFont="1" applyBorder="1" applyAlignment="1" applyProtection="1">
      <alignment horizontal="center" vertical="center" wrapText="1"/>
      <protection locked="0"/>
    </xf>
    <xf numFmtId="43" fontId="72" fillId="0" borderId="14" xfId="1" applyFont="1" applyBorder="1" applyAlignment="1" applyProtection="1">
      <alignment horizontal="center" vertical="center" wrapText="1"/>
      <protection locked="0"/>
    </xf>
    <xf numFmtId="43" fontId="72" fillId="0" borderId="3" xfId="1" applyFont="1" applyBorder="1" applyAlignment="1" applyProtection="1">
      <alignment horizontal="center" vertical="center" wrapText="1"/>
      <protection locked="0"/>
    </xf>
    <xf numFmtId="0" fontId="6" fillId="0" borderId="13" xfId="8" applyFont="1" applyBorder="1" applyAlignment="1" applyProtection="1">
      <alignment horizontal="center" vertical="center" wrapText="1"/>
      <protection locked="0"/>
    </xf>
    <xf numFmtId="0" fontId="6" fillId="0" borderId="14" xfId="8" applyFont="1" applyBorder="1" applyAlignment="1" applyProtection="1">
      <alignment horizontal="center" vertical="center" wrapText="1"/>
      <protection locked="0"/>
    </xf>
    <xf numFmtId="0" fontId="6" fillId="0" borderId="3" xfId="8" applyFont="1" applyBorder="1" applyAlignment="1" applyProtection="1">
      <alignment horizontal="center" vertical="center" wrapText="1"/>
      <protection locked="0"/>
    </xf>
    <xf numFmtId="0" fontId="72" fillId="0" borderId="13" xfId="8" applyFont="1" applyBorder="1" applyAlignment="1" applyProtection="1">
      <alignment horizontal="center" vertical="center" wrapText="1"/>
      <protection locked="0"/>
    </xf>
    <xf numFmtId="0" fontId="72" fillId="0" borderId="14" xfId="8" applyFont="1" applyBorder="1" applyAlignment="1" applyProtection="1">
      <alignment horizontal="center" vertical="center" wrapText="1"/>
      <protection locked="0"/>
    </xf>
    <xf numFmtId="0" fontId="72" fillId="0" borderId="3" xfId="8" applyFont="1" applyBorder="1" applyAlignment="1" applyProtection="1">
      <alignment horizontal="center" vertical="center" wrapText="1"/>
      <protection locked="0"/>
    </xf>
    <xf numFmtId="0" fontId="72" fillId="0" borderId="13" xfId="9" applyFont="1" applyBorder="1" applyAlignment="1" applyProtection="1">
      <alignment horizontal="center" vertical="center" wrapText="1"/>
      <protection locked="0"/>
    </xf>
    <xf numFmtId="0" fontId="72" fillId="0" borderId="14" xfId="9" applyFont="1" applyBorder="1" applyAlignment="1" applyProtection="1">
      <alignment horizontal="center" vertical="center" wrapText="1"/>
      <protection locked="0"/>
    </xf>
    <xf numFmtId="0" fontId="72" fillId="0" borderId="3" xfId="9" applyFont="1" applyBorder="1" applyAlignment="1" applyProtection="1">
      <alignment horizontal="center" vertical="center" wrapText="1"/>
      <protection locked="0"/>
    </xf>
    <xf numFmtId="43" fontId="68" fillId="0" borderId="13" xfId="1" applyFont="1" applyBorder="1" applyAlignment="1" applyProtection="1">
      <alignment horizontal="center" vertical="center" wrapText="1"/>
      <protection locked="0"/>
    </xf>
    <xf numFmtId="43" fontId="68" fillId="0" borderId="3" xfId="1" applyFont="1" applyBorder="1" applyAlignment="1" applyProtection="1">
      <alignment horizontal="center" vertical="center" wrapText="1"/>
      <protection locked="0"/>
    </xf>
    <xf numFmtId="0" fontId="68" fillId="0" borderId="13" xfId="9" applyFont="1" applyBorder="1" applyAlignment="1" applyProtection="1">
      <alignment horizontal="center" vertical="center" wrapText="1"/>
      <protection locked="0"/>
    </xf>
    <xf numFmtId="0" fontId="68" fillId="0" borderId="3" xfId="9" applyFont="1" applyBorder="1" applyAlignment="1" applyProtection="1">
      <alignment horizontal="center" vertical="center" wrapText="1"/>
      <protection locked="0"/>
    </xf>
    <xf numFmtId="0" fontId="3" fillId="0" borderId="13" xfId="8" applyFont="1" applyBorder="1" applyAlignment="1" applyProtection="1">
      <alignment horizontal="center" vertical="center" wrapText="1"/>
      <protection locked="0"/>
    </xf>
    <xf numFmtId="0" fontId="3" fillId="0" borderId="14" xfId="8" applyFont="1" applyBorder="1" applyAlignment="1" applyProtection="1">
      <alignment horizontal="center" vertical="center" wrapText="1"/>
      <protection locked="0"/>
    </xf>
    <xf numFmtId="0" fontId="3" fillId="0" borderId="3" xfId="8" applyFont="1" applyBorder="1" applyAlignment="1" applyProtection="1">
      <alignment horizontal="center" vertical="center" wrapText="1"/>
      <protection locked="0"/>
    </xf>
    <xf numFmtId="0" fontId="38" fillId="17" borderId="5" xfId="0" applyFont="1" applyFill="1" applyBorder="1" applyAlignment="1" applyProtection="1">
      <alignment horizontal="center" vertical="center" wrapText="1"/>
    </xf>
    <xf numFmtId="0" fontId="38" fillId="17" borderId="6" xfId="0" applyFont="1" applyFill="1" applyBorder="1" applyAlignment="1" applyProtection="1">
      <alignment horizontal="center" vertical="center" wrapText="1"/>
    </xf>
    <xf numFmtId="0" fontId="38" fillId="17" borderId="2" xfId="0" applyFont="1" applyFill="1" applyBorder="1" applyAlignment="1" applyProtection="1">
      <alignment horizontal="center" vertical="center" wrapText="1"/>
    </xf>
    <xf numFmtId="0" fontId="38" fillId="17" borderId="5" xfId="38" applyFont="1" applyFill="1" applyBorder="1" applyAlignment="1" applyProtection="1">
      <alignment horizontal="center" vertical="center" wrapText="1"/>
    </xf>
    <xf numFmtId="0" fontId="38" fillId="17" borderId="2" xfId="38" applyFont="1" applyFill="1" applyBorder="1" applyAlignment="1" applyProtection="1">
      <alignment horizontal="center" vertical="center" wrapText="1"/>
    </xf>
    <xf numFmtId="0" fontId="66" fillId="28" borderId="5" xfId="8" applyFont="1" applyFill="1" applyBorder="1" applyAlignment="1" applyProtection="1">
      <alignment horizontal="left" vertical="center" wrapText="1"/>
    </xf>
    <xf numFmtId="0" fontId="66" fillId="28" borderId="6" xfId="8" applyFont="1" applyFill="1" applyBorder="1" applyAlignment="1" applyProtection="1">
      <alignment horizontal="left" vertical="center" wrapText="1"/>
    </xf>
    <xf numFmtId="0" fontId="66" fillId="28" borderId="2" xfId="8" applyFont="1" applyFill="1" applyBorder="1" applyAlignment="1" applyProtection="1">
      <alignment horizontal="left" vertical="center" wrapText="1"/>
    </xf>
    <xf numFmtId="0" fontId="40" fillId="28" borderId="5" xfId="8" applyFont="1" applyFill="1" applyBorder="1" applyAlignment="1" applyProtection="1">
      <alignment horizontal="center" vertical="center" wrapText="1"/>
    </xf>
    <xf numFmtId="0" fontId="40" fillId="28" borderId="6" xfId="8" applyFont="1" applyFill="1" applyBorder="1" applyAlignment="1" applyProtection="1">
      <alignment horizontal="center" vertical="center" wrapText="1"/>
    </xf>
    <xf numFmtId="0" fontId="40" fillId="28" borderId="2" xfId="8" applyFont="1" applyFill="1" applyBorder="1" applyAlignment="1" applyProtection="1">
      <alignment horizontal="center" vertical="center" wrapText="1"/>
    </xf>
    <xf numFmtId="0" fontId="44" fillId="8" borderId="13" xfId="3" applyFont="1" applyFill="1" applyBorder="1" applyAlignment="1" applyProtection="1">
      <alignment horizontal="center" vertical="center" wrapText="1"/>
    </xf>
    <xf numFmtId="0" fontId="44" fillId="8" borderId="14" xfId="3" applyFont="1" applyFill="1" applyBorder="1" applyAlignment="1" applyProtection="1">
      <alignment horizontal="center" vertical="center" wrapText="1"/>
    </xf>
    <xf numFmtId="0" fontId="44" fillId="8" borderId="3" xfId="3" applyFont="1" applyFill="1" applyBorder="1" applyAlignment="1" applyProtection="1">
      <alignment horizontal="center" vertical="center" wrapText="1"/>
    </xf>
    <xf numFmtId="0" fontId="38" fillId="16" borderId="5" xfId="62" applyFont="1" applyFill="1" applyBorder="1" applyAlignment="1" applyProtection="1">
      <alignment horizontal="left" vertical="center" wrapText="1"/>
    </xf>
    <xf numFmtId="0" fontId="38" fillId="16" borderId="6" xfId="62" applyFont="1" applyFill="1" applyBorder="1" applyAlignment="1" applyProtection="1">
      <alignment horizontal="left" vertical="center" wrapText="1"/>
    </xf>
    <xf numFmtId="0" fontId="38" fillId="16" borderId="2" xfId="62" applyFont="1" applyFill="1" applyBorder="1" applyAlignment="1" applyProtection="1">
      <alignment horizontal="left" vertical="center" wrapText="1"/>
    </xf>
    <xf numFmtId="0" fontId="67" fillId="28" borderId="1" xfId="11" applyFont="1" applyFill="1" applyBorder="1" applyAlignment="1" applyProtection="1">
      <alignment horizontal="left" vertical="center" wrapText="1"/>
    </xf>
    <xf numFmtId="0" fontId="40" fillId="28" borderId="1" xfId="8" applyFont="1" applyFill="1" applyBorder="1" applyAlignment="1" applyProtection="1">
      <alignment horizontal="center" vertical="center" wrapText="1"/>
    </xf>
    <xf numFmtId="0" fontId="44" fillId="8" borderId="13" xfId="3" applyFont="1" applyFill="1" applyBorder="1" applyAlignment="1" applyProtection="1">
      <alignment vertical="center" wrapText="1"/>
    </xf>
    <xf numFmtId="0" fontId="44" fillId="8" borderId="14" xfId="3" applyFont="1" applyFill="1" applyBorder="1" applyAlignment="1" applyProtection="1">
      <alignment vertical="center" wrapText="1"/>
    </xf>
    <xf numFmtId="0" fontId="44" fillId="8" borderId="3" xfId="3" applyFont="1" applyFill="1" applyBorder="1" applyAlignment="1" applyProtection="1">
      <alignment vertical="center" wrapText="1"/>
    </xf>
    <xf numFmtId="0" fontId="38" fillId="16" borderId="5" xfId="4" applyFont="1" applyFill="1" applyBorder="1" applyAlignment="1" applyProtection="1">
      <alignment vertical="center" wrapText="1"/>
    </xf>
    <xf numFmtId="0" fontId="38" fillId="16" borderId="6" xfId="4" applyFont="1" applyFill="1" applyBorder="1" applyAlignment="1" applyProtection="1">
      <alignment vertical="center" wrapText="1"/>
    </xf>
    <xf numFmtId="0" fontId="38" fillId="16" borderId="2" xfId="4" applyFont="1" applyFill="1" applyBorder="1" applyAlignment="1" applyProtection="1">
      <alignment vertical="center" wrapText="1"/>
    </xf>
    <xf numFmtId="0" fontId="45" fillId="29" borderId="1" xfId="0" applyFont="1" applyFill="1" applyBorder="1" applyAlignment="1" applyProtection="1">
      <alignment horizontal="center" vertical="center" wrapText="1"/>
    </xf>
    <xf numFmtId="0" fontId="45" fillId="30" borderId="1" xfId="0" applyFont="1" applyFill="1" applyBorder="1" applyAlignment="1" applyProtection="1">
      <alignment horizontal="center" vertical="center" wrapText="1"/>
    </xf>
    <xf numFmtId="0" fontId="40" fillId="10" borderId="1" xfId="0" applyFont="1" applyFill="1" applyBorder="1" applyAlignment="1" applyProtection="1">
      <alignment horizontal="center" vertical="center" wrapText="1"/>
    </xf>
    <xf numFmtId="0" fontId="71" fillId="17" borderId="1" xfId="38" applyFont="1" applyFill="1" applyBorder="1" applyAlignment="1" applyProtection="1">
      <alignment horizontal="center" vertical="center"/>
    </xf>
    <xf numFmtId="43" fontId="71" fillId="17" borderId="6" xfId="1" applyFont="1" applyFill="1" applyBorder="1" applyAlignment="1" applyProtection="1">
      <alignment horizontal="center" vertical="center" wrapText="1"/>
    </xf>
    <xf numFmtId="43" fontId="71" fillId="17" borderId="2" xfId="1" applyFont="1" applyFill="1" applyBorder="1" applyAlignment="1" applyProtection="1">
      <alignment horizontal="center" vertical="center" wrapText="1"/>
    </xf>
    <xf numFmtId="0" fontId="71" fillId="16" borderId="1" xfId="8" applyFont="1" applyFill="1" applyBorder="1" applyAlignment="1" applyProtection="1">
      <alignment horizontal="left" vertical="center"/>
    </xf>
    <xf numFmtId="43" fontId="66" fillId="29" borderId="6" xfId="1" applyFont="1" applyFill="1" applyBorder="1" applyAlignment="1" applyProtection="1">
      <alignment horizontal="center" vertical="center" wrapText="1"/>
    </xf>
    <xf numFmtId="43" fontId="66" fillId="30" borderId="5" xfId="1" applyFont="1" applyFill="1" applyBorder="1" applyAlignment="1" applyProtection="1">
      <alignment horizontal="center" vertical="center" wrapText="1"/>
    </xf>
    <xf numFmtId="43" fontId="66" fillId="30" borderId="6" xfId="1" applyFont="1" applyFill="1" applyBorder="1" applyAlignment="1" applyProtection="1">
      <alignment horizontal="center" vertical="center" wrapText="1"/>
    </xf>
    <xf numFmtId="0" fontId="71" fillId="17" borderId="5" xfId="0" applyFont="1" applyFill="1" applyBorder="1" applyAlignment="1" applyProtection="1">
      <alignment horizontal="center" vertical="top" wrapText="1"/>
    </xf>
    <xf numFmtId="0" fontId="71" fillId="17" borderId="6" xfId="0" applyFont="1" applyFill="1" applyBorder="1" applyAlignment="1" applyProtection="1">
      <alignment horizontal="center" vertical="top" wrapText="1"/>
    </xf>
    <xf numFmtId="43" fontId="71" fillId="17" borderId="6" xfId="1" applyFont="1" applyFill="1" applyBorder="1" applyAlignment="1" applyProtection="1">
      <alignment horizontal="center" vertical="top" wrapText="1"/>
    </xf>
    <xf numFmtId="0" fontId="71" fillId="17" borderId="2" xfId="0" applyFont="1" applyFill="1" applyBorder="1" applyAlignment="1" applyProtection="1">
      <alignment horizontal="center" vertical="top" wrapText="1"/>
    </xf>
    <xf numFmtId="0" fontId="71" fillId="17" borderId="5" xfId="38" applyFont="1" applyFill="1" applyBorder="1" applyAlignment="1" applyProtection="1">
      <alignment horizontal="center" vertical="top" wrapText="1"/>
    </xf>
    <xf numFmtId="43" fontId="71" fillId="17" borderId="2" xfId="1" applyFont="1" applyFill="1" applyBorder="1" applyAlignment="1" applyProtection="1">
      <alignment horizontal="center" vertical="top" wrapText="1"/>
    </xf>
    <xf numFmtId="0" fontId="71" fillId="16" borderId="5" xfId="11" applyFont="1" applyFill="1" applyBorder="1" applyAlignment="1" applyProtection="1">
      <alignment horizontal="left" vertical="top"/>
    </xf>
    <xf numFmtId="0" fontId="71" fillId="16" borderId="6" xfId="11" applyFont="1" applyFill="1" applyBorder="1" applyAlignment="1" applyProtection="1">
      <alignment horizontal="left" vertical="top"/>
    </xf>
    <xf numFmtId="0" fontId="71" fillId="16" borderId="2" xfId="11" applyFont="1" applyFill="1" applyBorder="1" applyAlignment="1" applyProtection="1">
      <alignment horizontal="left" vertical="top"/>
    </xf>
    <xf numFmtId="0" fontId="66" fillId="29" borderId="5" xfId="0" applyFont="1" applyFill="1" applyBorder="1" applyAlignment="1" applyProtection="1">
      <alignment horizontal="center" vertical="top" wrapText="1"/>
    </xf>
    <xf numFmtId="0" fontId="66" fillId="29" borderId="6" xfId="0" applyFont="1" applyFill="1" applyBorder="1" applyAlignment="1" applyProtection="1">
      <alignment horizontal="center" vertical="top" wrapText="1"/>
    </xf>
    <xf numFmtId="43" fontId="66" fillId="29" borderId="6" xfId="1" applyFont="1" applyFill="1" applyBorder="1" applyAlignment="1" applyProtection="1">
      <alignment horizontal="center" vertical="top" wrapText="1"/>
    </xf>
    <xf numFmtId="0" fontId="66" fillId="29" borderId="2" xfId="0" applyFont="1" applyFill="1" applyBorder="1" applyAlignment="1" applyProtection="1">
      <alignment horizontal="center" vertical="top" wrapText="1"/>
    </xf>
    <xf numFmtId="43" fontId="66" fillId="30" borderId="5" xfId="1" applyFont="1" applyFill="1" applyBorder="1" applyAlignment="1" applyProtection="1">
      <alignment horizontal="center" vertical="top" wrapText="1"/>
    </xf>
    <xf numFmtId="43" fontId="66" fillId="30" borderId="6" xfId="1" applyFont="1" applyFill="1" applyBorder="1" applyAlignment="1" applyProtection="1">
      <alignment horizontal="center" vertical="top" wrapText="1"/>
    </xf>
    <xf numFmtId="0" fontId="67" fillId="10" borderId="9" xfId="0" applyFont="1" applyFill="1" applyBorder="1" applyAlignment="1" applyProtection="1">
      <alignment horizontal="center" vertical="top" wrapText="1"/>
    </xf>
    <xf numFmtId="0" fontId="67" fillId="10" borderId="4" xfId="0" applyFont="1" applyFill="1" applyBorder="1" applyAlignment="1" applyProtection="1">
      <alignment horizontal="center" vertical="top" wrapText="1"/>
    </xf>
    <xf numFmtId="0" fontId="67" fillId="10" borderId="12" xfId="0" applyFont="1" applyFill="1" applyBorder="1" applyAlignment="1" applyProtection="1">
      <alignment horizontal="center" vertical="top" wrapText="1"/>
    </xf>
    <xf numFmtId="0" fontId="67" fillId="28" borderId="5" xfId="8" applyFont="1" applyFill="1" applyBorder="1" applyAlignment="1" applyProtection="1">
      <alignment horizontal="center" vertical="top"/>
    </xf>
    <xf numFmtId="0" fontId="67" fillId="28" borderId="6" xfId="8" applyFont="1" applyFill="1" applyBorder="1" applyAlignment="1" applyProtection="1">
      <alignment horizontal="center" vertical="top"/>
    </xf>
    <xf numFmtId="0" fontId="67" fillId="28" borderId="2" xfId="8" applyFont="1" applyFill="1" applyBorder="1" applyAlignment="1" applyProtection="1">
      <alignment horizontal="center" vertical="top"/>
    </xf>
    <xf numFmtId="0" fontId="66" fillId="34" borderId="1" xfId="0" applyFont="1" applyFill="1" applyBorder="1" applyAlignment="1" applyProtection="1">
      <alignment horizontal="center" vertical="top" wrapText="1"/>
    </xf>
    <xf numFmtId="0" fontId="66" fillId="10" borderId="1" xfId="0" applyFont="1" applyFill="1" applyBorder="1" applyAlignment="1" applyProtection="1">
      <alignment horizontal="center" vertical="top" wrapText="1"/>
    </xf>
    <xf numFmtId="0" fontId="66" fillId="28" borderId="1" xfId="0" applyFont="1" applyFill="1" applyBorder="1" applyAlignment="1" applyProtection="1">
      <alignment horizontal="center" vertical="top" wrapText="1"/>
    </xf>
    <xf numFmtId="0" fontId="67" fillId="23" borderId="13" xfId="48" applyFont="1" applyFill="1" applyBorder="1" applyAlignment="1" applyProtection="1">
      <alignment horizontal="center" vertical="center" wrapText="1"/>
      <protection locked="0"/>
    </xf>
    <xf numFmtId="0" fontId="67" fillId="23" borderId="14" xfId="48" applyFont="1" applyFill="1" applyBorder="1" applyAlignment="1" applyProtection="1">
      <alignment horizontal="center" vertical="center" wrapText="1"/>
      <protection locked="0"/>
    </xf>
    <xf numFmtId="0" fontId="67" fillId="23" borderId="3" xfId="48" applyFont="1" applyFill="1" applyBorder="1" applyAlignment="1" applyProtection="1">
      <alignment horizontal="center" vertical="center" wrapText="1"/>
      <protection locked="0"/>
    </xf>
    <xf numFmtId="0" fontId="67" fillId="0" borderId="13" xfId="48" applyFont="1" applyBorder="1" applyAlignment="1" applyProtection="1">
      <alignment horizontal="center" vertical="center" wrapText="1"/>
      <protection locked="0"/>
    </xf>
    <xf numFmtId="0" fontId="67" fillId="0" borderId="14" xfId="48" applyFont="1" applyBorder="1" applyAlignment="1" applyProtection="1">
      <alignment horizontal="center" vertical="center" wrapText="1"/>
      <protection locked="0"/>
    </xf>
    <xf numFmtId="0" fontId="67" fillId="0" borderId="3" xfId="48" applyFont="1" applyBorder="1" applyAlignment="1" applyProtection="1">
      <alignment horizontal="center" vertical="center" wrapText="1"/>
      <protection locked="0"/>
    </xf>
    <xf numFmtId="0" fontId="72" fillId="0" borderId="13" xfId="48" applyFont="1" applyBorder="1" applyAlignment="1" applyProtection="1">
      <alignment horizontal="center" vertical="center" wrapText="1"/>
      <protection locked="0"/>
    </xf>
    <xf numFmtId="0" fontId="72" fillId="0" borderId="14" xfId="48" applyFont="1" applyBorder="1" applyAlignment="1" applyProtection="1">
      <alignment horizontal="center" vertical="center" wrapText="1"/>
      <protection locked="0"/>
    </xf>
    <xf numFmtId="0" fontId="72" fillId="0" borderId="3" xfId="48" applyFont="1" applyBorder="1" applyAlignment="1" applyProtection="1">
      <alignment horizontal="center" vertical="center" wrapText="1"/>
      <protection locked="0"/>
    </xf>
    <xf numFmtId="0" fontId="72" fillId="0" borderId="1" xfId="48" applyFont="1" applyBorder="1" applyAlignment="1" applyProtection="1">
      <alignment horizontal="center" vertical="center" wrapText="1"/>
    </xf>
    <xf numFmtId="0" fontId="72" fillId="23" borderId="13" xfId="48" applyFont="1" applyFill="1" applyBorder="1" applyAlignment="1" applyProtection="1">
      <alignment horizontal="center" vertical="center" wrapText="1"/>
      <protection locked="0"/>
    </xf>
    <xf numFmtId="0" fontId="72" fillId="23" borderId="14" xfId="48" applyFont="1" applyFill="1" applyBorder="1" applyAlignment="1" applyProtection="1">
      <alignment horizontal="center" vertical="center" wrapText="1"/>
      <protection locked="0"/>
    </xf>
    <xf numFmtId="0" fontId="72" fillId="23" borderId="3" xfId="48" applyFont="1" applyFill="1" applyBorder="1" applyAlignment="1" applyProtection="1">
      <alignment horizontal="center" vertical="center" wrapText="1"/>
      <protection locked="0"/>
    </xf>
    <xf numFmtId="0" fontId="72" fillId="23" borderId="13" xfId="8" applyFont="1" applyFill="1" applyBorder="1" applyAlignment="1" applyProtection="1">
      <alignment horizontal="center" vertical="center" wrapText="1"/>
      <protection locked="0"/>
    </xf>
    <xf numFmtId="0" fontId="72" fillId="23" borderId="14" xfId="8" applyFont="1" applyFill="1" applyBorder="1" applyAlignment="1" applyProtection="1">
      <alignment horizontal="center" vertical="center" wrapText="1"/>
      <protection locked="0"/>
    </xf>
    <xf numFmtId="0" fontId="72" fillId="23" borderId="3" xfId="8" applyFont="1" applyFill="1" applyBorder="1" applyAlignment="1" applyProtection="1">
      <alignment horizontal="center" vertical="center" wrapText="1"/>
      <protection locked="0"/>
    </xf>
    <xf numFmtId="2" fontId="72" fillId="0" borderId="13" xfId="48" applyNumberFormat="1" applyFont="1" applyBorder="1" applyAlignment="1" applyProtection="1">
      <alignment horizontal="center" vertical="center"/>
    </xf>
    <xf numFmtId="2" fontId="72" fillId="0" borderId="14" xfId="48" applyNumberFormat="1" applyFont="1" applyBorder="1" applyAlignment="1" applyProtection="1">
      <alignment horizontal="center" vertical="center"/>
    </xf>
    <xf numFmtId="2" fontId="72" fillId="0" borderId="3" xfId="48" applyNumberFormat="1" applyFont="1" applyBorder="1" applyAlignment="1" applyProtection="1">
      <alignment horizontal="center" vertical="center"/>
    </xf>
    <xf numFmtId="2" fontId="72" fillId="23" borderId="13" xfId="48" applyNumberFormat="1" applyFont="1" applyFill="1" applyBorder="1" applyAlignment="1" applyProtection="1">
      <alignment horizontal="center" vertical="center"/>
    </xf>
    <xf numFmtId="2" fontId="72" fillId="23" borderId="14" xfId="48" applyNumberFormat="1" applyFont="1" applyFill="1" applyBorder="1" applyAlignment="1" applyProtection="1">
      <alignment horizontal="center" vertical="center"/>
    </xf>
    <xf numFmtId="2" fontId="72" fillId="23" borderId="3" xfId="48" applyNumberFormat="1" applyFont="1" applyFill="1" applyBorder="1" applyAlignment="1" applyProtection="1">
      <alignment horizontal="center" vertical="center"/>
    </xf>
    <xf numFmtId="0" fontId="71" fillId="16" borderId="5" xfId="48" applyFont="1" applyFill="1" applyBorder="1" applyAlignment="1" applyProtection="1">
      <alignment horizontal="left" vertical="center"/>
    </xf>
    <xf numFmtId="0" fontId="71" fillId="16" borderId="6" xfId="48" applyFont="1" applyFill="1" applyBorder="1" applyAlignment="1" applyProtection="1">
      <alignment horizontal="left" vertical="center"/>
    </xf>
    <xf numFmtId="0" fontId="71" fillId="16" borderId="2" xfId="48" applyFont="1" applyFill="1" applyBorder="1" applyAlignment="1" applyProtection="1">
      <alignment horizontal="left" vertical="center"/>
    </xf>
    <xf numFmtId="0" fontId="72" fillId="23" borderId="1" xfId="48" applyFont="1" applyFill="1" applyBorder="1" applyAlignment="1" applyProtection="1">
      <alignment horizontal="center" vertical="center" wrapText="1"/>
    </xf>
    <xf numFmtId="0" fontId="72" fillId="0" borderId="13" xfId="48" applyFont="1" applyFill="1" applyBorder="1" applyAlignment="1" applyProtection="1">
      <alignment horizontal="center" vertical="center" wrapText="1"/>
    </xf>
    <xf numFmtId="0" fontId="72" fillId="0" borderId="14" xfId="48" applyFont="1" applyFill="1" applyBorder="1" applyAlignment="1" applyProtection="1">
      <alignment horizontal="center" vertical="center" wrapText="1"/>
    </xf>
    <xf numFmtId="0" fontId="72" fillId="0" borderId="3" xfId="48" applyFont="1" applyFill="1" applyBorder="1" applyAlignment="1" applyProtection="1">
      <alignment horizontal="center" vertical="center" wrapText="1"/>
    </xf>
    <xf numFmtId="2" fontId="67" fillId="10" borderId="13" xfId="48" applyNumberFormat="1" applyFont="1" applyFill="1" applyBorder="1" applyAlignment="1" applyProtection="1">
      <alignment horizontal="center" vertical="center" wrapText="1"/>
      <protection locked="0"/>
    </xf>
    <xf numFmtId="2" fontId="67" fillId="10" borderId="14" xfId="48" applyNumberFormat="1" applyFont="1" applyFill="1" applyBorder="1" applyAlignment="1" applyProtection="1">
      <alignment horizontal="center" vertical="center" wrapText="1"/>
      <protection locked="0"/>
    </xf>
    <xf numFmtId="2" fontId="67" fillId="10" borderId="3" xfId="48" applyNumberFormat="1" applyFont="1" applyFill="1" applyBorder="1" applyAlignment="1" applyProtection="1">
      <alignment horizontal="center" vertical="center" wrapText="1"/>
      <protection locked="0"/>
    </xf>
    <xf numFmtId="2" fontId="67" fillId="23" borderId="13" xfId="48" applyNumberFormat="1" applyFont="1" applyFill="1" applyBorder="1" applyAlignment="1" applyProtection="1">
      <alignment horizontal="center" vertical="center" wrapText="1"/>
      <protection locked="0"/>
    </xf>
    <xf numFmtId="2" fontId="67" fillId="23" borderId="14" xfId="48" applyNumberFormat="1" applyFont="1" applyFill="1" applyBorder="1" applyAlignment="1" applyProtection="1">
      <alignment horizontal="center" vertical="center" wrapText="1"/>
      <protection locked="0"/>
    </xf>
    <xf numFmtId="2" fontId="67" fillId="23" borderId="3" xfId="48" applyNumberFormat="1" applyFont="1" applyFill="1" applyBorder="1" applyAlignment="1" applyProtection="1">
      <alignment horizontal="center" vertical="center" wrapText="1"/>
      <protection locked="0"/>
    </xf>
    <xf numFmtId="2" fontId="83" fillId="23" borderId="13" xfId="48" applyNumberFormat="1" applyFont="1" applyFill="1" applyBorder="1" applyAlignment="1" applyProtection="1">
      <alignment horizontal="center" vertical="center" wrapText="1"/>
      <protection locked="0"/>
    </xf>
    <xf numFmtId="2" fontId="83" fillId="23" borderId="14" xfId="48" applyNumberFormat="1" applyFont="1" applyFill="1" applyBorder="1" applyAlignment="1" applyProtection="1">
      <alignment horizontal="center" vertical="center" wrapText="1"/>
      <protection locked="0"/>
    </xf>
    <xf numFmtId="2" fontId="83" fillId="23" borderId="3" xfId="48" applyNumberFormat="1" applyFont="1" applyFill="1" applyBorder="1" applyAlignment="1" applyProtection="1">
      <alignment horizontal="center" vertical="center" wrapText="1"/>
      <protection locked="0"/>
    </xf>
    <xf numFmtId="2" fontId="72" fillId="10" borderId="13" xfId="48" applyNumberFormat="1" applyFont="1" applyFill="1" applyBorder="1" applyAlignment="1" applyProtection="1">
      <alignment horizontal="center" vertical="center" wrapText="1"/>
      <protection locked="0"/>
    </xf>
    <xf numFmtId="2" fontId="72" fillId="10" borderId="14" xfId="48" applyNumberFormat="1" applyFont="1" applyFill="1" applyBorder="1" applyAlignment="1" applyProtection="1">
      <alignment horizontal="center" vertical="center" wrapText="1"/>
      <protection locked="0"/>
    </xf>
    <xf numFmtId="2" fontId="72" fillId="10" borderId="3" xfId="48" applyNumberFormat="1" applyFont="1" applyFill="1" applyBorder="1" applyAlignment="1" applyProtection="1">
      <alignment horizontal="center" vertical="center" wrapText="1"/>
      <protection locked="0"/>
    </xf>
    <xf numFmtId="2" fontId="72" fillId="23" borderId="13" xfId="48" applyNumberFormat="1" applyFont="1" applyFill="1" applyBorder="1" applyAlignment="1" applyProtection="1">
      <alignment horizontal="center" vertical="center" wrapText="1"/>
      <protection locked="0"/>
    </xf>
    <xf numFmtId="2" fontId="72" fillId="23" borderId="14" xfId="48" applyNumberFormat="1" applyFont="1" applyFill="1" applyBorder="1" applyAlignment="1" applyProtection="1">
      <alignment horizontal="center" vertical="center" wrapText="1"/>
      <protection locked="0"/>
    </xf>
    <xf numFmtId="2" fontId="72" fillId="23" borderId="3" xfId="48" applyNumberFormat="1" applyFont="1" applyFill="1" applyBorder="1" applyAlignment="1" applyProtection="1">
      <alignment horizontal="center" vertical="center" wrapText="1"/>
      <protection locked="0"/>
    </xf>
    <xf numFmtId="0" fontId="66" fillId="34" borderId="1" xfId="0" applyFont="1" applyFill="1" applyBorder="1" applyAlignment="1" applyProtection="1">
      <alignment horizontal="center" vertical="center" wrapText="1"/>
    </xf>
    <xf numFmtId="0" fontId="66" fillId="10" borderId="1" xfId="0" applyFont="1" applyFill="1" applyBorder="1" applyAlignment="1" applyProtection="1">
      <alignment horizontal="center" vertical="center" wrapText="1"/>
    </xf>
    <xf numFmtId="0" fontId="66" fillId="28" borderId="1" xfId="0" applyFont="1" applyFill="1" applyBorder="1" applyAlignment="1" applyProtection="1">
      <alignment horizontal="center" vertical="center" wrapText="1"/>
    </xf>
    <xf numFmtId="0" fontId="67" fillId="28" borderId="1" xfId="8" applyFont="1" applyFill="1" applyBorder="1" applyAlignment="1" applyProtection="1">
      <alignment horizontal="center" vertical="center"/>
    </xf>
    <xf numFmtId="0" fontId="73" fillId="9" borderId="13" xfId="38" applyFont="1" applyFill="1" applyBorder="1" applyAlignment="1" applyProtection="1">
      <alignment horizontal="center" vertical="top" wrapText="1"/>
    </xf>
    <xf numFmtId="0" fontId="73" fillId="9" borderId="3" xfId="38" applyFont="1" applyFill="1" applyBorder="1" applyAlignment="1" applyProtection="1">
      <alignment horizontal="center" vertical="top" wrapText="1"/>
    </xf>
    <xf numFmtId="0" fontId="73" fillId="16" borderId="5" xfId="8" applyFont="1" applyFill="1" applyBorder="1" applyAlignment="1" applyProtection="1">
      <alignment horizontal="left" vertical="top" wrapText="1"/>
    </xf>
    <xf numFmtId="0" fontId="73" fillId="16" borderId="6" xfId="8" applyFont="1" applyFill="1" applyBorder="1" applyAlignment="1" applyProtection="1">
      <alignment horizontal="left" vertical="top" wrapText="1"/>
    </xf>
    <xf numFmtId="0" fontId="73" fillId="16" borderId="2" xfId="8" applyFont="1" applyFill="1" applyBorder="1" applyAlignment="1" applyProtection="1">
      <alignment horizontal="left" vertical="top" wrapText="1"/>
    </xf>
    <xf numFmtId="43" fontId="72" fillId="0" borderId="15" xfId="1" applyFont="1" applyFill="1" applyBorder="1" applyAlignment="1" applyProtection="1">
      <alignment horizontal="center" vertical="top" wrapText="1"/>
    </xf>
    <xf numFmtId="43" fontId="72" fillId="0" borderId="0" xfId="1" applyFont="1" applyFill="1" applyBorder="1" applyAlignment="1" applyProtection="1">
      <alignment horizontal="center" vertical="top" wrapText="1"/>
    </xf>
    <xf numFmtId="43" fontId="72" fillId="0" borderId="4" xfId="1" applyFont="1" applyFill="1" applyBorder="1" applyAlignment="1" applyProtection="1">
      <alignment horizontal="center" vertical="top" wrapText="1"/>
    </xf>
    <xf numFmtId="0" fontId="73" fillId="17" borderId="5" xfId="0" applyFont="1" applyFill="1" applyBorder="1" applyAlignment="1" applyProtection="1">
      <alignment horizontal="center" vertical="top" wrapText="1"/>
    </xf>
    <xf numFmtId="0" fontId="73" fillId="17" borderId="6" xfId="0" applyFont="1" applyFill="1" applyBorder="1" applyAlignment="1" applyProtection="1">
      <alignment horizontal="center" vertical="top" wrapText="1"/>
    </xf>
    <xf numFmtId="0" fontId="73" fillId="17" borderId="2" xfId="0" applyFont="1" applyFill="1" applyBorder="1" applyAlignment="1" applyProtection="1">
      <alignment horizontal="center" vertical="top" wrapText="1"/>
    </xf>
    <xf numFmtId="0" fontId="73" fillId="17" borderId="9" xfId="38" applyFont="1" applyFill="1" applyBorder="1" applyAlignment="1" applyProtection="1">
      <alignment horizontal="center" vertical="top" wrapText="1"/>
    </xf>
    <xf numFmtId="0" fontId="73" fillId="17" borderId="4" xfId="38" applyFont="1" applyFill="1" applyBorder="1" applyAlignment="1" applyProtection="1">
      <alignment horizontal="center" vertical="top" wrapText="1"/>
    </xf>
    <xf numFmtId="43" fontId="73" fillId="17" borderId="4" xfId="1" applyFont="1" applyFill="1" applyBorder="1" applyAlignment="1" applyProtection="1">
      <alignment vertical="top" wrapText="1"/>
    </xf>
    <xf numFmtId="0" fontId="73" fillId="17" borderId="1" xfId="0" applyFont="1" applyFill="1" applyBorder="1" applyAlignment="1" applyProtection="1">
      <alignment horizontal="center" vertical="top" wrapText="1"/>
    </xf>
    <xf numFmtId="0" fontId="73" fillId="9" borderId="10" xfId="38" applyFont="1" applyFill="1" applyBorder="1" applyAlignment="1" applyProtection="1">
      <alignment horizontal="center" vertical="top" wrapText="1"/>
    </xf>
    <xf numFmtId="0" fontId="73" fillId="9" borderId="15" xfId="38" applyFont="1" applyFill="1" applyBorder="1" applyAlignment="1" applyProtection="1">
      <alignment horizontal="center" vertical="top" wrapText="1"/>
    </xf>
    <xf numFmtId="0" fontId="73" fillId="9" borderId="11" xfId="38" applyFont="1" applyFill="1" applyBorder="1" applyAlignment="1" applyProtection="1">
      <alignment horizontal="center" vertical="top" wrapText="1"/>
    </xf>
    <xf numFmtId="0" fontId="73" fillId="9" borderId="9" xfId="38" applyFont="1" applyFill="1" applyBorder="1" applyAlignment="1" applyProtection="1">
      <alignment horizontal="center" vertical="top" wrapText="1"/>
    </xf>
    <xf numFmtId="0" fontId="73" fillId="9" borderId="4" xfId="38" applyFont="1" applyFill="1" applyBorder="1" applyAlignment="1" applyProtection="1">
      <alignment horizontal="center" vertical="top" wrapText="1"/>
    </xf>
    <xf numFmtId="0" fontId="73" fillId="9" borderId="12" xfId="38" applyFont="1" applyFill="1" applyBorder="1" applyAlignment="1" applyProtection="1">
      <alignment horizontal="center" vertical="top" wrapText="1"/>
    </xf>
    <xf numFmtId="0" fontId="71" fillId="17" borderId="1" xfId="0" applyFont="1" applyFill="1" applyBorder="1" applyAlignment="1">
      <alignment horizontal="center" vertical="center" wrapText="1"/>
    </xf>
    <xf numFmtId="0" fontId="71" fillId="17" borderId="1" xfId="38" applyFont="1" applyFill="1" applyBorder="1" applyAlignment="1">
      <alignment horizontal="center" vertical="center" wrapText="1"/>
    </xf>
    <xf numFmtId="0" fontId="71" fillId="16" borderId="1" xfId="48" applyFont="1" applyFill="1" applyBorder="1" applyAlignment="1">
      <alignment horizontal="left" vertical="center"/>
    </xf>
    <xf numFmtId="0" fontId="65" fillId="35" borderId="1" xfId="0" applyFont="1" applyFill="1" applyBorder="1" applyAlignment="1">
      <alignment horizontal="center" vertical="center" wrapText="1"/>
    </xf>
    <xf numFmtId="0" fontId="66" fillId="29" borderId="5" xfId="0" applyFont="1" applyFill="1" applyBorder="1" applyAlignment="1">
      <alignment horizontal="center" vertical="center" wrapText="1"/>
    </xf>
    <xf numFmtId="0" fontId="66" fillId="29" borderId="6" xfId="0" applyFont="1" applyFill="1" applyBorder="1" applyAlignment="1">
      <alignment horizontal="center" vertical="center" wrapText="1"/>
    </xf>
    <xf numFmtId="0" fontId="66" fillId="29" borderId="2" xfId="0" applyFont="1" applyFill="1" applyBorder="1" applyAlignment="1">
      <alignment horizontal="center" vertical="center" wrapText="1"/>
    </xf>
    <xf numFmtId="0" fontId="69" fillId="8" borderId="13" xfId="3" applyFont="1" applyFill="1" applyBorder="1" applyAlignment="1">
      <alignment horizontal="center" vertical="center"/>
    </xf>
    <xf numFmtId="0" fontId="69" fillId="8" borderId="14" xfId="3" applyFont="1" applyFill="1" applyBorder="1" applyAlignment="1">
      <alignment horizontal="center" vertical="center"/>
    </xf>
    <xf numFmtId="0" fontId="69" fillId="8" borderId="3" xfId="3" applyFont="1" applyFill="1" applyBorder="1" applyAlignment="1">
      <alignment horizontal="center" vertical="center"/>
    </xf>
    <xf numFmtId="0" fontId="66" fillId="30" borderId="5" xfId="0" applyFont="1" applyFill="1" applyBorder="1" applyAlignment="1">
      <alignment horizontal="center" vertical="center" wrapText="1"/>
    </xf>
    <xf numFmtId="0" fontId="66" fillId="30" borderId="6" xfId="0" applyFont="1" applyFill="1" applyBorder="1" applyAlignment="1">
      <alignment horizontal="center" vertical="center" wrapText="1"/>
    </xf>
    <xf numFmtId="0" fontId="67" fillId="10" borderId="9" xfId="0" applyFont="1" applyFill="1" applyBorder="1" applyAlignment="1">
      <alignment horizontal="center" vertical="center" wrapText="1"/>
    </xf>
    <xf numFmtId="0" fontId="67" fillId="10" borderId="4" xfId="0" applyFont="1" applyFill="1" applyBorder="1" applyAlignment="1">
      <alignment horizontal="center" vertical="center" wrapText="1"/>
    </xf>
    <xf numFmtId="0" fontId="67" fillId="10" borderId="12" xfId="0" applyFont="1" applyFill="1" applyBorder="1" applyAlignment="1">
      <alignment horizontal="center" vertical="center" wrapText="1"/>
    </xf>
    <xf numFmtId="0" fontId="67" fillId="28" borderId="5" xfId="8" applyFont="1" applyFill="1" applyBorder="1" applyAlignment="1">
      <alignment horizontal="center" vertical="center"/>
    </xf>
    <xf numFmtId="0" fontId="67" fillId="28" borderId="6" xfId="8" applyFont="1" applyFill="1" applyBorder="1" applyAlignment="1">
      <alignment horizontal="center" vertical="center"/>
    </xf>
    <xf numFmtId="0" fontId="67" fillId="28" borderId="2" xfId="8" applyFont="1" applyFill="1" applyBorder="1" applyAlignment="1">
      <alignment horizontal="center" vertical="center"/>
    </xf>
    <xf numFmtId="0" fontId="66" fillId="34" borderId="1" xfId="0" applyFont="1" applyFill="1" applyBorder="1" applyAlignment="1">
      <alignment horizontal="center" vertical="center" wrapText="1"/>
    </xf>
    <xf numFmtId="0" fontId="66" fillId="10" borderId="1" xfId="0" applyFont="1" applyFill="1" applyBorder="1" applyAlignment="1">
      <alignment horizontal="center" vertical="center" wrapText="1"/>
    </xf>
    <xf numFmtId="0" fontId="66" fillId="28" borderId="1" xfId="0" applyFont="1" applyFill="1" applyBorder="1" applyAlignment="1">
      <alignment horizontal="center" vertical="center" wrapText="1"/>
    </xf>
    <xf numFmtId="0" fontId="71" fillId="16" borderId="0" xfId="0" applyFont="1" applyFill="1" applyAlignment="1" applyProtection="1">
      <alignment horizontal="left" vertical="center" wrapText="1"/>
    </xf>
    <xf numFmtId="0" fontId="71" fillId="9" borderId="13" xfId="38" applyFont="1" applyFill="1" applyBorder="1" applyAlignment="1" applyProtection="1">
      <alignment horizontal="center" vertical="center" wrapText="1"/>
    </xf>
    <xf numFmtId="0" fontId="71" fillId="9" borderId="3" xfId="38" applyFont="1" applyFill="1" applyBorder="1" applyAlignment="1" applyProtection="1">
      <alignment horizontal="center" vertical="center" wrapText="1"/>
    </xf>
    <xf numFmtId="0" fontId="43" fillId="0" borderId="1" xfId="38" applyFont="1" applyFill="1" applyBorder="1" applyAlignment="1" applyProtection="1">
      <alignment horizontal="left" vertical="top" wrapText="1"/>
    </xf>
    <xf numFmtId="0" fontId="45" fillId="0" borderId="1" xfId="38" applyFont="1" applyFill="1" applyBorder="1" applyAlignment="1" applyProtection="1">
      <alignment horizontal="left" vertical="top" wrapText="1"/>
    </xf>
    <xf numFmtId="0" fontId="43" fillId="0" borderId="13" xfId="38" applyFont="1" applyFill="1" applyBorder="1" applyAlignment="1" applyProtection="1">
      <alignment horizontal="left" vertical="top" wrapText="1"/>
    </xf>
    <xf numFmtId="0" fontId="43" fillId="0" borderId="14" xfId="38" applyFont="1" applyFill="1" applyBorder="1" applyAlignment="1" applyProtection="1">
      <alignment horizontal="left" vertical="top" wrapText="1"/>
    </xf>
    <xf numFmtId="0" fontId="43" fillId="0" borderId="3" xfId="38" applyFont="1" applyFill="1" applyBorder="1" applyAlignment="1" applyProtection="1">
      <alignment horizontal="left" vertical="top" wrapText="1"/>
    </xf>
    <xf numFmtId="0" fontId="38" fillId="25" borderId="5" xfId="0" applyFont="1" applyFill="1" applyBorder="1" applyAlignment="1" applyProtection="1">
      <alignment vertical="center" wrapText="1"/>
    </xf>
    <xf numFmtId="0" fontId="38" fillId="25" borderId="6" xfId="0" applyFont="1" applyFill="1" applyBorder="1" applyAlignment="1" applyProtection="1">
      <alignment vertical="center" wrapText="1"/>
    </xf>
    <xf numFmtId="0" fontId="38" fillId="25" borderId="2" xfId="0" applyFont="1" applyFill="1" applyBorder="1" applyAlignment="1" applyProtection="1">
      <alignment vertical="center" wrapText="1"/>
    </xf>
    <xf numFmtId="0" fontId="38" fillId="17" borderId="3" xfId="38" applyFont="1" applyFill="1" applyBorder="1" applyAlignment="1">
      <alignment horizontal="center" vertical="center" wrapText="1"/>
    </xf>
    <xf numFmtId="0" fontId="38" fillId="17" borderId="1" xfId="38" applyFont="1" applyFill="1" applyBorder="1" applyAlignment="1">
      <alignment horizontal="center" vertical="center" wrapText="1"/>
    </xf>
    <xf numFmtId="0" fontId="38" fillId="25" borderId="5" xfId="0" applyFont="1" applyFill="1" applyBorder="1" applyAlignment="1" applyProtection="1">
      <alignment horizontal="left" vertical="center"/>
      <protection locked="0"/>
    </xf>
    <xf numFmtId="0" fontId="38" fillId="25" borderId="6" xfId="0" applyFont="1" applyFill="1" applyBorder="1" applyAlignment="1" applyProtection="1">
      <alignment horizontal="left" vertical="center"/>
      <protection locked="0"/>
    </xf>
    <xf numFmtId="0" fontId="38" fillId="25" borderId="2" xfId="0" applyFont="1" applyFill="1" applyBorder="1" applyAlignment="1" applyProtection="1">
      <alignment horizontal="left" vertical="center"/>
      <protection locked="0"/>
    </xf>
    <xf numFmtId="0" fontId="38" fillId="17" borderId="3" xfId="0" applyFont="1" applyFill="1" applyBorder="1" applyAlignment="1">
      <alignment horizontal="center" vertical="center" wrapText="1"/>
    </xf>
    <xf numFmtId="0" fontId="38" fillId="25" borderId="0" xfId="0" applyFont="1" applyFill="1" applyAlignment="1" applyProtection="1">
      <alignment horizontal="center" vertical="center"/>
    </xf>
    <xf numFmtId="0" fontId="38" fillId="17" borderId="1" xfId="38" applyFont="1" applyFill="1" applyBorder="1" applyAlignment="1" applyProtection="1">
      <alignment horizontal="left" vertical="center" wrapText="1"/>
    </xf>
    <xf numFmtId="0" fontId="43" fillId="0" borderId="13" xfId="0" applyFont="1" applyBorder="1" applyAlignment="1" applyProtection="1">
      <alignment horizontal="center" vertical="center"/>
    </xf>
    <xf numFmtId="0" fontId="43" fillId="0" borderId="14" xfId="0" applyFont="1" applyBorder="1" applyAlignment="1" applyProtection="1">
      <alignment horizontal="center" vertical="center"/>
    </xf>
    <xf numFmtId="0" fontId="43" fillId="0" borderId="3" xfId="0" applyFont="1" applyBorder="1" applyAlignment="1" applyProtection="1">
      <alignment horizontal="center" vertical="center"/>
    </xf>
    <xf numFmtId="0" fontId="38" fillId="25" borderId="5" xfId="0" applyFont="1" applyFill="1" applyBorder="1" applyAlignment="1" applyProtection="1">
      <alignment horizontal="left" vertical="center"/>
    </xf>
    <xf numFmtId="0" fontId="38" fillId="25" borderId="6" xfId="0" applyFont="1" applyFill="1" applyBorder="1" applyAlignment="1" applyProtection="1">
      <alignment horizontal="left" vertical="center"/>
    </xf>
    <xf numFmtId="0" fontId="38" fillId="25" borderId="2" xfId="0" applyFont="1" applyFill="1" applyBorder="1" applyAlignment="1" applyProtection="1">
      <alignment horizontal="left" vertical="center"/>
    </xf>
    <xf numFmtId="0" fontId="38" fillId="17" borderId="3" xfId="38" applyFont="1" applyFill="1" applyBorder="1" applyAlignment="1" applyProtection="1">
      <alignment horizontal="center" vertical="center" wrapText="1"/>
    </xf>
    <xf numFmtId="0" fontId="38" fillId="25" borderId="5" xfId="0" applyFont="1" applyFill="1" applyBorder="1" applyAlignment="1" applyProtection="1">
      <alignment horizontal="center" vertical="center"/>
    </xf>
    <xf numFmtId="0" fontId="38" fillId="25" borderId="6" xfId="0" applyFont="1" applyFill="1" applyBorder="1" applyAlignment="1" applyProtection="1">
      <alignment horizontal="center" vertical="center"/>
    </xf>
    <xf numFmtId="0" fontId="38" fillId="25" borderId="2" xfId="0" applyFont="1" applyFill="1" applyBorder="1" applyAlignment="1" applyProtection="1">
      <alignment horizontal="center" vertical="center"/>
    </xf>
    <xf numFmtId="0" fontId="38" fillId="17" borderId="3" xfId="0" applyFont="1" applyFill="1" applyBorder="1" applyAlignment="1" applyProtection="1">
      <alignment horizontal="center" vertical="center" wrapText="1"/>
    </xf>
    <xf numFmtId="0" fontId="43" fillId="0" borderId="1" xfId="0" applyFont="1" applyBorder="1" applyAlignment="1" applyProtection="1">
      <alignment horizontal="center" vertical="center" wrapText="1"/>
    </xf>
    <xf numFmtId="0" fontId="38" fillId="25" borderId="1" xfId="0" applyFont="1" applyFill="1" applyBorder="1" applyAlignment="1" applyProtection="1">
      <alignment horizontal="left" vertical="center"/>
    </xf>
    <xf numFmtId="0" fontId="40" fillId="2" borderId="1" xfId="40" applyFont="1" applyFill="1" applyBorder="1" applyAlignment="1" applyProtection="1">
      <alignment horizontal="left" vertical="center" wrapText="1"/>
    </xf>
    <xf numFmtId="0" fontId="38" fillId="25" borderId="4" xfId="0" applyFont="1" applyFill="1" applyBorder="1" applyAlignment="1" applyProtection="1">
      <alignment horizontal="left" vertical="center"/>
    </xf>
    <xf numFmtId="0" fontId="43" fillId="0" borderId="1" xfId="0" applyFont="1" applyBorder="1" applyAlignment="1" applyProtection="1">
      <alignment horizontal="left" vertical="center" wrapText="1"/>
    </xf>
    <xf numFmtId="0" fontId="43" fillId="0" borderId="1" xfId="8" applyFont="1" applyFill="1" applyBorder="1" applyAlignment="1" applyProtection="1">
      <alignment horizontal="center" vertical="center" wrapText="1"/>
    </xf>
    <xf numFmtId="0" fontId="43" fillId="0" borderId="1" xfId="40" applyFont="1" applyBorder="1" applyAlignment="1" applyProtection="1">
      <alignment horizontal="center" vertical="center" wrapText="1"/>
    </xf>
    <xf numFmtId="0" fontId="38" fillId="25" borderId="4" xfId="0" applyFont="1" applyFill="1" applyBorder="1" applyAlignment="1" applyProtection="1">
      <alignment horizontal="left" vertical="center" wrapText="1"/>
    </xf>
    <xf numFmtId="0" fontId="43" fillId="0" borderId="13" xfId="0" applyFont="1" applyBorder="1" applyAlignment="1" applyProtection="1">
      <alignment horizontal="center" vertical="center" wrapText="1"/>
    </xf>
    <xf numFmtId="0" fontId="43" fillId="0" borderId="14" xfId="0" applyFont="1" applyBorder="1" applyAlignment="1" applyProtection="1">
      <alignment horizontal="center" vertical="center" wrapText="1"/>
    </xf>
    <xf numFmtId="0" fontId="43" fillId="0" borderId="3" xfId="0" applyFont="1" applyBorder="1" applyAlignment="1" applyProtection="1">
      <alignment horizontal="center" vertical="center" wrapText="1"/>
    </xf>
    <xf numFmtId="0" fontId="38" fillId="25" borderId="9" xfId="0" applyFont="1" applyFill="1" applyBorder="1" applyAlignment="1" applyProtection="1">
      <alignment horizontal="left" vertical="center" wrapText="1"/>
    </xf>
    <xf numFmtId="0" fontId="43" fillId="0" borderId="1" xfId="38" applyFont="1" applyBorder="1" applyAlignment="1" applyProtection="1">
      <alignment horizontal="left" vertical="center" wrapText="1"/>
    </xf>
    <xf numFmtId="43" fontId="38" fillId="17" borderId="1" xfId="1" applyFont="1" applyFill="1" applyBorder="1" applyAlignment="1" applyProtection="1">
      <alignment horizontal="center" vertical="center" wrapText="1"/>
    </xf>
    <xf numFmtId="0" fontId="38" fillId="17" borderId="13" xfId="38" applyFont="1" applyFill="1" applyBorder="1" applyAlignment="1" applyProtection="1">
      <alignment horizontal="center" vertical="center" wrapText="1"/>
    </xf>
    <xf numFmtId="0" fontId="48" fillId="25" borderId="1" xfId="0" applyFont="1" applyFill="1" applyBorder="1" applyAlignment="1" applyProtection="1">
      <alignment horizontal="left" vertical="center" wrapText="1"/>
    </xf>
    <xf numFmtId="0" fontId="12" fillId="0" borderId="1" xfId="38" applyFont="1" applyFill="1" applyBorder="1" applyAlignment="1" applyProtection="1">
      <alignment horizontal="center" vertical="center" wrapText="1"/>
    </xf>
    <xf numFmtId="0" fontId="38" fillId="25" borderId="1" xfId="0" applyFont="1" applyFill="1" applyBorder="1" applyAlignment="1" applyProtection="1">
      <alignment horizontal="left" vertical="center" wrapText="1"/>
    </xf>
    <xf numFmtId="0" fontId="43" fillId="0" borderId="13" xfId="0" applyFont="1" applyBorder="1" applyAlignment="1" applyProtection="1">
      <alignment horizontal="left" vertical="center" wrapText="1"/>
    </xf>
    <xf numFmtId="0" fontId="43" fillId="0" borderId="3" xfId="0" applyFont="1" applyBorder="1" applyAlignment="1" applyProtection="1">
      <alignment horizontal="left" vertical="center" wrapText="1"/>
    </xf>
    <xf numFmtId="0" fontId="19" fillId="0" borderId="13" xfId="87" applyFont="1" applyBorder="1" applyAlignment="1" applyProtection="1">
      <alignment horizontal="left" vertical="center" wrapText="1"/>
    </xf>
    <xf numFmtId="0" fontId="19" fillId="0" borderId="3" xfId="87" applyFont="1" applyBorder="1" applyAlignment="1" applyProtection="1">
      <alignment horizontal="left" vertical="center" wrapText="1"/>
    </xf>
    <xf numFmtId="0" fontId="32" fillId="26" borderId="1" xfId="0" applyFont="1" applyFill="1" applyBorder="1" applyAlignment="1">
      <alignment horizontal="left" vertical="center" wrapText="1"/>
    </xf>
    <xf numFmtId="0" fontId="32" fillId="17" borderId="1" xfId="0" applyFont="1" applyFill="1" applyBorder="1" applyAlignment="1">
      <alignment horizontal="center" vertical="center" wrapText="1"/>
    </xf>
    <xf numFmtId="0" fontId="32" fillId="9" borderId="13" xfId="38" applyFont="1" applyFill="1" applyBorder="1" applyAlignment="1">
      <alignment horizontal="center" vertical="center" wrapText="1"/>
    </xf>
    <xf numFmtId="0" fontId="32" fillId="9" borderId="3" xfId="38" applyFont="1" applyFill="1" applyBorder="1" applyAlignment="1">
      <alignment horizontal="center" vertical="center" wrapText="1"/>
    </xf>
    <xf numFmtId="0" fontId="32" fillId="17" borderId="5" xfId="0" applyFont="1" applyFill="1" applyBorder="1" applyAlignment="1">
      <alignment horizontal="center" vertical="center" wrapText="1"/>
    </xf>
    <xf numFmtId="0" fontId="32" fillId="17" borderId="6" xfId="0" applyFont="1" applyFill="1" applyBorder="1" applyAlignment="1">
      <alignment horizontal="center" vertical="center" wrapText="1"/>
    </xf>
    <xf numFmtId="0" fontId="32" fillId="17" borderId="2" xfId="0" applyFont="1" applyFill="1" applyBorder="1" applyAlignment="1">
      <alignment horizontal="center" vertical="center" wrapText="1"/>
    </xf>
    <xf numFmtId="0" fontId="32" fillId="17" borderId="5" xfId="38" applyFont="1" applyFill="1" applyBorder="1" applyAlignment="1">
      <alignment horizontal="center" vertical="center" wrapText="1"/>
    </xf>
    <xf numFmtId="0" fontId="32" fillId="17" borderId="2" xfId="38" applyFont="1" applyFill="1" applyBorder="1" applyAlignment="1">
      <alignment horizontal="center" vertical="center" wrapText="1"/>
    </xf>
  </cellXfs>
  <cellStyles count="108">
    <cellStyle name="Comma" xfId="1" builtinId="3"/>
    <cellStyle name="Comma 2" xfId="2"/>
    <cellStyle name="Comma 3" xfId="104"/>
    <cellStyle name="Hyperlink" xfId="3" builtinId="8"/>
    <cellStyle name="Hyperlink 2" xfId="106"/>
    <cellStyle name="Normal" xfId="0" builtinId="0"/>
    <cellStyle name="Normal 2" xfId="4"/>
    <cellStyle name="Normal 2 3" xfId="5"/>
    <cellStyle name="Normal 2 5" xfId="6"/>
    <cellStyle name="Normal 2 5 2" xfId="7"/>
    <cellStyle name="Normal 3" xfId="8"/>
    <cellStyle name="Normal 3 10" xfId="9"/>
    <cellStyle name="Normal 3 10 2" xfId="10"/>
    <cellStyle name="Normal 3 10 3" xfId="105"/>
    <cellStyle name="Normal 3 2" xfId="11"/>
    <cellStyle name="Normal 3 2 13" xfId="12"/>
    <cellStyle name="Normal 3 2 13 2" xfId="13"/>
    <cellStyle name="Normal 3 2 15" xfId="14"/>
    <cellStyle name="Normal 3 2 15 2" xfId="15"/>
    <cellStyle name="Normal 3 2 16" xfId="16"/>
    <cellStyle name="Normal 3 2 16 2" xfId="17"/>
    <cellStyle name="Normal 3 2 17" xfId="18"/>
    <cellStyle name="Normal 3 2 17 2" xfId="19"/>
    <cellStyle name="Normal 3 2 18" xfId="20"/>
    <cellStyle name="Normal 3 2 18 2" xfId="21"/>
    <cellStyle name="Normal 3 2 19" xfId="22"/>
    <cellStyle name="Normal 3 2 19 2" xfId="23"/>
    <cellStyle name="Normal 3 2 2" xfId="24"/>
    <cellStyle name="Normal 3 2 2 2" xfId="25"/>
    <cellStyle name="Normal 3 2 20" xfId="26"/>
    <cellStyle name="Normal 3 2 20 2" xfId="27"/>
    <cellStyle name="Normal 3 2 21" xfId="28"/>
    <cellStyle name="Normal 3 2 21 2" xfId="29"/>
    <cellStyle name="Normal 3 2 22" xfId="30"/>
    <cellStyle name="Normal 3 2 22 2" xfId="31"/>
    <cellStyle name="Normal 3 2 23" xfId="32"/>
    <cellStyle name="Normal 3 2 23 2" xfId="33"/>
    <cellStyle name="Normal 3 2 24" xfId="34"/>
    <cellStyle name="Normal 3 2 24 2" xfId="35"/>
    <cellStyle name="Normal 3 2 25" xfId="36"/>
    <cellStyle name="Normal 3 2 25 2" xfId="37"/>
    <cellStyle name="Normal 3 2 3" xfId="38"/>
    <cellStyle name="Normal 3 2 3 2" xfId="39"/>
    <cellStyle name="Normal 3 2 3 2 2" xfId="40"/>
    <cellStyle name="Normal 3 2 3 2 2 2" xfId="41"/>
    <cellStyle name="Normal 3 2 3 2 2 3" xfId="103"/>
    <cellStyle name="Normal 3 2 3 2 3" xfId="42"/>
    <cellStyle name="Normal 3 2 3 3" xfId="43"/>
    <cellStyle name="Normal 3 2 3 4" xfId="102"/>
    <cellStyle name="Normal 3 2 4" xfId="44"/>
    <cellStyle name="Normal 3 2 4 2" xfId="45"/>
    <cellStyle name="Normal 3 2 4 2 2" xfId="46"/>
    <cellStyle name="Normal 3 2 4 3" xfId="47"/>
    <cellStyle name="Normal 3 2 5" xfId="48"/>
    <cellStyle name="Normal 3 2 5 2" xfId="49"/>
    <cellStyle name="Normal 3 2 6" xfId="50"/>
    <cellStyle name="Normal 3 2 6 2" xfId="51"/>
    <cellStyle name="Normal 3 2 7" xfId="52"/>
    <cellStyle name="Normal 3 3" xfId="53"/>
    <cellStyle name="Normal 3 4" xfId="101"/>
    <cellStyle name="Normal 3 6" xfId="54"/>
    <cellStyle name="Normal 3 6 2" xfId="55"/>
    <cellStyle name="Normal 3 7" xfId="56"/>
    <cellStyle name="Normal 3 7 2" xfId="57"/>
    <cellStyle name="Normal 3 8" xfId="58"/>
    <cellStyle name="Normal 3 8 2" xfId="59"/>
    <cellStyle name="Normal 3 9" xfId="60"/>
    <cellStyle name="Normal 3 9 2" xfId="61"/>
    <cellStyle name="Normal 4" xfId="62"/>
    <cellStyle name="Normal 4 10" xfId="63"/>
    <cellStyle name="Normal 4 10 2" xfId="64"/>
    <cellStyle name="Normal 4 11" xfId="65"/>
    <cellStyle name="Normal 4 11 2" xfId="66"/>
    <cellStyle name="Normal 4 12" xfId="67"/>
    <cellStyle name="Normal 4 12 2" xfId="68"/>
    <cellStyle name="Normal 4 13" xfId="69"/>
    <cellStyle name="Normal 4 13 2" xfId="70"/>
    <cellStyle name="Normal 4 14" xfId="71"/>
    <cellStyle name="Normal 4 14 2" xfId="72"/>
    <cellStyle name="Normal 4 15" xfId="73"/>
    <cellStyle name="Normal 4 15 2" xfId="74"/>
    <cellStyle name="Normal 4 16" xfId="75"/>
    <cellStyle name="Normal 4 16 2" xfId="76"/>
    <cellStyle name="Normal 4 17" xfId="77"/>
    <cellStyle name="Normal 4 17 2" xfId="78"/>
    <cellStyle name="Normal 4 2" xfId="79"/>
    <cellStyle name="Normal 4 20" xfId="80"/>
    <cellStyle name="Normal 4 20 2" xfId="81"/>
    <cellStyle name="Normal 5" xfId="82"/>
    <cellStyle name="Normal 5 2" xfId="83"/>
    <cellStyle name="Normal 5 3" xfId="84"/>
    <cellStyle name="Normal 5 9" xfId="85"/>
    <cellStyle name="Normal 5 9 2" xfId="86"/>
    <cellStyle name="Normal 6" xfId="87"/>
    <cellStyle name="Normal 6 2" xfId="88"/>
    <cellStyle name="Normal 6 2 2" xfId="89"/>
    <cellStyle name="Normal 6 3" xfId="90"/>
    <cellStyle name="Normal 6 4" xfId="91"/>
    <cellStyle name="Normal 6 4 2" xfId="92"/>
    <cellStyle name="Normal 6 5" xfId="93"/>
    <cellStyle name="Normal 6 5 2" xfId="94"/>
    <cellStyle name="Normal 6 6" xfId="95"/>
    <cellStyle name="Normal 6 6 2" xfId="96"/>
    <cellStyle name="Normal 7" xfId="97"/>
    <cellStyle name="Normal 7 2" xfId="98"/>
    <cellStyle name="Normal 8" xfId="100"/>
    <cellStyle name="Normal 9" xfId="107"/>
    <cellStyle name="Percent" xfId="99" builtinId="5"/>
  </cellStyles>
  <dxfs count="0"/>
  <tableStyles count="0" defaultTableStyle="TableStyleMedium2" defaultPivotStyle="PivotStyleLight16"/>
  <colors>
    <mruColors>
      <color rgb="FF66FFFF"/>
      <color rgb="FF5B9BD5"/>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IP/2021-22/NHM%20PIP%20budget%20sheet%202021-22_21%20Nov%20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ex"/>
      <sheetName val="Sources of Funding"/>
      <sheetName val="Dist Allocation and Sub Plan"/>
      <sheetName val="Summary Table"/>
      <sheetName val="Budget Summary I"/>
      <sheetName val="Budget Summary II"/>
      <sheetName val="Summary of Abstracts"/>
      <sheetName val="NUHM Summary"/>
      <sheetName val="1.SD Facility Based Annex"/>
      <sheetName val="2.SD Community Based Annex"/>
      <sheetName val="3.Community Intervention Annex"/>
      <sheetName val="4.Untied grants Annex"/>
      <sheetName val="5.Infrastructure Annex"/>
      <sheetName val="6.Procurement Annex"/>
      <sheetName val="7.Referral Transport Annex"/>
      <sheetName val="8.Human Resources (SD) Annex"/>
      <sheetName val="9.Training Annex"/>
      <sheetName val="10.Review Research &amp; Surveillen"/>
      <sheetName val="11.IEC-BCC Annex"/>
      <sheetName val="12.Printing Annex"/>
      <sheetName val="13.Quality Assurance Annex"/>
      <sheetName val="14.Drug warehouse &amp;Logistic Anx"/>
      <sheetName val="15.PPP Annex"/>
      <sheetName val="16.PM Annex"/>
      <sheetName val="16.1.PM sub Annex - activities "/>
      <sheetName val="17.IT Initiatives_SD"/>
      <sheetName val="18.Innovation"/>
      <sheetName val="NUHM-Non Metro Abst"/>
      <sheetName val="NUHM Metro Abst"/>
      <sheetName val="Ab1. RMNCH+A"/>
      <sheetName val="Ab2. NIDDCP"/>
      <sheetName val="Ab3. ASHA"/>
      <sheetName val="Ab4. HMIS-MCTS"/>
      <sheetName val="Abs5. Blood services &amp; Disorder"/>
      <sheetName val="Abs6. H&amp;WC"/>
      <sheetName val="Abs7. AYUSH"/>
      <sheetName val="Abs8. NPPCD"/>
      <sheetName val="Abs9. NPPCF"/>
      <sheetName val="Abs10. NOHP"/>
      <sheetName val="Abs11. NPPC"/>
      <sheetName val="Abs12. Burns &amp; Injury"/>
      <sheetName val="Abs13. IDSP"/>
      <sheetName val="Abs14. NVBDCP"/>
      <sheetName val="Abs15. NLEP"/>
      <sheetName val="Abs16. NTEP"/>
      <sheetName val="Abs17. NVHCP"/>
      <sheetName val="Abs18. NRCP"/>
      <sheetName val="Abs19. PPCL"/>
      <sheetName val="Abs20. NPCB"/>
      <sheetName val="Abs21. NMHP"/>
      <sheetName val="Abs22. NPHCE"/>
      <sheetName val="Abs23. NTCP"/>
      <sheetName val="Abs24. NPCDCS"/>
      <sheetName val="Abs25. PMNDP"/>
      <sheetName val="Abs26. NPCCHH"/>
      <sheetName val="Capex Expenditur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2">
          <cell r="P92">
            <v>0</v>
          </cell>
        </row>
      </sheetData>
      <sheetData sheetId="13">
        <row r="35">
          <cell r="A35" t="str">
            <v>6.1.1.6.1</v>
          </cell>
        </row>
      </sheetData>
      <sheetData sheetId="14"/>
      <sheetData sheetId="15"/>
      <sheetData sheetId="16"/>
      <sheetData sheetId="17">
        <row r="14">
          <cell r="A14" t="str">
            <v>10.2.2</v>
          </cell>
        </row>
      </sheetData>
      <sheetData sheetId="18">
        <row r="51">
          <cell r="A51" t="str">
            <v>11.14.1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3">
    <tabColor rgb="FF92D050"/>
  </sheetPr>
  <dimension ref="A1:H39"/>
  <sheetViews>
    <sheetView zoomScale="80" zoomScaleNormal="80" workbookViewId="0">
      <pane xSplit="2" ySplit="1" topLeftCell="D2" activePane="bottomRight" state="frozen"/>
      <selection activeCell="Q172" sqref="A1:BE179"/>
      <selection pane="topRight" activeCell="Q172" sqref="A1:BE179"/>
      <selection pane="bottomLeft" activeCell="Q172" sqref="A1:BE179"/>
      <selection pane="bottomRight" activeCell="D24" sqref="D24"/>
    </sheetView>
  </sheetViews>
  <sheetFormatPr defaultColWidth="8.7109375" defaultRowHeight="12.75"/>
  <cols>
    <col min="1" max="1" width="40.28515625" style="5" bestFit="1" customWidth="1"/>
    <col min="2" max="2" width="13.85546875" style="5" customWidth="1"/>
    <col min="3" max="3" width="38.42578125" style="5" bestFit="1" customWidth="1"/>
    <col min="4" max="4" width="22.42578125" style="5" customWidth="1"/>
    <col min="5" max="5" width="16.42578125" style="5" bestFit="1" customWidth="1"/>
    <col min="6" max="6" width="29" style="5" customWidth="1"/>
    <col min="7" max="7" width="88.28515625" style="5" bestFit="1" customWidth="1"/>
    <col min="8" max="8" width="21.7109375" style="5" bestFit="1" customWidth="1"/>
    <col min="9" max="12" width="8.7109375" style="5"/>
    <col min="13" max="13" width="8.7109375" style="5" customWidth="1"/>
    <col min="14" max="16384" width="8.7109375" style="5"/>
  </cols>
  <sheetData>
    <row r="1" spans="1:8">
      <c r="A1" s="4216" t="s">
        <v>4795</v>
      </c>
      <c r="B1" s="4217"/>
      <c r="C1" s="4214" t="s">
        <v>3843</v>
      </c>
      <c r="D1" s="4214"/>
      <c r="E1" s="4215" t="s">
        <v>3296</v>
      </c>
      <c r="F1" s="4215"/>
      <c r="G1" s="173" t="s">
        <v>3844</v>
      </c>
      <c r="H1" s="173"/>
    </row>
    <row r="2" spans="1:8">
      <c r="A2" s="178" t="s">
        <v>4794</v>
      </c>
      <c r="B2" s="22" t="str">
        <f>HYPERLINK("#'Sources of Funding'!A1:J1", "Table A")</f>
        <v>Table A</v>
      </c>
      <c r="C2" s="21" t="s">
        <v>3851</v>
      </c>
      <c r="D2" s="22" t="str">
        <f>HYPERLINK("#'1.SD Facility Based Annex'!A3:A4", "Anx 1")</f>
        <v>Anx 1</v>
      </c>
      <c r="E2" s="347" t="s">
        <v>3849</v>
      </c>
      <c r="F2" s="25" t="str">
        <f>HYPERLINK("#'NUHM-Non Metro Abst'!A3:A4", "Annex/ Abs_NM")</f>
        <v>Annex/ Abs_NM</v>
      </c>
      <c r="G2" s="49" t="s">
        <v>4617</v>
      </c>
      <c r="H2" s="49"/>
    </row>
    <row r="3" spans="1:8">
      <c r="A3" s="178" t="s">
        <v>4796</v>
      </c>
      <c r="B3" s="22" t="str">
        <f>HYPERLINK("#'Dist Allocation and Sub Plan'!A4:A5", "Table B")</f>
        <v>Table B</v>
      </c>
      <c r="C3" s="21" t="s">
        <v>3852</v>
      </c>
      <c r="D3" s="22" t="str">
        <f>HYPERLINK("#'2.SD Community Based Annex'!A3:A4", "Anx 2")</f>
        <v>Anx 2</v>
      </c>
      <c r="E3" s="347" t="s">
        <v>3850</v>
      </c>
      <c r="F3" s="25" t="str">
        <f>HYPERLINK("#'NUHM Metro Abst'!A3:A4", "Annex/ Abs_M")</f>
        <v>Annex/ Abs_M</v>
      </c>
      <c r="G3" s="21" t="s">
        <v>3846</v>
      </c>
      <c r="H3" s="22" t="str">
        <f>HYPERLINK("#'Ab1. RMNCH+A'!A1:C1", "Abst 1")</f>
        <v>Abst 1</v>
      </c>
    </row>
    <row r="4" spans="1:8">
      <c r="A4" s="178" t="s">
        <v>4797</v>
      </c>
      <c r="B4" s="22" t="str">
        <f>HYPERLINK("#'Summary Table'!A4:A5", "Table C")</f>
        <v>Table C</v>
      </c>
      <c r="C4" s="21" t="s">
        <v>3853</v>
      </c>
      <c r="D4" s="22" t="str">
        <f>HYPERLINK("#'3.Community Intervention Annexn'!A5:A6", "Anx 3")</f>
        <v>Anx 3</v>
      </c>
      <c r="G4" s="24" t="s">
        <v>5359</v>
      </c>
      <c r="H4" s="27" t="str">
        <f>HYPERLINK("#'Ab1. RMNCH+A'!A6", "RMNCH+A Sub Abst 1")</f>
        <v>RMNCH+A Sub Abst 1</v>
      </c>
    </row>
    <row r="5" spans="1:8">
      <c r="A5" s="178" t="s">
        <v>4353</v>
      </c>
      <c r="B5" s="177" t="str">
        <f>HYPERLINK("#'Budget Summary I'!A2", "Table D")</f>
        <v>Table D</v>
      </c>
      <c r="C5" s="24" t="s">
        <v>5706</v>
      </c>
      <c r="D5" s="22" t="str">
        <f>HYPERLINK("#'3-A. CI Sub-Annex'!A3:A4", "CI-Sub Anx")</f>
        <v>CI-Sub Anx</v>
      </c>
      <c r="G5" s="24" t="s">
        <v>4063</v>
      </c>
      <c r="H5" s="27" t="str">
        <f>HYPERLINK("#'Ab1. RMNCH+A'!A101", "RMNCH+A Sub Abst 2")</f>
        <v>RMNCH+A Sub Abst 2</v>
      </c>
    </row>
    <row r="6" spans="1:8">
      <c r="A6" s="178" t="s">
        <v>4352</v>
      </c>
      <c r="B6" s="177" t="str">
        <f>HYPERLINK("#'Budget Summary II'!A1", "Table E")</f>
        <v>Table E</v>
      </c>
      <c r="C6" s="21" t="s">
        <v>3854</v>
      </c>
      <c r="D6" s="22" t="str">
        <f>HYPERLINK("#'4.Untied grants Annex'!A3:A4", "Anx 4")</f>
        <v>Anx 4</v>
      </c>
      <c r="G6" s="24" t="s">
        <v>2941</v>
      </c>
      <c r="H6" s="27" t="str">
        <f>HYPERLINK("#'Ab1. RMNCH+A'!A196", "RMNCH+A Sub Abst 3")</f>
        <v>RMNCH+A Sub Abst 3</v>
      </c>
    </row>
    <row r="7" spans="1:8">
      <c r="A7" s="178" t="s">
        <v>4776</v>
      </c>
      <c r="B7" s="22" t="str">
        <f>HYPERLINK("#'NUHM Summary'!A3:A4", "Table G")</f>
        <v>Table G</v>
      </c>
      <c r="C7" s="21" t="s">
        <v>3855</v>
      </c>
      <c r="D7" s="22" t="str">
        <f>HYPERLINK("#'5.Infrastructure Annex'!A3:A4", "Anx 5")</f>
        <v>Anx 5</v>
      </c>
      <c r="G7" s="24" t="s">
        <v>4071</v>
      </c>
      <c r="H7" s="27" t="str">
        <f>HYPERLINK("#'Ab1. RMNCH+A'!A288", "RMNCH+A Sub Abst 4")</f>
        <v>RMNCH+A Sub Abst 4</v>
      </c>
    </row>
    <row r="8" spans="1:8">
      <c r="C8" s="21" t="s">
        <v>3856</v>
      </c>
      <c r="D8" s="22" t="str">
        <f>HYPERLINK("#'6.Procurement Annex'!A3:A4", "Anx 6")</f>
        <v>Anx 6</v>
      </c>
      <c r="G8" s="24" t="s">
        <v>96</v>
      </c>
      <c r="H8" s="27" t="str">
        <f>HYPERLINK("#'Ab1. RMNCH+A'!A341", "RMNCH+A Sub Abst 5")</f>
        <v>RMNCH+A Sub Abst 5</v>
      </c>
    </row>
    <row r="9" spans="1:8">
      <c r="C9" s="24" t="s">
        <v>5707</v>
      </c>
      <c r="D9" s="22" t="str">
        <f>HYPERLINK("#'6-A. Proc. Sub-Annex'!A3:A4", "Proc Sub Anx")</f>
        <v>Proc Sub Anx</v>
      </c>
      <c r="G9" s="24" t="s">
        <v>4064</v>
      </c>
      <c r="H9" s="27" t="str">
        <f>HYPERLINK("#'Ab1. RMNCH+A'!A377", "RMNCH+A Sub Abst 6")</f>
        <v>RMNCH+A Sub Abst 6</v>
      </c>
    </row>
    <row r="10" spans="1:8">
      <c r="A10" s="179"/>
      <c r="B10" s="15"/>
      <c r="C10" s="21" t="s">
        <v>3857</v>
      </c>
      <c r="D10" s="22" t="str">
        <f>HYPERLINK("#'7.Referral Transport Annex'!A3:A4", "Anx 7")</f>
        <v>Anx 7</v>
      </c>
      <c r="G10" s="24" t="s">
        <v>4065</v>
      </c>
      <c r="H10" s="27" t="str">
        <f>HYPERLINK("#'Ab1. RMNCH+A'!A394", "RMNCH+A Sub Abst 7")</f>
        <v>RMNCH+A Sub Abst 7</v>
      </c>
    </row>
    <row r="11" spans="1:8">
      <c r="A11" s="179"/>
      <c r="B11" s="15"/>
      <c r="C11" s="21" t="s">
        <v>3858</v>
      </c>
      <c r="D11" s="22" t="str">
        <f>HYPERLINK("#'8.Human Resources (SD) Annex'!A3:A4", "Anx 8")</f>
        <v>Anx 8</v>
      </c>
      <c r="G11" s="24" t="s">
        <v>4066</v>
      </c>
      <c r="H11" s="27" t="str">
        <f>HYPERLINK("#'Ab1. RMNCH+A'!A432", "RMNCH+A Sub Abst 8")</f>
        <v>RMNCH+A Sub Abst 8</v>
      </c>
    </row>
    <row r="12" spans="1:8">
      <c r="A12" s="179"/>
      <c r="B12" s="15"/>
      <c r="C12" s="21" t="s">
        <v>3859</v>
      </c>
      <c r="D12" s="22" t="str">
        <f>HYPERLINK("#'9.Training Annex'!A3:A4", "Anx 9")</f>
        <v>Anx 9</v>
      </c>
      <c r="G12" s="21" t="s">
        <v>3877</v>
      </c>
      <c r="H12" s="22" t="str">
        <f>HYPERLINK("#'Ab2. NIDDCP'!A1:C1", "Abst 2")</f>
        <v>Abst 2</v>
      </c>
    </row>
    <row r="13" spans="1:8">
      <c r="A13" s="179"/>
      <c r="B13" s="15"/>
      <c r="C13" s="24" t="s">
        <v>5708</v>
      </c>
      <c r="D13" s="22" t="str">
        <f>HYPERLINK("#'9-A.Training Sub-Annex'!A3:A4", "Training Sub Anx")</f>
        <v>Training Sub Anx</v>
      </c>
      <c r="G13" s="310" t="s">
        <v>4616</v>
      </c>
      <c r="H13" s="310"/>
    </row>
    <row r="14" spans="1:8">
      <c r="A14" s="179"/>
      <c r="B14" s="15"/>
      <c r="C14" s="21" t="s">
        <v>3860</v>
      </c>
      <c r="D14" s="22" t="str">
        <f>HYPERLINK("#'10.Review Research &amp; Surveillen'!A3:A4", "Anx 10")</f>
        <v>Anx 10</v>
      </c>
      <c r="G14" s="21" t="s">
        <v>3848</v>
      </c>
      <c r="H14" s="22" t="str">
        <f>HYPERLINK("#'Ab3. ASHA'!A1:C1", "Abst 3")</f>
        <v>Abst 3</v>
      </c>
    </row>
    <row r="15" spans="1:8">
      <c r="A15" s="179"/>
      <c r="B15" s="15"/>
      <c r="C15" s="21" t="s">
        <v>3861</v>
      </c>
      <c r="D15" s="22" t="str">
        <f>HYPERLINK("#'11.IEC-BCC Annex'!A3:A4", "Anx 11")</f>
        <v>Anx 11</v>
      </c>
      <c r="G15" s="21" t="s">
        <v>4784</v>
      </c>
      <c r="H15" s="22" t="str">
        <f>HYPERLINK("#'Ab4. HMIS-MCTS'!A1:C1", "Abst 4")</f>
        <v>Abst 4</v>
      </c>
    </row>
    <row r="16" spans="1:8">
      <c r="A16" s="179"/>
      <c r="B16" s="15"/>
      <c r="C16" s="24" t="s">
        <v>5709</v>
      </c>
      <c r="D16" s="22" t="str">
        <f>HYPERLINK("#'11-A. IEC Sub-Annex'!A3:A4", "IEC-BCC Sub Anx")</f>
        <v>IEC-BCC Sub Anx</v>
      </c>
      <c r="G16" s="21" t="s">
        <v>3845</v>
      </c>
      <c r="H16" s="22" t="str">
        <f>HYPERLINK("#'Abs5. Blood services &amp; Disorder'!A1:C1", "Abst 5")</f>
        <v>Abst 5</v>
      </c>
    </row>
    <row r="17" spans="1:8">
      <c r="A17" s="179"/>
      <c r="B17" s="15"/>
      <c r="C17" s="21" t="s">
        <v>3862</v>
      </c>
      <c r="D17" s="22" t="str">
        <f>HYPERLINK("#'12.Printing Annex'!A3:A4", "Anx 12")</f>
        <v>Anx 12</v>
      </c>
      <c r="G17" s="21" t="s">
        <v>4671</v>
      </c>
      <c r="H17" s="22" t="str">
        <f>HYPERLINK("#'Abs6. CPHC'!A1:C1", "Abst 6")</f>
        <v>Abst 6</v>
      </c>
    </row>
    <row r="18" spans="1:8">
      <c r="C18" s="24" t="s">
        <v>5710</v>
      </c>
      <c r="D18" s="22" t="str">
        <f>HYPERLINK("#'12-A. Print Sub-Annex'!A3:A4", "Printing Sub Anx")</f>
        <v>Printing Sub Anx</v>
      </c>
      <c r="G18" s="21" t="s">
        <v>3847</v>
      </c>
      <c r="H18" s="22" t="str">
        <f>HYPERLINK("#'Abs7. AYUSH'!A1:C1", "Abst 7")</f>
        <v>Abst 7</v>
      </c>
    </row>
    <row r="19" spans="1:8">
      <c r="C19" s="21" t="s">
        <v>3863</v>
      </c>
      <c r="D19" s="22" t="str">
        <f>HYPERLINK("#'13.Quality Assurance Annex'!A3:A4", "Anx 13")</f>
        <v>Anx 13</v>
      </c>
      <c r="G19" s="49" t="s">
        <v>4618</v>
      </c>
      <c r="H19" s="49"/>
    </row>
    <row r="20" spans="1:8">
      <c r="C20" s="21" t="s">
        <v>3894</v>
      </c>
      <c r="D20" s="22" t="str">
        <f>HYPERLINK("#'14.Drug warehouse &amp;Logistic Anx'!A3:A4", "Anx 14")</f>
        <v>Anx 14</v>
      </c>
      <c r="G20" s="21" t="s">
        <v>3872</v>
      </c>
      <c r="H20" s="22" t="str">
        <f>HYPERLINK("#'Abs8. IDSP'!A1:C1", "Abst 8")</f>
        <v>Abst 8</v>
      </c>
    </row>
    <row r="21" spans="1:8">
      <c r="A21" s="179"/>
      <c r="B21" s="15"/>
      <c r="C21" s="21" t="s">
        <v>3864</v>
      </c>
      <c r="D21" s="22" t="str">
        <f>HYPERLINK("#'15.PPP Annex'!A3:A4", "Anx 15")</f>
        <v>Anx 15</v>
      </c>
      <c r="G21" s="21" t="s">
        <v>3873</v>
      </c>
      <c r="H21" s="22" t="str">
        <f>HYPERLINK("#'Abs9. NVBDCP'!A1:C1", "Abst 9")</f>
        <v>Abst 9</v>
      </c>
    </row>
    <row r="22" spans="1:8">
      <c r="A22" s="179"/>
      <c r="B22" s="15"/>
      <c r="C22" s="21" t="s">
        <v>3865</v>
      </c>
      <c r="D22" s="22" t="str">
        <f>HYPERLINK("#'16.PM Annex'!A3:A4", "Anx 16")</f>
        <v>Anx 16</v>
      </c>
      <c r="G22" s="21" t="s">
        <v>3874</v>
      </c>
      <c r="H22" s="22" t="str">
        <f>HYPERLINK("#'Abs10. NLEP'!A1:C1", "Abst 10")</f>
        <v>Abst 10</v>
      </c>
    </row>
    <row r="23" spans="1:8">
      <c r="C23" s="24" t="s">
        <v>5705</v>
      </c>
      <c r="D23" s="22" t="str">
        <f>HYPERLINK("#'16-A. PM sub Annex'!A3:A4", "PM Activity Sub Anx")</f>
        <v>PM Activity Sub Anx</v>
      </c>
      <c r="G23" s="21" t="s">
        <v>4619</v>
      </c>
      <c r="H23" s="22" t="str">
        <f>HYPERLINK("#'Abs11. NTEP'!A1:C1", "Abst 11")</f>
        <v>Abst 11</v>
      </c>
    </row>
    <row r="24" spans="1:8">
      <c r="C24" s="21" t="s">
        <v>3866</v>
      </c>
      <c r="D24" s="22" t="str">
        <f>HYPERLINK("#'17.IT Initiatives_SD'!A3:A4", "Anx 17")</f>
        <v>Anx 17</v>
      </c>
      <c r="G24" s="21" t="s">
        <v>3875</v>
      </c>
      <c r="H24" s="22" t="str">
        <f>HYPERLINK("#'Abs12. NVHCP'!A1:C1", "Abst 12")</f>
        <v>Abst 12</v>
      </c>
    </row>
    <row r="25" spans="1:8">
      <c r="C25" s="21" t="s">
        <v>3867</v>
      </c>
      <c r="D25" s="22" t="str">
        <f>HYPERLINK("#'18.Innovation'!A3:A4", "Anx 18")</f>
        <v>Anx 18</v>
      </c>
      <c r="G25" s="21" t="s">
        <v>3893</v>
      </c>
      <c r="H25" s="22" t="str">
        <f>HYPERLINK("#'Abs13. NRCP'!A1:C1", "Abst 13")</f>
        <v>Abst 13</v>
      </c>
    </row>
    <row r="26" spans="1:8">
      <c r="G26" s="21" t="s">
        <v>4687</v>
      </c>
      <c r="H26" s="22" t="str">
        <f>HYPERLINK("#'Abs14. PPCL'!A1:C1", "Abst 14")</f>
        <v>Abst 14</v>
      </c>
    </row>
    <row r="27" spans="1:8" ht="12.6" customHeight="1">
      <c r="G27" s="49" t="s">
        <v>4809</v>
      </c>
      <c r="H27" s="49"/>
    </row>
    <row r="28" spans="1:8" ht="12.6" customHeight="1">
      <c r="G28" s="21" t="s">
        <v>3879</v>
      </c>
      <c r="H28" s="22" t="str">
        <f>HYPERLINK("#'Abs15. NPCB'!A1:C1", "Abst 15")</f>
        <v>Abst 15</v>
      </c>
    </row>
    <row r="29" spans="1:8">
      <c r="G29" s="21" t="s">
        <v>3880</v>
      </c>
      <c r="H29" s="22" t="str">
        <f>HYPERLINK("#'Abs16. NMHP'!A1:C1", "Abst 16")</f>
        <v>Abst 16</v>
      </c>
    </row>
    <row r="30" spans="1:8">
      <c r="G30" s="21" t="s">
        <v>3878</v>
      </c>
      <c r="H30" s="22" t="str">
        <f>HYPERLINK("#'Abs17. NPHCE'!A1:C1", "Abst 17")</f>
        <v>Abst 17</v>
      </c>
    </row>
    <row r="31" spans="1:8">
      <c r="G31" s="21" t="s">
        <v>3876</v>
      </c>
      <c r="H31" s="22" t="str">
        <f>HYPERLINK("#'Abs18. NTCP'!A1:C1", "Abst 18")</f>
        <v>Abst 18</v>
      </c>
    </row>
    <row r="32" spans="1:8" ht="25.5">
      <c r="G32" s="23" t="s">
        <v>3881</v>
      </c>
      <c r="H32" s="22" t="str">
        <f>HYPERLINK("#'Abs19. NPCDCS'!A1:C1","Abst 19")</f>
        <v>Abst 19</v>
      </c>
    </row>
    <row r="33" spans="7:8">
      <c r="G33" s="21" t="s">
        <v>1339</v>
      </c>
      <c r="H33" s="22" t="str">
        <f>HYPERLINK("#'Abs20. PMNDP'!A1:C1", "Abst 20")</f>
        <v>Abst 20</v>
      </c>
    </row>
    <row r="34" spans="7:8">
      <c r="G34" s="21" t="s">
        <v>4135</v>
      </c>
      <c r="H34" s="27" t="str">
        <f>HYPERLINK("#'Abs21. NPCCHH'!A4:A5", "Abst 21")</f>
        <v>Abst 21</v>
      </c>
    </row>
    <row r="35" spans="7:8">
      <c r="G35" s="21" t="s">
        <v>3870</v>
      </c>
      <c r="H35" s="22" t="str">
        <f>HYPERLINK("#'Abs22. NPPCD'!A1:C1", "Abst 22")</f>
        <v>Abst 22</v>
      </c>
    </row>
    <row r="36" spans="7:8">
      <c r="G36" s="21" t="s">
        <v>4072</v>
      </c>
      <c r="H36" s="22" t="str">
        <f>HYPERLINK("#'Abs23. NPPCF'!A1:C1", "Abst 23")</f>
        <v>Abst 23</v>
      </c>
    </row>
    <row r="37" spans="7:8">
      <c r="G37" s="21" t="s">
        <v>3871</v>
      </c>
      <c r="H37" s="22" t="str">
        <f>HYPERLINK("#'Abs24. NOHP'!A1:C1", "Abst 24")</f>
        <v>Abst 24</v>
      </c>
    </row>
    <row r="38" spans="7:8">
      <c r="G38" s="21" t="s">
        <v>4073</v>
      </c>
      <c r="H38" s="22" t="str">
        <f>HYPERLINK("#'Abs25. NPPC'!A1:C1", "Abst 25")</f>
        <v>Abst 25</v>
      </c>
    </row>
    <row r="39" spans="7:8">
      <c r="G39" s="21" t="s">
        <v>3892</v>
      </c>
      <c r="H39" s="22" t="str">
        <f>HYPERLINK("#'Abs26. Burns &amp; Injury'!A1:C1", "Abst 26")</f>
        <v>Abst 26</v>
      </c>
    </row>
  </sheetData>
  <sheetProtection formatCells="0" autoFilter="0"/>
  <mergeCells count="3">
    <mergeCell ref="C1:D1"/>
    <mergeCell ref="E1:F1"/>
    <mergeCell ref="A1:B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2"/>
  <dimension ref="A1:BA81"/>
  <sheetViews>
    <sheetView zoomScale="80" zoomScaleNormal="80" workbookViewId="0">
      <pane xSplit="5" ySplit="7" topLeftCell="F8" activePane="bottomRight" state="frozen"/>
      <selection activeCell="Q172" sqref="A1:BE179"/>
      <selection pane="topRight" activeCell="Q172" sqref="A1:BE179"/>
      <selection pane="bottomLeft" activeCell="Q172" sqref="A1:BE179"/>
      <selection pane="bottomRight" activeCell="K11" sqref="K11"/>
    </sheetView>
  </sheetViews>
  <sheetFormatPr defaultColWidth="9.140625" defaultRowHeight="16.5"/>
  <cols>
    <col min="1" max="1" width="13.7109375" style="1652" customWidth="1"/>
    <col min="2" max="2" width="9.140625" style="1652" customWidth="1"/>
    <col min="3" max="3" width="50.28515625" style="1652" customWidth="1"/>
    <col min="4" max="4" width="9.140625" style="1567" bestFit="1" customWidth="1"/>
    <col min="5" max="5" width="11.140625" style="1567" customWidth="1"/>
    <col min="6" max="6" width="13.28515625" style="1567" customWidth="1"/>
    <col min="7" max="7" width="14.42578125" style="1567" hidden="1" customWidth="1"/>
    <col min="8" max="8" width="11.7109375" style="1567" hidden="1" customWidth="1"/>
    <col min="9" max="9" width="17.42578125" style="1567" hidden="1" customWidth="1"/>
    <col min="10" max="10" width="15.28515625" style="1567" hidden="1" customWidth="1"/>
    <col min="11" max="11" width="15.28515625" style="1567" customWidth="1"/>
    <col min="12" max="12" width="11" style="1567" customWidth="1"/>
    <col min="13" max="13" width="11.42578125" style="1653" customWidth="1"/>
    <col min="14" max="14" width="10.28515625" style="1567" customWidth="1"/>
    <col min="15" max="15" width="13.5703125" style="1653" customWidth="1"/>
    <col min="16" max="16" width="62.42578125" style="1652" customWidth="1"/>
    <col min="17" max="17" width="34.7109375" style="1652" hidden="1" customWidth="1"/>
    <col min="18" max="18" width="11.85546875" style="1653" hidden="1" customWidth="1"/>
    <col min="19" max="19" width="10" style="1560" hidden="1" customWidth="1"/>
    <col min="20" max="22" width="6.28515625" style="1560" hidden="1" customWidth="1"/>
    <col min="23" max="23" width="6.7109375" style="1560" hidden="1" customWidth="1"/>
    <col min="24" max="24" width="8.140625" style="1560" hidden="1" customWidth="1"/>
    <col min="25" max="25" width="9.42578125" style="1560" hidden="1" customWidth="1"/>
    <col min="26" max="26" width="14.42578125" style="1560" hidden="1" customWidth="1"/>
    <col min="27" max="27" width="6.28515625" style="1560" hidden="1" customWidth="1"/>
    <col min="28" max="28" width="11.28515625" style="1560" hidden="1" customWidth="1"/>
    <col min="29" max="30" width="6.7109375" style="1560" hidden="1" customWidth="1"/>
    <col min="31" max="32" width="18.140625" style="1560" hidden="1" customWidth="1"/>
    <col min="33" max="34" width="11" style="1560" hidden="1" customWidth="1"/>
    <col min="35" max="35" width="10.42578125" style="1560" hidden="1" customWidth="1"/>
    <col min="36" max="36" width="9.85546875" style="1560" hidden="1" customWidth="1"/>
    <col min="37" max="38" width="10.85546875" style="1560" hidden="1" customWidth="1"/>
    <col min="39" max="39" width="12.140625" style="1560" hidden="1" customWidth="1"/>
    <col min="40" max="40" width="7.85546875" style="1560" hidden="1" customWidth="1"/>
    <col min="41" max="41" width="12.5703125" style="1560" hidden="1" customWidth="1"/>
    <col min="42" max="43" width="8.5703125" style="1560" hidden="1" customWidth="1"/>
    <col min="44" max="45" width="10.85546875" style="1560" hidden="1" customWidth="1"/>
    <col min="46" max="46" width="0" style="1560" hidden="1" customWidth="1"/>
    <col min="47" max="47" width="8.7109375" style="1560" hidden="1" customWidth="1"/>
    <col min="48" max="48" width="0" style="1560" hidden="1" customWidth="1"/>
    <col min="49" max="49" width="9.5703125" style="1560" hidden="1" customWidth="1"/>
    <col min="50" max="50" width="10.85546875" style="1560" hidden="1" customWidth="1"/>
    <col min="51" max="51" width="12.5703125" style="1560" hidden="1" customWidth="1"/>
    <col min="52" max="52" width="11.42578125" style="1560" hidden="1" customWidth="1"/>
    <col min="53" max="53" width="12.85546875" style="1560" hidden="1" customWidth="1"/>
    <col min="54" max="54" width="12.85546875" style="1560" bestFit="1" customWidth="1"/>
    <col min="55" max="16384" width="9.140625" style="1560"/>
  </cols>
  <sheetData>
    <row r="1" spans="1:53">
      <c r="A1" s="4309" t="s">
        <v>2133</v>
      </c>
      <c r="B1" s="4309"/>
      <c r="C1" s="4309"/>
      <c r="D1" s="1559"/>
      <c r="E1" s="4311" t="s">
        <v>4709</v>
      </c>
      <c r="F1" s="4294" t="s">
        <v>4707</v>
      </c>
      <c r="G1" s="4294"/>
      <c r="H1" s="4294"/>
      <c r="I1" s="4294"/>
      <c r="J1" s="4294"/>
      <c r="K1" s="4294"/>
      <c r="L1" s="4294"/>
      <c r="M1" s="4294"/>
      <c r="N1" s="4294"/>
      <c r="O1" s="4303" t="s">
        <v>70</v>
      </c>
      <c r="P1" s="4304"/>
      <c r="Q1" s="4304"/>
      <c r="R1" s="4304"/>
      <c r="S1" s="4304"/>
      <c r="T1" s="4304"/>
      <c r="U1" s="4304"/>
      <c r="V1" s="4304"/>
      <c r="W1" s="4304"/>
      <c r="X1" s="4304"/>
      <c r="Y1" s="4304"/>
      <c r="Z1" s="4304"/>
      <c r="AA1" s="4304"/>
      <c r="AB1" s="4304"/>
      <c r="AC1" s="4304"/>
      <c r="AD1" s="4304"/>
      <c r="AE1" s="4304"/>
      <c r="AF1" s="4304"/>
      <c r="AG1" s="4304"/>
      <c r="AH1" s="4305"/>
      <c r="AI1" s="4300" t="s">
        <v>4358</v>
      </c>
      <c r="AJ1" s="4301"/>
      <c r="AK1" s="4301"/>
      <c r="AL1" s="4301"/>
      <c r="AM1" s="4301"/>
      <c r="AN1" s="4301"/>
      <c r="AO1" s="4302"/>
      <c r="AP1" s="4307" t="s">
        <v>85</v>
      </c>
      <c r="AQ1" s="4308"/>
      <c r="AR1" s="4308"/>
      <c r="AS1" s="4308"/>
      <c r="AT1" s="4308"/>
      <c r="AU1" s="4308"/>
      <c r="AV1" s="4308"/>
      <c r="AW1" s="4308"/>
      <c r="AX1" s="4308"/>
      <c r="AY1" s="4308"/>
      <c r="AZ1" s="4308"/>
      <c r="BA1" s="4308"/>
    </row>
    <row r="2" spans="1:53" s="1563" customFormat="1" ht="33">
      <c r="A2" s="4295" t="str">
        <f>HYPERLINK("#Index!A4", "Index Pg")</f>
        <v>Index Pg</v>
      </c>
      <c r="B2" s="1490"/>
      <c r="C2" s="1490"/>
      <c r="D2" s="1490"/>
      <c r="E2" s="4311"/>
      <c r="F2" s="1561" t="s">
        <v>118</v>
      </c>
      <c r="G2" s="1561" t="s">
        <v>131</v>
      </c>
      <c r="H2" s="1561" t="s">
        <v>91</v>
      </c>
      <c r="I2" s="1561" t="s">
        <v>4705</v>
      </c>
      <c r="J2" s="1561" t="s">
        <v>96</v>
      </c>
      <c r="K2" s="1561" t="s">
        <v>4064</v>
      </c>
      <c r="L2" s="1562" t="s">
        <v>4706</v>
      </c>
      <c r="M2" s="1561" t="s">
        <v>4710</v>
      </c>
      <c r="N2" s="1562" t="s">
        <v>208</v>
      </c>
      <c r="O2" s="1360" t="s">
        <v>4357</v>
      </c>
      <c r="P2" s="1361" t="s">
        <v>3848</v>
      </c>
      <c r="Q2" s="1361" t="s">
        <v>4719</v>
      </c>
      <c r="R2" s="1361" t="s">
        <v>4716</v>
      </c>
      <c r="S2" s="1361" t="s">
        <v>4717</v>
      </c>
      <c r="T2" s="1361" t="s">
        <v>4718</v>
      </c>
      <c r="U2" s="1361" t="s">
        <v>4720</v>
      </c>
      <c r="V2" s="1361" t="s">
        <v>4695</v>
      </c>
      <c r="W2" s="1361" t="s">
        <v>4721</v>
      </c>
      <c r="X2" s="1361" t="s">
        <v>33</v>
      </c>
      <c r="Y2" s="1361" t="s">
        <v>4722</v>
      </c>
      <c r="Z2" s="1361" t="s">
        <v>4723</v>
      </c>
      <c r="AA2" s="1361" t="s">
        <v>4713</v>
      </c>
      <c r="AB2" s="1361" t="s">
        <v>742</v>
      </c>
      <c r="AC2" s="1361" t="s">
        <v>4714</v>
      </c>
      <c r="AD2" s="1361" t="s">
        <v>4715</v>
      </c>
      <c r="AE2" s="1361" t="s">
        <v>2379</v>
      </c>
      <c r="AF2" s="1361" t="s">
        <v>4724</v>
      </c>
      <c r="AG2" s="1361" t="s">
        <v>3847</v>
      </c>
      <c r="AH2" s="1361" t="s">
        <v>307</v>
      </c>
      <c r="AI2" s="1362" t="s">
        <v>293</v>
      </c>
      <c r="AJ2" s="1362" t="s">
        <v>114</v>
      </c>
      <c r="AK2" s="1362" t="s">
        <v>146</v>
      </c>
      <c r="AL2" s="1362" t="s">
        <v>4674</v>
      </c>
      <c r="AM2" s="1362" t="s">
        <v>3316</v>
      </c>
      <c r="AN2" s="1362" t="s">
        <v>3986</v>
      </c>
      <c r="AO2" s="1362" t="s">
        <v>4544</v>
      </c>
      <c r="AP2" s="1363" t="s">
        <v>86</v>
      </c>
      <c r="AQ2" s="1363" t="s">
        <v>150</v>
      </c>
      <c r="AR2" s="1363" t="s">
        <v>399</v>
      </c>
      <c r="AS2" s="1363" t="s">
        <v>152</v>
      </c>
      <c r="AT2" s="1363" t="s">
        <v>415</v>
      </c>
      <c r="AU2" s="1363" t="s">
        <v>4598</v>
      </c>
      <c r="AV2" s="1363" t="s">
        <v>4124</v>
      </c>
      <c r="AW2" s="1364" t="s">
        <v>312</v>
      </c>
      <c r="AX2" s="1365" t="s">
        <v>314</v>
      </c>
      <c r="AY2" s="1365" t="s">
        <v>1034</v>
      </c>
      <c r="AZ2" s="1365" t="s">
        <v>1020</v>
      </c>
      <c r="BA2" s="1365" t="s">
        <v>4708</v>
      </c>
    </row>
    <row r="3" spans="1:53" s="1566" customFormat="1">
      <c r="A3" s="4296"/>
      <c r="B3" s="1366" t="str">
        <f>HYPERLINK("#'Budget Summary I'!A1:AL1", "Budget Summary I")</f>
        <v>Budget Summary I</v>
      </c>
      <c r="C3" s="1367" t="s">
        <v>4599</v>
      </c>
      <c r="D3" s="1484"/>
      <c r="E3" s="1564">
        <f>R7</f>
        <v>0</v>
      </c>
      <c r="F3" s="1484">
        <f>R34+R35+R36+R37+R38</f>
        <v>0</v>
      </c>
      <c r="G3" s="1484">
        <f>R56</f>
        <v>0</v>
      </c>
      <c r="H3" s="1484">
        <f>R20</f>
        <v>0</v>
      </c>
      <c r="I3" s="1484">
        <f>R21+R39+R40</f>
        <v>0</v>
      </c>
      <c r="J3" s="1484">
        <f>R22+R23</f>
        <v>0</v>
      </c>
      <c r="K3" s="1565"/>
      <c r="L3" s="1484">
        <f>R25+R26+R27+R28+R43+R44</f>
        <v>0</v>
      </c>
      <c r="M3" s="1484">
        <f>R41+R42</f>
        <v>0</v>
      </c>
      <c r="N3" s="1565"/>
      <c r="O3" s="1565"/>
      <c r="P3" s="1565"/>
      <c r="Q3" s="1565"/>
      <c r="R3" s="1565"/>
      <c r="S3" s="1565">
        <f>R10+R11+R13+R14+R24+R30</f>
        <v>0</v>
      </c>
      <c r="T3" s="1565"/>
      <c r="U3" s="1565"/>
      <c r="V3" s="1565"/>
      <c r="W3" s="1565"/>
      <c r="X3" s="1565"/>
      <c r="Y3" s="1565"/>
      <c r="Z3" s="1565"/>
      <c r="AA3" s="1565"/>
      <c r="AB3" s="1565"/>
      <c r="AC3" s="1565"/>
      <c r="AD3" s="1565"/>
      <c r="AE3" s="1565"/>
      <c r="AF3" s="1565">
        <f>R16</f>
        <v>0</v>
      </c>
      <c r="AG3" s="1565"/>
      <c r="AH3" s="1565">
        <f>R18+R65</f>
        <v>0</v>
      </c>
      <c r="AI3" s="1565"/>
      <c r="AJ3" s="1565">
        <f>R29+R53</f>
        <v>0</v>
      </c>
      <c r="AK3" s="1565">
        <f>R48</f>
        <v>0</v>
      </c>
      <c r="AL3" s="1565">
        <f>R54</f>
        <v>0</v>
      </c>
      <c r="AM3" s="1565">
        <f>R45</f>
        <v>0</v>
      </c>
      <c r="AN3" s="1565"/>
      <c r="AO3" s="1565"/>
      <c r="AP3" s="1565">
        <f>R17+R50+R57+R58</f>
        <v>0</v>
      </c>
      <c r="AQ3" s="1565">
        <f>R49</f>
        <v>0</v>
      </c>
      <c r="AR3" s="1565">
        <f>R52</f>
        <v>0</v>
      </c>
      <c r="AS3" s="1565">
        <f>R51+R60+R61+R62+R63+R64</f>
        <v>0</v>
      </c>
      <c r="AT3" s="1565">
        <f>R47</f>
        <v>0</v>
      </c>
      <c r="AU3" s="1565"/>
      <c r="AV3" s="1565"/>
      <c r="AW3" s="1565"/>
      <c r="AX3" s="1565"/>
      <c r="AY3" s="1565"/>
      <c r="AZ3" s="1565"/>
      <c r="BA3" s="1565"/>
    </row>
    <row r="4" spans="1:53" s="1566" customFormat="1">
      <c r="A4" s="4297"/>
      <c r="B4" s="1366" t="str">
        <f>HYPERLINK("#'Budget Summary II'!A3:B5", "Budget Summary II")</f>
        <v>Budget Summary II</v>
      </c>
      <c r="C4" s="1367" t="s">
        <v>4600</v>
      </c>
      <c r="D4" s="1565"/>
      <c r="E4" s="1564">
        <f>O7</f>
        <v>10479.038322100001</v>
      </c>
      <c r="F4" s="1484">
        <f>O34+O35+O36+O37+O38</f>
        <v>37.26</v>
      </c>
      <c r="G4" s="1484">
        <f>O56</f>
        <v>0</v>
      </c>
      <c r="H4" s="1484">
        <f>O20</f>
        <v>107.26991389999999</v>
      </c>
      <c r="I4" s="1484">
        <f>O21+O39+O40</f>
        <v>398.40000000000003</v>
      </c>
      <c r="J4" s="1484">
        <f>O22+O23</f>
        <v>2914.3080850000001</v>
      </c>
      <c r="K4" s="1565"/>
      <c r="L4" s="1484">
        <f>O25+O26+O27+O28+O43+O44</f>
        <v>6076.2779232000003</v>
      </c>
      <c r="M4" s="1484">
        <f>O41+O42</f>
        <v>0</v>
      </c>
      <c r="N4" s="1565"/>
      <c r="O4" s="1565"/>
      <c r="P4" s="1565"/>
      <c r="Q4" s="1565"/>
      <c r="R4" s="1565"/>
      <c r="S4" s="1565">
        <f>O10+O11+O13+O14+O24+O30</f>
        <v>144</v>
      </c>
      <c r="T4" s="1565"/>
      <c r="U4" s="1565"/>
      <c r="V4" s="1565"/>
      <c r="W4" s="1565"/>
      <c r="X4" s="1565"/>
      <c r="Y4" s="1565"/>
      <c r="Z4" s="1565"/>
      <c r="AA4" s="1565"/>
      <c r="AB4" s="1565"/>
      <c r="AC4" s="1565"/>
      <c r="AD4" s="1565"/>
      <c r="AE4" s="1565"/>
      <c r="AF4" s="1565">
        <f>O16</f>
        <v>0</v>
      </c>
      <c r="AG4" s="1565"/>
      <c r="AH4" s="1565">
        <f>O18+O65</f>
        <v>0</v>
      </c>
      <c r="AI4" s="1565"/>
      <c r="AJ4" s="1565">
        <f>O29+O53</f>
        <v>77.601599999999991</v>
      </c>
      <c r="AK4" s="1565">
        <f>O48</f>
        <v>15</v>
      </c>
      <c r="AL4" s="1565">
        <f>O54</f>
        <v>109.27079999999999</v>
      </c>
      <c r="AM4" s="1565">
        <f>O45</f>
        <v>0</v>
      </c>
      <c r="AN4" s="1565"/>
      <c r="AO4" s="1565"/>
      <c r="AP4" s="1565">
        <f>O17+O50+O57+O58</f>
        <v>386</v>
      </c>
      <c r="AQ4" s="1565">
        <f>O49</f>
        <v>7.75</v>
      </c>
      <c r="AR4" s="1565">
        <f>O52</f>
        <v>0</v>
      </c>
      <c r="AS4" s="1565">
        <f>O51+O60+O61+O62+O63+O64</f>
        <v>205.9</v>
      </c>
      <c r="AT4" s="1565">
        <f>O47</f>
        <v>0</v>
      </c>
      <c r="AU4" s="1565"/>
      <c r="AV4" s="1565"/>
      <c r="AW4" s="1565"/>
      <c r="AX4" s="1565"/>
      <c r="AY4" s="1565"/>
      <c r="AZ4" s="1565"/>
      <c r="BA4" s="1565"/>
    </row>
    <row r="5" spans="1:53" s="1567" customFormat="1">
      <c r="A5" s="4293" t="s">
        <v>53</v>
      </c>
      <c r="B5" s="4293" t="s">
        <v>54</v>
      </c>
      <c r="C5" s="4293" t="s">
        <v>55</v>
      </c>
      <c r="D5" s="4293" t="s">
        <v>56</v>
      </c>
      <c r="E5" s="4293" t="s">
        <v>57</v>
      </c>
      <c r="F5" s="4310" t="s">
        <v>4620</v>
      </c>
      <c r="G5" s="4310"/>
      <c r="H5" s="4310"/>
      <c r="I5" s="4310"/>
      <c r="J5" s="4310"/>
      <c r="K5" s="4312" t="s">
        <v>4631</v>
      </c>
      <c r="L5" s="4313"/>
      <c r="M5" s="4313"/>
      <c r="N5" s="4313"/>
      <c r="O5" s="4313"/>
      <c r="P5" s="4313"/>
      <c r="Q5" s="4306" t="s">
        <v>4661</v>
      </c>
      <c r="R5" s="4306"/>
    </row>
    <row r="6" spans="1:53" s="1567" customFormat="1" ht="48.75" customHeight="1">
      <c r="A6" s="4293"/>
      <c r="B6" s="4293"/>
      <c r="C6" s="4293"/>
      <c r="D6" s="4293"/>
      <c r="E6" s="4293"/>
      <c r="F6" s="1372" t="s">
        <v>4621</v>
      </c>
      <c r="G6" s="1372" t="s">
        <v>4629</v>
      </c>
      <c r="H6" s="1372" t="s">
        <v>4622</v>
      </c>
      <c r="I6" s="1372" t="s">
        <v>4630</v>
      </c>
      <c r="J6" s="1372" t="s">
        <v>2534</v>
      </c>
      <c r="K6" s="1373" t="s">
        <v>58</v>
      </c>
      <c r="L6" s="1373" t="s">
        <v>59</v>
      </c>
      <c r="M6" s="1374" t="s">
        <v>60</v>
      </c>
      <c r="N6" s="1373" t="s">
        <v>61</v>
      </c>
      <c r="O6" s="1374" t="s">
        <v>62</v>
      </c>
      <c r="P6" s="1568" t="s">
        <v>5564</v>
      </c>
      <c r="Q6" s="1569" t="s">
        <v>2536</v>
      </c>
      <c r="R6" s="1570" t="s">
        <v>4662</v>
      </c>
    </row>
    <row r="7" spans="1:53">
      <c r="A7" s="1571">
        <v>2</v>
      </c>
      <c r="B7" s="1572"/>
      <c r="C7" s="1571" t="s">
        <v>6</v>
      </c>
      <c r="D7" s="1573"/>
      <c r="E7" s="1573"/>
      <c r="F7" s="1573"/>
      <c r="G7" s="1573"/>
      <c r="H7" s="1573"/>
      <c r="I7" s="1573"/>
      <c r="J7" s="1573"/>
      <c r="K7" s="1573"/>
      <c r="L7" s="1573"/>
      <c r="M7" s="1382"/>
      <c r="N7" s="1573"/>
      <c r="O7" s="1382">
        <f>O8+O19+O31</f>
        <v>10479.038322100001</v>
      </c>
      <c r="P7" s="1574"/>
      <c r="Q7" s="1575"/>
      <c r="R7" s="1576">
        <f>R8+R19+R31</f>
        <v>0</v>
      </c>
    </row>
    <row r="8" spans="1:53">
      <c r="A8" s="1387">
        <v>2.1</v>
      </c>
      <c r="B8" s="1386"/>
      <c r="C8" s="1387" t="s">
        <v>7</v>
      </c>
      <c r="D8" s="1388"/>
      <c r="E8" s="1388"/>
      <c r="F8" s="1388"/>
      <c r="G8" s="1388"/>
      <c r="H8" s="1388"/>
      <c r="I8" s="1388"/>
      <c r="J8" s="1388"/>
      <c r="K8" s="1388"/>
      <c r="L8" s="1388"/>
      <c r="M8" s="1577"/>
      <c r="N8" s="1388"/>
      <c r="O8" s="1577">
        <f>O9+O12+O15</f>
        <v>144</v>
      </c>
      <c r="P8" s="1578"/>
      <c r="Q8" s="1579"/>
      <c r="R8" s="1580">
        <f>R9+R12+R15</f>
        <v>0</v>
      </c>
    </row>
    <row r="9" spans="1:53">
      <c r="A9" s="1581" t="s">
        <v>64</v>
      </c>
      <c r="B9" s="1398" t="s">
        <v>65</v>
      </c>
      <c r="C9" s="1399" t="s">
        <v>66</v>
      </c>
      <c r="D9" s="1582"/>
      <c r="E9" s="1582"/>
      <c r="F9" s="1582"/>
      <c r="G9" s="1582"/>
      <c r="H9" s="1582"/>
      <c r="I9" s="1582"/>
      <c r="J9" s="1582"/>
      <c r="K9" s="1582"/>
      <c r="L9" s="1582"/>
      <c r="M9" s="1583"/>
      <c r="N9" s="1582"/>
      <c r="O9" s="1403">
        <f>SUM(O10:O11)</f>
        <v>144</v>
      </c>
      <c r="P9" s="1584"/>
      <c r="Q9" s="1585"/>
      <c r="R9" s="1586">
        <f>SUM(R10:R11)</f>
        <v>0</v>
      </c>
    </row>
    <row r="10" spans="1:53">
      <c r="A10" s="1587" t="s">
        <v>67</v>
      </c>
      <c r="B10" s="1453" t="s">
        <v>68</v>
      </c>
      <c r="C10" s="1453" t="s">
        <v>69</v>
      </c>
      <c r="D10" s="1360" t="s">
        <v>70</v>
      </c>
      <c r="E10" s="1588" t="s">
        <v>4717</v>
      </c>
      <c r="F10" s="1418"/>
      <c r="G10" s="1418"/>
      <c r="H10" s="1418"/>
      <c r="I10" s="1418"/>
      <c r="J10" s="1418"/>
      <c r="K10" s="1589"/>
      <c r="L10" s="1418"/>
      <c r="M10" s="1412">
        <f>L10/100000</f>
        <v>0</v>
      </c>
      <c r="N10" s="1418"/>
      <c r="O10" s="1412">
        <f>M10*N10</f>
        <v>0</v>
      </c>
      <c r="P10" s="1590"/>
      <c r="Q10" s="1591"/>
      <c r="R10" s="1592"/>
    </row>
    <row r="11" spans="1:53" s="4172" customFormat="1" ht="181.5">
      <c r="A11" s="4160" t="s">
        <v>71</v>
      </c>
      <c r="B11" s="4161" t="s">
        <v>72</v>
      </c>
      <c r="C11" s="4161" t="s">
        <v>73</v>
      </c>
      <c r="D11" s="4162" t="s">
        <v>70</v>
      </c>
      <c r="E11" s="4163" t="s">
        <v>4717</v>
      </c>
      <c r="F11" s="4164"/>
      <c r="G11" s="4165"/>
      <c r="H11" s="4166"/>
      <c r="I11" s="4166"/>
      <c r="J11" s="4167"/>
      <c r="K11" s="4168" t="s">
        <v>6066</v>
      </c>
      <c r="L11" s="3699">
        <v>200000</v>
      </c>
      <c r="M11" s="3700">
        <f>L11/100000</f>
        <v>2</v>
      </c>
      <c r="N11" s="3699">
        <v>72</v>
      </c>
      <c r="O11" s="3700">
        <f>M11*N11</f>
        <v>144</v>
      </c>
      <c r="P11" s="4169" t="s">
        <v>6933</v>
      </c>
      <c r="Q11" s="4170"/>
      <c r="R11" s="4171"/>
    </row>
    <row r="12" spans="1:53" ht="33">
      <c r="A12" s="1581" t="s">
        <v>74</v>
      </c>
      <c r="B12" s="1398" t="s">
        <v>75</v>
      </c>
      <c r="C12" s="1399" t="s">
        <v>76</v>
      </c>
      <c r="D12" s="1582"/>
      <c r="E12" s="1582"/>
      <c r="F12" s="1596"/>
      <c r="G12" s="1596"/>
      <c r="H12" s="1596"/>
      <c r="I12" s="1596"/>
      <c r="J12" s="1596"/>
      <c r="K12" s="1596"/>
      <c r="L12" s="1596"/>
      <c r="M12" s="1583"/>
      <c r="N12" s="1596"/>
      <c r="O12" s="1403">
        <f>SUM(O13:O14)</f>
        <v>0</v>
      </c>
      <c r="P12" s="1597"/>
      <c r="Q12" s="1585"/>
      <c r="R12" s="1586">
        <f>SUM(R13:R14)</f>
        <v>0</v>
      </c>
    </row>
    <row r="13" spans="1:53">
      <c r="A13" s="1587" t="s">
        <v>77</v>
      </c>
      <c r="B13" s="1598" t="s">
        <v>78</v>
      </c>
      <c r="C13" s="1598" t="s">
        <v>69</v>
      </c>
      <c r="D13" s="1360" t="s">
        <v>70</v>
      </c>
      <c r="E13" s="1588" t="s">
        <v>4717</v>
      </c>
      <c r="F13" s="1593"/>
      <c r="G13" s="1593"/>
      <c r="H13" s="1594"/>
      <c r="I13" s="1594"/>
      <c r="J13" s="1593"/>
      <c r="K13" s="1593"/>
      <c r="L13" s="1418"/>
      <c r="M13" s="1412">
        <f>L13/100000</f>
        <v>0</v>
      </c>
      <c r="N13" s="1418"/>
      <c r="O13" s="1412">
        <f>M13*N13</f>
        <v>0</v>
      </c>
      <c r="P13" s="1343"/>
      <c r="Q13" s="1591"/>
      <c r="R13" s="1592"/>
    </row>
    <row r="14" spans="1:53">
      <c r="A14" s="1587" t="s">
        <v>79</v>
      </c>
      <c r="B14" s="1598" t="s">
        <v>80</v>
      </c>
      <c r="C14" s="1598" t="s">
        <v>73</v>
      </c>
      <c r="D14" s="1360" t="s">
        <v>70</v>
      </c>
      <c r="E14" s="1588" t="s">
        <v>4717</v>
      </c>
      <c r="F14" s="1593"/>
      <c r="G14" s="1599"/>
      <c r="H14" s="1594"/>
      <c r="I14" s="1594"/>
      <c r="J14" s="1593"/>
      <c r="K14" s="1593"/>
      <c r="L14" s="1418"/>
      <c r="M14" s="1412">
        <f>L14/100000</f>
        <v>0</v>
      </c>
      <c r="N14" s="1418"/>
      <c r="O14" s="1412">
        <f>M14*N14</f>
        <v>0</v>
      </c>
      <c r="P14" s="1343"/>
      <c r="Q14" s="1591"/>
      <c r="R14" s="1592"/>
    </row>
    <row r="15" spans="1:53">
      <c r="A15" s="1581" t="s">
        <v>81</v>
      </c>
      <c r="B15" s="1398"/>
      <c r="C15" s="1399" t="s">
        <v>2684</v>
      </c>
      <c r="D15" s="1582"/>
      <c r="E15" s="1582"/>
      <c r="F15" s="1596"/>
      <c r="G15" s="1596"/>
      <c r="H15" s="1596"/>
      <c r="I15" s="1596"/>
      <c r="J15" s="1596"/>
      <c r="K15" s="1596"/>
      <c r="L15" s="1596"/>
      <c r="M15" s="1583"/>
      <c r="N15" s="1596"/>
      <c r="O15" s="1403">
        <f>SUM(O16:O18)</f>
        <v>0</v>
      </c>
      <c r="P15" s="1597"/>
      <c r="Q15" s="1585"/>
      <c r="R15" s="1586">
        <f>SUM(R16:R18)</f>
        <v>0</v>
      </c>
    </row>
    <row r="16" spans="1:53" ht="33">
      <c r="A16" s="1600" t="s">
        <v>2685</v>
      </c>
      <c r="B16" s="1453" t="s">
        <v>82</v>
      </c>
      <c r="C16" s="1407" t="s">
        <v>4077</v>
      </c>
      <c r="D16" s="1360" t="s">
        <v>70</v>
      </c>
      <c r="E16" s="1473" t="s">
        <v>2087</v>
      </c>
      <c r="F16" s="1593"/>
      <c r="G16" s="1593"/>
      <c r="H16" s="1594"/>
      <c r="I16" s="1594"/>
      <c r="J16" s="1595"/>
      <c r="K16" s="1593"/>
      <c r="L16" s="1418"/>
      <c r="M16" s="1412">
        <f>L16/100000</f>
        <v>0</v>
      </c>
      <c r="N16" s="1418"/>
      <c r="O16" s="1412">
        <f>M16*N16</f>
        <v>0</v>
      </c>
      <c r="P16" s="1343"/>
      <c r="Q16" s="1601">
        <f>'Abs5. Blood services &amp; Disorder'!Q10</f>
        <v>0</v>
      </c>
      <c r="R16" s="1602">
        <f>'Abs5. Blood services &amp; Disorder'!R10</f>
        <v>0</v>
      </c>
    </row>
    <row r="17" spans="1:18">
      <c r="A17" s="1600" t="s">
        <v>2686</v>
      </c>
      <c r="B17" s="1453" t="s">
        <v>83</v>
      </c>
      <c r="C17" s="1453" t="s">
        <v>84</v>
      </c>
      <c r="D17" s="1363" t="s">
        <v>85</v>
      </c>
      <c r="E17" s="1473" t="s">
        <v>86</v>
      </c>
      <c r="F17" s="1410"/>
      <c r="G17" s="1410"/>
      <c r="H17" s="1410"/>
      <c r="I17" s="1410"/>
      <c r="J17" s="1410"/>
      <c r="K17" s="1410"/>
      <c r="L17" s="1418"/>
      <c r="M17" s="1412">
        <f>L17/100000</f>
        <v>0</v>
      </c>
      <c r="N17" s="1418"/>
      <c r="O17" s="1412">
        <f>M17*N17</f>
        <v>0</v>
      </c>
      <c r="P17" s="1343"/>
      <c r="Q17" s="1601">
        <f>'Abs15. NPCB'!Q7</f>
        <v>0</v>
      </c>
      <c r="R17" s="1602">
        <f>'Abs15. NPCB'!R7</f>
        <v>0</v>
      </c>
    </row>
    <row r="18" spans="1:18">
      <c r="A18" s="1600" t="s">
        <v>2687</v>
      </c>
      <c r="B18" s="1603"/>
      <c r="C18" s="1453" t="s">
        <v>1310</v>
      </c>
      <c r="D18" s="1360" t="s">
        <v>70</v>
      </c>
      <c r="E18" s="1473" t="s">
        <v>70</v>
      </c>
      <c r="F18" s="1593"/>
      <c r="G18" s="1593"/>
      <c r="H18" s="1594"/>
      <c r="I18" s="1594"/>
      <c r="J18" s="1593"/>
      <c r="K18" s="1593"/>
      <c r="L18" s="1418"/>
      <c r="M18" s="1412">
        <f>L18/100000</f>
        <v>0</v>
      </c>
      <c r="N18" s="1418"/>
      <c r="O18" s="1412">
        <f>M18*N18</f>
        <v>0</v>
      </c>
      <c r="P18" s="1343"/>
      <c r="Q18" s="1591"/>
      <c r="R18" s="1592"/>
    </row>
    <row r="19" spans="1:18">
      <c r="A19" s="1387">
        <v>2.2000000000000002</v>
      </c>
      <c r="B19" s="1386"/>
      <c r="C19" s="1387" t="s">
        <v>8</v>
      </c>
      <c r="D19" s="1388"/>
      <c r="E19" s="1388"/>
      <c r="F19" s="1604"/>
      <c r="G19" s="1604"/>
      <c r="H19" s="1604"/>
      <c r="I19" s="1604"/>
      <c r="J19" s="1604"/>
      <c r="K19" s="1604"/>
      <c r="L19" s="1604"/>
      <c r="M19" s="1577"/>
      <c r="N19" s="1604"/>
      <c r="O19" s="1577">
        <f>SUM(O20:O30)</f>
        <v>8970.7375221000002</v>
      </c>
      <c r="P19" s="1605"/>
      <c r="Q19" s="1579"/>
      <c r="R19" s="1580">
        <f>SUM(R20:R30)</f>
        <v>0</v>
      </c>
    </row>
    <row r="20" spans="1:18" ht="363">
      <c r="A20" s="1587" t="s">
        <v>87</v>
      </c>
      <c r="B20" s="1606" t="s">
        <v>88</v>
      </c>
      <c r="C20" s="1606" t="s">
        <v>89</v>
      </c>
      <c r="D20" s="1607" t="s">
        <v>90</v>
      </c>
      <c r="E20" s="1473" t="s">
        <v>91</v>
      </c>
      <c r="F20" s="1410">
        <v>2078</v>
      </c>
      <c r="G20" s="1410">
        <v>696</v>
      </c>
      <c r="H20" s="1608">
        <v>86.75</v>
      </c>
      <c r="I20" s="1608">
        <v>7.75</v>
      </c>
      <c r="J20" s="1410"/>
      <c r="K20" s="1410" t="s">
        <v>5972</v>
      </c>
      <c r="L20" s="1410">
        <v>5420.41</v>
      </c>
      <c r="M20" s="1412">
        <f t="shared" ref="M20:M30" si="0">L20/100000</f>
        <v>5.4204099999999998E-2</v>
      </c>
      <c r="N20" s="1418">
        <v>1979</v>
      </c>
      <c r="O20" s="1412">
        <f t="shared" ref="O20:O30" si="1">M20*N20</f>
        <v>107.26991389999999</v>
      </c>
      <c r="P20" s="1823" t="s">
        <v>6762</v>
      </c>
      <c r="Q20" s="1601">
        <f>'Ab1. RMNCH+A'!Q212</f>
        <v>0</v>
      </c>
      <c r="R20" s="1609">
        <f>'Ab1. RMNCH+A'!R212</f>
        <v>0</v>
      </c>
    </row>
    <row r="21" spans="1:18" ht="58.5" customHeight="1">
      <c r="A21" s="1587" t="s">
        <v>92</v>
      </c>
      <c r="B21" s="1606" t="s">
        <v>93</v>
      </c>
      <c r="C21" s="1606" t="s">
        <v>3119</v>
      </c>
      <c r="D21" s="1607" t="s">
        <v>90</v>
      </c>
      <c r="E21" s="1473" t="s">
        <v>193</v>
      </c>
      <c r="F21" s="1410"/>
      <c r="G21" s="1410"/>
      <c r="H21" s="1410"/>
      <c r="I21" s="1410"/>
      <c r="J21" s="1593"/>
      <c r="K21" s="1593"/>
      <c r="L21" s="1418"/>
      <c r="M21" s="1412">
        <f t="shared" si="0"/>
        <v>0</v>
      </c>
      <c r="N21" s="1418"/>
      <c r="O21" s="1412">
        <f t="shared" si="1"/>
        <v>0</v>
      </c>
      <c r="P21" s="1343"/>
      <c r="Q21" s="1601">
        <f>'Ab1. RMNCH+A'!Q295</f>
        <v>0</v>
      </c>
      <c r="R21" s="1609">
        <f>'Ab1. RMNCH+A'!R295</f>
        <v>0</v>
      </c>
    </row>
    <row r="22" spans="1:18" ht="148.5">
      <c r="A22" s="1587" t="s">
        <v>94</v>
      </c>
      <c r="B22" s="1453" t="s">
        <v>95</v>
      </c>
      <c r="C22" s="1453" t="s">
        <v>2688</v>
      </c>
      <c r="D22" s="1607" t="s">
        <v>90</v>
      </c>
      <c r="E22" s="1473" t="s">
        <v>96</v>
      </c>
      <c r="F22" s="1610">
        <v>9780</v>
      </c>
      <c r="G22" s="1610">
        <v>6520</v>
      </c>
      <c r="H22" s="1610">
        <v>2396.4</v>
      </c>
      <c r="I22" s="1610"/>
      <c r="J22" s="1611"/>
      <c r="K22" s="1612" t="s">
        <v>6245</v>
      </c>
      <c r="L22" s="1613">
        <v>353285.9</v>
      </c>
      <c r="M22" s="1412">
        <f t="shared" si="0"/>
        <v>3.5328590000000002</v>
      </c>
      <c r="N22" s="1433">
        <v>815</v>
      </c>
      <c r="O22" s="1412">
        <f t="shared" si="1"/>
        <v>2879.2800850000003</v>
      </c>
      <c r="P22" s="1555" t="s">
        <v>6345</v>
      </c>
      <c r="Q22" s="1601">
        <f>'Ab1. RMNCH+A'!Q349</f>
        <v>0</v>
      </c>
      <c r="R22" s="1609">
        <f>'Ab1. RMNCH+A'!R349</f>
        <v>0</v>
      </c>
    </row>
    <row r="23" spans="1:18" ht="103.5" customHeight="1">
      <c r="A23" s="1587" t="s">
        <v>97</v>
      </c>
      <c r="B23" s="1453" t="s">
        <v>2479</v>
      </c>
      <c r="C23" s="1453" t="s">
        <v>2689</v>
      </c>
      <c r="D23" s="1607" t="s">
        <v>90</v>
      </c>
      <c r="E23" s="1473" t="s">
        <v>96</v>
      </c>
      <c r="F23" s="1610">
        <v>834</v>
      </c>
      <c r="G23" s="1610">
        <v>834</v>
      </c>
      <c r="H23" s="1610">
        <v>50.04</v>
      </c>
      <c r="I23" s="1610"/>
      <c r="J23" s="1610"/>
      <c r="K23" s="1614" t="s">
        <v>6246</v>
      </c>
      <c r="L23" s="1613">
        <v>4200</v>
      </c>
      <c r="M23" s="1412">
        <f t="shared" si="0"/>
        <v>4.2000000000000003E-2</v>
      </c>
      <c r="N23" s="1433">
        <v>834</v>
      </c>
      <c r="O23" s="1412">
        <f t="shared" si="1"/>
        <v>35.027999999999999</v>
      </c>
      <c r="P23" s="1555" t="s">
        <v>6346</v>
      </c>
      <c r="Q23" s="1601">
        <f>'Ab1. RMNCH+A'!Q350</f>
        <v>0</v>
      </c>
      <c r="R23" s="1609">
        <f>'Ab1. RMNCH+A'!R350</f>
        <v>0</v>
      </c>
    </row>
    <row r="24" spans="1:18" ht="49.5">
      <c r="A24" s="1587" t="s">
        <v>99</v>
      </c>
      <c r="B24" s="1453" t="s">
        <v>98</v>
      </c>
      <c r="C24" s="1606" t="s">
        <v>2690</v>
      </c>
      <c r="D24" s="1360" t="s">
        <v>70</v>
      </c>
      <c r="E24" s="1473" t="s">
        <v>4717</v>
      </c>
      <c r="F24" s="1410"/>
      <c r="G24" s="1410"/>
      <c r="H24" s="1410"/>
      <c r="I24" s="1410"/>
      <c r="J24" s="1410"/>
      <c r="K24" s="1410"/>
      <c r="L24" s="1418"/>
      <c r="M24" s="1412">
        <f t="shared" si="0"/>
        <v>0</v>
      </c>
      <c r="N24" s="1418"/>
      <c r="O24" s="1412">
        <f t="shared" si="1"/>
        <v>0</v>
      </c>
      <c r="P24" s="1343"/>
      <c r="Q24" s="1591"/>
      <c r="R24" s="1592"/>
    </row>
    <row r="25" spans="1:18">
      <c r="A25" s="1587" t="s">
        <v>102</v>
      </c>
      <c r="B25" s="1453" t="s">
        <v>100</v>
      </c>
      <c r="C25" s="1453" t="s">
        <v>101</v>
      </c>
      <c r="D25" s="1607" t="s">
        <v>90</v>
      </c>
      <c r="E25" s="1615" t="s">
        <v>205</v>
      </c>
      <c r="F25" s="1593"/>
      <c r="G25" s="1593"/>
      <c r="H25" s="1594"/>
      <c r="I25" s="1594"/>
      <c r="J25" s="1593"/>
      <c r="K25" s="1593"/>
      <c r="L25" s="1418"/>
      <c r="M25" s="1412">
        <f t="shared" si="0"/>
        <v>0</v>
      </c>
      <c r="N25" s="1418"/>
      <c r="O25" s="1412">
        <f t="shared" si="1"/>
        <v>0</v>
      </c>
      <c r="P25" s="1343"/>
      <c r="Q25" s="1601">
        <f>'Ab1. RMNCH+A'!Q398</f>
        <v>0</v>
      </c>
      <c r="R25" s="1609">
        <f>'Ab1. RMNCH+A'!R398</f>
        <v>0</v>
      </c>
    </row>
    <row r="26" spans="1:18" ht="66">
      <c r="A26" s="1587" t="s">
        <v>105</v>
      </c>
      <c r="B26" s="1453" t="s">
        <v>103</v>
      </c>
      <c r="C26" s="1453" t="s">
        <v>104</v>
      </c>
      <c r="D26" s="1607" t="s">
        <v>90</v>
      </c>
      <c r="E26" s="1615" t="s">
        <v>205</v>
      </c>
      <c r="F26" s="1593"/>
      <c r="G26" s="1593"/>
      <c r="H26" s="1594"/>
      <c r="I26" s="1594"/>
      <c r="J26" s="1593"/>
      <c r="K26" s="1410" t="s">
        <v>5854</v>
      </c>
      <c r="L26" s="1410">
        <v>9.1199999999999992</v>
      </c>
      <c r="M26" s="1412">
        <f t="shared" si="0"/>
        <v>9.1199999999999994E-5</v>
      </c>
      <c r="N26" s="1418">
        <v>2703486</v>
      </c>
      <c r="O26" s="1412">
        <f t="shared" si="1"/>
        <v>246.55792319999998</v>
      </c>
      <c r="P26" s="1343" t="s">
        <v>5855</v>
      </c>
      <c r="Q26" s="1601">
        <f>'Ab1. RMNCH+A'!Q399</f>
        <v>0</v>
      </c>
      <c r="R26" s="1609">
        <f>'Ab1. RMNCH+A'!R399</f>
        <v>0</v>
      </c>
    </row>
    <row r="27" spans="1:18" ht="100.5" customHeight="1">
      <c r="A27" s="1587" t="s">
        <v>108</v>
      </c>
      <c r="B27" s="1453" t="s">
        <v>106</v>
      </c>
      <c r="C27" s="1453" t="s">
        <v>107</v>
      </c>
      <c r="D27" s="1607" t="s">
        <v>90</v>
      </c>
      <c r="E27" s="1615" t="s">
        <v>205</v>
      </c>
      <c r="F27" s="1593"/>
      <c r="G27" s="1593"/>
      <c r="H27" s="1608"/>
      <c r="I27" s="1608"/>
      <c r="J27" s="1410"/>
      <c r="K27" s="1410" t="s">
        <v>6571</v>
      </c>
      <c r="L27" s="1410">
        <v>112500000</v>
      </c>
      <c r="M27" s="1412">
        <f t="shared" si="0"/>
        <v>1125</v>
      </c>
      <c r="N27" s="1418">
        <v>5</v>
      </c>
      <c r="O27" s="1412">
        <f t="shared" si="1"/>
        <v>5625</v>
      </c>
      <c r="P27" s="1343" t="s">
        <v>6572</v>
      </c>
      <c r="Q27" s="1601">
        <f>'Ab1. RMNCH+A'!Q400</f>
        <v>0</v>
      </c>
      <c r="R27" s="1609">
        <f>'Ab1. RMNCH+A'!R400</f>
        <v>0</v>
      </c>
    </row>
    <row r="28" spans="1:18">
      <c r="A28" s="1587" t="s">
        <v>111</v>
      </c>
      <c r="B28" s="1606" t="s">
        <v>109</v>
      </c>
      <c r="C28" s="1606" t="s">
        <v>110</v>
      </c>
      <c r="D28" s="1607" t="s">
        <v>90</v>
      </c>
      <c r="E28" s="1615" t="s">
        <v>205</v>
      </c>
      <c r="F28" s="1593"/>
      <c r="G28" s="1593"/>
      <c r="H28" s="1608"/>
      <c r="I28" s="1608"/>
      <c r="J28" s="1410"/>
      <c r="K28" s="1410"/>
      <c r="L28" s="1418"/>
      <c r="M28" s="1412">
        <f t="shared" si="0"/>
        <v>0</v>
      </c>
      <c r="N28" s="1418"/>
      <c r="O28" s="1412">
        <f t="shared" si="1"/>
        <v>0</v>
      </c>
      <c r="P28" s="1343"/>
      <c r="Q28" s="1601">
        <f>'Ab1. RMNCH+A'!Q401</f>
        <v>0</v>
      </c>
      <c r="R28" s="1609">
        <f>'Ab1. RMNCH+A'!R401</f>
        <v>0</v>
      </c>
    </row>
    <row r="29" spans="1:18" ht="66">
      <c r="A29" s="1587" t="s">
        <v>2556</v>
      </c>
      <c r="B29" s="1606" t="s">
        <v>112</v>
      </c>
      <c r="C29" s="1606" t="s">
        <v>2691</v>
      </c>
      <c r="D29" s="1616" t="s">
        <v>4358</v>
      </c>
      <c r="E29" s="1473" t="s">
        <v>4974</v>
      </c>
      <c r="F29" s="1410"/>
      <c r="G29" s="1410"/>
      <c r="H29" s="1410"/>
      <c r="I29" s="1410"/>
      <c r="J29" s="1410"/>
      <c r="K29" s="1617" t="s">
        <v>6115</v>
      </c>
      <c r="L29" s="1618">
        <v>2720</v>
      </c>
      <c r="M29" s="1412">
        <f t="shared" si="0"/>
        <v>2.7199999999999998E-2</v>
      </c>
      <c r="N29" s="1418">
        <v>2853</v>
      </c>
      <c r="O29" s="1412">
        <f t="shared" si="1"/>
        <v>77.601599999999991</v>
      </c>
      <c r="P29" s="1343" t="s">
        <v>6116</v>
      </c>
      <c r="Q29" s="1601">
        <f>'Abs9. NVBDCP'!Q12</f>
        <v>0</v>
      </c>
      <c r="R29" s="1602">
        <f>'Abs9. NVBDCP'!R12</f>
        <v>0</v>
      </c>
    </row>
    <row r="30" spans="1:18">
      <c r="A30" s="1587" t="s">
        <v>2557</v>
      </c>
      <c r="B30" s="1600"/>
      <c r="C30" s="1606" t="s">
        <v>1310</v>
      </c>
      <c r="D30" s="1360" t="s">
        <v>70</v>
      </c>
      <c r="E30" s="1473" t="s">
        <v>4717</v>
      </c>
      <c r="F30" s="1410"/>
      <c r="G30" s="1410"/>
      <c r="H30" s="1410"/>
      <c r="I30" s="1410"/>
      <c r="J30" s="1410"/>
      <c r="K30" s="1410"/>
      <c r="L30" s="1418"/>
      <c r="M30" s="1412">
        <f t="shared" si="0"/>
        <v>0</v>
      </c>
      <c r="N30" s="1418"/>
      <c r="O30" s="1412">
        <f t="shared" si="1"/>
        <v>0</v>
      </c>
      <c r="P30" s="1343"/>
      <c r="Q30" s="1591"/>
      <c r="R30" s="1592"/>
    </row>
    <row r="31" spans="1:18">
      <c r="A31" s="1387">
        <v>2.2999999999999998</v>
      </c>
      <c r="B31" s="1386"/>
      <c r="C31" s="1387" t="s">
        <v>9</v>
      </c>
      <c r="D31" s="1388"/>
      <c r="E31" s="1388"/>
      <c r="F31" s="1604"/>
      <c r="G31" s="1604"/>
      <c r="H31" s="1604"/>
      <c r="I31" s="1604"/>
      <c r="J31" s="1604"/>
      <c r="K31" s="1604"/>
      <c r="L31" s="1604"/>
      <c r="M31" s="1577"/>
      <c r="N31" s="1604"/>
      <c r="O31" s="1577">
        <f>O32+O46+O55+O65</f>
        <v>1364.3008</v>
      </c>
      <c r="P31" s="1605"/>
      <c r="Q31" s="1579"/>
      <c r="R31" s="1580">
        <f>R32+R46+R55+R65</f>
        <v>0</v>
      </c>
    </row>
    <row r="32" spans="1:18">
      <c r="A32" s="1581" t="s">
        <v>115</v>
      </c>
      <c r="B32" s="1581"/>
      <c r="C32" s="1581" t="s">
        <v>2693</v>
      </c>
      <c r="D32" s="1619"/>
      <c r="E32" s="1619"/>
      <c r="F32" s="1620"/>
      <c r="G32" s="1620"/>
      <c r="H32" s="1620"/>
      <c r="I32" s="1620"/>
      <c r="J32" s="1620"/>
      <c r="K32" s="1620"/>
      <c r="L32" s="1620"/>
      <c r="M32" s="1403"/>
      <c r="N32" s="1620"/>
      <c r="O32" s="1403">
        <f>O33+SUM(O36:O45)</f>
        <v>640.38000000000011</v>
      </c>
      <c r="P32" s="1597"/>
      <c r="Q32" s="1585"/>
      <c r="R32" s="1586">
        <f>R33+SUM(R36:R45)</f>
        <v>0</v>
      </c>
    </row>
    <row r="33" spans="1:18" s="1628" customFormat="1" ht="66">
      <c r="A33" s="1621" t="s">
        <v>2682</v>
      </c>
      <c r="B33" s="1621" t="s">
        <v>116</v>
      </c>
      <c r="C33" s="1621" t="s">
        <v>117</v>
      </c>
      <c r="D33" s="1622"/>
      <c r="E33" s="1622"/>
      <c r="F33" s="1623"/>
      <c r="G33" s="1623"/>
      <c r="H33" s="1623"/>
      <c r="I33" s="1623"/>
      <c r="J33" s="1623"/>
      <c r="K33" s="1623"/>
      <c r="L33" s="1623"/>
      <c r="M33" s="1624"/>
      <c r="N33" s="1623"/>
      <c r="O33" s="1624">
        <f>SUM(O34:O35)</f>
        <v>0</v>
      </c>
      <c r="P33" s="1625"/>
      <c r="Q33" s="1626"/>
      <c r="R33" s="1627">
        <f>SUM(R34:R35)</f>
        <v>0</v>
      </c>
    </row>
    <row r="34" spans="1:18">
      <c r="A34" s="1587" t="s">
        <v>4160</v>
      </c>
      <c r="B34" s="1629" t="s">
        <v>120</v>
      </c>
      <c r="C34" s="1453" t="s">
        <v>121</v>
      </c>
      <c r="D34" s="1607" t="s">
        <v>90</v>
      </c>
      <c r="E34" s="1473" t="s">
        <v>118</v>
      </c>
      <c r="F34" s="1410"/>
      <c r="G34" s="1410"/>
      <c r="H34" s="1410"/>
      <c r="I34" s="1410"/>
      <c r="J34" s="1410"/>
      <c r="K34" s="1410"/>
      <c r="L34" s="1418"/>
      <c r="M34" s="1412">
        <f t="shared" ref="M34:M45" si="2">L34/100000</f>
        <v>0</v>
      </c>
      <c r="N34" s="1418"/>
      <c r="O34" s="1412">
        <f t="shared" ref="O34:O45" si="3">M34*N34</f>
        <v>0</v>
      </c>
      <c r="P34" s="1343"/>
      <c r="Q34" s="1601">
        <f>'Ab1. RMNCH+A'!Q21</f>
        <v>0</v>
      </c>
      <c r="R34" s="1609">
        <f>'Ab1. RMNCH+A'!R21</f>
        <v>0</v>
      </c>
    </row>
    <row r="35" spans="1:18">
      <c r="A35" s="1587" t="s">
        <v>4161</v>
      </c>
      <c r="B35" s="1453" t="s">
        <v>123</v>
      </c>
      <c r="C35" s="1453" t="s">
        <v>124</v>
      </c>
      <c r="D35" s="1607" t="s">
        <v>90</v>
      </c>
      <c r="E35" s="1473" t="s">
        <v>118</v>
      </c>
      <c r="F35" s="1410"/>
      <c r="G35" s="1410"/>
      <c r="H35" s="1410"/>
      <c r="I35" s="1410"/>
      <c r="J35" s="1410"/>
      <c r="K35" s="1410"/>
      <c r="L35" s="1418"/>
      <c r="M35" s="1412">
        <f t="shared" si="2"/>
        <v>0</v>
      </c>
      <c r="N35" s="1418"/>
      <c r="O35" s="1412">
        <f t="shared" si="3"/>
        <v>0</v>
      </c>
      <c r="P35" s="1343"/>
      <c r="Q35" s="1601">
        <f>'Ab1. RMNCH+A'!Q22</f>
        <v>0</v>
      </c>
      <c r="R35" s="1609">
        <f>'Ab1. RMNCH+A'!R22</f>
        <v>0</v>
      </c>
    </row>
    <row r="36" spans="1:18" ht="82.5">
      <c r="A36" s="1587" t="s">
        <v>2683</v>
      </c>
      <c r="B36" s="1606" t="s">
        <v>126</v>
      </c>
      <c r="C36" s="1606" t="s">
        <v>127</v>
      </c>
      <c r="D36" s="1607" t="s">
        <v>90</v>
      </c>
      <c r="E36" s="1473" t="s">
        <v>118</v>
      </c>
      <c r="F36" s="1589">
        <v>50000</v>
      </c>
      <c r="G36" s="1630"/>
      <c r="H36" s="1631">
        <f>5000000/100000</f>
        <v>50</v>
      </c>
      <c r="I36" s="1631">
        <f>759930/100000</f>
        <v>7.5993000000000004</v>
      </c>
      <c r="J36" s="1632"/>
      <c r="K36" s="3480" t="s">
        <v>6223</v>
      </c>
      <c r="L36" s="1589">
        <v>100</v>
      </c>
      <c r="M36" s="1458">
        <f t="shared" si="2"/>
        <v>1E-3</v>
      </c>
      <c r="N36" s="1589">
        <v>37260</v>
      </c>
      <c r="O36" s="1458">
        <f t="shared" si="3"/>
        <v>37.26</v>
      </c>
      <c r="P36" s="3347" t="s">
        <v>6729</v>
      </c>
      <c r="Q36" s="1601">
        <f>'Ab1. RMNCH+A'!Q23</f>
        <v>0</v>
      </c>
      <c r="R36" s="1609">
        <f>'Ab1. RMNCH+A'!R23</f>
        <v>0</v>
      </c>
    </row>
    <row r="37" spans="1:18">
      <c r="A37" s="1587" t="s">
        <v>2694</v>
      </c>
      <c r="B37" s="1606" t="s">
        <v>128</v>
      </c>
      <c r="C37" s="1606" t="s">
        <v>129</v>
      </c>
      <c r="D37" s="1607" t="s">
        <v>90</v>
      </c>
      <c r="E37" s="1473" t="s">
        <v>118</v>
      </c>
      <c r="F37" s="1410"/>
      <c r="G37" s="1410"/>
      <c r="H37" s="1410"/>
      <c r="I37" s="1410"/>
      <c r="J37" s="1410"/>
      <c r="K37" s="1410"/>
      <c r="L37" s="1418"/>
      <c r="M37" s="1412">
        <f t="shared" si="2"/>
        <v>0</v>
      </c>
      <c r="N37" s="1418"/>
      <c r="O37" s="1412">
        <f t="shared" si="3"/>
        <v>0</v>
      </c>
      <c r="P37" s="1343"/>
      <c r="Q37" s="1601">
        <f>'Ab1. RMNCH+A'!Q24</f>
        <v>0</v>
      </c>
      <c r="R37" s="1609">
        <f>'Ab1. RMNCH+A'!R24</f>
        <v>0</v>
      </c>
    </row>
    <row r="38" spans="1:18" ht="33">
      <c r="A38" s="1587" t="s">
        <v>2695</v>
      </c>
      <c r="B38" s="1606" t="s">
        <v>130</v>
      </c>
      <c r="C38" s="1606" t="s">
        <v>4078</v>
      </c>
      <c r="D38" s="1607" t="s">
        <v>90</v>
      </c>
      <c r="E38" s="1473" t="s">
        <v>118</v>
      </c>
      <c r="F38" s="1410"/>
      <c r="G38" s="1410"/>
      <c r="H38" s="1410"/>
      <c r="I38" s="1410"/>
      <c r="J38" s="1410"/>
      <c r="K38" s="1410"/>
      <c r="L38" s="1418"/>
      <c r="M38" s="1412">
        <f t="shared" si="2"/>
        <v>0</v>
      </c>
      <c r="N38" s="1418"/>
      <c r="O38" s="1412">
        <f t="shared" si="3"/>
        <v>0</v>
      </c>
      <c r="P38" s="1343"/>
      <c r="Q38" s="1601">
        <f>'Ab1. RMNCH+A'!Q25</f>
        <v>0</v>
      </c>
      <c r="R38" s="1609">
        <f>'Ab1. RMNCH+A'!R25</f>
        <v>0</v>
      </c>
    </row>
    <row r="39" spans="1:18" s="3860" customFormat="1" ht="141" customHeight="1">
      <c r="A39" s="3854" t="s">
        <v>2696</v>
      </c>
      <c r="B39" s="3855" t="s">
        <v>134</v>
      </c>
      <c r="C39" s="3855" t="s">
        <v>135</v>
      </c>
      <c r="D39" s="3856" t="s">
        <v>90</v>
      </c>
      <c r="E39" s="3857" t="s">
        <v>193</v>
      </c>
      <c r="F39" s="3858"/>
      <c r="G39" s="3858"/>
      <c r="H39" s="3858"/>
      <c r="I39" s="3858"/>
      <c r="J39" s="3913"/>
      <c r="K39" s="3882" t="s">
        <v>5838</v>
      </c>
      <c r="L39" s="3882">
        <v>2500</v>
      </c>
      <c r="M39" s="3758">
        <f t="shared" si="2"/>
        <v>2.5000000000000001E-2</v>
      </c>
      <c r="N39" s="3757">
        <v>15384</v>
      </c>
      <c r="O39" s="3758">
        <f t="shared" si="3"/>
        <v>384.6</v>
      </c>
      <c r="P39" s="3775" t="s">
        <v>6846</v>
      </c>
      <c r="Q39" s="3859">
        <f>'Ab1. RMNCH+A'!Q296</f>
        <v>0</v>
      </c>
      <c r="R39" s="3914">
        <f>'Ab1. RMNCH+A'!R296</f>
        <v>0</v>
      </c>
    </row>
    <row r="40" spans="1:18" ht="198">
      <c r="A40" s="1587" t="s">
        <v>2697</v>
      </c>
      <c r="B40" s="1407" t="s">
        <v>1986</v>
      </c>
      <c r="C40" s="1407" t="s">
        <v>1987</v>
      </c>
      <c r="D40" s="1607" t="s">
        <v>90</v>
      </c>
      <c r="E40" s="1473" t="s">
        <v>193</v>
      </c>
      <c r="F40" s="1410"/>
      <c r="G40" s="1410"/>
      <c r="H40" s="1410"/>
      <c r="I40" s="1410"/>
      <c r="J40" s="1634"/>
      <c r="K40" s="1633" t="s">
        <v>5839</v>
      </c>
      <c r="L40" s="1633">
        <v>500</v>
      </c>
      <c r="M40" s="1412">
        <f t="shared" si="2"/>
        <v>5.0000000000000001E-3</v>
      </c>
      <c r="N40" s="1418">
        <v>2760</v>
      </c>
      <c r="O40" s="1412">
        <f t="shared" si="3"/>
        <v>13.8</v>
      </c>
      <c r="P40" s="1343" t="s">
        <v>5840</v>
      </c>
      <c r="Q40" s="1601">
        <f>'Ab1. RMNCH+A'!Q297</f>
        <v>0</v>
      </c>
      <c r="R40" s="1609">
        <f>'Ab1. RMNCH+A'!R297</f>
        <v>0</v>
      </c>
    </row>
    <row r="41" spans="1:18">
      <c r="A41" s="1587" t="s">
        <v>2698</v>
      </c>
      <c r="B41" s="1629" t="s">
        <v>139</v>
      </c>
      <c r="C41" s="1453" t="s">
        <v>2692</v>
      </c>
      <c r="D41" s="1607" t="s">
        <v>90</v>
      </c>
      <c r="E41" s="1473" t="s">
        <v>90</v>
      </c>
      <c r="F41" s="1410"/>
      <c r="G41" s="1410"/>
      <c r="H41" s="1410"/>
      <c r="I41" s="1410"/>
      <c r="J41" s="1410"/>
      <c r="K41" s="1410"/>
      <c r="L41" s="1418"/>
      <c r="M41" s="1412">
        <f t="shared" si="2"/>
        <v>0</v>
      </c>
      <c r="N41" s="1418"/>
      <c r="O41" s="1412">
        <f t="shared" si="3"/>
        <v>0</v>
      </c>
      <c r="P41" s="1343"/>
      <c r="Q41" s="1601">
        <f>'Ab1. RMNCH+A'!Q438</f>
        <v>0</v>
      </c>
      <c r="R41" s="1609">
        <f>'Ab1. RMNCH+A'!R438</f>
        <v>0</v>
      </c>
    </row>
    <row r="42" spans="1:18">
      <c r="A42" s="1587" t="s">
        <v>2699</v>
      </c>
      <c r="B42" s="1606" t="s">
        <v>140</v>
      </c>
      <c r="C42" s="1606" t="s">
        <v>141</v>
      </c>
      <c r="D42" s="1607" t="s">
        <v>90</v>
      </c>
      <c r="E42" s="1473" t="s">
        <v>90</v>
      </c>
      <c r="F42" s="1410"/>
      <c r="G42" s="1410"/>
      <c r="H42" s="1410"/>
      <c r="I42" s="1410"/>
      <c r="J42" s="1410"/>
      <c r="K42" s="1410"/>
      <c r="L42" s="1418"/>
      <c r="M42" s="1412">
        <f t="shared" si="2"/>
        <v>0</v>
      </c>
      <c r="N42" s="1418"/>
      <c r="O42" s="1412">
        <f t="shared" si="3"/>
        <v>0</v>
      </c>
      <c r="P42" s="1343"/>
      <c r="Q42" s="1601">
        <f>'Ab1. RMNCH+A'!Q439</f>
        <v>0</v>
      </c>
      <c r="R42" s="1609">
        <f>'Ab1. RMNCH+A'!R439</f>
        <v>0</v>
      </c>
    </row>
    <row r="43" spans="1:18" ht="82.5">
      <c r="A43" s="1587" t="s">
        <v>2700</v>
      </c>
      <c r="B43" s="1453" t="s">
        <v>143</v>
      </c>
      <c r="C43" s="1453" t="s">
        <v>144</v>
      </c>
      <c r="D43" s="1607" t="s">
        <v>90</v>
      </c>
      <c r="E43" s="1615" t="s">
        <v>205</v>
      </c>
      <c r="F43" s="1593"/>
      <c r="G43" s="1593"/>
      <c r="H43" s="1594"/>
      <c r="I43" s="1594"/>
      <c r="J43" s="1593"/>
      <c r="K43" s="1410" t="s">
        <v>5856</v>
      </c>
      <c r="L43" s="1410">
        <v>450</v>
      </c>
      <c r="M43" s="1412">
        <f t="shared" si="2"/>
        <v>4.4999999999999997E-3</v>
      </c>
      <c r="N43" s="1418">
        <v>36000</v>
      </c>
      <c r="O43" s="1412">
        <f t="shared" si="3"/>
        <v>162</v>
      </c>
      <c r="P43" s="1343" t="s">
        <v>6573</v>
      </c>
      <c r="Q43" s="1601">
        <f>'Ab1. RMNCH+A'!Q402</f>
        <v>0</v>
      </c>
      <c r="R43" s="1609">
        <f>'Ab1. RMNCH+A'!R402</f>
        <v>0</v>
      </c>
    </row>
    <row r="44" spans="1:18" ht="172.5" customHeight="1">
      <c r="A44" s="1587" t="s">
        <v>2701</v>
      </c>
      <c r="B44" s="1603"/>
      <c r="C44" s="1453" t="s">
        <v>4079</v>
      </c>
      <c r="D44" s="1607" t="s">
        <v>90</v>
      </c>
      <c r="E44" s="1615" t="s">
        <v>205</v>
      </c>
      <c r="F44" s="1593"/>
      <c r="G44" s="1593"/>
      <c r="H44" s="1594"/>
      <c r="I44" s="1594"/>
      <c r="J44" s="1593"/>
      <c r="K44" s="1410" t="s">
        <v>5857</v>
      </c>
      <c r="L44" s="1410">
        <v>1000</v>
      </c>
      <c r="M44" s="1412">
        <f t="shared" si="2"/>
        <v>0.01</v>
      </c>
      <c r="N44" s="1418">
        <v>4272</v>
      </c>
      <c r="O44" s="1412">
        <f t="shared" si="3"/>
        <v>42.72</v>
      </c>
      <c r="P44" s="1343" t="s">
        <v>5858</v>
      </c>
      <c r="Q44" s="1601">
        <f>'Ab1. RMNCH+A'!Q403</f>
        <v>0</v>
      </c>
      <c r="R44" s="1609">
        <f>'Ab1. RMNCH+A'!R403</f>
        <v>0</v>
      </c>
    </row>
    <row r="45" spans="1:18" s="1638" customFormat="1" ht="33">
      <c r="A45" s="1587" t="s">
        <v>4401</v>
      </c>
      <c r="B45" s="1603"/>
      <c r="C45" s="1603" t="s">
        <v>4402</v>
      </c>
      <c r="D45" s="1616" t="s">
        <v>4358</v>
      </c>
      <c r="E45" s="1635" t="s">
        <v>3316</v>
      </c>
      <c r="F45" s="1636"/>
      <c r="G45" s="1636"/>
      <c r="H45" s="1637"/>
      <c r="I45" s="1637"/>
      <c r="J45" s="1589"/>
      <c r="K45" s="1589"/>
      <c r="L45" s="1410"/>
      <c r="M45" s="1412">
        <f t="shared" si="2"/>
        <v>0</v>
      </c>
      <c r="N45" s="1418"/>
      <c r="O45" s="1412">
        <f t="shared" si="3"/>
        <v>0</v>
      </c>
      <c r="P45" s="1343"/>
      <c r="Q45" s="1601">
        <f>'Abs12. NVHCP'!Q13</f>
        <v>0</v>
      </c>
      <c r="R45" s="1602">
        <f>'Abs12. NVHCP'!R13</f>
        <v>0</v>
      </c>
    </row>
    <row r="46" spans="1:18">
      <c r="A46" s="1581" t="s">
        <v>119</v>
      </c>
      <c r="B46" s="1581"/>
      <c r="C46" s="1581" t="s">
        <v>2708</v>
      </c>
      <c r="D46" s="1619"/>
      <c r="E46" s="1619"/>
      <c r="F46" s="1620"/>
      <c r="G46" s="1620"/>
      <c r="H46" s="1620"/>
      <c r="I46" s="1620"/>
      <c r="J46" s="1620"/>
      <c r="K46" s="1620"/>
      <c r="L46" s="1620"/>
      <c r="M46" s="1403"/>
      <c r="N46" s="1620"/>
      <c r="O46" s="1403">
        <f>SUM(O47:O54)</f>
        <v>140.02080000000001</v>
      </c>
      <c r="P46" s="1597"/>
      <c r="Q46" s="1585"/>
      <c r="R46" s="1586">
        <f>SUM(R47:R54)</f>
        <v>0</v>
      </c>
    </row>
    <row r="47" spans="1:18" s="3860" customFormat="1" ht="49.5">
      <c r="A47" s="3854" t="s">
        <v>2702</v>
      </c>
      <c r="B47" s="3892" t="s">
        <v>142</v>
      </c>
      <c r="C47" s="3892" t="s">
        <v>4786</v>
      </c>
      <c r="D47" s="3766" t="s">
        <v>85</v>
      </c>
      <c r="E47" s="3767" t="s">
        <v>415</v>
      </c>
      <c r="F47" s="3858">
        <v>9426212</v>
      </c>
      <c r="G47" s="3858">
        <v>474304</v>
      </c>
      <c r="H47" s="3858">
        <v>942.58</v>
      </c>
      <c r="I47" s="3858">
        <v>0.41</v>
      </c>
      <c r="J47" s="3858">
        <v>0.64200000000000002</v>
      </c>
      <c r="K47" s="3858"/>
      <c r="L47" s="3757"/>
      <c r="M47" s="3758">
        <f t="shared" ref="M47:M54" si="4">L47/100000</f>
        <v>0</v>
      </c>
      <c r="N47" s="3757"/>
      <c r="O47" s="3758">
        <f t="shared" ref="O47:O54" si="5">M47*N47</f>
        <v>0</v>
      </c>
      <c r="P47" s="3775" t="s">
        <v>6838</v>
      </c>
      <c r="Q47" s="3859">
        <f>'Abs19. NPCDCS'!Q14</f>
        <v>0</v>
      </c>
      <c r="R47" s="3853">
        <f>'Abs19. NPCDCS'!R14</f>
        <v>0</v>
      </c>
    </row>
    <row r="48" spans="1:18" ht="38.25" customHeight="1">
      <c r="A48" s="1587" t="s">
        <v>2703</v>
      </c>
      <c r="B48" s="1598" t="s">
        <v>145</v>
      </c>
      <c r="C48" s="1598" t="s">
        <v>2707</v>
      </c>
      <c r="D48" s="1616" t="s">
        <v>4358</v>
      </c>
      <c r="E48" s="1588" t="s">
        <v>146</v>
      </c>
      <c r="F48" s="1418"/>
      <c r="G48" s="1418"/>
      <c r="H48" s="1418"/>
      <c r="I48" s="1418"/>
      <c r="J48" s="1418"/>
      <c r="K48" s="1418">
        <v>1</v>
      </c>
      <c r="L48" s="1418">
        <v>15000</v>
      </c>
      <c r="M48" s="1412">
        <f t="shared" si="4"/>
        <v>0.15</v>
      </c>
      <c r="N48" s="1418">
        <v>100</v>
      </c>
      <c r="O48" s="1412">
        <f t="shared" si="5"/>
        <v>15</v>
      </c>
      <c r="P48" s="1343" t="s">
        <v>6277</v>
      </c>
      <c r="Q48" s="1639">
        <f>'Abs10. NLEP'!Q11</f>
        <v>0</v>
      </c>
      <c r="R48" s="1640">
        <f>'Abs10. NLEP'!R11</f>
        <v>0</v>
      </c>
    </row>
    <row r="49" spans="1:18" ht="49.5">
      <c r="A49" s="1587" t="s">
        <v>2704</v>
      </c>
      <c r="B49" s="1606" t="s">
        <v>149</v>
      </c>
      <c r="C49" s="1606" t="s">
        <v>2710</v>
      </c>
      <c r="D49" s="1363" t="s">
        <v>85</v>
      </c>
      <c r="E49" s="1473" t="s">
        <v>150</v>
      </c>
      <c r="F49" s="1593"/>
      <c r="G49" s="1593"/>
      <c r="H49" s="1594"/>
      <c r="I49" s="1594"/>
      <c r="J49" s="1593"/>
      <c r="K49" s="1410" t="s">
        <v>5918</v>
      </c>
      <c r="L49" s="1410">
        <v>25000</v>
      </c>
      <c r="M49" s="1412">
        <f t="shared" si="4"/>
        <v>0.25</v>
      </c>
      <c r="N49" s="1410">
        <v>31</v>
      </c>
      <c r="O49" s="1412">
        <f t="shared" si="5"/>
        <v>7.75</v>
      </c>
      <c r="P49" s="1590" t="s">
        <v>5919</v>
      </c>
      <c r="Q49" s="1601">
        <f>'Abs16. NMHP'!Q7</f>
        <v>0</v>
      </c>
      <c r="R49" s="1602">
        <f>'Abs16. NMHP'!R7</f>
        <v>0</v>
      </c>
    </row>
    <row r="50" spans="1:18" ht="49.5">
      <c r="A50" s="1587" t="s">
        <v>2705</v>
      </c>
      <c r="B50" s="1606" t="s">
        <v>2836</v>
      </c>
      <c r="C50" s="1606" t="s">
        <v>2835</v>
      </c>
      <c r="D50" s="1363" t="s">
        <v>85</v>
      </c>
      <c r="E50" s="1473" t="s">
        <v>86</v>
      </c>
      <c r="F50" s="1410"/>
      <c r="G50" s="1410"/>
      <c r="H50" s="1410"/>
      <c r="I50" s="1410"/>
      <c r="J50" s="1410"/>
      <c r="K50" s="1410" t="s">
        <v>6435</v>
      </c>
      <c r="L50" s="1418">
        <v>2000</v>
      </c>
      <c r="M50" s="1412">
        <f t="shared" si="4"/>
        <v>0.02</v>
      </c>
      <c r="N50" s="1418">
        <v>400</v>
      </c>
      <c r="O50" s="1412">
        <f t="shared" si="5"/>
        <v>8</v>
      </c>
      <c r="P50" s="1343" t="s">
        <v>5908</v>
      </c>
      <c r="Q50" s="1601">
        <f>'Abs15. NPCB'!Q8</f>
        <v>0</v>
      </c>
      <c r="R50" s="1602">
        <f>'Abs15. NPCB'!R8</f>
        <v>0</v>
      </c>
    </row>
    <row r="51" spans="1:18" ht="33">
      <c r="A51" s="1587" t="s">
        <v>2706</v>
      </c>
      <c r="B51" s="1606" t="s">
        <v>161</v>
      </c>
      <c r="C51" s="1606" t="s">
        <v>2709</v>
      </c>
      <c r="D51" s="1363" t="s">
        <v>85</v>
      </c>
      <c r="E51" s="1473" t="s">
        <v>152</v>
      </c>
      <c r="F51" s="1410"/>
      <c r="G51" s="1410"/>
      <c r="H51" s="1410"/>
      <c r="I51" s="1410"/>
      <c r="J51" s="1410"/>
      <c r="K51" s="1641"/>
      <c r="L51" s="1641"/>
      <c r="M51" s="1642"/>
      <c r="N51" s="1641"/>
      <c r="O51" s="1642"/>
      <c r="P51" s="1643"/>
      <c r="Q51" s="1644" t="s">
        <v>4555</v>
      </c>
      <c r="R51" s="1645"/>
    </row>
    <row r="52" spans="1:18" s="1638" customFormat="1">
      <c r="A52" s="1587" t="s">
        <v>4423</v>
      </c>
      <c r="B52" s="1600"/>
      <c r="C52" s="1600" t="s">
        <v>4424</v>
      </c>
      <c r="D52" s="1363" t="s">
        <v>85</v>
      </c>
      <c r="E52" s="1646" t="s">
        <v>399</v>
      </c>
      <c r="F52" s="1589"/>
      <c r="G52" s="1589"/>
      <c r="H52" s="1589"/>
      <c r="I52" s="1589"/>
      <c r="J52" s="1589"/>
      <c r="K52" s="1589"/>
      <c r="L52" s="1418"/>
      <c r="M52" s="1412">
        <f t="shared" si="4"/>
        <v>0</v>
      </c>
      <c r="N52" s="1418"/>
      <c r="O52" s="1412">
        <f t="shared" si="5"/>
        <v>0</v>
      </c>
      <c r="P52" s="1343"/>
      <c r="Q52" s="1601">
        <f>'Abs17. NPHCE'!Q7</f>
        <v>0</v>
      </c>
      <c r="R52" s="1602">
        <f>'Abs17. NPHCE'!R7</f>
        <v>0</v>
      </c>
    </row>
    <row r="53" spans="1:18" s="1638" customFormat="1" ht="49.5">
      <c r="A53" s="1587" t="s">
        <v>4434</v>
      </c>
      <c r="B53" s="1600"/>
      <c r="C53" s="1600" t="s">
        <v>4435</v>
      </c>
      <c r="D53" s="1616" t="s">
        <v>4358</v>
      </c>
      <c r="E53" s="1646" t="s">
        <v>4975</v>
      </c>
      <c r="F53" s="1589"/>
      <c r="G53" s="1589"/>
      <c r="H53" s="1589"/>
      <c r="I53" s="1589"/>
      <c r="J53" s="1589"/>
      <c r="K53" s="1589"/>
      <c r="L53" s="1418"/>
      <c r="M53" s="1412">
        <f t="shared" si="4"/>
        <v>0</v>
      </c>
      <c r="N53" s="1418"/>
      <c r="O53" s="1412">
        <f t="shared" si="5"/>
        <v>0</v>
      </c>
      <c r="P53" s="1343"/>
      <c r="Q53" s="1601">
        <f>'Abs9. NVBDCP'!Q13</f>
        <v>0</v>
      </c>
      <c r="R53" s="1602">
        <f>'Abs9. NVBDCP'!R13</f>
        <v>0</v>
      </c>
    </row>
    <row r="54" spans="1:18" s="3860" customFormat="1" ht="43.5" customHeight="1">
      <c r="A54" s="3854" t="s">
        <v>4512</v>
      </c>
      <c r="B54" s="3855"/>
      <c r="C54" s="3852" t="s">
        <v>4513</v>
      </c>
      <c r="D54" s="3856" t="s">
        <v>4358</v>
      </c>
      <c r="E54" s="3857" t="s">
        <v>4674</v>
      </c>
      <c r="F54" s="3858"/>
      <c r="G54" s="3858"/>
      <c r="H54" s="3858"/>
      <c r="I54" s="3858"/>
      <c r="J54" s="3858"/>
      <c r="K54" s="3858" t="s">
        <v>6831</v>
      </c>
      <c r="L54" s="3757">
        <v>360</v>
      </c>
      <c r="M54" s="3758">
        <f t="shared" si="4"/>
        <v>3.5999999999999999E-3</v>
      </c>
      <c r="N54" s="3757">
        <v>30353</v>
      </c>
      <c r="O54" s="3758">
        <f t="shared" si="5"/>
        <v>109.27079999999999</v>
      </c>
      <c r="P54" s="3775" t="s">
        <v>6832</v>
      </c>
      <c r="Q54" s="3859">
        <f>'Abs11. NTEP'!Q11</f>
        <v>0</v>
      </c>
      <c r="R54" s="3853">
        <f>'Abs11. NTEP'!R11</f>
        <v>0</v>
      </c>
    </row>
    <row r="55" spans="1:18" ht="28.5" customHeight="1">
      <c r="A55" s="1581" t="s">
        <v>122</v>
      </c>
      <c r="B55" s="1581"/>
      <c r="C55" s="1581" t="s">
        <v>2711</v>
      </c>
      <c r="D55" s="1619"/>
      <c r="E55" s="1619"/>
      <c r="F55" s="1620"/>
      <c r="G55" s="1620"/>
      <c r="H55" s="1620"/>
      <c r="I55" s="1620"/>
      <c r="J55" s="1620"/>
      <c r="K55" s="1620"/>
      <c r="L55" s="1620"/>
      <c r="M55" s="1403"/>
      <c r="N55" s="1620"/>
      <c r="O55" s="1403">
        <f>SUM(O56:O59)</f>
        <v>583.9</v>
      </c>
      <c r="P55" s="1597"/>
      <c r="Q55" s="1585"/>
      <c r="R55" s="1586">
        <f>SUM(R56:R59)</f>
        <v>0</v>
      </c>
    </row>
    <row r="56" spans="1:18" ht="49.5">
      <c r="A56" s="1587" t="s">
        <v>2712</v>
      </c>
      <c r="B56" s="1606" t="s">
        <v>133</v>
      </c>
      <c r="C56" s="1606" t="s">
        <v>4373</v>
      </c>
      <c r="D56" s="1607" t="s">
        <v>90</v>
      </c>
      <c r="E56" s="1473" t="s">
        <v>131</v>
      </c>
      <c r="F56" s="1410"/>
      <c r="G56" s="1410"/>
      <c r="H56" s="1410"/>
      <c r="I56" s="1410"/>
      <c r="J56" s="1410"/>
      <c r="K56" s="1410"/>
      <c r="L56" s="1418"/>
      <c r="M56" s="1412">
        <f>L56/100000</f>
        <v>0</v>
      </c>
      <c r="N56" s="1418"/>
      <c r="O56" s="1412">
        <f>M56*N56</f>
        <v>0</v>
      </c>
      <c r="P56" s="1343"/>
      <c r="Q56" s="1601">
        <f>'Ab1. RMNCH+A'!Q112</f>
        <v>0</v>
      </c>
      <c r="R56" s="1609">
        <f>'Ab1. RMNCH+A'!R112</f>
        <v>0</v>
      </c>
    </row>
    <row r="57" spans="1:18" ht="39.75" customHeight="1">
      <c r="A57" s="1587" t="s">
        <v>2713</v>
      </c>
      <c r="B57" s="1647" t="s">
        <v>147</v>
      </c>
      <c r="C57" s="1647" t="s">
        <v>3970</v>
      </c>
      <c r="D57" s="1363" t="s">
        <v>85</v>
      </c>
      <c r="E57" s="1473" t="s">
        <v>86</v>
      </c>
      <c r="F57" s="1410"/>
      <c r="G57" s="1410"/>
      <c r="H57" s="1410"/>
      <c r="I57" s="1410"/>
      <c r="J57" s="1410"/>
      <c r="K57" s="1410" t="s">
        <v>5909</v>
      </c>
      <c r="L57" s="1418">
        <v>350</v>
      </c>
      <c r="M57" s="1412">
        <f>L57/100000</f>
        <v>3.5000000000000001E-3</v>
      </c>
      <c r="N57" s="1418">
        <v>54000</v>
      </c>
      <c r="O57" s="1412">
        <f>M57*N57</f>
        <v>189</v>
      </c>
      <c r="P57" s="1343" t="s">
        <v>6560</v>
      </c>
      <c r="Q57" s="1601">
        <f>'Abs15. NPCB'!Q9</f>
        <v>0</v>
      </c>
      <c r="R57" s="1602">
        <f>'Abs15. NPCB'!R9</f>
        <v>0</v>
      </c>
    </row>
    <row r="58" spans="1:18" ht="66">
      <c r="A58" s="1587" t="s">
        <v>2714</v>
      </c>
      <c r="B58" s="1647" t="s">
        <v>148</v>
      </c>
      <c r="C58" s="1647" t="s">
        <v>3971</v>
      </c>
      <c r="D58" s="1363" t="s">
        <v>85</v>
      </c>
      <c r="E58" s="1473" t="s">
        <v>86</v>
      </c>
      <c r="F58" s="1410"/>
      <c r="G58" s="1410"/>
      <c r="H58" s="1410"/>
      <c r="I58" s="1410"/>
      <c r="J58" s="1410"/>
      <c r="K58" s="1410" t="s">
        <v>5909</v>
      </c>
      <c r="L58" s="1418">
        <v>350</v>
      </c>
      <c r="M58" s="1412">
        <f>L58/100000</f>
        <v>3.5000000000000001E-3</v>
      </c>
      <c r="N58" s="1418">
        <v>54000</v>
      </c>
      <c r="O58" s="1412">
        <f>M58*N58</f>
        <v>189</v>
      </c>
      <c r="P58" s="1343" t="s">
        <v>6561</v>
      </c>
      <c r="Q58" s="1601">
        <f>'Abs15. NPCB'!Q10</f>
        <v>0</v>
      </c>
      <c r="R58" s="1602">
        <f>'Abs15. NPCB'!R10</f>
        <v>0</v>
      </c>
    </row>
    <row r="59" spans="1:18" ht="49.5">
      <c r="A59" s="1621" t="s">
        <v>2715</v>
      </c>
      <c r="B59" s="1621" t="s">
        <v>151</v>
      </c>
      <c r="C59" s="1621" t="s">
        <v>5273</v>
      </c>
      <c r="D59" s="1622"/>
      <c r="E59" s="1622"/>
      <c r="F59" s="1623"/>
      <c r="G59" s="1623"/>
      <c r="H59" s="1623"/>
      <c r="I59" s="1623"/>
      <c r="J59" s="1623"/>
      <c r="K59" s="1623"/>
      <c r="L59" s="1623"/>
      <c r="M59" s="1624"/>
      <c r="N59" s="1623"/>
      <c r="O59" s="1624">
        <f>SUM(O60:O64)</f>
        <v>205.9</v>
      </c>
      <c r="P59" s="1625"/>
      <c r="Q59" s="1626"/>
      <c r="R59" s="1627">
        <f>SUM(R60:R64)</f>
        <v>0</v>
      </c>
    </row>
    <row r="60" spans="1:18" ht="41.25" customHeight="1">
      <c r="A60" s="1587" t="s">
        <v>2716</v>
      </c>
      <c r="B60" s="1606" t="s">
        <v>153</v>
      </c>
      <c r="C60" s="1606" t="s">
        <v>5274</v>
      </c>
      <c r="D60" s="1363" t="s">
        <v>85</v>
      </c>
      <c r="E60" s="1473" t="s">
        <v>152</v>
      </c>
      <c r="F60" s="1410"/>
      <c r="G60" s="1410"/>
      <c r="H60" s="1648"/>
      <c r="I60" s="1410"/>
      <c r="J60" s="1410"/>
      <c r="K60" s="1415" t="s">
        <v>5946</v>
      </c>
      <c r="L60" s="1428">
        <v>5000</v>
      </c>
      <c r="M60" s="1412">
        <f>L60/100000</f>
        <v>0.05</v>
      </c>
      <c r="N60" s="1428">
        <v>3738</v>
      </c>
      <c r="O60" s="1412">
        <f>M60*N60</f>
        <v>186.9</v>
      </c>
      <c r="P60" s="1649" t="s">
        <v>5948</v>
      </c>
      <c r="Q60" s="1601">
        <f>'Abs18. NTCP'!Q7</f>
        <v>0</v>
      </c>
      <c r="R60" s="1602">
        <f>'Abs18. NTCP'!R7</f>
        <v>0</v>
      </c>
    </row>
    <row r="61" spans="1:18">
      <c r="A61" s="1587" t="s">
        <v>2717</v>
      </c>
      <c r="B61" s="1606" t="s">
        <v>154</v>
      </c>
      <c r="C61" s="1606" t="s">
        <v>155</v>
      </c>
      <c r="D61" s="1363" t="s">
        <v>85</v>
      </c>
      <c r="E61" s="1473" t="s">
        <v>152</v>
      </c>
      <c r="F61" s="1410"/>
      <c r="G61" s="1410"/>
      <c r="H61" s="1648"/>
      <c r="I61" s="1410"/>
      <c r="J61" s="1410"/>
      <c r="K61" s="1641"/>
      <c r="L61" s="1641"/>
      <c r="M61" s="1642"/>
      <c r="N61" s="1641"/>
      <c r="O61" s="1642"/>
      <c r="P61" s="1643"/>
      <c r="Q61" s="1644" t="s">
        <v>4555</v>
      </c>
      <c r="R61" s="1645"/>
    </row>
    <row r="62" spans="1:18">
      <c r="A62" s="1587" t="s">
        <v>2718</v>
      </c>
      <c r="B62" s="1606" t="s">
        <v>156</v>
      </c>
      <c r="C62" s="1606" t="s">
        <v>157</v>
      </c>
      <c r="D62" s="1363" t="s">
        <v>85</v>
      </c>
      <c r="E62" s="1473" t="s">
        <v>152</v>
      </c>
      <c r="F62" s="1410"/>
      <c r="G62" s="1410"/>
      <c r="H62" s="1410"/>
      <c r="I62" s="1410"/>
      <c r="J62" s="1410"/>
      <c r="K62" s="1641"/>
      <c r="L62" s="1641"/>
      <c r="M62" s="1642"/>
      <c r="N62" s="1641"/>
      <c r="O62" s="1642"/>
      <c r="P62" s="1643"/>
      <c r="Q62" s="1644" t="s">
        <v>4555</v>
      </c>
      <c r="R62" s="1645"/>
    </row>
    <row r="63" spans="1:18">
      <c r="A63" s="1587" t="s">
        <v>2719</v>
      </c>
      <c r="B63" s="1606" t="s">
        <v>158</v>
      </c>
      <c r="C63" s="1606" t="s">
        <v>159</v>
      </c>
      <c r="D63" s="1363" t="s">
        <v>85</v>
      </c>
      <c r="E63" s="1473" t="s">
        <v>152</v>
      </c>
      <c r="F63" s="1410"/>
      <c r="G63" s="1410"/>
      <c r="H63" s="1410"/>
      <c r="I63" s="1410"/>
      <c r="J63" s="1410"/>
      <c r="K63" s="1641"/>
      <c r="L63" s="1641"/>
      <c r="M63" s="1642"/>
      <c r="N63" s="1641"/>
      <c r="O63" s="1642"/>
      <c r="P63" s="1643"/>
      <c r="Q63" s="1644" t="s">
        <v>4555</v>
      </c>
      <c r="R63" s="1645"/>
    </row>
    <row r="64" spans="1:18" ht="33">
      <c r="A64" s="1587" t="s">
        <v>2720</v>
      </c>
      <c r="B64" s="1606" t="s">
        <v>160</v>
      </c>
      <c r="C64" s="1606" t="s">
        <v>5275</v>
      </c>
      <c r="D64" s="1363" t="s">
        <v>85</v>
      </c>
      <c r="E64" s="1473" t="s">
        <v>152</v>
      </c>
      <c r="F64" s="1410"/>
      <c r="G64" s="1410"/>
      <c r="H64" s="1648"/>
      <c r="I64" s="1410"/>
      <c r="J64" s="1410"/>
      <c r="K64" s="1415" t="s">
        <v>5947</v>
      </c>
      <c r="L64" s="1428">
        <v>10000</v>
      </c>
      <c r="M64" s="1412">
        <f>L64/100000</f>
        <v>0.1</v>
      </c>
      <c r="N64" s="1428">
        <v>190</v>
      </c>
      <c r="O64" s="1412">
        <f>M64*N64</f>
        <v>19</v>
      </c>
      <c r="P64" s="1462" t="s">
        <v>5949</v>
      </c>
      <c r="Q64" s="1601">
        <f>'Abs18. NTCP'!Q8</f>
        <v>0</v>
      </c>
      <c r="R64" s="1602">
        <f>'Abs18. NTCP'!R8</f>
        <v>0</v>
      </c>
    </row>
    <row r="65" spans="1:18" s="1628" customFormat="1">
      <c r="A65" s="1650" t="s">
        <v>125</v>
      </c>
      <c r="B65" s="1650"/>
      <c r="C65" s="1650" t="s">
        <v>1310</v>
      </c>
      <c r="D65" s="1360" t="s">
        <v>70</v>
      </c>
      <c r="E65" s="1646" t="s">
        <v>70</v>
      </c>
      <c r="F65" s="1651"/>
      <c r="G65" s="1651"/>
      <c r="H65" s="1651"/>
      <c r="I65" s="1651"/>
      <c r="J65" s="1651"/>
      <c r="K65" s="1651"/>
      <c r="L65" s="1418"/>
      <c r="M65" s="1447">
        <f>L65/100000</f>
        <v>0</v>
      </c>
      <c r="N65" s="1418"/>
      <c r="O65" s="1447">
        <f>M65*N65</f>
        <v>0</v>
      </c>
      <c r="P65" s="1343"/>
      <c r="Q65" s="1591"/>
      <c r="R65" s="1592"/>
    </row>
    <row r="67" spans="1:18">
      <c r="C67" s="1502"/>
    </row>
    <row r="75" spans="1:18">
      <c r="C75" s="1502"/>
    </row>
    <row r="76" spans="1:18">
      <c r="C76" s="1502"/>
    </row>
    <row r="77" spans="1:18">
      <c r="C77" s="1502"/>
    </row>
    <row r="78" spans="1:18">
      <c r="C78" s="1502"/>
    </row>
    <row r="79" spans="1:18">
      <c r="C79" s="1502"/>
    </row>
    <row r="80" spans="1:18">
      <c r="C80" s="1502"/>
    </row>
    <row r="81" spans="3:3">
      <c r="C81" s="1502"/>
    </row>
  </sheetData>
  <sheetProtection sheet="1" formatCells="0" formatColumns="0" formatRows="0" autoFilter="0"/>
  <mergeCells count="15">
    <mergeCell ref="Q5:R5"/>
    <mergeCell ref="O1:AH1"/>
    <mergeCell ref="AI1:AO1"/>
    <mergeCell ref="AP1:BA1"/>
    <mergeCell ref="A1:C1"/>
    <mergeCell ref="F5:J5"/>
    <mergeCell ref="A5:A6"/>
    <mergeCell ref="B5:B6"/>
    <mergeCell ref="C5:C6"/>
    <mergeCell ref="D5:D6"/>
    <mergeCell ref="E5:E6"/>
    <mergeCell ref="E1:E2"/>
    <mergeCell ref="F1:N1"/>
    <mergeCell ref="A2:A4"/>
    <mergeCell ref="K5:P5"/>
  </mergeCells>
  <phoneticPr fontId="27" type="noConversion"/>
  <pageMargins left="0.7" right="0.22" top="0.26" bottom="0.22" header="0.3" footer="0.3"/>
  <pageSetup paperSize="5" scale="70"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dimension ref="A1:XFD57"/>
  <sheetViews>
    <sheetView zoomScale="90" zoomScaleNormal="90" workbookViewId="0">
      <pane xSplit="5" ySplit="7" topLeftCell="J8"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64.5703125" defaultRowHeight="15"/>
  <cols>
    <col min="1" max="1" width="12.42578125" style="587" customWidth="1"/>
    <col min="2" max="2" width="12.7109375" style="573" customWidth="1"/>
    <col min="3" max="3" width="44.42578125" style="588" customWidth="1"/>
    <col min="4" max="4" width="20.140625" style="502" customWidth="1"/>
    <col min="5" max="5" width="17.85546875" style="502" customWidth="1"/>
    <col min="6" max="6" width="15.85546875" style="493" customWidth="1"/>
    <col min="7" max="7" width="22.85546875" style="493" customWidth="1"/>
    <col min="8" max="8" width="15.85546875" style="493" customWidth="1"/>
    <col min="9" max="9" width="15.140625" style="493" customWidth="1"/>
    <col min="10" max="10" width="15" style="493" customWidth="1"/>
    <col min="11" max="11" width="21.85546875" style="690" bestFit="1" customWidth="1"/>
    <col min="12" max="12" width="12.42578125" style="493" customWidth="1"/>
    <col min="13" max="13" width="15.7109375" style="590" customWidth="1"/>
    <col min="14" max="14" width="16" style="502" customWidth="1"/>
    <col min="15" max="15" width="14.85546875" style="590" customWidth="1"/>
    <col min="16" max="16" width="33.42578125" style="2981" customWidth="1"/>
    <col min="17" max="17" width="27.5703125" style="591" hidden="1" customWidth="1"/>
    <col min="18" max="18" width="21.5703125" style="493" hidden="1" customWidth="1"/>
    <col min="19" max="19" width="8.7109375" style="493" hidden="1" customWidth="1"/>
    <col min="20" max="20" width="9.28515625" style="493" hidden="1" customWidth="1"/>
    <col min="21" max="21" width="6.28515625" style="493" hidden="1" customWidth="1"/>
    <col min="22" max="22" width="6.7109375" style="493" hidden="1" customWidth="1"/>
    <col min="23" max="23" width="5.85546875" style="493" hidden="1" customWidth="1"/>
    <col min="24" max="24" width="8.140625" style="493" hidden="1" customWidth="1"/>
    <col min="25" max="25" width="9.42578125" style="493" hidden="1" customWidth="1"/>
    <col min="26" max="26" width="11" style="493" hidden="1" customWidth="1"/>
    <col min="27" max="27" width="6.28515625" style="493" hidden="1" customWidth="1"/>
    <col min="28" max="28" width="11.85546875" style="493" hidden="1" customWidth="1"/>
    <col min="29" max="29" width="6.7109375" style="493" hidden="1" customWidth="1"/>
    <col min="30" max="30" width="6" style="493" hidden="1" customWidth="1"/>
    <col min="31" max="31" width="18.140625" style="493" hidden="1" customWidth="1"/>
    <col min="32" max="32" width="6" style="493" hidden="1" customWidth="1"/>
    <col min="33" max="33" width="11" style="493" hidden="1" customWidth="1"/>
    <col min="34" max="34" width="10.42578125" style="493" hidden="1" customWidth="1"/>
    <col min="35" max="35" width="9.85546875" style="493" hidden="1" customWidth="1"/>
    <col min="36" max="36" width="12" style="493" hidden="1" customWidth="1"/>
    <col min="37" max="37" width="10.85546875" style="493" hidden="1" customWidth="1"/>
    <col min="38" max="38" width="11" style="493" hidden="1" customWidth="1"/>
    <col min="39" max="39" width="12.140625" style="493" hidden="1" customWidth="1"/>
    <col min="40" max="40" width="7.85546875" style="493" hidden="1" customWidth="1"/>
    <col min="41" max="41" width="12.5703125" style="493" hidden="1" customWidth="1"/>
    <col min="42" max="42" width="8.5703125" style="493" hidden="1" customWidth="1"/>
    <col min="43" max="43" width="8.7109375" style="493" hidden="1" customWidth="1"/>
    <col min="44" max="44" width="10.85546875" style="493" hidden="1" customWidth="1"/>
    <col min="45" max="45" width="9.140625" style="493" hidden="1" customWidth="1"/>
    <col min="46" max="46" width="8.7109375" style="493" hidden="1" customWidth="1"/>
    <col min="47" max="47" width="9.140625" style="493" hidden="1" customWidth="1"/>
    <col min="48" max="48" width="9.5703125" style="493" hidden="1" customWidth="1"/>
    <col min="49" max="49" width="10.85546875" style="493" hidden="1" customWidth="1"/>
    <col min="50" max="50" width="9" style="493" hidden="1" customWidth="1"/>
    <col min="51" max="51" width="12.5703125" style="493" hidden="1" customWidth="1"/>
    <col min="52" max="52" width="11.42578125" style="493" hidden="1" customWidth="1"/>
    <col min="53" max="53" width="12.85546875" style="493" hidden="1" customWidth="1"/>
    <col min="54" max="54" width="8.28515625" style="493" hidden="1" customWidth="1"/>
    <col min="55" max="55" width="8.140625" style="493" hidden="1" customWidth="1"/>
    <col min="56" max="56" width="9.5703125" style="493" hidden="1" customWidth="1"/>
    <col min="57" max="57" width="9.7109375" style="493" hidden="1" customWidth="1"/>
    <col min="58" max="58" width="10.85546875" style="493" hidden="1" customWidth="1"/>
    <col min="59" max="334" width="0" style="493" hidden="1" customWidth="1"/>
    <col min="335" max="335" width="16.140625" style="493" customWidth="1"/>
    <col min="336" max="336" width="9.85546875" style="493" hidden="1" customWidth="1"/>
    <col min="337" max="337" width="14.140625" style="493" hidden="1" customWidth="1"/>
    <col min="338" max="338" width="11.140625" style="493" hidden="1" customWidth="1"/>
    <col min="339" max="339" width="22.7109375" style="493" hidden="1" customWidth="1"/>
    <col min="340" max="342" width="0" style="493" hidden="1" customWidth="1"/>
    <col min="343" max="343" width="25.5703125" style="493" customWidth="1"/>
    <col min="344" max="344" width="14.28515625" style="493" customWidth="1"/>
    <col min="345" max="345" width="12.140625" style="493" customWidth="1"/>
    <col min="346" max="346" width="12.85546875" style="493" customWidth="1"/>
    <col min="347" max="347" width="14.85546875" style="493" customWidth="1"/>
    <col min="348" max="16384" width="64.5703125" style="493"/>
  </cols>
  <sheetData>
    <row r="1" spans="1:16384">
      <c r="A1" s="4314" t="s">
        <v>162</v>
      </c>
      <c r="B1" s="4315"/>
      <c r="C1" s="4316"/>
      <c r="D1" s="492"/>
      <c r="E1" s="4317" t="s">
        <v>4709</v>
      </c>
      <c r="F1" s="4319" t="s">
        <v>4707</v>
      </c>
      <c r="G1" s="4320"/>
      <c r="H1" s="4320"/>
      <c r="I1" s="4320"/>
      <c r="J1" s="4320"/>
      <c r="K1" s="4320"/>
      <c r="L1" s="4320"/>
      <c r="M1" s="4320"/>
      <c r="N1" s="4321"/>
      <c r="O1" s="4329" t="s">
        <v>70</v>
      </c>
      <c r="P1" s="4330"/>
      <c r="Q1" s="4330"/>
      <c r="R1" s="4330"/>
      <c r="S1" s="4330"/>
      <c r="T1" s="4330"/>
      <c r="U1" s="4330"/>
      <c r="V1" s="4330"/>
      <c r="W1" s="4330"/>
      <c r="X1" s="4330"/>
      <c r="Y1" s="4330"/>
      <c r="Z1" s="4330"/>
      <c r="AA1" s="4330"/>
      <c r="AB1" s="4330"/>
      <c r="AC1" s="4330"/>
      <c r="AD1" s="4330"/>
      <c r="AE1" s="4330"/>
      <c r="AF1" s="4330"/>
      <c r="AG1" s="4330"/>
      <c r="AH1" s="4331"/>
      <c r="AI1" s="4332" t="s">
        <v>4358</v>
      </c>
      <c r="AJ1" s="4333"/>
      <c r="AK1" s="4333"/>
      <c r="AL1" s="4333"/>
      <c r="AM1" s="4333"/>
      <c r="AN1" s="4333"/>
      <c r="AO1" s="4334"/>
      <c r="AP1" s="4335" t="s">
        <v>85</v>
      </c>
      <c r="AQ1" s="4336"/>
      <c r="AR1" s="4336"/>
      <c r="AS1" s="4336"/>
      <c r="AT1" s="4336"/>
      <c r="AU1" s="4336"/>
      <c r="AV1" s="4336"/>
      <c r="AW1" s="4336"/>
      <c r="AX1" s="4336"/>
      <c r="AY1" s="4336"/>
      <c r="AZ1" s="4336"/>
      <c r="BA1" s="4337"/>
    </row>
    <row r="2" spans="1:16384" s="499" customFormat="1">
      <c r="A2" s="4281" t="str">
        <f>HYPERLINK("#Index!A4", "Index Pg")</f>
        <v>Index Pg</v>
      </c>
      <c r="B2" s="494"/>
      <c r="C2" s="481"/>
      <c r="D2" s="494"/>
      <c r="E2" s="4318"/>
      <c r="F2" s="495" t="s">
        <v>118</v>
      </c>
      <c r="G2" s="495" t="s">
        <v>131</v>
      </c>
      <c r="H2" s="495" t="s">
        <v>91</v>
      </c>
      <c r="I2" s="495" t="s">
        <v>4705</v>
      </c>
      <c r="J2" s="495" t="s">
        <v>96</v>
      </c>
      <c r="K2" s="619" t="s">
        <v>4064</v>
      </c>
      <c r="L2" s="496" t="s">
        <v>4706</v>
      </c>
      <c r="M2" s="496" t="s">
        <v>4710</v>
      </c>
      <c r="N2" s="496" t="s">
        <v>208</v>
      </c>
      <c r="O2" s="497" t="s">
        <v>4357</v>
      </c>
      <c r="P2" s="458" t="s">
        <v>3848</v>
      </c>
      <c r="Q2" s="497" t="s">
        <v>4719</v>
      </c>
      <c r="R2" s="497" t="s">
        <v>4716</v>
      </c>
      <c r="S2" s="497" t="s">
        <v>4717</v>
      </c>
      <c r="T2" s="497" t="s">
        <v>4718</v>
      </c>
      <c r="U2" s="497" t="s">
        <v>4720</v>
      </c>
      <c r="V2" s="497" t="s">
        <v>4695</v>
      </c>
      <c r="W2" s="497" t="s">
        <v>4721</v>
      </c>
      <c r="X2" s="497" t="s">
        <v>33</v>
      </c>
      <c r="Y2" s="497" t="s">
        <v>4722</v>
      </c>
      <c r="Z2" s="497" t="s">
        <v>4723</v>
      </c>
      <c r="AA2" s="497" t="s">
        <v>4713</v>
      </c>
      <c r="AB2" s="497" t="s">
        <v>742</v>
      </c>
      <c r="AC2" s="497" t="s">
        <v>4714</v>
      </c>
      <c r="AD2" s="497" t="s">
        <v>4715</v>
      </c>
      <c r="AE2" s="497" t="s">
        <v>2379</v>
      </c>
      <c r="AF2" s="497" t="s">
        <v>4724</v>
      </c>
      <c r="AG2" s="497" t="s">
        <v>3847</v>
      </c>
      <c r="AH2" s="497" t="s">
        <v>307</v>
      </c>
      <c r="AI2" s="498" t="s">
        <v>293</v>
      </c>
      <c r="AJ2" s="498" t="s">
        <v>114</v>
      </c>
      <c r="AK2" s="498" t="s">
        <v>146</v>
      </c>
      <c r="AL2" s="498" t="s">
        <v>4674</v>
      </c>
      <c r="AM2" s="498" t="s">
        <v>3316</v>
      </c>
      <c r="AN2" s="498" t="s">
        <v>3986</v>
      </c>
      <c r="AO2" s="498" t="s">
        <v>4544</v>
      </c>
      <c r="AP2" s="460" t="s">
        <v>86</v>
      </c>
      <c r="AQ2" s="460" t="s">
        <v>150</v>
      </c>
      <c r="AR2" s="460" t="s">
        <v>399</v>
      </c>
      <c r="AS2" s="460" t="s">
        <v>152</v>
      </c>
      <c r="AT2" s="460" t="s">
        <v>415</v>
      </c>
      <c r="AU2" s="460" t="s">
        <v>4598</v>
      </c>
      <c r="AV2" s="460" t="s">
        <v>4124</v>
      </c>
      <c r="AW2" s="460" t="s">
        <v>312</v>
      </c>
      <c r="AX2" s="460" t="s">
        <v>314</v>
      </c>
      <c r="AY2" s="460" t="s">
        <v>1034</v>
      </c>
      <c r="AZ2" s="460" t="s">
        <v>1020</v>
      </c>
      <c r="BA2" s="460" t="s">
        <v>4708</v>
      </c>
    </row>
    <row r="3" spans="1:16384" s="501" customFormat="1">
      <c r="A3" s="4282"/>
      <c r="B3" s="462" t="str">
        <f>HYPERLINK("#'Budget Summary I'!A1:AL1", "Budget Summary I")</f>
        <v>Budget Summary I</v>
      </c>
      <c r="C3" s="404" t="s">
        <v>4599</v>
      </c>
      <c r="D3" s="482"/>
      <c r="E3" s="482">
        <f>R7</f>
        <v>0</v>
      </c>
      <c r="F3" s="482">
        <f>R11</f>
        <v>0</v>
      </c>
      <c r="G3" s="482">
        <f>R12</f>
        <v>0</v>
      </c>
      <c r="H3" s="482">
        <f>R14+R35</f>
        <v>0</v>
      </c>
      <c r="I3" s="482">
        <f>R15+R36</f>
        <v>0</v>
      </c>
      <c r="J3" s="482"/>
      <c r="K3" s="483"/>
      <c r="L3" s="482">
        <f>R13</f>
        <v>0</v>
      </c>
      <c r="M3" s="482"/>
      <c r="N3" s="500">
        <f>R17</f>
        <v>0</v>
      </c>
      <c r="O3" s="500"/>
      <c r="P3" s="483">
        <f>R23+R24+R26+R27+R28+R30+R31+R32+R48+R16+R21+R22</f>
        <v>0</v>
      </c>
      <c r="Q3" s="500"/>
      <c r="R3" s="500"/>
      <c r="S3" s="500"/>
      <c r="T3" s="500">
        <f>R47</f>
        <v>0</v>
      </c>
      <c r="U3" s="500"/>
      <c r="V3" s="500"/>
      <c r="W3" s="500"/>
      <c r="X3" s="500"/>
      <c r="Y3" s="500"/>
      <c r="Z3" s="500"/>
      <c r="AA3" s="500"/>
      <c r="AB3" s="500"/>
      <c r="AC3" s="500"/>
      <c r="AD3" s="500"/>
      <c r="AE3" s="500"/>
      <c r="AF3" s="500"/>
      <c r="AG3" s="500"/>
      <c r="AH3" s="500">
        <f>R50+R51+R56</f>
        <v>0</v>
      </c>
      <c r="AI3" s="500">
        <f>R53</f>
        <v>0</v>
      </c>
      <c r="AJ3" s="500">
        <f>R19+R38</f>
        <v>0</v>
      </c>
      <c r="AK3" s="500">
        <f>R20</f>
        <v>0</v>
      </c>
      <c r="AL3" s="500">
        <f>SUM(R41:R44)</f>
        <v>0</v>
      </c>
      <c r="AM3" s="500">
        <f>R39</f>
        <v>0</v>
      </c>
      <c r="AN3" s="500"/>
      <c r="AO3" s="500"/>
      <c r="AP3" s="500"/>
      <c r="AQ3" s="500">
        <f>R46</f>
        <v>0</v>
      </c>
      <c r="AR3" s="500"/>
      <c r="AS3" s="500">
        <f>R54</f>
        <v>0</v>
      </c>
      <c r="AT3" s="500"/>
      <c r="AU3" s="500"/>
      <c r="AV3" s="500">
        <f>R55</f>
        <v>0</v>
      </c>
      <c r="AW3" s="500"/>
      <c r="AX3" s="500"/>
      <c r="AY3" s="500"/>
      <c r="AZ3" s="500"/>
      <c r="BA3" s="500"/>
    </row>
    <row r="4" spans="1:16384" s="499" customFormat="1">
      <c r="A4" s="4283"/>
      <c r="B4" s="403" t="str">
        <f>HYPERLINK("#'Budget Summary II'!A3:B5", "Budget Summary II")</f>
        <v>Budget Summary II</v>
      </c>
      <c r="C4" s="404" t="s">
        <v>4600</v>
      </c>
      <c r="D4" s="500"/>
      <c r="E4" s="482">
        <f>O7</f>
        <v>72191.713420200016</v>
      </c>
      <c r="F4" s="482">
        <f>O11</f>
        <v>13204.952000000001</v>
      </c>
      <c r="G4" s="482">
        <f>O12</f>
        <v>4810</v>
      </c>
      <c r="H4" s="482">
        <f>O14+O35</f>
        <v>3553.5290002000002</v>
      </c>
      <c r="I4" s="482">
        <f>O15+O36</f>
        <v>118.75200000000001</v>
      </c>
      <c r="J4" s="482"/>
      <c r="K4" s="483"/>
      <c r="L4" s="482">
        <f>O13</f>
        <v>8949.6311999999998</v>
      </c>
      <c r="M4" s="482"/>
      <c r="N4" s="500">
        <f>O17</f>
        <v>31.870500000000003</v>
      </c>
      <c r="O4" s="500"/>
      <c r="P4" s="483">
        <f>O23+O24+O26+O27+O28+O30+O31+O32+O48+O16+O21+O22</f>
        <v>33600.524340000004</v>
      </c>
      <c r="Q4" s="500"/>
      <c r="R4" s="500"/>
      <c r="S4" s="500"/>
      <c r="T4" s="500">
        <f>O47</f>
        <v>20.75</v>
      </c>
      <c r="U4" s="500"/>
      <c r="V4" s="500"/>
      <c r="W4" s="500"/>
      <c r="X4" s="500"/>
      <c r="Y4" s="500"/>
      <c r="Z4" s="500"/>
      <c r="AA4" s="500"/>
      <c r="AB4" s="500"/>
      <c r="AC4" s="500"/>
      <c r="AD4" s="500"/>
      <c r="AE4" s="500"/>
      <c r="AF4" s="500"/>
      <c r="AG4" s="500"/>
      <c r="AH4" s="500">
        <f>O50+O51+O56</f>
        <v>0</v>
      </c>
      <c r="AI4" s="500">
        <f>O53</f>
        <v>0</v>
      </c>
      <c r="AJ4" s="500">
        <f>O19+O38</f>
        <v>6903.1045400000003</v>
      </c>
      <c r="AK4" s="500">
        <f>O20</f>
        <v>124.10000000000002</v>
      </c>
      <c r="AL4" s="500">
        <f>SUM(O41:O44)</f>
        <v>816.69983999999999</v>
      </c>
      <c r="AM4" s="500">
        <f>O39</f>
        <v>17.3</v>
      </c>
      <c r="AN4" s="500"/>
      <c r="AO4" s="500"/>
      <c r="AP4" s="500"/>
      <c r="AQ4" s="500">
        <f>O46</f>
        <v>31</v>
      </c>
      <c r="AR4" s="500"/>
      <c r="AS4" s="500">
        <f>O54</f>
        <v>9.5</v>
      </c>
      <c r="AT4" s="500"/>
      <c r="AU4" s="500"/>
      <c r="AV4" s="500">
        <f>O55</f>
        <v>0</v>
      </c>
      <c r="AW4" s="500"/>
      <c r="AX4" s="500"/>
      <c r="AY4" s="500"/>
      <c r="AZ4" s="500"/>
      <c r="BA4" s="500"/>
    </row>
    <row r="5" spans="1:16384" s="502" customFormat="1" ht="12.75" customHeight="1">
      <c r="A5" s="4322" t="s">
        <v>53</v>
      </c>
      <c r="B5" s="4322" t="s">
        <v>54</v>
      </c>
      <c r="C5" s="4323" t="s">
        <v>55</v>
      </c>
      <c r="D5" s="4322" t="s">
        <v>56</v>
      </c>
      <c r="E5" s="4322" t="s">
        <v>57</v>
      </c>
      <c r="F5" s="4338" t="s">
        <v>4620</v>
      </c>
      <c r="G5" s="4338"/>
      <c r="H5" s="4338"/>
      <c r="I5" s="4338"/>
      <c r="J5" s="4338"/>
      <c r="K5" s="4324" t="s">
        <v>4631</v>
      </c>
      <c r="L5" s="4325"/>
      <c r="M5" s="4325"/>
      <c r="N5" s="4325"/>
      <c r="O5" s="4325"/>
      <c r="P5" s="4326"/>
      <c r="Q5" s="4327" t="s">
        <v>4661</v>
      </c>
      <c r="R5" s="4328"/>
    </row>
    <row r="6" spans="1:16384" s="502" customFormat="1" ht="47.25" customHeight="1">
      <c r="A6" s="4322"/>
      <c r="B6" s="4322"/>
      <c r="C6" s="4323"/>
      <c r="D6" s="4322"/>
      <c r="E6" s="4322"/>
      <c r="F6" s="503" t="s">
        <v>4621</v>
      </c>
      <c r="G6" s="503" t="s">
        <v>4629</v>
      </c>
      <c r="H6" s="503" t="s">
        <v>4622</v>
      </c>
      <c r="I6" s="503" t="s">
        <v>4630</v>
      </c>
      <c r="J6" s="503" t="s">
        <v>2534</v>
      </c>
      <c r="K6" s="2969" t="s">
        <v>58</v>
      </c>
      <c r="L6" s="504" t="s">
        <v>59</v>
      </c>
      <c r="M6" s="466" t="s">
        <v>60</v>
      </c>
      <c r="N6" s="504" t="s">
        <v>61</v>
      </c>
      <c r="O6" s="466" t="s">
        <v>62</v>
      </c>
      <c r="P6" s="465" t="s">
        <v>5564</v>
      </c>
      <c r="Q6" s="505" t="s">
        <v>2536</v>
      </c>
      <c r="R6" s="623" t="s">
        <v>4662</v>
      </c>
    </row>
    <row r="7" spans="1:16384" ht="32.25" customHeight="1">
      <c r="A7" s="506">
        <v>3</v>
      </c>
      <c r="B7" s="507"/>
      <c r="C7" s="154" t="s">
        <v>10</v>
      </c>
      <c r="D7" s="508"/>
      <c r="E7" s="508"/>
      <c r="F7" s="506"/>
      <c r="G7" s="506"/>
      <c r="H7" s="506"/>
      <c r="I7" s="506"/>
      <c r="J7" s="506"/>
      <c r="K7" s="2970"/>
      <c r="L7" s="506"/>
      <c r="M7" s="509"/>
      <c r="N7" s="510"/>
      <c r="O7" s="511">
        <f>O8+O33+O49</f>
        <v>72191.713420200016</v>
      </c>
      <c r="P7" s="154"/>
      <c r="Q7" s="512"/>
      <c r="R7" s="513">
        <f>R8+R33+R49</f>
        <v>0</v>
      </c>
      <c r="S7" s="514"/>
    </row>
    <row r="8" spans="1:16384">
      <c r="A8" s="515">
        <v>3.1</v>
      </c>
      <c r="B8" s="516"/>
      <c r="C8" s="517" t="s">
        <v>11</v>
      </c>
      <c r="D8" s="518"/>
      <c r="E8" s="518"/>
      <c r="F8" s="519"/>
      <c r="G8" s="519"/>
      <c r="H8" s="519"/>
      <c r="I8" s="519"/>
      <c r="J8" s="519"/>
      <c r="K8" s="2971"/>
      <c r="L8" s="519"/>
      <c r="M8" s="520"/>
      <c r="N8" s="518"/>
      <c r="O8" s="520">
        <f>O9+O25+O29</f>
        <v>66092.890540000008</v>
      </c>
      <c r="P8" s="75"/>
      <c r="Q8" s="355"/>
      <c r="R8" s="521">
        <f>R9+R25+R29</f>
        <v>0</v>
      </c>
      <c r="S8" s="514"/>
    </row>
    <row r="9" spans="1:16384" ht="30">
      <c r="A9" s="522" t="s">
        <v>46</v>
      </c>
      <c r="B9" s="523"/>
      <c r="C9" s="524" t="s">
        <v>163</v>
      </c>
      <c r="D9" s="525"/>
      <c r="E9" s="525"/>
      <c r="F9" s="526"/>
      <c r="G9" s="526"/>
      <c r="H9" s="526"/>
      <c r="I9" s="526"/>
      <c r="J9" s="526"/>
      <c r="K9" s="2972"/>
      <c r="L9" s="526"/>
      <c r="M9" s="527"/>
      <c r="N9" s="528"/>
      <c r="O9" s="529">
        <f>O10+O18+O22+O23+O24+O17</f>
        <v>56177.690999999999</v>
      </c>
      <c r="P9" s="225"/>
      <c r="Q9" s="358"/>
      <c r="R9" s="530">
        <f>R10+R18+R22+R23+R24+R17</f>
        <v>0</v>
      </c>
      <c r="S9" s="514"/>
    </row>
    <row r="10" spans="1:16384" s="541" customFormat="1">
      <c r="A10" s="531" t="s">
        <v>164</v>
      </c>
      <c r="B10" s="532"/>
      <c r="C10" s="533" t="s">
        <v>4816</v>
      </c>
      <c r="D10" s="534" t="s">
        <v>90</v>
      </c>
      <c r="E10" s="535"/>
      <c r="F10" s="379"/>
      <c r="G10" s="379"/>
      <c r="H10" s="379"/>
      <c r="I10" s="379"/>
      <c r="J10" s="379"/>
      <c r="K10" s="608"/>
      <c r="L10" s="379"/>
      <c r="M10" s="537"/>
      <c r="N10" s="538"/>
      <c r="O10" s="539">
        <f>SUM(O11:O16)</f>
        <v>28832.264200000001</v>
      </c>
      <c r="P10" s="157"/>
      <c r="Q10" s="360"/>
      <c r="R10" s="380">
        <f>SUM(R11:R16)</f>
        <v>0</v>
      </c>
      <c r="S10" s="514"/>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c r="DA10" s="493"/>
      <c r="DB10" s="493"/>
      <c r="DC10" s="493"/>
      <c r="DD10" s="493"/>
      <c r="DE10" s="493"/>
      <c r="DF10" s="493"/>
      <c r="DG10" s="493"/>
      <c r="DH10" s="493"/>
      <c r="DI10" s="493"/>
      <c r="DJ10" s="493"/>
      <c r="DK10" s="493"/>
      <c r="DL10" s="493"/>
      <c r="DM10" s="493"/>
      <c r="DN10" s="493"/>
      <c r="DO10" s="493"/>
      <c r="DP10" s="493"/>
      <c r="DQ10" s="493"/>
      <c r="DR10" s="493"/>
      <c r="DS10" s="493"/>
      <c r="DT10" s="493"/>
      <c r="DU10" s="493"/>
      <c r="DV10" s="493"/>
      <c r="DW10" s="493"/>
      <c r="DX10" s="493"/>
      <c r="DY10" s="493"/>
      <c r="DZ10" s="493"/>
      <c r="EA10" s="493"/>
      <c r="EB10" s="493"/>
      <c r="EC10" s="493"/>
      <c r="ED10" s="493"/>
      <c r="EE10" s="493"/>
      <c r="EF10" s="493"/>
      <c r="EG10" s="493"/>
      <c r="EH10" s="493"/>
      <c r="EI10" s="493"/>
      <c r="EJ10" s="493"/>
      <c r="EK10" s="493"/>
      <c r="EL10" s="493"/>
      <c r="EM10" s="493"/>
      <c r="EN10" s="493"/>
      <c r="EO10" s="493"/>
      <c r="EP10" s="493"/>
      <c r="EQ10" s="493"/>
      <c r="ER10" s="493"/>
      <c r="ES10" s="493"/>
      <c r="ET10" s="493"/>
      <c r="EU10" s="493"/>
      <c r="EV10" s="493"/>
      <c r="EW10" s="493"/>
      <c r="EX10" s="493"/>
      <c r="EY10" s="493"/>
      <c r="EZ10" s="493"/>
      <c r="FA10" s="493"/>
      <c r="FB10" s="493"/>
      <c r="FC10" s="493"/>
      <c r="FD10" s="493"/>
      <c r="FE10" s="493"/>
      <c r="FF10" s="493"/>
      <c r="FG10" s="493"/>
      <c r="FH10" s="493"/>
      <c r="FI10" s="493"/>
      <c r="FJ10" s="493"/>
      <c r="FK10" s="493"/>
      <c r="FL10" s="493"/>
      <c r="FM10" s="493"/>
      <c r="FN10" s="493"/>
      <c r="FO10" s="493"/>
      <c r="FP10" s="493"/>
      <c r="FQ10" s="493"/>
      <c r="FR10" s="493"/>
      <c r="FS10" s="493"/>
      <c r="FT10" s="493"/>
      <c r="FU10" s="493"/>
      <c r="FV10" s="493"/>
      <c r="FW10" s="493"/>
      <c r="FX10" s="493"/>
      <c r="FY10" s="493"/>
      <c r="FZ10" s="493"/>
      <c r="GA10" s="493"/>
      <c r="GB10" s="493"/>
      <c r="GC10" s="493"/>
      <c r="GD10" s="493"/>
      <c r="GE10" s="493"/>
      <c r="GF10" s="493"/>
      <c r="GG10" s="493"/>
      <c r="GH10" s="493"/>
      <c r="GI10" s="493"/>
      <c r="GJ10" s="493"/>
      <c r="GK10" s="493"/>
      <c r="GL10" s="493"/>
      <c r="GM10" s="493"/>
      <c r="GN10" s="493"/>
      <c r="GO10" s="493"/>
      <c r="GP10" s="493"/>
      <c r="GQ10" s="493"/>
      <c r="GR10" s="493"/>
      <c r="GS10" s="493"/>
      <c r="GT10" s="493"/>
      <c r="GU10" s="493"/>
      <c r="GV10" s="493"/>
      <c r="GW10" s="493"/>
      <c r="GX10" s="493"/>
      <c r="GY10" s="493"/>
      <c r="GZ10" s="493"/>
      <c r="HA10" s="493"/>
      <c r="HB10" s="493"/>
      <c r="HC10" s="493"/>
      <c r="HD10" s="493"/>
      <c r="HE10" s="493"/>
      <c r="HF10" s="493"/>
      <c r="HG10" s="493"/>
      <c r="HH10" s="493"/>
      <c r="HI10" s="493"/>
      <c r="HJ10" s="493"/>
      <c r="HK10" s="493"/>
      <c r="HL10" s="493"/>
      <c r="HM10" s="493"/>
      <c r="HN10" s="493"/>
      <c r="HO10" s="493"/>
      <c r="HP10" s="493"/>
      <c r="HQ10" s="493"/>
      <c r="HR10" s="493"/>
      <c r="HS10" s="493"/>
      <c r="HT10" s="493"/>
      <c r="HU10" s="493"/>
      <c r="HV10" s="493"/>
      <c r="HW10" s="493"/>
      <c r="HX10" s="493"/>
      <c r="HY10" s="493"/>
      <c r="HZ10" s="493"/>
      <c r="IA10" s="493"/>
      <c r="IB10" s="493"/>
      <c r="IC10" s="493"/>
      <c r="ID10" s="493"/>
      <c r="IE10" s="493"/>
      <c r="IF10" s="493"/>
      <c r="IG10" s="493"/>
      <c r="IH10" s="493"/>
      <c r="II10" s="493"/>
      <c r="IJ10" s="493"/>
      <c r="IK10" s="493"/>
      <c r="IL10" s="493"/>
      <c r="IM10" s="493"/>
      <c r="IN10" s="493"/>
      <c r="IO10" s="493"/>
      <c r="IP10" s="493"/>
      <c r="IQ10" s="493"/>
      <c r="IR10" s="493"/>
      <c r="IS10" s="493"/>
      <c r="IT10" s="493"/>
      <c r="IU10" s="493"/>
      <c r="IV10" s="493"/>
      <c r="IW10" s="493"/>
      <c r="IX10" s="493"/>
      <c r="IY10" s="493"/>
      <c r="IZ10" s="493"/>
      <c r="JA10" s="493"/>
      <c r="JB10" s="493"/>
      <c r="JC10" s="493"/>
      <c r="JD10" s="493"/>
      <c r="JE10" s="493"/>
      <c r="JF10" s="493"/>
      <c r="JG10" s="493"/>
      <c r="JH10" s="493"/>
      <c r="JI10" s="493"/>
      <c r="JJ10" s="493"/>
      <c r="JK10" s="493"/>
      <c r="JL10" s="493"/>
      <c r="JM10" s="493"/>
      <c r="JN10" s="493"/>
      <c r="JO10" s="493"/>
      <c r="JP10" s="493"/>
      <c r="JQ10" s="493"/>
      <c r="JR10" s="493"/>
      <c r="JS10" s="493"/>
      <c r="JT10" s="493"/>
      <c r="JU10" s="493"/>
      <c r="JV10" s="493"/>
      <c r="JW10" s="493"/>
      <c r="JX10" s="493"/>
      <c r="JY10" s="493"/>
      <c r="JZ10" s="493"/>
      <c r="KA10" s="493"/>
      <c r="KB10" s="493"/>
      <c r="KC10" s="493"/>
      <c r="KD10" s="493"/>
      <c r="KE10" s="493"/>
      <c r="KF10" s="493"/>
      <c r="KG10" s="493"/>
      <c r="KH10" s="493"/>
      <c r="KI10" s="493"/>
      <c r="KJ10" s="493"/>
      <c r="KK10" s="493"/>
      <c r="KL10" s="493"/>
      <c r="KM10" s="493"/>
      <c r="KN10" s="493"/>
      <c r="KO10" s="493"/>
      <c r="KP10" s="493"/>
      <c r="KQ10" s="493"/>
      <c r="KR10" s="493"/>
      <c r="KS10" s="493"/>
      <c r="KT10" s="493"/>
      <c r="KU10" s="493"/>
      <c r="KV10" s="493"/>
      <c r="KW10" s="493"/>
      <c r="KX10" s="493"/>
      <c r="KY10" s="493"/>
      <c r="KZ10" s="493"/>
      <c r="LA10" s="493"/>
      <c r="LB10" s="493"/>
      <c r="LC10" s="493"/>
      <c r="LD10" s="493"/>
      <c r="LE10" s="493"/>
      <c r="LF10" s="493"/>
      <c r="LG10" s="493"/>
      <c r="LH10" s="493"/>
      <c r="LI10" s="493"/>
      <c r="LJ10" s="493"/>
      <c r="LK10" s="493"/>
      <c r="LL10" s="493"/>
      <c r="LM10" s="493"/>
      <c r="LN10" s="493"/>
      <c r="LO10" s="493"/>
      <c r="LP10" s="493"/>
      <c r="LQ10" s="493"/>
      <c r="LR10" s="493"/>
      <c r="LS10" s="493"/>
      <c r="LT10" s="493"/>
      <c r="LU10" s="493"/>
      <c r="LV10" s="493"/>
      <c r="LW10" s="493"/>
      <c r="LX10" s="493"/>
      <c r="LY10" s="493"/>
      <c r="LZ10" s="493"/>
      <c r="MA10" s="493"/>
      <c r="MB10" s="493"/>
      <c r="MC10" s="493"/>
      <c r="MD10" s="493"/>
      <c r="ME10" s="493"/>
      <c r="MF10" s="493"/>
      <c r="MG10" s="493"/>
      <c r="MH10" s="493"/>
      <c r="MI10" s="493"/>
      <c r="MJ10" s="493"/>
      <c r="MK10" s="493"/>
      <c r="ML10" s="493"/>
      <c r="MM10" s="493"/>
      <c r="MN10" s="493"/>
      <c r="MO10" s="493"/>
      <c r="MP10" s="493"/>
      <c r="MQ10" s="493"/>
      <c r="MR10" s="493"/>
      <c r="MS10" s="493"/>
      <c r="MT10" s="493"/>
      <c r="MU10" s="493"/>
      <c r="MV10" s="493"/>
      <c r="MW10" s="493"/>
      <c r="MX10" s="493"/>
      <c r="MY10" s="493"/>
      <c r="MZ10" s="493"/>
      <c r="NA10" s="493"/>
      <c r="NB10" s="493"/>
      <c r="NC10" s="493"/>
      <c r="ND10" s="493"/>
      <c r="NE10" s="493"/>
      <c r="NF10" s="493"/>
      <c r="NG10" s="493"/>
      <c r="NH10" s="493"/>
      <c r="NI10" s="493"/>
      <c r="NJ10" s="493"/>
      <c r="NK10" s="493"/>
      <c r="NL10" s="493"/>
      <c r="NM10" s="493"/>
      <c r="NN10" s="493"/>
      <c r="NO10" s="493"/>
      <c r="NP10" s="493"/>
      <c r="NQ10" s="493"/>
      <c r="NR10" s="493"/>
      <c r="NS10" s="493"/>
      <c r="NT10" s="493"/>
      <c r="NU10" s="493"/>
      <c r="NV10" s="493"/>
      <c r="NW10" s="493"/>
      <c r="NX10" s="493"/>
      <c r="NY10" s="493"/>
      <c r="NZ10" s="493"/>
      <c r="OA10" s="493"/>
      <c r="OB10" s="493"/>
      <c r="OC10" s="493"/>
      <c r="OD10" s="493"/>
      <c r="OE10" s="493"/>
      <c r="OF10" s="493"/>
      <c r="OG10" s="493"/>
      <c r="OH10" s="493"/>
      <c r="OI10" s="493"/>
      <c r="OJ10" s="493"/>
      <c r="OK10" s="493"/>
      <c r="OL10" s="493"/>
      <c r="OM10" s="493"/>
      <c r="ON10" s="493"/>
      <c r="OO10" s="493"/>
      <c r="OP10" s="493"/>
      <c r="OQ10" s="493"/>
      <c r="OR10" s="493"/>
      <c r="OS10" s="493"/>
      <c r="OT10" s="493"/>
      <c r="OU10" s="493"/>
      <c r="OV10" s="493"/>
      <c r="OW10" s="493"/>
      <c r="OX10" s="493"/>
      <c r="OY10" s="493"/>
      <c r="OZ10" s="493"/>
      <c r="PA10" s="493"/>
      <c r="PB10" s="493"/>
      <c r="PC10" s="493"/>
      <c r="PD10" s="493"/>
      <c r="PE10" s="493"/>
      <c r="PF10" s="493"/>
      <c r="PG10" s="493"/>
      <c r="PH10" s="493"/>
      <c r="PI10" s="493"/>
      <c r="PJ10" s="493"/>
      <c r="PK10" s="493"/>
      <c r="PL10" s="493"/>
      <c r="PM10" s="493"/>
      <c r="PN10" s="493"/>
      <c r="PO10" s="493"/>
      <c r="PP10" s="493"/>
      <c r="PQ10" s="493"/>
      <c r="PR10" s="493"/>
      <c r="PS10" s="493"/>
      <c r="PT10" s="493"/>
      <c r="PU10" s="493"/>
      <c r="PV10" s="493"/>
      <c r="PW10" s="493"/>
      <c r="PX10" s="493"/>
      <c r="PY10" s="493"/>
      <c r="PZ10" s="493"/>
      <c r="QA10" s="493"/>
      <c r="QB10" s="493"/>
      <c r="QC10" s="493"/>
      <c r="QD10" s="493"/>
      <c r="QE10" s="493"/>
      <c r="QF10" s="493"/>
      <c r="QG10" s="493"/>
      <c r="QH10" s="493"/>
      <c r="QI10" s="493"/>
      <c r="QJ10" s="493"/>
      <c r="QK10" s="493"/>
      <c r="QL10" s="493"/>
      <c r="QM10" s="493"/>
      <c r="QN10" s="493"/>
      <c r="QO10" s="493"/>
      <c r="QP10" s="493"/>
      <c r="QQ10" s="493"/>
      <c r="QR10" s="493"/>
      <c r="QS10" s="493"/>
      <c r="QT10" s="493"/>
      <c r="QU10" s="493"/>
      <c r="QV10" s="493"/>
      <c r="QW10" s="493"/>
      <c r="QX10" s="493"/>
      <c r="QY10" s="493"/>
      <c r="QZ10" s="493"/>
      <c r="RA10" s="493"/>
      <c r="RB10" s="493"/>
      <c r="RC10" s="493"/>
      <c r="RD10" s="493"/>
      <c r="RE10" s="493"/>
      <c r="RF10" s="493"/>
      <c r="RG10" s="493"/>
      <c r="RH10" s="493"/>
      <c r="RI10" s="493"/>
      <c r="RJ10" s="493"/>
      <c r="RK10" s="493"/>
      <c r="RL10" s="493"/>
      <c r="RM10" s="493"/>
      <c r="RN10" s="493"/>
      <c r="RO10" s="493"/>
      <c r="RP10" s="493"/>
      <c r="RQ10" s="493"/>
      <c r="RR10" s="493"/>
      <c r="RS10" s="493"/>
      <c r="RT10" s="493"/>
      <c r="RU10" s="493"/>
      <c r="RV10" s="493"/>
      <c r="RW10" s="493"/>
      <c r="RX10" s="493"/>
      <c r="RY10" s="493"/>
      <c r="RZ10" s="493"/>
      <c r="SA10" s="493"/>
      <c r="SB10" s="493"/>
      <c r="SC10" s="493"/>
      <c r="SD10" s="493"/>
      <c r="SE10" s="493"/>
      <c r="SF10" s="493"/>
      <c r="SG10" s="493"/>
      <c r="SH10" s="493"/>
      <c r="SI10" s="493"/>
      <c r="SJ10" s="493"/>
      <c r="SK10" s="493"/>
      <c r="SL10" s="493"/>
      <c r="SM10" s="493"/>
      <c r="SN10" s="493"/>
      <c r="SO10" s="493"/>
      <c r="SP10" s="493"/>
      <c r="SQ10" s="493"/>
      <c r="SR10" s="493"/>
      <c r="SS10" s="493"/>
      <c r="ST10" s="493"/>
      <c r="SU10" s="493"/>
      <c r="SV10" s="493"/>
      <c r="SW10" s="493"/>
      <c r="SX10" s="493"/>
      <c r="SY10" s="493"/>
      <c r="SZ10" s="493"/>
      <c r="TA10" s="493"/>
      <c r="TB10" s="493"/>
      <c r="TC10" s="493"/>
      <c r="TD10" s="493"/>
      <c r="TE10" s="493"/>
      <c r="TF10" s="493"/>
      <c r="TG10" s="493"/>
      <c r="TH10" s="493"/>
      <c r="TI10" s="493"/>
      <c r="TJ10" s="493"/>
      <c r="TK10" s="493"/>
      <c r="TL10" s="493"/>
      <c r="TM10" s="493"/>
      <c r="TN10" s="493"/>
      <c r="TO10" s="493"/>
      <c r="TP10" s="493"/>
      <c r="TQ10" s="493"/>
      <c r="TR10" s="493"/>
      <c r="TS10" s="493"/>
      <c r="TT10" s="493"/>
      <c r="TU10" s="493"/>
      <c r="TV10" s="493"/>
      <c r="TW10" s="493"/>
      <c r="TX10" s="493"/>
      <c r="TY10" s="493"/>
      <c r="TZ10" s="493"/>
      <c r="UA10" s="493"/>
      <c r="UB10" s="493"/>
      <c r="UC10" s="493"/>
      <c r="UD10" s="493"/>
      <c r="UE10" s="493"/>
      <c r="UF10" s="493"/>
      <c r="UG10" s="493"/>
      <c r="UH10" s="493"/>
      <c r="UI10" s="493"/>
      <c r="UJ10" s="493"/>
      <c r="UK10" s="493"/>
      <c r="UL10" s="493"/>
      <c r="UM10" s="493"/>
      <c r="UN10" s="493"/>
      <c r="UO10" s="493"/>
      <c r="UP10" s="493"/>
      <c r="UQ10" s="493"/>
      <c r="UR10" s="493"/>
      <c r="US10" s="493"/>
      <c r="UT10" s="493"/>
      <c r="UU10" s="493"/>
      <c r="UV10" s="493"/>
      <c r="UW10" s="493"/>
      <c r="UX10" s="493"/>
      <c r="UY10" s="493"/>
      <c r="UZ10" s="493"/>
      <c r="VA10" s="493"/>
      <c r="VB10" s="493"/>
      <c r="VC10" s="493"/>
      <c r="VD10" s="493"/>
      <c r="VE10" s="493"/>
      <c r="VF10" s="493"/>
      <c r="VG10" s="493"/>
      <c r="VH10" s="493"/>
      <c r="VI10" s="493"/>
      <c r="VJ10" s="493"/>
      <c r="VK10" s="493"/>
      <c r="VL10" s="493"/>
      <c r="VM10" s="493"/>
      <c r="VN10" s="493"/>
      <c r="VO10" s="493"/>
      <c r="VP10" s="493"/>
      <c r="VQ10" s="493"/>
      <c r="VR10" s="493"/>
      <c r="VS10" s="493"/>
      <c r="VT10" s="493"/>
      <c r="VU10" s="493"/>
      <c r="VV10" s="493"/>
      <c r="VW10" s="493"/>
      <c r="VX10" s="493"/>
      <c r="VY10" s="493"/>
      <c r="VZ10" s="493"/>
      <c r="WA10" s="493"/>
      <c r="WB10" s="493"/>
      <c r="WC10" s="493"/>
      <c r="WD10" s="493"/>
      <c r="WE10" s="493"/>
      <c r="WF10" s="493"/>
      <c r="WG10" s="493"/>
      <c r="WH10" s="493"/>
      <c r="WI10" s="493"/>
      <c r="WJ10" s="493"/>
      <c r="WK10" s="493"/>
      <c r="WL10" s="493"/>
      <c r="WM10" s="493"/>
      <c r="WN10" s="493"/>
      <c r="WO10" s="493"/>
      <c r="WP10" s="493"/>
      <c r="WQ10" s="493"/>
      <c r="WR10" s="493"/>
      <c r="WS10" s="493"/>
      <c r="WT10" s="493"/>
      <c r="WU10" s="493"/>
      <c r="WV10" s="493"/>
      <c r="WW10" s="493"/>
      <c r="WX10" s="493"/>
      <c r="WY10" s="493"/>
      <c r="WZ10" s="493"/>
      <c r="XA10" s="493"/>
      <c r="XB10" s="493"/>
      <c r="XC10" s="493"/>
      <c r="XD10" s="493"/>
      <c r="XE10" s="493"/>
      <c r="XF10" s="493"/>
      <c r="XG10" s="493"/>
      <c r="XH10" s="493"/>
      <c r="XI10" s="493"/>
      <c r="XJ10" s="493"/>
      <c r="XK10" s="493"/>
      <c r="XL10" s="493"/>
      <c r="XM10" s="493"/>
      <c r="XN10" s="493"/>
      <c r="XO10" s="493"/>
      <c r="XP10" s="493"/>
      <c r="XQ10" s="493"/>
      <c r="XR10" s="493"/>
      <c r="XS10" s="493"/>
      <c r="XT10" s="493"/>
      <c r="XU10" s="493"/>
      <c r="XV10" s="493"/>
      <c r="XW10" s="493"/>
      <c r="XX10" s="493"/>
      <c r="XY10" s="493"/>
      <c r="XZ10" s="493"/>
      <c r="YA10" s="493"/>
      <c r="YB10" s="493"/>
      <c r="YC10" s="493"/>
      <c r="YD10" s="493"/>
      <c r="YE10" s="493"/>
      <c r="YF10" s="493"/>
      <c r="YG10" s="493"/>
      <c r="YH10" s="493"/>
      <c r="YI10" s="493"/>
      <c r="YJ10" s="493"/>
      <c r="YK10" s="493"/>
      <c r="YL10" s="493"/>
      <c r="YM10" s="493"/>
      <c r="YN10" s="493"/>
      <c r="YO10" s="493"/>
      <c r="YP10" s="493"/>
      <c r="YQ10" s="493"/>
      <c r="YR10" s="493"/>
      <c r="YS10" s="493"/>
      <c r="YT10" s="493"/>
      <c r="YU10" s="493"/>
      <c r="YV10" s="493"/>
      <c r="YW10" s="493"/>
      <c r="YX10" s="493"/>
      <c r="YY10" s="493"/>
      <c r="YZ10" s="493"/>
      <c r="ZA10" s="493"/>
      <c r="ZB10" s="493"/>
      <c r="ZC10" s="493"/>
      <c r="ZD10" s="493"/>
      <c r="ZE10" s="493"/>
      <c r="ZF10" s="493"/>
      <c r="ZG10" s="493"/>
      <c r="ZH10" s="493"/>
      <c r="ZI10" s="493"/>
      <c r="ZJ10" s="493"/>
      <c r="ZK10" s="493"/>
      <c r="ZL10" s="493"/>
      <c r="ZM10" s="493"/>
      <c r="ZN10" s="493"/>
      <c r="ZO10" s="493"/>
      <c r="ZP10" s="493"/>
      <c r="ZQ10" s="493"/>
      <c r="ZR10" s="493"/>
      <c r="ZS10" s="493"/>
      <c r="ZT10" s="493"/>
      <c r="ZU10" s="493"/>
      <c r="ZV10" s="493"/>
      <c r="ZW10" s="493"/>
      <c r="ZX10" s="493"/>
      <c r="ZY10" s="493"/>
      <c r="ZZ10" s="493"/>
      <c r="AAA10" s="493"/>
      <c r="AAB10" s="493"/>
      <c r="AAC10" s="493"/>
      <c r="AAD10" s="493"/>
      <c r="AAE10" s="493"/>
      <c r="AAF10" s="493"/>
      <c r="AAG10" s="493"/>
      <c r="AAH10" s="493"/>
      <c r="AAI10" s="493"/>
      <c r="AAJ10" s="493"/>
      <c r="AAK10" s="493"/>
      <c r="AAL10" s="493"/>
      <c r="AAM10" s="493"/>
      <c r="AAN10" s="493"/>
      <c r="AAO10" s="493"/>
      <c r="AAP10" s="493"/>
      <c r="AAQ10" s="493"/>
      <c r="AAR10" s="493"/>
      <c r="AAS10" s="493"/>
      <c r="AAT10" s="493"/>
      <c r="AAU10" s="493"/>
      <c r="AAV10" s="493"/>
      <c r="AAW10" s="493"/>
      <c r="AAX10" s="493"/>
      <c r="AAY10" s="493"/>
      <c r="AAZ10" s="493"/>
      <c r="ABA10" s="493"/>
      <c r="ABB10" s="493"/>
      <c r="ABC10" s="493"/>
      <c r="ABD10" s="493"/>
      <c r="ABE10" s="493"/>
      <c r="ABF10" s="493"/>
      <c r="ABG10" s="493"/>
      <c r="ABH10" s="493"/>
      <c r="ABI10" s="493"/>
      <c r="ABJ10" s="493"/>
      <c r="ABK10" s="493"/>
      <c r="ABL10" s="493"/>
      <c r="ABM10" s="493"/>
      <c r="ABN10" s="493"/>
      <c r="ABO10" s="493"/>
      <c r="ABP10" s="493"/>
      <c r="ABQ10" s="493"/>
      <c r="ABR10" s="493"/>
      <c r="ABS10" s="493"/>
      <c r="ABT10" s="493"/>
      <c r="ABU10" s="493"/>
      <c r="ABV10" s="493"/>
      <c r="ABW10" s="493"/>
      <c r="ABX10" s="493"/>
      <c r="ABY10" s="493"/>
      <c r="ABZ10" s="493"/>
      <c r="ACA10" s="493"/>
      <c r="ACB10" s="493"/>
      <c r="ACC10" s="493"/>
      <c r="ACD10" s="493"/>
      <c r="ACE10" s="493"/>
      <c r="ACF10" s="493"/>
      <c r="ACG10" s="493"/>
      <c r="ACH10" s="493"/>
      <c r="ACI10" s="493"/>
      <c r="ACJ10" s="493"/>
      <c r="ACK10" s="493"/>
      <c r="ACL10" s="493"/>
      <c r="ACM10" s="493"/>
      <c r="ACN10" s="493"/>
      <c r="ACO10" s="493"/>
      <c r="ACP10" s="493"/>
      <c r="ACQ10" s="493"/>
      <c r="ACR10" s="493"/>
      <c r="ACS10" s="493"/>
      <c r="ACT10" s="493"/>
      <c r="ACU10" s="493"/>
      <c r="ACV10" s="493"/>
      <c r="ACW10" s="493"/>
      <c r="ACX10" s="493"/>
      <c r="ACY10" s="493"/>
      <c r="ACZ10" s="493"/>
      <c r="ADA10" s="493"/>
      <c r="ADB10" s="493"/>
      <c r="ADC10" s="493"/>
      <c r="ADD10" s="493"/>
      <c r="ADE10" s="493"/>
      <c r="ADF10" s="493"/>
      <c r="ADG10" s="493"/>
      <c r="ADH10" s="493"/>
      <c r="ADI10" s="493"/>
      <c r="ADJ10" s="493"/>
      <c r="ADK10" s="493"/>
      <c r="ADL10" s="493"/>
      <c r="ADM10" s="493"/>
      <c r="ADN10" s="493"/>
      <c r="ADO10" s="493"/>
      <c r="ADP10" s="493"/>
      <c r="ADQ10" s="493"/>
      <c r="ADR10" s="493"/>
      <c r="ADS10" s="493"/>
      <c r="ADT10" s="493"/>
      <c r="ADU10" s="493"/>
      <c r="ADV10" s="493"/>
      <c r="ADW10" s="493"/>
      <c r="ADX10" s="493"/>
      <c r="ADY10" s="493"/>
      <c r="ADZ10" s="493"/>
      <c r="AEA10" s="493"/>
      <c r="AEB10" s="493"/>
      <c r="AEC10" s="493"/>
      <c r="AED10" s="493"/>
      <c r="AEE10" s="493"/>
      <c r="AEF10" s="493"/>
      <c r="AEG10" s="493"/>
      <c r="AEH10" s="493"/>
      <c r="AEI10" s="493"/>
      <c r="AEJ10" s="493"/>
      <c r="AEK10" s="493"/>
      <c r="AEL10" s="493"/>
      <c r="AEM10" s="493"/>
      <c r="AEN10" s="493"/>
      <c r="AEO10" s="493"/>
      <c r="AEP10" s="493"/>
      <c r="AEQ10" s="493"/>
      <c r="AER10" s="493"/>
      <c r="AES10" s="493"/>
      <c r="AET10" s="493"/>
      <c r="AEU10" s="493"/>
      <c r="AEV10" s="493"/>
      <c r="AEW10" s="493"/>
      <c r="AEX10" s="493"/>
      <c r="AEY10" s="493"/>
      <c r="AEZ10" s="493"/>
      <c r="AFA10" s="493"/>
      <c r="AFB10" s="493"/>
      <c r="AFC10" s="493"/>
      <c r="AFD10" s="493"/>
      <c r="AFE10" s="493"/>
      <c r="AFF10" s="493"/>
      <c r="AFG10" s="493"/>
      <c r="AFH10" s="493"/>
      <c r="AFI10" s="493"/>
      <c r="AFJ10" s="493"/>
      <c r="AFK10" s="493"/>
      <c r="AFL10" s="493"/>
      <c r="AFM10" s="493"/>
      <c r="AFN10" s="493"/>
      <c r="AFO10" s="493"/>
      <c r="AFP10" s="493"/>
      <c r="AFQ10" s="493"/>
      <c r="AFR10" s="493"/>
      <c r="AFS10" s="493"/>
      <c r="AFT10" s="493"/>
      <c r="AFU10" s="493"/>
      <c r="AFV10" s="493"/>
      <c r="AFW10" s="493"/>
      <c r="AFX10" s="493"/>
      <c r="AFY10" s="493"/>
      <c r="AFZ10" s="493"/>
      <c r="AGA10" s="493"/>
      <c r="AGB10" s="493"/>
      <c r="AGC10" s="493"/>
      <c r="AGD10" s="493"/>
      <c r="AGE10" s="493"/>
      <c r="AGF10" s="493"/>
      <c r="AGG10" s="493"/>
      <c r="AGH10" s="493"/>
      <c r="AGI10" s="493"/>
      <c r="AGJ10" s="493"/>
      <c r="AGK10" s="493"/>
      <c r="AGL10" s="493"/>
      <c r="AGM10" s="493"/>
      <c r="AGN10" s="493"/>
      <c r="AGO10" s="493"/>
      <c r="AGP10" s="493"/>
      <c r="AGQ10" s="493"/>
      <c r="AGR10" s="493"/>
      <c r="AGS10" s="493"/>
      <c r="AGT10" s="493"/>
      <c r="AGU10" s="493"/>
      <c r="AGV10" s="493"/>
      <c r="AGW10" s="493"/>
      <c r="AGX10" s="493"/>
      <c r="AGY10" s="493"/>
      <c r="AGZ10" s="493"/>
      <c r="AHA10" s="493"/>
      <c r="AHB10" s="493"/>
      <c r="AHC10" s="493"/>
      <c r="AHD10" s="493"/>
      <c r="AHE10" s="493"/>
      <c r="AHF10" s="493"/>
      <c r="AHG10" s="493"/>
      <c r="AHH10" s="493"/>
      <c r="AHI10" s="493"/>
      <c r="AHJ10" s="493"/>
      <c r="AHK10" s="493"/>
      <c r="AHL10" s="493"/>
      <c r="AHM10" s="493"/>
      <c r="AHN10" s="493"/>
      <c r="AHO10" s="493"/>
      <c r="AHP10" s="493"/>
      <c r="AHQ10" s="493"/>
      <c r="AHR10" s="493"/>
      <c r="AHS10" s="493"/>
      <c r="AHT10" s="493"/>
      <c r="AHU10" s="493"/>
      <c r="AHV10" s="493"/>
      <c r="AHW10" s="493"/>
      <c r="AHX10" s="493"/>
      <c r="AHY10" s="493"/>
      <c r="AHZ10" s="493"/>
      <c r="AIA10" s="493"/>
      <c r="AIB10" s="493"/>
      <c r="AIC10" s="493"/>
      <c r="AID10" s="493"/>
      <c r="AIE10" s="493"/>
      <c r="AIF10" s="493"/>
      <c r="AIG10" s="493"/>
      <c r="AIH10" s="493"/>
      <c r="AII10" s="493"/>
      <c r="AIJ10" s="493"/>
      <c r="AIK10" s="493"/>
      <c r="AIL10" s="493"/>
      <c r="AIM10" s="493"/>
      <c r="AIN10" s="493"/>
      <c r="AIO10" s="493"/>
      <c r="AIP10" s="493"/>
      <c r="AIQ10" s="493"/>
      <c r="AIR10" s="493"/>
      <c r="AIS10" s="493"/>
      <c r="AIT10" s="493"/>
      <c r="AIU10" s="493"/>
      <c r="AIV10" s="493"/>
      <c r="AIW10" s="493"/>
      <c r="AIX10" s="493"/>
      <c r="AIY10" s="493"/>
      <c r="AIZ10" s="493"/>
      <c r="AJA10" s="493"/>
      <c r="AJB10" s="493"/>
      <c r="AJC10" s="493"/>
      <c r="AJD10" s="493"/>
      <c r="AJE10" s="493"/>
      <c r="AJF10" s="493"/>
      <c r="AJG10" s="493"/>
      <c r="AJH10" s="493"/>
      <c r="AJI10" s="493"/>
      <c r="AJJ10" s="493"/>
      <c r="AJK10" s="493"/>
      <c r="AJL10" s="493"/>
      <c r="AJM10" s="493"/>
      <c r="AJN10" s="493"/>
      <c r="AJO10" s="493"/>
      <c r="AJP10" s="493"/>
      <c r="AJQ10" s="493"/>
      <c r="AJR10" s="493"/>
      <c r="AJS10" s="493"/>
      <c r="AJT10" s="493"/>
      <c r="AJU10" s="493"/>
      <c r="AJV10" s="493"/>
      <c r="AJW10" s="493"/>
      <c r="AJX10" s="493"/>
      <c r="AJY10" s="493"/>
      <c r="AJZ10" s="493"/>
      <c r="AKA10" s="493"/>
      <c r="AKB10" s="493"/>
      <c r="AKC10" s="493"/>
      <c r="AKD10" s="493"/>
      <c r="AKE10" s="493"/>
      <c r="AKF10" s="493"/>
      <c r="AKG10" s="493"/>
      <c r="AKH10" s="493"/>
      <c r="AKI10" s="493"/>
      <c r="AKJ10" s="493"/>
      <c r="AKK10" s="493"/>
      <c r="AKL10" s="493"/>
      <c r="AKM10" s="493"/>
      <c r="AKN10" s="493"/>
      <c r="AKO10" s="493"/>
      <c r="AKP10" s="493"/>
      <c r="AKQ10" s="493"/>
      <c r="AKR10" s="493"/>
      <c r="AKS10" s="493"/>
      <c r="AKT10" s="493"/>
      <c r="AKU10" s="493"/>
      <c r="AKV10" s="493"/>
      <c r="AKW10" s="493"/>
      <c r="AKX10" s="493"/>
      <c r="AKY10" s="493"/>
      <c r="AKZ10" s="493"/>
      <c r="ALA10" s="493"/>
      <c r="ALB10" s="493"/>
      <c r="ALC10" s="493"/>
      <c r="ALD10" s="493"/>
      <c r="ALE10" s="493"/>
      <c r="ALF10" s="493"/>
      <c r="ALG10" s="493"/>
      <c r="ALH10" s="493"/>
      <c r="ALI10" s="493"/>
      <c r="ALJ10" s="493"/>
      <c r="ALK10" s="493"/>
      <c r="ALL10" s="493"/>
      <c r="ALM10" s="493"/>
      <c r="ALN10" s="493"/>
      <c r="ALO10" s="493"/>
      <c r="ALP10" s="493"/>
      <c r="ALQ10" s="493"/>
      <c r="ALR10" s="493"/>
      <c r="ALS10" s="493"/>
      <c r="ALT10" s="493"/>
      <c r="ALU10" s="493"/>
      <c r="ALV10" s="493"/>
      <c r="ALW10" s="493"/>
      <c r="ALX10" s="493"/>
      <c r="ALY10" s="493"/>
      <c r="ALZ10" s="493"/>
      <c r="AMA10" s="493"/>
      <c r="AMB10" s="493"/>
      <c r="AMC10" s="493"/>
      <c r="AMD10" s="493"/>
      <c r="AME10" s="493"/>
      <c r="AMF10" s="493"/>
      <c r="AMG10" s="493"/>
      <c r="AMH10" s="493"/>
      <c r="AMI10" s="493"/>
      <c r="AMJ10" s="493"/>
      <c r="AMK10" s="493"/>
      <c r="AML10" s="493"/>
      <c r="AMM10" s="493"/>
      <c r="AMN10" s="493"/>
      <c r="AMO10" s="493"/>
      <c r="AMP10" s="493"/>
      <c r="AMQ10" s="493"/>
      <c r="AMR10" s="493"/>
      <c r="AMS10" s="493"/>
      <c r="AMT10" s="493"/>
      <c r="AMU10" s="493"/>
      <c r="AMV10" s="493"/>
      <c r="AMW10" s="493"/>
      <c r="AMX10" s="493"/>
      <c r="AMY10" s="493"/>
      <c r="AMZ10" s="493"/>
      <c r="ANA10" s="493"/>
      <c r="ANB10" s="493"/>
      <c r="ANC10" s="493"/>
      <c r="AND10" s="493"/>
      <c r="ANE10" s="493"/>
      <c r="ANF10" s="493"/>
      <c r="ANG10" s="493"/>
      <c r="ANH10" s="493"/>
      <c r="ANI10" s="493"/>
      <c r="ANJ10" s="493"/>
      <c r="ANK10" s="493"/>
      <c r="ANL10" s="493"/>
      <c r="ANM10" s="493"/>
      <c r="ANN10" s="493"/>
      <c r="ANO10" s="493"/>
      <c r="ANP10" s="493"/>
      <c r="ANQ10" s="493"/>
      <c r="ANR10" s="493"/>
      <c r="ANS10" s="493"/>
      <c r="ANT10" s="493"/>
      <c r="ANU10" s="493"/>
      <c r="ANV10" s="493"/>
      <c r="ANW10" s="493"/>
      <c r="ANX10" s="493"/>
      <c r="ANY10" s="493"/>
      <c r="ANZ10" s="493"/>
      <c r="AOA10" s="493"/>
      <c r="AOB10" s="493"/>
      <c r="AOC10" s="493"/>
      <c r="AOD10" s="493"/>
      <c r="AOE10" s="493"/>
      <c r="AOF10" s="493"/>
      <c r="AOG10" s="493"/>
      <c r="AOH10" s="493"/>
      <c r="AOI10" s="493"/>
      <c r="AOJ10" s="493"/>
      <c r="AOK10" s="493"/>
      <c r="AOL10" s="493"/>
      <c r="AOM10" s="493"/>
      <c r="AON10" s="493"/>
      <c r="AOO10" s="493"/>
      <c r="AOP10" s="493"/>
      <c r="AOQ10" s="493"/>
      <c r="AOR10" s="493"/>
      <c r="AOS10" s="493"/>
      <c r="AOT10" s="493"/>
      <c r="AOU10" s="493"/>
      <c r="AOV10" s="493"/>
      <c r="AOW10" s="493"/>
      <c r="AOX10" s="493"/>
      <c r="AOY10" s="493"/>
      <c r="AOZ10" s="493"/>
      <c r="APA10" s="493"/>
      <c r="APB10" s="493"/>
      <c r="APC10" s="493"/>
      <c r="APD10" s="493"/>
      <c r="APE10" s="493"/>
      <c r="APF10" s="493"/>
      <c r="APG10" s="493"/>
      <c r="APH10" s="493"/>
      <c r="API10" s="493"/>
      <c r="APJ10" s="493"/>
      <c r="APK10" s="493"/>
      <c r="APL10" s="493"/>
      <c r="APM10" s="493"/>
      <c r="APN10" s="493"/>
      <c r="APO10" s="493"/>
      <c r="APP10" s="493"/>
      <c r="APQ10" s="493"/>
      <c r="APR10" s="493"/>
      <c r="APS10" s="493"/>
      <c r="APT10" s="493"/>
      <c r="APU10" s="493"/>
      <c r="APV10" s="493"/>
      <c r="APW10" s="493"/>
      <c r="APX10" s="493"/>
      <c r="APY10" s="493"/>
      <c r="APZ10" s="493"/>
      <c r="AQA10" s="493"/>
      <c r="AQB10" s="493"/>
      <c r="AQC10" s="493"/>
      <c r="AQD10" s="493"/>
      <c r="AQE10" s="493"/>
      <c r="AQF10" s="493"/>
      <c r="AQG10" s="493"/>
      <c r="AQH10" s="493"/>
      <c r="AQI10" s="493"/>
      <c r="AQJ10" s="493"/>
      <c r="AQK10" s="493"/>
      <c r="AQL10" s="493"/>
      <c r="AQM10" s="493"/>
      <c r="AQN10" s="493"/>
      <c r="AQO10" s="493"/>
      <c r="AQP10" s="493"/>
      <c r="AQQ10" s="493"/>
      <c r="AQR10" s="493"/>
      <c r="AQS10" s="493"/>
      <c r="AQT10" s="493"/>
      <c r="AQU10" s="493"/>
      <c r="AQV10" s="493"/>
      <c r="AQW10" s="493"/>
      <c r="AQX10" s="493"/>
      <c r="AQY10" s="493"/>
      <c r="AQZ10" s="493"/>
      <c r="ARA10" s="493"/>
      <c r="ARB10" s="493"/>
      <c r="ARC10" s="493"/>
      <c r="ARD10" s="493"/>
      <c r="ARE10" s="493"/>
      <c r="ARF10" s="493"/>
      <c r="ARG10" s="493"/>
      <c r="ARH10" s="493"/>
      <c r="ARI10" s="493"/>
      <c r="ARJ10" s="493"/>
      <c r="ARK10" s="493"/>
      <c r="ARL10" s="493"/>
      <c r="ARM10" s="493"/>
      <c r="ARN10" s="493"/>
      <c r="ARO10" s="493"/>
      <c r="ARP10" s="493"/>
      <c r="ARQ10" s="493"/>
      <c r="ARR10" s="493"/>
      <c r="ARS10" s="493"/>
      <c r="ART10" s="493"/>
      <c r="ARU10" s="493"/>
      <c r="ARV10" s="493"/>
      <c r="ARW10" s="493"/>
      <c r="ARX10" s="493"/>
      <c r="ARY10" s="493"/>
      <c r="ARZ10" s="493"/>
      <c r="ASA10" s="493"/>
      <c r="ASB10" s="493"/>
      <c r="ASC10" s="493"/>
      <c r="ASD10" s="493"/>
      <c r="ASE10" s="493"/>
      <c r="ASF10" s="493"/>
      <c r="ASG10" s="493"/>
      <c r="ASH10" s="493"/>
      <c r="ASI10" s="493"/>
      <c r="ASJ10" s="493"/>
      <c r="ASK10" s="493"/>
      <c r="ASL10" s="493"/>
      <c r="ASM10" s="493"/>
      <c r="ASN10" s="493"/>
      <c r="ASO10" s="493"/>
      <c r="ASP10" s="493"/>
      <c r="ASQ10" s="493"/>
      <c r="ASR10" s="493"/>
      <c r="ASS10" s="493"/>
      <c r="AST10" s="493"/>
      <c r="ASU10" s="493"/>
      <c r="ASV10" s="493"/>
      <c r="ASW10" s="493"/>
      <c r="ASX10" s="493"/>
      <c r="ASY10" s="493"/>
      <c r="ASZ10" s="493"/>
      <c r="ATA10" s="493"/>
      <c r="ATB10" s="493"/>
      <c r="ATC10" s="493"/>
      <c r="ATD10" s="493"/>
      <c r="ATE10" s="493"/>
      <c r="ATF10" s="493"/>
      <c r="ATG10" s="493"/>
      <c r="ATH10" s="493"/>
      <c r="ATI10" s="493"/>
      <c r="ATJ10" s="493"/>
      <c r="ATK10" s="493"/>
      <c r="ATL10" s="493"/>
      <c r="ATM10" s="493"/>
      <c r="ATN10" s="493"/>
      <c r="ATO10" s="493"/>
      <c r="ATP10" s="493"/>
      <c r="ATQ10" s="493"/>
      <c r="ATR10" s="493"/>
      <c r="ATS10" s="493"/>
      <c r="ATT10" s="493"/>
      <c r="ATU10" s="493"/>
      <c r="ATV10" s="493"/>
      <c r="ATW10" s="493"/>
      <c r="ATX10" s="493"/>
      <c r="ATY10" s="493"/>
      <c r="ATZ10" s="493"/>
      <c r="AUA10" s="493"/>
      <c r="AUB10" s="493"/>
      <c r="AUC10" s="493"/>
      <c r="AUD10" s="493"/>
      <c r="AUE10" s="493"/>
      <c r="AUF10" s="493"/>
      <c r="AUG10" s="493"/>
      <c r="AUH10" s="493"/>
      <c r="AUI10" s="493"/>
      <c r="AUJ10" s="493"/>
      <c r="AUK10" s="493"/>
      <c r="AUL10" s="493"/>
      <c r="AUM10" s="493"/>
      <c r="AUN10" s="493"/>
      <c r="AUO10" s="493"/>
      <c r="AUP10" s="493"/>
      <c r="AUQ10" s="493"/>
      <c r="AUR10" s="493"/>
      <c r="AUS10" s="493"/>
      <c r="AUT10" s="493"/>
      <c r="AUU10" s="493"/>
      <c r="AUV10" s="493"/>
      <c r="AUW10" s="493"/>
      <c r="AUX10" s="493"/>
      <c r="AUY10" s="493"/>
      <c r="AUZ10" s="493"/>
      <c r="AVA10" s="493"/>
      <c r="AVB10" s="493"/>
      <c r="AVC10" s="493"/>
      <c r="AVD10" s="493"/>
      <c r="AVE10" s="493"/>
      <c r="AVF10" s="493"/>
      <c r="AVG10" s="493"/>
      <c r="AVH10" s="493"/>
      <c r="AVI10" s="493"/>
      <c r="AVJ10" s="493"/>
      <c r="AVK10" s="493"/>
      <c r="AVL10" s="493"/>
      <c r="AVM10" s="493"/>
      <c r="AVN10" s="493"/>
      <c r="AVO10" s="493"/>
      <c r="AVP10" s="493"/>
      <c r="AVQ10" s="493"/>
      <c r="AVR10" s="493"/>
      <c r="AVS10" s="493"/>
      <c r="AVT10" s="493"/>
      <c r="AVU10" s="493"/>
      <c r="AVV10" s="493"/>
      <c r="AVW10" s="493"/>
      <c r="AVX10" s="493"/>
      <c r="AVY10" s="493"/>
      <c r="AVZ10" s="493"/>
      <c r="AWA10" s="493"/>
      <c r="AWB10" s="493"/>
      <c r="AWC10" s="493"/>
      <c r="AWD10" s="493"/>
      <c r="AWE10" s="493"/>
      <c r="AWF10" s="493"/>
      <c r="AWG10" s="493"/>
      <c r="AWH10" s="493"/>
      <c r="AWI10" s="493"/>
      <c r="AWJ10" s="493"/>
      <c r="AWK10" s="493"/>
      <c r="AWL10" s="493"/>
      <c r="AWM10" s="493"/>
      <c r="AWN10" s="493"/>
      <c r="AWO10" s="493"/>
      <c r="AWP10" s="493"/>
      <c r="AWQ10" s="493"/>
      <c r="AWR10" s="493"/>
      <c r="AWS10" s="493"/>
      <c r="AWT10" s="493"/>
      <c r="AWU10" s="493"/>
      <c r="AWV10" s="493"/>
      <c r="AWW10" s="493"/>
      <c r="AWX10" s="493"/>
      <c r="AWY10" s="493"/>
      <c r="AWZ10" s="493"/>
      <c r="AXA10" s="493"/>
      <c r="AXB10" s="493"/>
      <c r="AXC10" s="493"/>
      <c r="AXD10" s="493"/>
      <c r="AXE10" s="493"/>
      <c r="AXF10" s="493"/>
      <c r="AXG10" s="493"/>
      <c r="AXH10" s="493"/>
      <c r="AXI10" s="493"/>
      <c r="AXJ10" s="493"/>
      <c r="AXK10" s="493"/>
      <c r="AXL10" s="493"/>
      <c r="AXM10" s="493"/>
      <c r="AXN10" s="493"/>
      <c r="AXO10" s="493"/>
      <c r="AXP10" s="493"/>
      <c r="AXQ10" s="493"/>
      <c r="AXR10" s="493"/>
      <c r="AXS10" s="493"/>
      <c r="AXT10" s="493"/>
      <c r="AXU10" s="493"/>
      <c r="AXV10" s="493"/>
      <c r="AXW10" s="493"/>
      <c r="AXX10" s="493"/>
      <c r="AXY10" s="493"/>
      <c r="AXZ10" s="493"/>
      <c r="AYA10" s="493"/>
      <c r="AYB10" s="493"/>
      <c r="AYC10" s="493"/>
      <c r="AYD10" s="493"/>
      <c r="AYE10" s="493"/>
      <c r="AYF10" s="493"/>
      <c r="AYG10" s="493"/>
      <c r="AYH10" s="493"/>
      <c r="AYI10" s="493"/>
      <c r="AYJ10" s="493"/>
      <c r="AYK10" s="493"/>
      <c r="AYL10" s="493"/>
      <c r="AYM10" s="493"/>
      <c r="AYN10" s="493"/>
      <c r="AYO10" s="493"/>
      <c r="AYP10" s="493"/>
      <c r="AYQ10" s="493"/>
      <c r="AYR10" s="493"/>
      <c r="AYS10" s="493"/>
      <c r="AYT10" s="493"/>
      <c r="AYU10" s="493"/>
      <c r="AYV10" s="493"/>
      <c r="AYW10" s="493"/>
      <c r="AYX10" s="493"/>
      <c r="AYY10" s="493"/>
      <c r="AYZ10" s="493"/>
      <c r="AZA10" s="493"/>
      <c r="AZB10" s="493"/>
      <c r="AZC10" s="493"/>
      <c r="AZD10" s="493"/>
      <c r="AZE10" s="493"/>
      <c r="AZF10" s="493"/>
      <c r="AZG10" s="493"/>
      <c r="AZH10" s="493"/>
      <c r="AZI10" s="493"/>
      <c r="AZJ10" s="493"/>
      <c r="AZK10" s="493"/>
      <c r="AZL10" s="493"/>
      <c r="AZM10" s="493"/>
      <c r="AZN10" s="493"/>
      <c r="AZO10" s="493"/>
      <c r="AZP10" s="493"/>
      <c r="AZQ10" s="493"/>
      <c r="AZR10" s="493"/>
      <c r="AZS10" s="493"/>
      <c r="AZT10" s="493"/>
      <c r="AZU10" s="493"/>
      <c r="AZV10" s="493"/>
      <c r="AZW10" s="493"/>
      <c r="AZX10" s="493"/>
      <c r="AZY10" s="493"/>
      <c r="AZZ10" s="493"/>
      <c r="BAA10" s="493"/>
      <c r="BAB10" s="493"/>
      <c r="BAC10" s="493"/>
      <c r="BAD10" s="493"/>
      <c r="BAE10" s="493"/>
      <c r="BAF10" s="493"/>
      <c r="BAG10" s="493"/>
      <c r="BAH10" s="493"/>
      <c r="BAI10" s="493"/>
      <c r="BAJ10" s="493"/>
      <c r="BAK10" s="493"/>
      <c r="BAL10" s="493"/>
      <c r="BAM10" s="493"/>
      <c r="BAN10" s="493"/>
      <c r="BAO10" s="493"/>
      <c r="BAP10" s="493"/>
      <c r="BAQ10" s="493"/>
      <c r="BAR10" s="493"/>
      <c r="BAS10" s="493"/>
      <c r="BAT10" s="493"/>
      <c r="BAU10" s="493"/>
      <c r="BAV10" s="493"/>
      <c r="BAW10" s="493"/>
      <c r="BAX10" s="493"/>
      <c r="BAY10" s="493"/>
      <c r="BAZ10" s="493"/>
      <c r="BBA10" s="493"/>
      <c r="BBB10" s="493"/>
      <c r="BBC10" s="493"/>
      <c r="BBD10" s="493"/>
      <c r="BBE10" s="493"/>
      <c r="BBF10" s="493"/>
      <c r="BBG10" s="493"/>
      <c r="BBH10" s="493"/>
      <c r="BBI10" s="493"/>
      <c r="BBJ10" s="493"/>
      <c r="BBK10" s="493"/>
      <c r="BBL10" s="493"/>
      <c r="BBM10" s="493"/>
      <c r="BBN10" s="493"/>
      <c r="BBO10" s="493"/>
      <c r="BBP10" s="493"/>
      <c r="BBQ10" s="493"/>
      <c r="BBR10" s="493"/>
      <c r="BBS10" s="493"/>
      <c r="BBT10" s="493"/>
      <c r="BBU10" s="493"/>
      <c r="BBV10" s="493"/>
      <c r="BBW10" s="493"/>
      <c r="BBX10" s="493"/>
      <c r="BBY10" s="493"/>
      <c r="BBZ10" s="493"/>
      <c r="BCA10" s="493"/>
      <c r="BCB10" s="493"/>
      <c r="BCC10" s="493"/>
      <c r="BCD10" s="493"/>
      <c r="BCE10" s="493"/>
      <c r="BCF10" s="493"/>
      <c r="BCG10" s="493"/>
      <c r="BCH10" s="493"/>
      <c r="BCI10" s="493"/>
      <c r="BCJ10" s="493"/>
      <c r="BCK10" s="493"/>
      <c r="BCL10" s="493"/>
      <c r="BCM10" s="493"/>
      <c r="BCN10" s="493"/>
      <c r="BCO10" s="493"/>
      <c r="BCP10" s="493"/>
      <c r="BCQ10" s="493"/>
      <c r="BCR10" s="493"/>
      <c r="BCS10" s="493"/>
      <c r="BCT10" s="493"/>
      <c r="BCU10" s="493"/>
      <c r="BCV10" s="493"/>
      <c r="BCW10" s="493"/>
      <c r="BCX10" s="493"/>
      <c r="BCY10" s="493"/>
      <c r="BCZ10" s="493"/>
      <c r="BDA10" s="493"/>
      <c r="BDB10" s="493"/>
      <c r="BDC10" s="493"/>
      <c r="BDD10" s="493"/>
      <c r="BDE10" s="493"/>
      <c r="BDF10" s="493"/>
      <c r="BDG10" s="493"/>
      <c r="BDH10" s="493"/>
      <c r="BDI10" s="493"/>
      <c r="BDJ10" s="493"/>
      <c r="BDK10" s="493"/>
      <c r="BDL10" s="493"/>
      <c r="BDM10" s="493"/>
      <c r="BDN10" s="493"/>
      <c r="BDO10" s="493"/>
      <c r="BDP10" s="493"/>
      <c r="BDQ10" s="493"/>
      <c r="BDR10" s="493"/>
      <c r="BDS10" s="493"/>
      <c r="BDT10" s="493"/>
      <c r="BDU10" s="493"/>
      <c r="BDV10" s="493"/>
      <c r="BDW10" s="493"/>
      <c r="BDX10" s="493"/>
      <c r="BDY10" s="493"/>
      <c r="BDZ10" s="493"/>
      <c r="BEA10" s="493"/>
      <c r="BEB10" s="493"/>
      <c r="BEC10" s="493"/>
      <c r="BED10" s="493"/>
      <c r="BEE10" s="493"/>
      <c r="BEF10" s="493"/>
      <c r="BEG10" s="493"/>
      <c r="BEH10" s="493"/>
      <c r="BEI10" s="493"/>
      <c r="BEJ10" s="493"/>
      <c r="BEK10" s="493"/>
      <c r="BEL10" s="493"/>
      <c r="BEM10" s="493"/>
      <c r="BEN10" s="493"/>
      <c r="BEO10" s="493"/>
      <c r="BEP10" s="493"/>
      <c r="BEQ10" s="493"/>
      <c r="BER10" s="493"/>
      <c r="BES10" s="493"/>
      <c r="BET10" s="493"/>
      <c r="BEU10" s="493"/>
      <c r="BEV10" s="493"/>
      <c r="BEW10" s="493"/>
      <c r="BEX10" s="493"/>
      <c r="BEY10" s="493"/>
      <c r="BEZ10" s="493"/>
      <c r="BFA10" s="493"/>
      <c r="BFB10" s="493"/>
      <c r="BFC10" s="493"/>
      <c r="BFD10" s="493"/>
      <c r="BFE10" s="493"/>
      <c r="BFF10" s="493"/>
      <c r="BFG10" s="493"/>
      <c r="BFH10" s="493"/>
      <c r="BFI10" s="493"/>
      <c r="BFJ10" s="493"/>
      <c r="BFK10" s="493"/>
      <c r="BFL10" s="493"/>
      <c r="BFM10" s="493"/>
      <c r="BFN10" s="493"/>
      <c r="BFO10" s="493"/>
      <c r="BFP10" s="493"/>
      <c r="BFQ10" s="493"/>
      <c r="BFR10" s="493"/>
      <c r="BFS10" s="493"/>
      <c r="BFT10" s="493"/>
      <c r="BFU10" s="493"/>
      <c r="BFV10" s="493"/>
      <c r="BFW10" s="493"/>
      <c r="BFX10" s="493"/>
      <c r="BFY10" s="493"/>
      <c r="BFZ10" s="493"/>
      <c r="BGA10" s="493"/>
      <c r="BGB10" s="493"/>
      <c r="BGC10" s="493"/>
      <c r="BGD10" s="493"/>
      <c r="BGE10" s="493"/>
      <c r="BGF10" s="493"/>
      <c r="BGG10" s="493"/>
      <c r="BGH10" s="493"/>
      <c r="BGI10" s="493"/>
      <c r="BGJ10" s="493"/>
      <c r="BGK10" s="493"/>
      <c r="BGL10" s="493"/>
      <c r="BGM10" s="493"/>
      <c r="BGN10" s="493"/>
      <c r="BGO10" s="493"/>
      <c r="BGP10" s="493"/>
      <c r="BGQ10" s="493"/>
      <c r="BGR10" s="493"/>
      <c r="BGS10" s="493"/>
      <c r="BGT10" s="493"/>
      <c r="BGU10" s="493"/>
      <c r="BGV10" s="493"/>
      <c r="BGW10" s="493"/>
      <c r="BGX10" s="493"/>
      <c r="BGY10" s="493"/>
      <c r="BGZ10" s="493"/>
      <c r="BHA10" s="493"/>
      <c r="BHB10" s="493"/>
      <c r="BHC10" s="493"/>
      <c r="BHD10" s="493"/>
      <c r="BHE10" s="493"/>
      <c r="BHF10" s="493"/>
      <c r="BHG10" s="493"/>
      <c r="BHH10" s="493"/>
      <c r="BHI10" s="493"/>
      <c r="BHJ10" s="493"/>
      <c r="BHK10" s="493"/>
      <c r="BHL10" s="493"/>
      <c r="BHM10" s="493"/>
      <c r="BHN10" s="493"/>
      <c r="BHO10" s="493"/>
      <c r="BHP10" s="493"/>
      <c r="BHQ10" s="493"/>
      <c r="BHR10" s="493"/>
      <c r="BHS10" s="493"/>
      <c r="BHT10" s="493"/>
      <c r="BHU10" s="493"/>
      <c r="BHV10" s="493"/>
      <c r="BHW10" s="493"/>
      <c r="BHX10" s="493"/>
      <c r="BHY10" s="493"/>
      <c r="BHZ10" s="493"/>
      <c r="BIA10" s="493"/>
      <c r="BIB10" s="493"/>
      <c r="BIC10" s="493"/>
      <c r="BID10" s="493"/>
      <c r="BIE10" s="493"/>
      <c r="BIF10" s="493"/>
      <c r="BIG10" s="493"/>
      <c r="BIH10" s="493"/>
      <c r="BII10" s="493"/>
      <c r="BIJ10" s="493"/>
      <c r="BIK10" s="493"/>
      <c r="BIL10" s="493"/>
      <c r="BIM10" s="493"/>
      <c r="BIN10" s="493"/>
      <c r="BIO10" s="493"/>
      <c r="BIP10" s="493"/>
      <c r="BIQ10" s="493"/>
      <c r="BIR10" s="493"/>
      <c r="BIS10" s="493"/>
      <c r="BIT10" s="493"/>
      <c r="BIU10" s="493"/>
      <c r="BIV10" s="493"/>
      <c r="BIW10" s="493"/>
      <c r="BIX10" s="493"/>
      <c r="BIY10" s="493"/>
      <c r="BIZ10" s="493"/>
      <c r="BJA10" s="493"/>
      <c r="BJB10" s="493"/>
      <c r="BJC10" s="493"/>
      <c r="BJD10" s="493"/>
      <c r="BJE10" s="493"/>
      <c r="BJF10" s="493"/>
      <c r="BJG10" s="493"/>
      <c r="BJH10" s="493"/>
      <c r="BJI10" s="493"/>
      <c r="BJJ10" s="493"/>
      <c r="BJK10" s="493"/>
      <c r="BJL10" s="493"/>
      <c r="BJM10" s="493"/>
      <c r="BJN10" s="493"/>
      <c r="BJO10" s="493"/>
      <c r="BJP10" s="493"/>
      <c r="BJQ10" s="493"/>
      <c r="BJR10" s="493"/>
      <c r="BJS10" s="493"/>
      <c r="BJT10" s="493"/>
      <c r="BJU10" s="493"/>
      <c r="BJV10" s="493"/>
      <c r="BJW10" s="493"/>
      <c r="BJX10" s="493"/>
      <c r="BJY10" s="493"/>
      <c r="BJZ10" s="493"/>
      <c r="BKA10" s="493"/>
      <c r="BKB10" s="493"/>
      <c r="BKC10" s="493"/>
      <c r="BKD10" s="493"/>
      <c r="BKE10" s="493"/>
      <c r="BKF10" s="493"/>
      <c r="BKG10" s="493"/>
      <c r="BKH10" s="493"/>
      <c r="BKI10" s="493"/>
      <c r="BKJ10" s="493"/>
      <c r="BKK10" s="493"/>
      <c r="BKL10" s="493"/>
      <c r="BKM10" s="493"/>
      <c r="BKN10" s="493"/>
      <c r="BKO10" s="493"/>
      <c r="BKP10" s="493"/>
      <c r="BKQ10" s="493"/>
      <c r="BKR10" s="493"/>
      <c r="BKS10" s="493"/>
      <c r="BKT10" s="493"/>
      <c r="BKU10" s="493"/>
      <c r="BKV10" s="493"/>
      <c r="BKW10" s="493"/>
      <c r="BKX10" s="493"/>
      <c r="BKY10" s="493"/>
      <c r="BKZ10" s="493"/>
      <c r="BLA10" s="493"/>
      <c r="BLB10" s="493"/>
      <c r="BLC10" s="493"/>
      <c r="BLD10" s="493"/>
      <c r="BLE10" s="493"/>
      <c r="BLF10" s="493"/>
      <c r="BLG10" s="493"/>
      <c r="BLH10" s="493"/>
      <c r="BLI10" s="493"/>
      <c r="BLJ10" s="493"/>
      <c r="BLK10" s="493"/>
      <c r="BLL10" s="493"/>
      <c r="BLM10" s="493"/>
      <c r="BLN10" s="493"/>
      <c r="BLO10" s="493"/>
      <c r="BLP10" s="493"/>
      <c r="BLQ10" s="493"/>
      <c r="BLR10" s="493"/>
      <c r="BLS10" s="493"/>
      <c r="BLT10" s="493"/>
      <c r="BLU10" s="493"/>
      <c r="BLV10" s="493"/>
      <c r="BLW10" s="493"/>
      <c r="BLX10" s="493"/>
      <c r="BLY10" s="493"/>
      <c r="BLZ10" s="493"/>
      <c r="BMA10" s="493"/>
      <c r="BMB10" s="493"/>
      <c r="BMC10" s="493"/>
      <c r="BMD10" s="493"/>
      <c r="BME10" s="493"/>
      <c r="BMF10" s="493"/>
      <c r="BMG10" s="493"/>
      <c r="BMH10" s="493"/>
      <c r="BMI10" s="493"/>
      <c r="BMJ10" s="493"/>
      <c r="BMK10" s="493"/>
      <c r="BML10" s="493"/>
      <c r="BMM10" s="493"/>
      <c r="BMN10" s="493"/>
      <c r="BMO10" s="493"/>
      <c r="BMP10" s="493"/>
      <c r="BMQ10" s="493"/>
      <c r="BMR10" s="493"/>
      <c r="BMS10" s="493"/>
      <c r="BMT10" s="493"/>
      <c r="BMU10" s="493"/>
      <c r="BMV10" s="493"/>
      <c r="BMW10" s="493"/>
      <c r="BMX10" s="493"/>
      <c r="BMY10" s="493"/>
      <c r="BMZ10" s="493"/>
      <c r="BNA10" s="493"/>
      <c r="BNB10" s="493"/>
      <c r="BNC10" s="493"/>
      <c r="BND10" s="493"/>
      <c r="BNE10" s="493"/>
      <c r="BNF10" s="493"/>
      <c r="BNG10" s="493"/>
      <c r="BNH10" s="493"/>
      <c r="BNI10" s="493"/>
      <c r="BNJ10" s="493"/>
      <c r="BNK10" s="493"/>
      <c r="BNL10" s="493"/>
      <c r="BNM10" s="493"/>
      <c r="BNN10" s="493"/>
      <c r="BNO10" s="493"/>
      <c r="BNP10" s="493"/>
      <c r="BNQ10" s="493"/>
      <c r="BNR10" s="493"/>
      <c r="BNS10" s="493"/>
      <c r="BNT10" s="493"/>
      <c r="BNU10" s="493"/>
      <c r="BNV10" s="493"/>
      <c r="BNW10" s="493"/>
      <c r="BNX10" s="493"/>
      <c r="BNY10" s="493"/>
      <c r="BNZ10" s="493"/>
      <c r="BOA10" s="493"/>
      <c r="BOB10" s="493"/>
      <c r="BOC10" s="493"/>
      <c r="BOD10" s="493"/>
      <c r="BOE10" s="493"/>
      <c r="BOF10" s="493"/>
      <c r="BOG10" s="493"/>
      <c r="BOH10" s="493"/>
      <c r="BOI10" s="493"/>
      <c r="BOJ10" s="493"/>
      <c r="BOK10" s="493"/>
      <c r="BOL10" s="493"/>
      <c r="BOM10" s="493"/>
      <c r="BON10" s="493"/>
      <c r="BOO10" s="493"/>
      <c r="BOP10" s="493"/>
      <c r="BOQ10" s="493"/>
      <c r="BOR10" s="493"/>
      <c r="BOS10" s="493"/>
      <c r="BOT10" s="493"/>
      <c r="BOU10" s="493"/>
      <c r="BOV10" s="493"/>
      <c r="BOW10" s="493"/>
      <c r="BOX10" s="493"/>
      <c r="BOY10" s="493"/>
      <c r="BOZ10" s="493"/>
      <c r="BPA10" s="493"/>
      <c r="BPB10" s="493"/>
      <c r="BPC10" s="493"/>
      <c r="BPD10" s="493"/>
      <c r="BPE10" s="493"/>
      <c r="BPF10" s="493"/>
      <c r="BPG10" s="493"/>
      <c r="BPH10" s="493"/>
      <c r="BPI10" s="493"/>
      <c r="BPJ10" s="493"/>
      <c r="BPK10" s="493"/>
      <c r="BPL10" s="493"/>
      <c r="BPM10" s="493"/>
      <c r="BPN10" s="493"/>
      <c r="BPO10" s="493"/>
      <c r="BPP10" s="493"/>
      <c r="BPQ10" s="493"/>
      <c r="BPR10" s="493"/>
      <c r="BPS10" s="493"/>
      <c r="BPT10" s="493"/>
      <c r="BPU10" s="493"/>
      <c r="BPV10" s="493"/>
      <c r="BPW10" s="493"/>
      <c r="BPX10" s="493"/>
      <c r="BPY10" s="493"/>
      <c r="BPZ10" s="493"/>
      <c r="BQA10" s="493"/>
      <c r="BQB10" s="493"/>
      <c r="BQC10" s="493"/>
      <c r="BQD10" s="493"/>
      <c r="BQE10" s="493"/>
      <c r="BQF10" s="493"/>
      <c r="BQG10" s="493"/>
      <c r="BQH10" s="493"/>
      <c r="BQI10" s="493"/>
      <c r="BQJ10" s="493"/>
      <c r="BQK10" s="493"/>
      <c r="BQL10" s="493"/>
      <c r="BQM10" s="493"/>
      <c r="BQN10" s="493"/>
      <c r="BQO10" s="493"/>
      <c r="BQP10" s="493"/>
      <c r="BQQ10" s="493"/>
      <c r="BQR10" s="493"/>
      <c r="BQS10" s="493"/>
      <c r="BQT10" s="493"/>
      <c r="BQU10" s="493"/>
      <c r="BQV10" s="493"/>
      <c r="BQW10" s="493"/>
      <c r="BQX10" s="493"/>
      <c r="BQY10" s="493"/>
      <c r="BQZ10" s="493"/>
      <c r="BRA10" s="493"/>
      <c r="BRB10" s="493"/>
      <c r="BRC10" s="493"/>
      <c r="BRD10" s="493"/>
      <c r="BRE10" s="493"/>
      <c r="BRF10" s="493"/>
      <c r="BRG10" s="493"/>
      <c r="BRH10" s="493"/>
      <c r="BRI10" s="493"/>
      <c r="BRJ10" s="493"/>
      <c r="BRK10" s="493"/>
      <c r="BRL10" s="493"/>
      <c r="BRM10" s="493"/>
      <c r="BRN10" s="493"/>
      <c r="BRO10" s="493"/>
      <c r="BRP10" s="493"/>
      <c r="BRQ10" s="493"/>
      <c r="BRR10" s="493"/>
      <c r="BRS10" s="493"/>
      <c r="BRT10" s="493"/>
      <c r="BRU10" s="493"/>
      <c r="BRV10" s="493"/>
      <c r="BRW10" s="493"/>
      <c r="BRX10" s="493"/>
      <c r="BRY10" s="493"/>
      <c r="BRZ10" s="493"/>
      <c r="BSA10" s="493"/>
      <c r="BSB10" s="493"/>
      <c r="BSC10" s="493"/>
      <c r="BSD10" s="493"/>
      <c r="BSE10" s="493"/>
      <c r="BSF10" s="493"/>
      <c r="BSG10" s="493"/>
      <c r="BSH10" s="493"/>
      <c r="BSI10" s="493"/>
      <c r="BSJ10" s="493"/>
      <c r="BSK10" s="493"/>
      <c r="BSL10" s="493"/>
      <c r="BSM10" s="493"/>
      <c r="BSN10" s="493"/>
      <c r="BSO10" s="493"/>
      <c r="BSP10" s="493"/>
      <c r="BSQ10" s="493"/>
      <c r="BSR10" s="493"/>
      <c r="BSS10" s="493"/>
      <c r="BST10" s="493"/>
      <c r="BSU10" s="493"/>
      <c r="BSV10" s="493"/>
      <c r="BSW10" s="493"/>
      <c r="BSX10" s="493"/>
      <c r="BSY10" s="493"/>
      <c r="BSZ10" s="493"/>
      <c r="BTA10" s="493"/>
      <c r="BTB10" s="493"/>
      <c r="BTC10" s="493"/>
      <c r="BTD10" s="493"/>
      <c r="BTE10" s="493"/>
      <c r="BTF10" s="493"/>
      <c r="BTG10" s="493"/>
      <c r="BTH10" s="493"/>
      <c r="BTI10" s="493"/>
      <c r="BTJ10" s="493"/>
      <c r="BTK10" s="493"/>
      <c r="BTL10" s="493"/>
      <c r="BTM10" s="493"/>
      <c r="BTN10" s="493"/>
      <c r="BTO10" s="493"/>
      <c r="BTP10" s="493"/>
      <c r="BTQ10" s="493"/>
      <c r="BTR10" s="493"/>
      <c r="BTS10" s="493"/>
      <c r="BTT10" s="493"/>
      <c r="BTU10" s="493"/>
      <c r="BTV10" s="493"/>
      <c r="BTW10" s="493"/>
      <c r="BTX10" s="493"/>
      <c r="BTY10" s="493"/>
      <c r="BTZ10" s="493"/>
      <c r="BUA10" s="493"/>
      <c r="BUB10" s="493"/>
      <c r="BUC10" s="493"/>
      <c r="BUD10" s="493"/>
      <c r="BUE10" s="493"/>
      <c r="BUF10" s="493"/>
      <c r="BUG10" s="493"/>
      <c r="BUH10" s="493"/>
      <c r="BUI10" s="493"/>
      <c r="BUJ10" s="493"/>
      <c r="BUK10" s="493"/>
      <c r="BUL10" s="493"/>
      <c r="BUM10" s="493"/>
      <c r="BUN10" s="493"/>
      <c r="BUO10" s="493"/>
      <c r="BUP10" s="493"/>
      <c r="BUQ10" s="493"/>
      <c r="BUR10" s="493"/>
      <c r="BUS10" s="493"/>
      <c r="BUT10" s="493"/>
      <c r="BUU10" s="493"/>
      <c r="BUV10" s="493"/>
      <c r="BUW10" s="493"/>
      <c r="BUX10" s="493"/>
      <c r="BUY10" s="493"/>
      <c r="BUZ10" s="493"/>
      <c r="BVA10" s="493"/>
      <c r="BVB10" s="493"/>
      <c r="BVC10" s="493"/>
      <c r="BVD10" s="493"/>
      <c r="BVE10" s="493"/>
      <c r="BVF10" s="493"/>
      <c r="BVG10" s="493"/>
      <c r="BVH10" s="493"/>
      <c r="BVI10" s="493"/>
      <c r="BVJ10" s="493"/>
      <c r="BVK10" s="493"/>
      <c r="BVL10" s="493"/>
      <c r="BVM10" s="493"/>
      <c r="BVN10" s="493"/>
      <c r="BVO10" s="493"/>
      <c r="BVP10" s="493"/>
      <c r="BVQ10" s="493"/>
      <c r="BVR10" s="493"/>
      <c r="BVS10" s="493"/>
      <c r="BVT10" s="493"/>
      <c r="BVU10" s="493"/>
      <c r="BVV10" s="493"/>
      <c r="BVW10" s="493"/>
      <c r="BVX10" s="493"/>
      <c r="BVY10" s="493"/>
      <c r="BVZ10" s="493"/>
      <c r="BWA10" s="493"/>
      <c r="BWB10" s="493"/>
      <c r="BWC10" s="493"/>
      <c r="BWD10" s="493"/>
      <c r="BWE10" s="493"/>
      <c r="BWF10" s="493"/>
      <c r="BWG10" s="493"/>
      <c r="BWH10" s="493"/>
      <c r="BWI10" s="493"/>
      <c r="BWJ10" s="493"/>
      <c r="BWK10" s="493"/>
      <c r="BWL10" s="493"/>
      <c r="BWM10" s="493"/>
      <c r="BWN10" s="493"/>
      <c r="BWO10" s="493"/>
      <c r="BWP10" s="493"/>
      <c r="BWQ10" s="493"/>
      <c r="BWR10" s="493"/>
      <c r="BWS10" s="493"/>
      <c r="BWT10" s="493"/>
      <c r="BWU10" s="493"/>
      <c r="BWV10" s="493"/>
      <c r="BWW10" s="493"/>
      <c r="BWX10" s="493"/>
      <c r="BWY10" s="493"/>
      <c r="BWZ10" s="493"/>
      <c r="BXA10" s="493"/>
      <c r="BXB10" s="493"/>
      <c r="BXC10" s="493"/>
      <c r="BXD10" s="493"/>
      <c r="BXE10" s="493"/>
      <c r="BXF10" s="493"/>
      <c r="BXG10" s="493"/>
      <c r="BXH10" s="493"/>
      <c r="BXI10" s="493"/>
      <c r="BXJ10" s="493"/>
      <c r="BXK10" s="493"/>
      <c r="BXL10" s="493"/>
      <c r="BXM10" s="493"/>
      <c r="BXN10" s="493"/>
      <c r="BXO10" s="493"/>
      <c r="BXP10" s="493"/>
      <c r="BXQ10" s="493"/>
      <c r="BXR10" s="493"/>
      <c r="BXS10" s="493"/>
      <c r="BXT10" s="493"/>
      <c r="BXU10" s="493"/>
      <c r="BXV10" s="493"/>
      <c r="BXW10" s="493"/>
      <c r="BXX10" s="493"/>
      <c r="BXY10" s="493"/>
      <c r="BXZ10" s="493"/>
      <c r="BYA10" s="493"/>
      <c r="BYB10" s="493"/>
      <c r="BYC10" s="493"/>
      <c r="BYD10" s="493"/>
      <c r="BYE10" s="493"/>
      <c r="BYF10" s="493"/>
      <c r="BYG10" s="493"/>
      <c r="BYH10" s="493"/>
      <c r="BYI10" s="493"/>
      <c r="BYJ10" s="493"/>
      <c r="BYK10" s="493"/>
      <c r="BYL10" s="493"/>
      <c r="BYM10" s="493"/>
      <c r="BYN10" s="493"/>
      <c r="BYO10" s="493"/>
      <c r="BYP10" s="493"/>
      <c r="BYQ10" s="493"/>
      <c r="BYR10" s="493"/>
      <c r="BYS10" s="493"/>
      <c r="BYT10" s="493"/>
      <c r="BYU10" s="493"/>
      <c r="BYV10" s="493"/>
      <c r="BYW10" s="493"/>
      <c r="BYX10" s="493"/>
      <c r="BYY10" s="493"/>
      <c r="BYZ10" s="493"/>
      <c r="BZA10" s="493"/>
      <c r="BZB10" s="493"/>
      <c r="BZC10" s="493"/>
      <c r="BZD10" s="493"/>
      <c r="BZE10" s="493"/>
      <c r="BZF10" s="493"/>
      <c r="BZG10" s="493"/>
      <c r="BZH10" s="493"/>
      <c r="BZI10" s="493"/>
      <c r="BZJ10" s="493"/>
      <c r="BZK10" s="493"/>
      <c r="BZL10" s="493"/>
      <c r="BZM10" s="493"/>
      <c r="BZN10" s="493"/>
      <c r="BZO10" s="493"/>
      <c r="BZP10" s="493"/>
      <c r="BZQ10" s="493"/>
      <c r="BZR10" s="493"/>
      <c r="BZS10" s="493"/>
      <c r="BZT10" s="493"/>
      <c r="BZU10" s="493"/>
      <c r="BZV10" s="493"/>
      <c r="BZW10" s="493"/>
      <c r="BZX10" s="493"/>
      <c r="BZY10" s="493"/>
      <c r="BZZ10" s="493"/>
      <c r="CAA10" s="493"/>
      <c r="CAB10" s="493"/>
      <c r="CAC10" s="493"/>
      <c r="CAD10" s="493"/>
      <c r="CAE10" s="493"/>
      <c r="CAF10" s="493"/>
      <c r="CAG10" s="493"/>
      <c r="CAH10" s="493"/>
      <c r="CAI10" s="493"/>
      <c r="CAJ10" s="493"/>
      <c r="CAK10" s="493"/>
      <c r="CAL10" s="493"/>
      <c r="CAM10" s="493"/>
      <c r="CAN10" s="493"/>
      <c r="CAO10" s="493"/>
      <c r="CAP10" s="493"/>
      <c r="CAQ10" s="493"/>
      <c r="CAR10" s="493"/>
      <c r="CAS10" s="493"/>
      <c r="CAT10" s="493"/>
      <c r="CAU10" s="493"/>
      <c r="CAV10" s="493"/>
      <c r="CAW10" s="493"/>
      <c r="CAX10" s="493"/>
      <c r="CAY10" s="493"/>
      <c r="CAZ10" s="493"/>
      <c r="CBA10" s="493"/>
      <c r="CBB10" s="493"/>
      <c r="CBC10" s="493"/>
      <c r="CBD10" s="493"/>
      <c r="CBE10" s="493"/>
      <c r="CBF10" s="493"/>
      <c r="CBG10" s="493"/>
      <c r="CBH10" s="493"/>
      <c r="CBI10" s="493"/>
      <c r="CBJ10" s="493"/>
      <c r="CBK10" s="493"/>
      <c r="CBL10" s="493"/>
      <c r="CBM10" s="493"/>
      <c r="CBN10" s="493"/>
      <c r="CBO10" s="493"/>
      <c r="CBP10" s="493"/>
      <c r="CBQ10" s="493"/>
      <c r="CBR10" s="493"/>
      <c r="CBS10" s="493"/>
      <c r="CBT10" s="493"/>
      <c r="CBU10" s="493"/>
      <c r="CBV10" s="493"/>
      <c r="CBW10" s="493"/>
      <c r="CBX10" s="493"/>
      <c r="CBY10" s="493"/>
      <c r="CBZ10" s="493"/>
      <c r="CCA10" s="493"/>
      <c r="CCB10" s="493"/>
      <c r="CCC10" s="493"/>
      <c r="CCD10" s="493"/>
      <c r="CCE10" s="493"/>
      <c r="CCF10" s="493"/>
      <c r="CCG10" s="493"/>
      <c r="CCH10" s="493"/>
      <c r="CCI10" s="493"/>
      <c r="CCJ10" s="493"/>
      <c r="CCK10" s="493"/>
      <c r="CCL10" s="493"/>
      <c r="CCM10" s="493"/>
      <c r="CCN10" s="493"/>
      <c r="CCO10" s="493"/>
      <c r="CCP10" s="493"/>
      <c r="CCQ10" s="493"/>
      <c r="CCR10" s="493"/>
      <c r="CCS10" s="493"/>
      <c r="CCT10" s="493"/>
      <c r="CCU10" s="493"/>
      <c r="CCV10" s="493"/>
      <c r="CCW10" s="493"/>
      <c r="CCX10" s="493"/>
      <c r="CCY10" s="493"/>
      <c r="CCZ10" s="493"/>
      <c r="CDA10" s="493"/>
      <c r="CDB10" s="493"/>
      <c r="CDC10" s="493"/>
      <c r="CDD10" s="493"/>
      <c r="CDE10" s="493"/>
      <c r="CDF10" s="493"/>
      <c r="CDG10" s="493"/>
      <c r="CDH10" s="493"/>
      <c r="CDI10" s="493"/>
      <c r="CDJ10" s="493"/>
      <c r="CDK10" s="493"/>
      <c r="CDL10" s="493"/>
      <c r="CDM10" s="493"/>
      <c r="CDN10" s="493"/>
      <c r="CDO10" s="493"/>
      <c r="CDP10" s="493"/>
      <c r="CDQ10" s="493"/>
      <c r="CDR10" s="493"/>
      <c r="CDS10" s="493"/>
      <c r="CDT10" s="493"/>
      <c r="CDU10" s="493"/>
      <c r="CDV10" s="493"/>
      <c r="CDW10" s="493"/>
      <c r="CDX10" s="493"/>
      <c r="CDY10" s="493"/>
      <c r="CDZ10" s="493"/>
      <c r="CEA10" s="493"/>
      <c r="CEB10" s="493"/>
      <c r="CEC10" s="493"/>
      <c r="CED10" s="493"/>
      <c r="CEE10" s="493"/>
      <c r="CEF10" s="493"/>
      <c r="CEG10" s="493"/>
      <c r="CEH10" s="493"/>
      <c r="CEI10" s="493"/>
      <c r="CEJ10" s="493"/>
      <c r="CEK10" s="493"/>
      <c r="CEL10" s="493"/>
      <c r="CEM10" s="493"/>
      <c r="CEN10" s="493"/>
      <c r="CEO10" s="493"/>
      <c r="CEP10" s="493"/>
      <c r="CEQ10" s="493"/>
      <c r="CER10" s="493"/>
      <c r="CES10" s="493"/>
      <c r="CET10" s="493"/>
      <c r="CEU10" s="493"/>
      <c r="CEV10" s="493"/>
      <c r="CEW10" s="493"/>
      <c r="CEX10" s="493"/>
      <c r="CEY10" s="493"/>
      <c r="CEZ10" s="493"/>
      <c r="CFA10" s="493"/>
      <c r="CFB10" s="493"/>
      <c r="CFC10" s="493"/>
      <c r="CFD10" s="493"/>
      <c r="CFE10" s="493"/>
      <c r="CFF10" s="493"/>
      <c r="CFG10" s="493"/>
      <c r="CFH10" s="493"/>
      <c r="CFI10" s="493"/>
      <c r="CFJ10" s="493"/>
      <c r="CFK10" s="493"/>
      <c r="CFL10" s="493"/>
      <c r="CFM10" s="493"/>
      <c r="CFN10" s="493"/>
      <c r="CFO10" s="493"/>
      <c r="CFP10" s="493"/>
      <c r="CFQ10" s="493"/>
      <c r="CFR10" s="493"/>
      <c r="CFS10" s="493"/>
      <c r="CFT10" s="493"/>
      <c r="CFU10" s="493"/>
      <c r="CFV10" s="493"/>
      <c r="CFW10" s="493"/>
      <c r="CFX10" s="493"/>
      <c r="CFY10" s="493"/>
      <c r="CFZ10" s="493"/>
      <c r="CGA10" s="493"/>
      <c r="CGB10" s="493"/>
      <c r="CGC10" s="493"/>
      <c r="CGD10" s="493"/>
      <c r="CGE10" s="493"/>
      <c r="CGF10" s="493"/>
      <c r="CGG10" s="493"/>
      <c r="CGH10" s="493"/>
      <c r="CGI10" s="493"/>
      <c r="CGJ10" s="493"/>
      <c r="CGK10" s="493"/>
      <c r="CGL10" s="493"/>
      <c r="CGM10" s="493"/>
      <c r="CGN10" s="493"/>
      <c r="CGO10" s="493"/>
      <c r="CGP10" s="493"/>
      <c r="CGQ10" s="493"/>
      <c r="CGR10" s="493"/>
      <c r="CGS10" s="493"/>
      <c r="CGT10" s="493"/>
      <c r="CGU10" s="493"/>
      <c r="CGV10" s="493"/>
      <c r="CGW10" s="493"/>
      <c r="CGX10" s="493"/>
      <c r="CGY10" s="493"/>
      <c r="CGZ10" s="493"/>
      <c r="CHA10" s="493"/>
      <c r="CHB10" s="493"/>
      <c r="CHC10" s="493"/>
      <c r="CHD10" s="493"/>
      <c r="CHE10" s="493"/>
      <c r="CHF10" s="493"/>
      <c r="CHG10" s="493"/>
      <c r="CHH10" s="493"/>
      <c r="CHI10" s="493"/>
      <c r="CHJ10" s="493"/>
      <c r="CHK10" s="493"/>
      <c r="CHL10" s="493"/>
      <c r="CHM10" s="493"/>
      <c r="CHN10" s="493"/>
      <c r="CHO10" s="493"/>
      <c r="CHP10" s="493"/>
      <c r="CHQ10" s="493"/>
      <c r="CHR10" s="493"/>
      <c r="CHS10" s="493"/>
      <c r="CHT10" s="493"/>
      <c r="CHU10" s="493"/>
      <c r="CHV10" s="493"/>
      <c r="CHW10" s="493"/>
      <c r="CHX10" s="493"/>
      <c r="CHY10" s="493"/>
      <c r="CHZ10" s="493"/>
      <c r="CIA10" s="493"/>
      <c r="CIB10" s="493"/>
      <c r="CIC10" s="493"/>
      <c r="CID10" s="493"/>
      <c r="CIE10" s="493"/>
      <c r="CIF10" s="493"/>
      <c r="CIG10" s="493"/>
      <c r="CIH10" s="493"/>
      <c r="CII10" s="493"/>
      <c r="CIJ10" s="493"/>
      <c r="CIK10" s="493"/>
      <c r="CIL10" s="493"/>
      <c r="CIM10" s="493"/>
      <c r="CIN10" s="493"/>
      <c r="CIO10" s="493"/>
      <c r="CIP10" s="493"/>
      <c r="CIQ10" s="493"/>
      <c r="CIR10" s="493"/>
      <c r="CIS10" s="493"/>
      <c r="CIT10" s="493"/>
      <c r="CIU10" s="493"/>
      <c r="CIV10" s="493"/>
      <c r="CIW10" s="493"/>
      <c r="CIX10" s="493"/>
      <c r="CIY10" s="493"/>
      <c r="CIZ10" s="493"/>
      <c r="CJA10" s="493"/>
      <c r="CJB10" s="493"/>
      <c r="CJC10" s="493"/>
      <c r="CJD10" s="493"/>
      <c r="CJE10" s="493"/>
      <c r="CJF10" s="493"/>
      <c r="CJG10" s="493"/>
      <c r="CJH10" s="493"/>
      <c r="CJI10" s="493"/>
      <c r="CJJ10" s="493"/>
      <c r="CJK10" s="493"/>
      <c r="CJL10" s="493"/>
      <c r="CJM10" s="493"/>
      <c r="CJN10" s="493"/>
      <c r="CJO10" s="493"/>
      <c r="CJP10" s="493"/>
      <c r="CJQ10" s="493"/>
      <c r="CJR10" s="493"/>
      <c r="CJS10" s="493"/>
      <c r="CJT10" s="493"/>
      <c r="CJU10" s="493"/>
      <c r="CJV10" s="493"/>
      <c r="CJW10" s="493"/>
      <c r="CJX10" s="493"/>
      <c r="CJY10" s="493"/>
      <c r="CJZ10" s="493"/>
      <c r="CKA10" s="493"/>
      <c r="CKB10" s="493"/>
      <c r="CKC10" s="493"/>
      <c r="CKD10" s="493"/>
      <c r="CKE10" s="493"/>
      <c r="CKF10" s="493"/>
      <c r="CKG10" s="493"/>
      <c r="CKH10" s="493"/>
      <c r="CKI10" s="493"/>
      <c r="CKJ10" s="493"/>
      <c r="CKK10" s="493"/>
      <c r="CKL10" s="493"/>
      <c r="CKM10" s="493"/>
      <c r="CKN10" s="493"/>
      <c r="CKO10" s="493"/>
      <c r="CKP10" s="493"/>
      <c r="CKQ10" s="493"/>
      <c r="CKR10" s="493"/>
      <c r="CKS10" s="493"/>
      <c r="CKT10" s="493"/>
      <c r="CKU10" s="493"/>
      <c r="CKV10" s="493"/>
      <c r="CKW10" s="493"/>
      <c r="CKX10" s="493"/>
      <c r="CKY10" s="493"/>
      <c r="CKZ10" s="493"/>
      <c r="CLA10" s="493"/>
      <c r="CLB10" s="493"/>
      <c r="CLC10" s="493"/>
      <c r="CLD10" s="493"/>
      <c r="CLE10" s="493"/>
      <c r="CLF10" s="493"/>
      <c r="CLG10" s="493"/>
      <c r="CLH10" s="493"/>
      <c r="CLI10" s="493"/>
      <c r="CLJ10" s="493"/>
      <c r="CLK10" s="493"/>
      <c r="CLL10" s="493"/>
      <c r="CLM10" s="493"/>
      <c r="CLN10" s="493"/>
      <c r="CLO10" s="493"/>
      <c r="CLP10" s="493"/>
      <c r="CLQ10" s="493"/>
      <c r="CLR10" s="493"/>
      <c r="CLS10" s="493"/>
      <c r="CLT10" s="493"/>
      <c r="CLU10" s="493"/>
      <c r="CLV10" s="493"/>
      <c r="CLW10" s="493"/>
      <c r="CLX10" s="493"/>
      <c r="CLY10" s="493"/>
      <c r="CLZ10" s="493"/>
      <c r="CMA10" s="493"/>
      <c r="CMB10" s="493"/>
      <c r="CMC10" s="493"/>
      <c r="CMD10" s="493"/>
      <c r="CME10" s="493"/>
      <c r="CMF10" s="493"/>
      <c r="CMG10" s="493"/>
      <c r="CMH10" s="493"/>
      <c r="CMI10" s="493"/>
      <c r="CMJ10" s="493"/>
      <c r="CMK10" s="493"/>
      <c r="CML10" s="493"/>
      <c r="CMM10" s="493"/>
      <c r="CMN10" s="493"/>
      <c r="CMO10" s="493"/>
      <c r="CMP10" s="493"/>
      <c r="CMQ10" s="493"/>
      <c r="CMR10" s="493"/>
      <c r="CMS10" s="493"/>
      <c r="CMT10" s="493"/>
      <c r="CMU10" s="493"/>
      <c r="CMV10" s="493"/>
      <c r="CMW10" s="493"/>
      <c r="CMX10" s="493"/>
      <c r="CMY10" s="493"/>
      <c r="CMZ10" s="493"/>
      <c r="CNA10" s="493"/>
      <c r="CNB10" s="493"/>
      <c r="CNC10" s="493"/>
      <c r="CND10" s="493"/>
      <c r="CNE10" s="493"/>
      <c r="CNF10" s="493"/>
      <c r="CNG10" s="493"/>
      <c r="CNH10" s="493"/>
      <c r="CNI10" s="493"/>
      <c r="CNJ10" s="493"/>
      <c r="CNK10" s="493"/>
      <c r="CNL10" s="493"/>
      <c r="CNM10" s="493"/>
      <c r="CNN10" s="493"/>
      <c r="CNO10" s="493"/>
      <c r="CNP10" s="493"/>
      <c r="CNQ10" s="493"/>
      <c r="CNR10" s="493"/>
      <c r="CNS10" s="493"/>
      <c r="CNT10" s="493"/>
      <c r="CNU10" s="493"/>
      <c r="CNV10" s="493"/>
      <c r="CNW10" s="493"/>
      <c r="CNX10" s="493"/>
      <c r="CNY10" s="493"/>
      <c r="CNZ10" s="493"/>
      <c r="COA10" s="493"/>
      <c r="COB10" s="493"/>
      <c r="COC10" s="493"/>
      <c r="COD10" s="493"/>
      <c r="COE10" s="493"/>
      <c r="COF10" s="493"/>
      <c r="COG10" s="493"/>
      <c r="COH10" s="493"/>
      <c r="COI10" s="493"/>
      <c r="COJ10" s="493"/>
      <c r="COK10" s="493"/>
      <c r="COL10" s="493"/>
      <c r="COM10" s="493"/>
      <c r="CON10" s="493"/>
      <c r="COO10" s="493"/>
      <c r="COP10" s="493"/>
      <c r="COQ10" s="493"/>
      <c r="COR10" s="493"/>
      <c r="COS10" s="493"/>
      <c r="COT10" s="493"/>
      <c r="COU10" s="493"/>
      <c r="COV10" s="493"/>
      <c r="COW10" s="493"/>
      <c r="COX10" s="493"/>
      <c r="COY10" s="493"/>
      <c r="COZ10" s="493"/>
      <c r="CPA10" s="493"/>
      <c r="CPB10" s="493"/>
      <c r="CPC10" s="493"/>
      <c r="CPD10" s="493"/>
      <c r="CPE10" s="493"/>
      <c r="CPF10" s="493"/>
      <c r="CPG10" s="493"/>
      <c r="CPH10" s="493"/>
      <c r="CPI10" s="493"/>
      <c r="CPJ10" s="493"/>
      <c r="CPK10" s="493"/>
      <c r="CPL10" s="493"/>
      <c r="CPM10" s="493"/>
      <c r="CPN10" s="493"/>
      <c r="CPO10" s="493"/>
      <c r="CPP10" s="493"/>
      <c r="CPQ10" s="493"/>
      <c r="CPR10" s="493"/>
      <c r="CPS10" s="493"/>
      <c r="CPT10" s="493"/>
      <c r="CPU10" s="493"/>
      <c r="CPV10" s="493"/>
      <c r="CPW10" s="493"/>
      <c r="CPX10" s="493"/>
      <c r="CPY10" s="493"/>
      <c r="CPZ10" s="493"/>
      <c r="CQA10" s="493"/>
      <c r="CQB10" s="493"/>
      <c r="CQC10" s="493"/>
      <c r="CQD10" s="493"/>
      <c r="CQE10" s="493"/>
      <c r="CQF10" s="493"/>
      <c r="CQG10" s="493"/>
      <c r="CQH10" s="493"/>
      <c r="CQI10" s="493"/>
      <c r="CQJ10" s="493"/>
      <c r="CQK10" s="493"/>
      <c r="CQL10" s="493"/>
      <c r="CQM10" s="493"/>
      <c r="CQN10" s="493"/>
      <c r="CQO10" s="493"/>
      <c r="CQP10" s="493"/>
      <c r="CQQ10" s="493"/>
      <c r="CQR10" s="493"/>
      <c r="CQS10" s="493"/>
      <c r="CQT10" s="493"/>
      <c r="CQU10" s="493"/>
      <c r="CQV10" s="493"/>
      <c r="CQW10" s="493"/>
      <c r="CQX10" s="493"/>
      <c r="CQY10" s="493"/>
      <c r="CQZ10" s="493"/>
      <c r="CRA10" s="493"/>
      <c r="CRB10" s="493"/>
      <c r="CRC10" s="493"/>
      <c r="CRD10" s="493"/>
      <c r="CRE10" s="493"/>
      <c r="CRF10" s="493"/>
      <c r="CRG10" s="493"/>
      <c r="CRH10" s="493"/>
      <c r="CRI10" s="493"/>
      <c r="CRJ10" s="493"/>
      <c r="CRK10" s="493"/>
      <c r="CRL10" s="493"/>
      <c r="CRM10" s="493"/>
      <c r="CRN10" s="493"/>
      <c r="CRO10" s="493"/>
      <c r="CRP10" s="493"/>
      <c r="CRQ10" s="493"/>
      <c r="CRR10" s="493"/>
      <c r="CRS10" s="493"/>
      <c r="CRT10" s="493"/>
      <c r="CRU10" s="493"/>
      <c r="CRV10" s="493"/>
      <c r="CRW10" s="493"/>
      <c r="CRX10" s="493"/>
      <c r="CRY10" s="493"/>
      <c r="CRZ10" s="493"/>
      <c r="CSA10" s="493"/>
      <c r="CSB10" s="493"/>
      <c r="CSC10" s="493"/>
      <c r="CSD10" s="493"/>
      <c r="CSE10" s="493"/>
      <c r="CSF10" s="493"/>
      <c r="CSG10" s="493"/>
      <c r="CSH10" s="493"/>
      <c r="CSI10" s="493"/>
      <c r="CSJ10" s="493"/>
      <c r="CSK10" s="493"/>
      <c r="CSL10" s="493"/>
      <c r="CSM10" s="493"/>
      <c r="CSN10" s="493"/>
      <c r="CSO10" s="493"/>
      <c r="CSP10" s="493"/>
      <c r="CSQ10" s="493"/>
      <c r="CSR10" s="493"/>
      <c r="CSS10" s="493"/>
      <c r="CST10" s="493"/>
      <c r="CSU10" s="493"/>
      <c r="CSV10" s="493"/>
      <c r="CSW10" s="493"/>
      <c r="CSX10" s="493"/>
      <c r="CSY10" s="493"/>
      <c r="CSZ10" s="493"/>
      <c r="CTA10" s="493"/>
      <c r="CTB10" s="493"/>
      <c r="CTC10" s="493"/>
      <c r="CTD10" s="493"/>
      <c r="CTE10" s="493"/>
      <c r="CTF10" s="493"/>
      <c r="CTG10" s="493"/>
      <c r="CTH10" s="493"/>
      <c r="CTI10" s="493"/>
      <c r="CTJ10" s="493"/>
      <c r="CTK10" s="493"/>
      <c r="CTL10" s="493"/>
      <c r="CTM10" s="493"/>
      <c r="CTN10" s="493"/>
      <c r="CTO10" s="493"/>
      <c r="CTP10" s="493"/>
      <c r="CTQ10" s="493"/>
      <c r="CTR10" s="493"/>
      <c r="CTS10" s="493"/>
      <c r="CTT10" s="493"/>
      <c r="CTU10" s="493"/>
      <c r="CTV10" s="493"/>
      <c r="CTW10" s="493"/>
      <c r="CTX10" s="493"/>
      <c r="CTY10" s="493"/>
      <c r="CTZ10" s="493"/>
      <c r="CUA10" s="493"/>
      <c r="CUB10" s="493"/>
      <c r="CUC10" s="493"/>
      <c r="CUD10" s="493"/>
      <c r="CUE10" s="493"/>
      <c r="CUF10" s="493"/>
      <c r="CUG10" s="493"/>
      <c r="CUH10" s="493"/>
      <c r="CUI10" s="493"/>
      <c r="CUJ10" s="493"/>
      <c r="CUK10" s="493"/>
      <c r="CUL10" s="493"/>
      <c r="CUM10" s="493"/>
      <c r="CUN10" s="493"/>
      <c r="CUO10" s="493"/>
      <c r="CUP10" s="493"/>
      <c r="CUQ10" s="493"/>
      <c r="CUR10" s="493"/>
      <c r="CUS10" s="493"/>
      <c r="CUT10" s="493"/>
      <c r="CUU10" s="493"/>
      <c r="CUV10" s="493"/>
      <c r="CUW10" s="493"/>
      <c r="CUX10" s="493"/>
      <c r="CUY10" s="493"/>
      <c r="CUZ10" s="493"/>
      <c r="CVA10" s="493"/>
      <c r="CVB10" s="493"/>
      <c r="CVC10" s="493"/>
      <c r="CVD10" s="493"/>
      <c r="CVE10" s="493"/>
      <c r="CVF10" s="493"/>
      <c r="CVG10" s="493"/>
      <c r="CVH10" s="493"/>
      <c r="CVI10" s="493"/>
      <c r="CVJ10" s="493"/>
      <c r="CVK10" s="493"/>
      <c r="CVL10" s="493"/>
      <c r="CVM10" s="493"/>
      <c r="CVN10" s="493"/>
      <c r="CVO10" s="493"/>
      <c r="CVP10" s="493"/>
      <c r="CVQ10" s="493"/>
      <c r="CVR10" s="493"/>
      <c r="CVS10" s="493"/>
      <c r="CVT10" s="493"/>
      <c r="CVU10" s="493"/>
      <c r="CVV10" s="493"/>
      <c r="CVW10" s="493"/>
      <c r="CVX10" s="493"/>
      <c r="CVY10" s="493"/>
      <c r="CVZ10" s="493"/>
      <c r="CWA10" s="493"/>
      <c r="CWB10" s="493"/>
      <c r="CWC10" s="493"/>
      <c r="CWD10" s="493"/>
      <c r="CWE10" s="493"/>
      <c r="CWF10" s="493"/>
      <c r="CWG10" s="493"/>
      <c r="CWH10" s="493"/>
      <c r="CWI10" s="493"/>
      <c r="CWJ10" s="493"/>
      <c r="CWK10" s="493"/>
      <c r="CWL10" s="493"/>
      <c r="CWM10" s="493"/>
      <c r="CWN10" s="493"/>
      <c r="CWO10" s="493"/>
      <c r="CWP10" s="493"/>
      <c r="CWQ10" s="493"/>
      <c r="CWR10" s="493"/>
      <c r="CWS10" s="493"/>
      <c r="CWT10" s="493"/>
      <c r="CWU10" s="493"/>
      <c r="CWV10" s="493"/>
      <c r="CWW10" s="493"/>
      <c r="CWX10" s="493"/>
      <c r="CWY10" s="493"/>
      <c r="CWZ10" s="493"/>
      <c r="CXA10" s="493"/>
      <c r="CXB10" s="493"/>
      <c r="CXC10" s="493"/>
      <c r="CXD10" s="493"/>
      <c r="CXE10" s="493"/>
      <c r="CXF10" s="493"/>
      <c r="CXG10" s="493"/>
      <c r="CXH10" s="493"/>
      <c r="CXI10" s="493"/>
      <c r="CXJ10" s="493"/>
      <c r="CXK10" s="493"/>
      <c r="CXL10" s="493"/>
      <c r="CXM10" s="493"/>
      <c r="CXN10" s="493"/>
      <c r="CXO10" s="493"/>
      <c r="CXP10" s="493"/>
      <c r="CXQ10" s="493"/>
      <c r="CXR10" s="493"/>
      <c r="CXS10" s="493"/>
      <c r="CXT10" s="493"/>
      <c r="CXU10" s="493"/>
      <c r="CXV10" s="493"/>
      <c r="CXW10" s="493"/>
      <c r="CXX10" s="493"/>
      <c r="CXY10" s="493"/>
      <c r="CXZ10" s="493"/>
      <c r="CYA10" s="493"/>
      <c r="CYB10" s="493"/>
      <c r="CYC10" s="493"/>
      <c r="CYD10" s="493"/>
      <c r="CYE10" s="493"/>
      <c r="CYF10" s="493"/>
      <c r="CYG10" s="493"/>
      <c r="CYH10" s="493"/>
      <c r="CYI10" s="493"/>
      <c r="CYJ10" s="493"/>
      <c r="CYK10" s="493"/>
      <c r="CYL10" s="493"/>
      <c r="CYM10" s="493"/>
      <c r="CYN10" s="493"/>
      <c r="CYO10" s="493"/>
      <c r="CYP10" s="493"/>
      <c r="CYQ10" s="493"/>
      <c r="CYR10" s="493"/>
      <c r="CYS10" s="493"/>
      <c r="CYT10" s="493"/>
      <c r="CYU10" s="493"/>
      <c r="CYV10" s="493"/>
      <c r="CYW10" s="493"/>
      <c r="CYX10" s="493"/>
      <c r="CYY10" s="493"/>
      <c r="CYZ10" s="493"/>
      <c r="CZA10" s="493"/>
      <c r="CZB10" s="493"/>
      <c r="CZC10" s="493"/>
      <c r="CZD10" s="493"/>
      <c r="CZE10" s="493"/>
      <c r="CZF10" s="493"/>
      <c r="CZG10" s="493"/>
      <c r="CZH10" s="493"/>
      <c r="CZI10" s="493"/>
      <c r="CZJ10" s="493"/>
      <c r="CZK10" s="493"/>
      <c r="CZL10" s="493"/>
      <c r="CZM10" s="493"/>
      <c r="CZN10" s="493"/>
      <c r="CZO10" s="493"/>
      <c r="CZP10" s="493"/>
      <c r="CZQ10" s="493"/>
      <c r="CZR10" s="493"/>
      <c r="CZS10" s="493"/>
      <c r="CZT10" s="493"/>
      <c r="CZU10" s="493"/>
      <c r="CZV10" s="493"/>
      <c r="CZW10" s="493"/>
      <c r="CZX10" s="493"/>
      <c r="CZY10" s="493"/>
      <c r="CZZ10" s="493"/>
      <c r="DAA10" s="493"/>
      <c r="DAB10" s="493"/>
      <c r="DAC10" s="493"/>
      <c r="DAD10" s="493"/>
      <c r="DAE10" s="493"/>
      <c r="DAF10" s="493"/>
      <c r="DAG10" s="493"/>
      <c r="DAH10" s="493"/>
      <c r="DAI10" s="493"/>
      <c r="DAJ10" s="493"/>
      <c r="DAK10" s="493"/>
      <c r="DAL10" s="493"/>
      <c r="DAM10" s="493"/>
      <c r="DAN10" s="493"/>
      <c r="DAO10" s="493"/>
      <c r="DAP10" s="493"/>
      <c r="DAQ10" s="493"/>
      <c r="DAR10" s="493"/>
      <c r="DAS10" s="493"/>
      <c r="DAT10" s="493"/>
      <c r="DAU10" s="493"/>
      <c r="DAV10" s="493"/>
      <c r="DAW10" s="493"/>
      <c r="DAX10" s="493"/>
      <c r="DAY10" s="493"/>
      <c r="DAZ10" s="493"/>
      <c r="DBA10" s="493"/>
      <c r="DBB10" s="493"/>
      <c r="DBC10" s="493"/>
      <c r="DBD10" s="493"/>
      <c r="DBE10" s="493"/>
      <c r="DBF10" s="493"/>
      <c r="DBG10" s="493"/>
      <c r="DBH10" s="493"/>
      <c r="DBI10" s="493"/>
      <c r="DBJ10" s="493"/>
      <c r="DBK10" s="493"/>
      <c r="DBL10" s="493"/>
      <c r="DBM10" s="493"/>
      <c r="DBN10" s="493"/>
      <c r="DBO10" s="493"/>
      <c r="DBP10" s="493"/>
      <c r="DBQ10" s="493"/>
      <c r="DBR10" s="493"/>
      <c r="DBS10" s="493"/>
      <c r="DBT10" s="493"/>
      <c r="DBU10" s="493"/>
      <c r="DBV10" s="493"/>
      <c r="DBW10" s="493"/>
      <c r="DBX10" s="493"/>
      <c r="DBY10" s="493"/>
      <c r="DBZ10" s="493"/>
      <c r="DCA10" s="493"/>
      <c r="DCB10" s="493"/>
      <c r="DCC10" s="493"/>
      <c r="DCD10" s="493"/>
      <c r="DCE10" s="493"/>
      <c r="DCF10" s="493"/>
      <c r="DCG10" s="493"/>
      <c r="DCH10" s="493"/>
      <c r="DCI10" s="493"/>
      <c r="DCJ10" s="493"/>
      <c r="DCK10" s="493"/>
      <c r="DCL10" s="493"/>
      <c r="DCM10" s="493"/>
      <c r="DCN10" s="493"/>
      <c r="DCO10" s="493"/>
      <c r="DCP10" s="493"/>
      <c r="DCQ10" s="493"/>
      <c r="DCR10" s="493"/>
      <c r="DCS10" s="493"/>
      <c r="DCT10" s="493"/>
      <c r="DCU10" s="493"/>
      <c r="DCV10" s="493"/>
      <c r="DCW10" s="493"/>
      <c r="DCX10" s="493"/>
      <c r="DCY10" s="493"/>
      <c r="DCZ10" s="493"/>
      <c r="DDA10" s="493"/>
      <c r="DDB10" s="493"/>
      <c r="DDC10" s="493"/>
      <c r="DDD10" s="493"/>
      <c r="DDE10" s="493"/>
      <c r="DDF10" s="493"/>
      <c r="DDG10" s="493"/>
      <c r="DDH10" s="493"/>
      <c r="DDI10" s="493"/>
      <c r="DDJ10" s="493"/>
      <c r="DDK10" s="493"/>
      <c r="DDL10" s="493"/>
      <c r="DDM10" s="493"/>
      <c r="DDN10" s="493"/>
      <c r="DDO10" s="493"/>
      <c r="DDP10" s="493"/>
      <c r="DDQ10" s="493"/>
      <c r="DDR10" s="493"/>
      <c r="DDS10" s="493"/>
      <c r="DDT10" s="493"/>
      <c r="DDU10" s="493"/>
      <c r="DDV10" s="493"/>
      <c r="DDW10" s="493"/>
      <c r="DDX10" s="493"/>
      <c r="DDY10" s="493"/>
      <c r="DDZ10" s="493"/>
      <c r="DEA10" s="493"/>
      <c r="DEB10" s="493"/>
      <c r="DEC10" s="493"/>
      <c r="DED10" s="493"/>
      <c r="DEE10" s="493"/>
      <c r="DEF10" s="493"/>
      <c r="DEG10" s="493"/>
      <c r="DEH10" s="493"/>
      <c r="DEI10" s="493"/>
      <c r="DEJ10" s="493"/>
      <c r="DEK10" s="493"/>
      <c r="DEL10" s="493"/>
      <c r="DEM10" s="493"/>
      <c r="DEN10" s="493"/>
      <c r="DEO10" s="493"/>
      <c r="DEP10" s="493"/>
      <c r="DEQ10" s="493"/>
      <c r="DER10" s="493"/>
      <c r="DES10" s="493"/>
      <c r="DET10" s="493"/>
      <c r="DEU10" s="493"/>
      <c r="DEV10" s="493"/>
      <c r="DEW10" s="493"/>
      <c r="DEX10" s="493"/>
      <c r="DEY10" s="493"/>
      <c r="DEZ10" s="493"/>
      <c r="DFA10" s="493"/>
      <c r="DFB10" s="493"/>
      <c r="DFC10" s="493"/>
      <c r="DFD10" s="493"/>
      <c r="DFE10" s="493"/>
      <c r="DFF10" s="493"/>
      <c r="DFG10" s="493"/>
      <c r="DFH10" s="493"/>
      <c r="DFI10" s="493"/>
      <c r="DFJ10" s="493"/>
      <c r="DFK10" s="493"/>
      <c r="DFL10" s="493"/>
      <c r="DFM10" s="493"/>
      <c r="DFN10" s="493"/>
      <c r="DFO10" s="493"/>
      <c r="DFP10" s="493"/>
      <c r="DFQ10" s="493"/>
      <c r="DFR10" s="493"/>
      <c r="DFS10" s="493"/>
      <c r="DFT10" s="493"/>
      <c r="DFU10" s="493"/>
      <c r="DFV10" s="493"/>
      <c r="DFW10" s="493"/>
      <c r="DFX10" s="493"/>
      <c r="DFY10" s="493"/>
      <c r="DFZ10" s="493"/>
      <c r="DGA10" s="493"/>
      <c r="DGB10" s="493"/>
      <c r="DGC10" s="493"/>
      <c r="DGD10" s="493"/>
      <c r="DGE10" s="493"/>
      <c r="DGF10" s="493"/>
      <c r="DGG10" s="493"/>
      <c r="DGH10" s="493"/>
      <c r="DGI10" s="493"/>
      <c r="DGJ10" s="493"/>
      <c r="DGK10" s="493"/>
      <c r="DGL10" s="493"/>
      <c r="DGM10" s="493"/>
      <c r="DGN10" s="493"/>
      <c r="DGO10" s="493"/>
      <c r="DGP10" s="493"/>
      <c r="DGQ10" s="493"/>
      <c r="DGR10" s="493"/>
      <c r="DGS10" s="493"/>
      <c r="DGT10" s="493"/>
      <c r="DGU10" s="493"/>
      <c r="DGV10" s="493"/>
      <c r="DGW10" s="493"/>
      <c r="DGX10" s="493"/>
      <c r="DGY10" s="493"/>
      <c r="DGZ10" s="493"/>
      <c r="DHA10" s="493"/>
      <c r="DHB10" s="493"/>
      <c r="DHC10" s="493"/>
      <c r="DHD10" s="493"/>
      <c r="DHE10" s="493"/>
      <c r="DHF10" s="493"/>
      <c r="DHG10" s="493"/>
      <c r="DHH10" s="493"/>
      <c r="DHI10" s="493"/>
      <c r="DHJ10" s="493"/>
      <c r="DHK10" s="493"/>
      <c r="DHL10" s="493"/>
      <c r="DHM10" s="493"/>
      <c r="DHN10" s="493"/>
      <c r="DHO10" s="493"/>
      <c r="DHP10" s="493"/>
      <c r="DHQ10" s="493"/>
      <c r="DHR10" s="493"/>
      <c r="DHS10" s="493"/>
      <c r="DHT10" s="493"/>
      <c r="DHU10" s="493"/>
      <c r="DHV10" s="493"/>
      <c r="DHW10" s="493"/>
      <c r="DHX10" s="493"/>
      <c r="DHY10" s="493"/>
      <c r="DHZ10" s="493"/>
      <c r="DIA10" s="493"/>
      <c r="DIB10" s="493"/>
      <c r="DIC10" s="493"/>
      <c r="DID10" s="493"/>
      <c r="DIE10" s="493"/>
      <c r="DIF10" s="493"/>
      <c r="DIG10" s="493"/>
      <c r="DIH10" s="493"/>
      <c r="DII10" s="493"/>
      <c r="DIJ10" s="493"/>
      <c r="DIK10" s="493"/>
      <c r="DIL10" s="493"/>
      <c r="DIM10" s="493"/>
      <c r="DIN10" s="493"/>
      <c r="DIO10" s="493"/>
      <c r="DIP10" s="493"/>
      <c r="DIQ10" s="493"/>
      <c r="DIR10" s="493"/>
      <c r="DIS10" s="493"/>
      <c r="DIT10" s="493"/>
      <c r="DIU10" s="493"/>
      <c r="DIV10" s="493"/>
      <c r="DIW10" s="493"/>
      <c r="DIX10" s="493"/>
      <c r="DIY10" s="493"/>
      <c r="DIZ10" s="493"/>
      <c r="DJA10" s="493"/>
      <c r="DJB10" s="493"/>
      <c r="DJC10" s="493"/>
      <c r="DJD10" s="493"/>
      <c r="DJE10" s="493"/>
      <c r="DJF10" s="493"/>
      <c r="DJG10" s="493"/>
      <c r="DJH10" s="493"/>
      <c r="DJI10" s="493"/>
      <c r="DJJ10" s="493"/>
      <c r="DJK10" s="493"/>
      <c r="DJL10" s="493"/>
      <c r="DJM10" s="493"/>
      <c r="DJN10" s="493"/>
      <c r="DJO10" s="493"/>
      <c r="DJP10" s="493"/>
      <c r="DJQ10" s="493"/>
      <c r="DJR10" s="493"/>
      <c r="DJS10" s="493"/>
      <c r="DJT10" s="493"/>
      <c r="DJU10" s="493"/>
      <c r="DJV10" s="493"/>
      <c r="DJW10" s="493"/>
      <c r="DJX10" s="493"/>
      <c r="DJY10" s="493"/>
      <c r="DJZ10" s="493"/>
      <c r="DKA10" s="493"/>
      <c r="DKB10" s="493"/>
      <c r="DKC10" s="493"/>
      <c r="DKD10" s="493"/>
      <c r="DKE10" s="493"/>
      <c r="DKF10" s="493"/>
      <c r="DKG10" s="493"/>
      <c r="DKH10" s="493"/>
      <c r="DKI10" s="493"/>
      <c r="DKJ10" s="493"/>
      <c r="DKK10" s="493"/>
      <c r="DKL10" s="493"/>
      <c r="DKM10" s="493"/>
      <c r="DKN10" s="493"/>
      <c r="DKO10" s="493"/>
      <c r="DKP10" s="493"/>
      <c r="DKQ10" s="493"/>
      <c r="DKR10" s="493"/>
      <c r="DKS10" s="493"/>
      <c r="DKT10" s="493"/>
      <c r="DKU10" s="493"/>
      <c r="DKV10" s="493"/>
      <c r="DKW10" s="493"/>
      <c r="DKX10" s="493"/>
      <c r="DKY10" s="493"/>
      <c r="DKZ10" s="493"/>
      <c r="DLA10" s="493"/>
      <c r="DLB10" s="493"/>
      <c r="DLC10" s="493"/>
      <c r="DLD10" s="493"/>
      <c r="DLE10" s="493"/>
      <c r="DLF10" s="493"/>
      <c r="DLG10" s="493"/>
      <c r="DLH10" s="493"/>
      <c r="DLI10" s="493"/>
      <c r="DLJ10" s="493"/>
      <c r="DLK10" s="493"/>
      <c r="DLL10" s="493"/>
      <c r="DLM10" s="493"/>
      <c r="DLN10" s="493"/>
      <c r="DLO10" s="493"/>
      <c r="DLP10" s="493"/>
      <c r="DLQ10" s="493"/>
      <c r="DLR10" s="493"/>
      <c r="DLS10" s="493"/>
      <c r="DLT10" s="493"/>
      <c r="DLU10" s="493"/>
      <c r="DLV10" s="493"/>
      <c r="DLW10" s="493"/>
      <c r="DLX10" s="493"/>
      <c r="DLY10" s="493"/>
      <c r="DLZ10" s="493"/>
      <c r="DMA10" s="493"/>
      <c r="DMB10" s="493"/>
      <c r="DMC10" s="493"/>
      <c r="DMD10" s="493"/>
      <c r="DME10" s="493"/>
      <c r="DMF10" s="493"/>
      <c r="DMG10" s="493"/>
      <c r="DMH10" s="493"/>
      <c r="DMI10" s="493"/>
      <c r="DMJ10" s="493"/>
      <c r="DMK10" s="493"/>
      <c r="DML10" s="493"/>
      <c r="DMM10" s="493"/>
      <c r="DMN10" s="493"/>
      <c r="DMO10" s="493"/>
      <c r="DMP10" s="493"/>
      <c r="DMQ10" s="493"/>
      <c r="DMR10" s="493"/>
      <c r="DMS10" s="493"/>
      <c r="DMT10" s="493"/>
      <c r="DMU10" s="493"/>
      <c r="DMV10" s="493"/>
      <c r="DMW10" s="493"/>
      <c r="DMX10" s="493"/>
      <c r="DMY10" s="493"/>
      <c r="DMZ10" s="493"/>
      <c r="DNA10" s="493"/>
      <c r="DNB10" s="493"/>
      <c r="DNC10" s="493"/>
      <c r="DND10" s="493"/>
      <c r="DNE10" s="493"/>
      <c r="DNF10" s="493"/>
      <c r="DNG10" s="493"/>
      <c r="DNH10" s="493"/>
      <c r="DNI10" s="493"/>
      <c r="DNJ10" s="493"/>
      <c r="DNK10" s="493"/>
      <c r="DNL10" s="493"/>
      <c r="DNM10" s="493"/>
      <c r="DNN10" s="493"/>
      <c r="DNO10" s="493"/>
      <c r="DNP10" s="493"/>
      <c r="DNQ10" s="493"/>
      <c r="DNR10" s="493"/>
      <c r="DNS10" s="493"/>
      <c r="DNT10" s="493"/>
      <c r="DNU10" s="493"/>
      <c r="DNV10" s="493"/>
      <c r="DNW10" s="493"/>
      <c r="DNX10" s="493"/>
      <c r="DNY10" s="493"/>
      <c r="DNZ10" s="493"/>
      <c r="DOA10" s="493"/>
      <c r="DOB10" s="493"/>
      <c r="DOC10" s="493"/>
      <c r="DOD10" s="493"/>
      <c r="DOE10" s="493"/>
      <c r="DOF10" s="493"/>
      <c r="DOG10" s="493"/>
      <c r="DOH10" s="493"/>
      <c r="DOI10" s="493"/>
      <c r="DOJ10" s="493"/>
      <c r="DOK10" s="493"/>
      <c r="DOL10" s="493"/>
      <c r="DOM10" s="493"/>
      <c r="DON10" s="493"/>
      <c r="DOO10" s="493"/>
      <c r="DOP10" s="493"/>
      <c r="DOQ10" s="493"/>
      <c r="DOR10" s="493"/>
      <c r="DOS10" s="493"/>
      <c r="DOT10" s="493"/>
      <c r="DOU10" s="493"/>
      <c r="DOV10" s="493"/>
      <c r="DOW10" s="493"/>
      <c r="DOX10" s="493"/>
      <c r="DOY10" s="493"/>
      <c r="DOZ10" s="493"/>
      <c r="DPA10" s="493"/>
      <c r="DPB10" s="493"/>
      <c r="DPC10" s="493"/>
      <c r="DPD10" s="493"/>
      <c r="DPE10" s="493"/>
      <c r="DPF10" s="493"/>
      <c r="DPG10" s="493"/>
      <c r="DPH10" s="493"/>
      <c r="DPI10" s="493"/>
      <c r="DPJ10" s="493"/>
      <c r="DPK10" s="493"/>
      <c r="DPL10" s="493"/>
      <c r="DPM10" s="493"/>
      <c r="DPN10" s="493"/>
      <c r="DPO10" s="493"/>
      <c r="DPP10" s="493"/>
      <c r="DPQ10" s="493"/>
      <c r="DPR10" s="493"/>
      <c r="DPS10" s="493"/>
      <c r="DPT10" s="493"/>
      <c r="DPU10" s="493"/>
      <c r="DPV10" s="493"/>
      <c r="DPW10" s="493"/>
      <c r="DPX10" s="493"/>
      <c r="DPY10" s="493"/>
      <c r="DPZ10" s="493"/>
      <c r="DQA10" s="493"/>
      <c r="DQB10" s="493"/>
      <c r="DQC10" s="493"/>
      <c r="DQD10" s="493"/>
      <c r="DQE10" s="493"/>
      <c r="DQF10" s="493"/>
      <c r="DQG10" s="493"/>
      <c r="DQH10" s="493"/>
      <c r="DQI10" s="493"/>
      <c r="DQJ10" s="493"/>
      <c r="DQK10" s="493"/>
      <c r="DQL10" s="493"/>
      <c r="DQM10" s="493"/>
      <c r="DQN10" s="493"/>
      <c r="DQO10" s="493"/>
      <c r="DQP10" s="493"/>
      <c r="DQQ10" s="493"/>
      <c r="DQR10" s="493"/>
      <c r="DQS10" s="493"/>
      <c r="DQT10" s="493"/>
      <c r="DQU10" s="493"/>
      <c r="DQV10" s="493"/>
      <c r="DQW10" s="493"/>
      <c r="DQX10" s="493"/>
      <c r="DQY10" s="493"/>
      <c r="DQZ10" s="493"/>
      <c r="DRA10" s="493"/>
      <c r="DRB10" s="493"/>
      <c r="DRC10" s="493"/>
      <c r="DRD10" s="493"/>
      <c r="DRE10" s="493"/>
      <c r="DRF10" s="493"/>
      <c r="DRG10" s="493"/>
      <c r="DRH10" s="493"/>
      <c r="DRI10" s="493"/>
      <c r="DRJ10" s="493"/>
      <c r="DRK10" s="493"/>
      <c r="DRL10" s="493"/>
      <c r="DRM10" s="493"/>
      <c r="DRN10" s="493"/>
      <c r="DRO10" s="493"/>
      <c r="DRP10" s="493"/>
      <c r="DRQ10" s="493"/>
      <c r="DRR10" s="493"/>
      <c r="DRS10" s="493"/>
      <c r="DRT10" s="493"/>
      <c r="DRU10" s="493"/>
      <c r="DRV10" s="493"/>
      <c r="DRW10" s="493"/>
      <c r="DRX10" s="493"/>
      <c r="DRY10" s="493"/>
      <c r="DRZ10" s="493"/>
      <c r="DSA10" s="493"/>
      <c r="DSB10" s="493"/>
      <c r="DSC10" s="493"/>
      <c r="DSD10" s="493"/>
      <c r="DSE10" s="493"/>
      <c r="DSF10" s="493"/>
      <c r="DSG10" s="493"/>
      <c r="DSH10" s="493"/>
      <c r="DSI10" s="493"/>
      <c r="DSJ10" s="493"/>
      <c r="DSK10" s="493"/>
      <c r="DSL10" s="493"/>
      <c r="DSM10" s="493"/>
      <c r="DSN10" s="493"/>
      <c r="DSO10" s="493"/>
      <c r="DSP10" s="493"/>
      <c r="DSQ10" s="493"/>
      <c r="DSR10" s="493"/>
      <c r="DSS10" s="493"/>
      <c r="DST10" s="493"/>
      <c r="DSU10" s="493"/>
      <c r="DSV10" s="493"/>
      <c r="DSW10" s="493"/>
      <c r="DSX10" s="493"/>
      <c r="DSY10" s="493"/>
      <c r="DSZ10" s="493"/>
      <c r="DTA10" s="493"/>
      <c r="DTB10" s="493"/>
      <c r="DTC10" s="493"/>
      <c r="DTD10" s="493"/>
      <c r="DTE10" s="493"/>
      <c r="DTF10" s="493"/>
      <c r="DTG10" s="493"/>
      <c r="DTH10" s="493"/>
      <c r="DTI10" s="493"/>
      <c r="DTJ10" s="493"/>
      <c r="DTK10" s="493"/>
      <c r="DTL10" s="493"/>
      <c r="DTM10" s="493"/>
      <c r="DTN10" s="493"/>
      <c r="DTO10" s="493"/>
      <c r="DTP10" s="493"/>
      <c r="DTQ10" s="493"/>
      <c r="DTR10" s="493"/>
      <c r="DTS10" s="493"/>
      <c r="DTT10" s="493"/>
      <c r="DTU10" s="493"/>
      <c r="DTV10" s="493"/>
      <c r="DTW10" s="493"/>
      <c r="DTX10" s="493"/>
      <c r="DTY10" s="493"/>
      <c r="DTZ10" s="493"/>
      <c r="DUA10" s="493"/>
      <c r="DUB10" s="493"/>
      <c r="DUC10" s="493"/>
      <c r="DUD10" s="493"/>
      <c r="DUE10" s="493"/>
      <c r="DUF10" s="493"/>
      <c r="DUG10" s="493"/>
      <c r="DUH10" s="493"/>
      <c r="DUI10" s="493"/>
      <c r="DUJ10" s="493"/>
      <c r="DUK10" s="493"/>
      <c r="DUL10" s="493"/>
      <c r="DUM10" s="493"/>
      <c r="DUN10" s="493"/>
      <c r="DUO10" s="493"/>
      <c r="DUP10" s="493"/>
      <c r="DUQ10" s="493"/>
      <c r="DUR10" s="493"/>
      <c r="DUS10" s="493"/>
      <c r="DUT10" s="493"/>
      <c r="DUU10" s="493"/>
      <c r="DUV10" s="493"/>
      <c r="DUW10" s="493"/>
      <c r="DUX10" s="493"/>
      <c r="DUY10" s="493"/>
      <c r="DUZ10" s="493"/>
      <c r="DVA10" s="493"/>
      <c r="DVB10" s="493"/>
      <c r="DVC10" s="493"/>
      <c r="DVD10" s="493"/>
      <c r="DVE10" s="493"/>
      <c r="DVF10" s="493"/>
      <c r="DVG10" s="493"/>
      <c r="DVH10" s="493"/>
      <c r="DVI10" s="493"/>
      <c r="DVJ10" s="493"/>
      <c r="DVK10" s="493"/>
      <c r="DVL10" s="493"/>
      <c r="DVM10" s="493"/>
      <c r="DVN10" s="493"/>
      <c r="DVO10" s="493"/>
      <c r="DVP10" s="493"/>
      <c r="DVQ10" s="493"/>
      <c r="DVR10" s="493"/>
      <c r="DVS10" s="493"/>
      <c r="DVT10" s="493"/>
      <c r="DVU10" s="493"/>
      <c r="DVV10" s="493"/>
      <c r="DVW10" s="493"/>
      <c r="DVX10" s="493"/>
      <c r="DVY10" s="493"/>
      <c r="DVZ10" s="493"/>
      <c r="DWA10" s="493"/>
      <c r="DWB10" s="493"/>
      <c r="DWC10" s="493"/>
      <c r="DWD10" s="493"/>
      <c r="DWE10" s="493"/>
      <c r="DWF10" s="493"/>
      <c r="DWG10" s="493"/>
      <c r="DWH10" s="493"/>
      <c r="DWI10" s="493"/>
      <c r="DWJ10" s="493"/>
      <c r="DWK10" s="493"/>
      <c r="DWL10" s="493"/>
      <c r="DWM10" s="493"/>
      <c r="DWN10" s="493"/>
      <c r="DWO10" s="493"/>
      <c r="DWP10" s="493"/>
      <c r="DWQ10" s="493"/>
      <c r="DWR10" s="493"/>
      <c r="DWS10" s="493"/>
      <c r="DWT10" s="493"/>
      <c r="DWU10" s="493"/>
      <c r="DWV10" s="493"/>
      <c r="DWW10" s="493"/>
      <c r="DWX10" s="493"/>
      <c r="DWY10" s="493"/>
      <c r="DWZ10" s="493"/>
      <c r="DXA10" s="493"/>
      <c r="DXB10" s="493"/>
      <c r="DXC10" s="493"/>
      <c r="DXD10" s="493"/>
      <c r="DXE10" s="493"/>
      <c r="DXF10" s="493"/>
      <c r="DXG10" s="493"/>
      <c r="DXH10" s="493"/>
      <c r="DXI10" s="493"/>
      <c r="DXJ10" s="493"/>
      <c r="DXK10" s="493"/>
      <c r="DXL10" s="493"/>
      <c r="DXM10" s="493"/>
      <c r="DXN10" s="493"/>
      <c r="DXO10" s="493"/>
      <c r="DXP10" s="493"/>
      <c r="DXQ10" s="493"/>
      <c r="DXR10" s="493"/>
      <c r="DXS10" s="493"/>
      <c r="DXT10" s="493"/>
      <c r="DXU10" s="493"/>
      <c r="DXV10" s="493"/>
      <c r="DXW10" s="493"/>
      <c r="DXX10" s="493"/>
      <c r="DXY10" s="493"/>
      <c r="DXZ10" s="493"/>
      <c r="DYA10" s="493"/>
      <c r="DYB10" s="493"/>
      <c r="DYC10" s="493"/>
      <c r="DYD10" s="493"/>
      <c r="DYE10" s="493"/>
      <c r="DYF10" s="493"/>
      <c r="DYG10" s="493"/>
      <c r="DYH10" s="493"/>
      <c r="DYI10" s="493"/>
      <c r="DYJ10" s="493"/>
      <c r="DYK10" s="493"/>
      <c r="DYL10" s="493"/>
      <c r="DYM10" s="493"/>
      <c r="DYN10" s="493"/>
      <c r="DYO10" s="493"/>
      <c r="DYP10" s="493"/>
      <c r="DYQ10" s="493"/>
      <c r="DYR10" s="493"/>
      <c r="DYS10" s="493"/>
      <c r="DYT10" s="493"/>
      <c r="DYU10" s="493"/>
      <c r="DYV10" s="493"/>
      <c r="DYW10" s="493"/>
      <c r="DYX10" s="493"/>
      <c r="DYY10" s="493"/>
      <c r="DYZ10" s="493"/>
      <c r="DZA10" s="493"/>
      <c r="DZB10" s="493"/>
      <c r="DZC10" s="493"/>
      <c r="DZD10" s="493"/>
      <c r="DZE10" s="493"/>
      <c r="DZF10" s="493"/>
      <c r="DZG10" s="493"/>
      <c r="DZH10" s="493"/>
      <c r="DZI10" s="493"/>
      <c r="DZJ10" s="493"/>
      <c r="DZK10" s="493"/>
      <c r="DZL10" s="493"/>
      <c r="DZM10" s="493"/>
      <c r="DZN10" s="493"/>
      <c r="DZO10" s="493"/>
      <c r="DZP10" s="493"/>
      <c r="DZQ10" s="493"/>
      <c r="DZR10" s="493"/>
      <c r="DZS10" s="493"/>
      <c r="DZT10" s="493"/>
      <c r="DZU10" s="493"/>
      <c r="DZV10" s="493"/>
      <c r="DZW10" s="493"/>
      <c r="DZX10" s="493"/>
      <c r="DZY10" s="493"/>
      <c r="DZZ10" s="493"/>
      <c r="EAA10" s="493"/>
      <c r="EAB10" s="493"/>
      <c r="EAC10" s="493"/>
      <c r="EAD10" s="493"/>
      <c r="EAE10" s="493"/>
      <c r="EAF10" s="493"/>
      <c r="EAG10" s="493"/>
      <c r="EAH10" s="493"/>
      <c r="EAI10" s="493"/>
      <c r="EAJ10" s="493"/>
      <c r="EAK10" s="493"/>
      <c r="EAL10" s="493"/>
      <c r="EAM10" s="493"/>
      <c r="EAN10" s="493"/>
      <c r="EAO10" s="493"/>
      <c r="EAP10" s="493"/>
      <c r="EAQ10" s="493"/>
      <c r="EAR10" s="493"/>
      <c r="EAS10" s="493"/>
      <c r="EAT10" s="493"/>
      <c r="EAU10" s="493"/>
      <c r="EAV10" s="493"/>
      <c r="EAW10" s="493"/>
      <c r="EAX10" s="493"/>
      <c r="EAY10" s="493"/>
      <c r="EAZ10" s="493"/>
      <c r="EBA10" s="493"/>
      <c r="EBB10" s="493"/>
      <c r="EBC10" s="493"/>
      <c r="EBD10" s="493"/>
      <c r="EBE10" s="493"/>
      <c r="EBF10" s="493"/>
      <c r="EBG10" s="493"/>
      <c r="EBH10" s="493"/>
      <c r="EBI10" s="493"/>
      <c r="EBJ10" s="493"/>
      <c r="EBK10" s="493"/>
      <c r="EBL10" s="493"/>
      <c r="EBM10" s="493"/>
      <c r="EBN10" s="493"/>
      <c r="EBO10" s="493"/>
      <c r="EBP10" s="493"/>
      <c r="EBQ10" s="493"/>
      <c r="EBR10" s="493"/>
      <c r="EBS10" s="493"/>
      <c r="EBT10" s="493"/>
      <c r="EBU10" s="493"/>
      <c r="EBV10" s="493"/>
      <c r="EBW10" s="493"/>
      <c r="EBX10" s="493"/>
      <c r="EBY10" s="493"/>
      <c r="EBZ10" s="493"/>
      <c r="ECA10" s="493"/>
      <c r="ECB10" s="493"/>
      <c r="ECC10" s="493"/>
      <c r="ECD10" s="493"/>
      <c r="ECE10" s="493"/>
      <c r="ECF10" s="493"/>
      <c r="ECG10" s="493"/>
      <c r="ECH10" s="493"/>
      <c r="ECI10" s="493"/>
      <c r="ECJ10" s="493"/>
      <c r="ECK10" s="493"/>
      <c r="ECL10" s="493"/>
      <c r="ECM10" s="493"/>
      <c r="ECN10" s="493"/>
      <c r="ECO10" s="493"/>
      <c r="ECP10" s="493"/>
      <c r="ECQ10" s="493"/>
      <c r="ECR10" s="493"/>
      <c r="ECS10" s="493"/>
      <c r="ECT10" s="493"/>
      <c r="ECU10" s="493"/>
      <c r="ECV10" s="493"/>
      <c r="ECW10" s="493"/>
      <c r="ECX10" s="493"/>
      <c r="ECY10" s="493"/>
      <c r="ECZ10" s="493"/>
      <c r="EDA10" s="493"/>
      <c r="EDB10" s="493"/>
      <c r="EDC10" s="493"/>
      <c r="EDD10" s="493"/>
      <c r="EDE10" s="493"/>
      <c r="EDF10" s="493"/>
      <c r="EDG10" s="493"/>
      <c r="EDH10" s="493"/>
      <c r="EDI10" s="493"/>
      <c r="EDJ10" s="493"/>
      <c r="EDK10" s="493"/>
      <c r="EDL10" s="493"/>
      <c r="EDM10" s="493"/>
      <c r="EDN10" s="493"/>
      <c r="EDO10" s="493"/>
      <c r="EDP10" s="493"/>
      <c r="EDQ10" s="493"/>
      <c r="EDR10" s="493"/>
      <c r="EDS10" s="493"/>
      <c r="EDT10" s="493"/>
      <c r="EDU10" s="493"/>
      <c r="EDV10" s="493"/>
      <c r="EDW10" s="493"/>
      <c r="EDX10" s="493"/>
      <c r="EDY10" s="493"/>
      <c r="EDZ10" s="493"/>
      <c r="EEA10" s="493"/>
      <c r="EEB10" s="493"/>
      <c r="EEC10" s="493"/>
      <c r="EED10" s="493"/>
      <c r="EEE10" s="493"/>
      <c r="EEF10" s="493"/>
      <c r="EEG10" s="493"/>
      <c r="EEH10" s="493"/>
      <c r="EEI10" s="493"/>
      <c r="EEJ10" s="493"/>
      <c r="EEK10" s="493"/>
      <c r="EEL10" s="493"/>
      <c r="EEM10" s="493"/>
      <c r="EEN10" s="493"/>
      <c r="EEO10" s="493"/>
      <c r="EEP10" s="493"/>
      <c r="EEQ10" s="493"/>
      <c r="EER10" s="493"/>
      <c r="EES10" s="493"/>
      <c r="EET10" s="493"/>
      <c r="EEU10" s="493"/>
      <c r="EEV10" s="493"/>
      <c r="EEW10" s="493"/>
      <c r="EEX10" s="493"/>
      <c r="EEY10" s="493"/>
      <c r="EEZ10" s="493"/>
      <c r="EFA10" s="493"/>
      <c r="EFB10" s="493"/>
      <c r="EFC10" s="493"/>
      <c r="EFD10" s="493"/>
      <c r="EFE10" s="493"/>
      <c r="EFF10" s="493"/>
      <c r="EFG10" s="493"/>
      <c r="EFH10" s="493"/>
      <c r="EFI10" s="493"/>
      <c r="EFJ10" s="493"/>
      <c r="EFK10" s="493"/>
      <c r="EFL10" s="493"/>
      <c r="EFM10" s="493"/>
      <c r="EFN10" s="493"/>
      <c r="EFO10" s="493"/>
      <c r="EFP10" s="493"/>
      <c r="EFQ10" s="493"/>
      <c r="EFR10" s="493"/>
      <c r="EFS10" s="493"/>
      <c r="EFT10" s="493"/>
      <c r="EFU10" s="493"/>
      <c r="EFV10" s="493"/>
      <c r="EFW10" s="493"/>
      <c r="EFX10" s="493"/>
      <c r="EFY10" s="493"/>
      <c r="EFZ10" s="493"/>
      <c r="EGA10" s="493"/>
      <c r="EGB10" s="493"/>
      <c r="EGC10" s="493"/>
      <c r="EGD10" s="493"/>
      <c r="EGE10" s="493"/>
      <c r="EGF10" s="493"/>
      <c r="EGG10" s="493"/>
      <c r="EGH10" s="493"/>
      <c r="EGI10" s="493"/>
      <c r="EGJ10" s="493"/>
      <c r="EGK10" s="493"/>
      <c r="EGL10" s="493"/>
      <c r="EGM10" s="493"/>
      <c r="EGN10" s="493"/>
      <c r="EGO10" s="493"/>
      <c r="EGP10" s="493"/>
      <c r="EGQ10" s="493"/>
      <c r="EGR10" s="493"/>
      <c r="EGS10" s="493"/>
      <c r="EGT10" s="493"/>
      <c r="EGU10" s="493"/>
      <c r="EGV10" s="493"/>
      <c r="EGW10" s="493"/>
      <c r="EGX10" s="493"/>
      <c r="EGY10" s="493"/>
      <c r="EGZ10" s="493"/>
      <c r="EHA10" s="493"/>
      <c r="EHB10" s="493"/>
      <c r="EHC10" s="493"/>
      <c r="EHD10" s="493"/>
      <c r="EHE10" s="493"/>
      <c r="EHF10" s="493"/>
      <c r="EHG10" s="493"/>
      <c r="EHH10" s="493"/>
      <c r="EHI10" s="493"/>
      <c r="EHJ10" s="493"/>
      <c r="EHK10" s="493"/>
      <c r="EHL10" s="493"/>
      <c r="EHM10" s="493"/>
      <c r="EHN10" s="493"/>
      <c r="EHO10" s="493"/>
      <c r="EHP10" s="493"/>
      <c r="EHQ10" s="493"/>
      <c r="EHR10" s="493"/>
      <c r="EHS10" s="493"/>
      <c r="EHT10" s="493"/>
      <c r="EHU10" s="493"/>
      <c r="EHV10" s="493"/>
      <c r="EHW10" s="493"/>
      <c r="EHX10" s="493"/>
      <c r="EHY10" s="493"/>
      <c r="EHZ10" s="493"/>
      <c r="EIA10" s="493"/>
      <c r="EIB10" s="493"/>
      <c r="EIC10" s="493"/>
      <c r="EID10" s="493"/>
      <c r="EIE10" s="493"/>
      <c r="EIF10" s="493"/>
      <c r="EIG10" s="493"/>
      <c r="EIH10" s="493"/>
      <c r="EII10" s="493"/>
      <c r="EIJ10" s="493"/>
      <c r="EIK10" s="493"/>
      <c r="EIL10" s="493"/>
      <c r="EIM10" s="493"/>
      <c r="EIN10" s="493"/>
      <c r="EIO10" s="493"/>
      <c r="EIP10" s="493"/>
      <c r="EIQ10" s="493"/>
      <c r="EIR10" s="493"/>
      <c r="EIS10" s="493"/>
      <c r="EIT10" s="493"/>
      <c r="EIU10" s="493"/>
      <c r="EIV10" s="493"/>
      <c r="EIW10" s="493"/>
      <c r="EIX10" s="493"/>
      <c r="EIY10" s="493"/>
      <c r="EIZ10" s="493"/>
      <c r="EJA10" s="493"/>
      <c r="EJB10" s="493"/>
      <c r="EJC10" s="493"/>
      <c r="EJD10" s="493"/>
      <c r="EJE10" s="493"/>
      <c r="EJF10" s="493"/>
      <c r="EJG10" s="493"/>
      <c r="EJH10" s="493"/>
      <c r="EJI10" s="493"/>
      <c r="EJJ10" s="493"/>
      <c r="EJK10" s="493"/>
      <c r="EJL10" s="493"/>
      <c r="EJM10" s="493"/>
      <c r="EJN10" s="493"/>
      <c r="EJO10" s="493"/>
      <c r="EJP10" s="493"/>
      <c r="EJQ10" s="493"/>
      <c r="EJR10" s="493"/>
      <c r="EJS10" s="493"/>
      <c r="EJT10" s="493"/>
      <c r="EJU10" s="493"/>
      <c r="EJV10" s="493"/>
      <c r="EJW10" s="493"/>
      <c r="EJX10" s="493"/>
      <c r="EJY10" s="493"/>
      <c r="EJZ10" s="493"/>
      <c r="EKA10" s="493"/>
      <c r="EKB10" s="493"/>
      <c r="EKC10" s="493"/>
      <c r="EKD10" s="493"/>
      <c r="EKE10" s="493"/>
      <c r="EKF10" s="493"/>
      <c r="EKG10" s="493"/>
      <c r="EKH10" s="493"/>
      <c r="EKI10" s="493"/>
      <c r="EKJ10" s="493"/>
      <c r="EKK10" s="493"/>
      <c r="EKL10" s="493"/>
      <c r="EKM10" s="493"/>
      <c r="EKN10" s="493"/>
      <c r="EKO10" s="493"/>
      <c r="EKP10" s="493"/>
      <c r="EKQ10" s="493"/>
      <c r="EKR10" s="493"/>
      <c r="EKS10" s="493"/>
      <c r="EKT10" s="493"/>
      <c r="EKU10" s="493"/>
      <c r="EKV10" s="493"/>
      <c r="EKW10" s="493"/>
      <c r="EKX10" s="493"/>
      <c r="EKY10" s="493"/>
      <c r="EKZ10" s="493"/>
      <c r="ELA10" s="493"/>
      <c r="ELB10" s="493"/>
      <c r="ELC10" s="493"/>
      <c r="ELD10" s="493"/>
      <c r="ELE10" s="493"/>
      <c r="ELF10" s="493"/>
      <c r="ELG10" s="493"/>
      <c r="ELH10" s="493"/>
      <c r="ELI10" s="493"/>
      <c r="ELJ10" s="493"/>
      <c r="ELK10" s="493"/>
      <c r="ELL10" s="493"/>
      <c r="ELM10" s="493"/>
      <c r="ELN10" s="493"/>
      <c r="ELO10" s="493"/>
      <c r="ELP10" s="493"/>
      <c r="ELQ10" s="493"/>
      <c r="ELR10" s="493"/>
      <c r="ELS10" s="493"/>
      <c r="ELT10" s="493"/>
      <c r="ELU10" s="493"/>
      <c r="ELV10" s="493"/>
      <c r="ELW10" s="493"/>
      <c r="ELX10" s="493"/>
      <c r="ELY10" s="493"/>
      <c r="ELZ10" s="493"/>
      <c r="EMA10" s="493"/>
      <c r="EMB10" s="493"/>
      <c r="EMC10" s="493"/>
      <c r="EMD10" s="493"/>
      <c r="EME10" s="493"/>
      <c r="EMF10" s="493"/>
      <c r="EMG10" s="493"/>
      <c r="EMH10" s="493"/>
      <c r="EMI10" s="493"/>
      <c r="EMJ10" s="493"/>
      <c r="EMK10" s="493"/>
      <c r="EML10" s="493"/>
      <c r="EMM10" s="493"/>
      <c r="EMN10" s="493"/>
      <c r="EMO10" s="493"/>
      <c r="EMP10" s="493"/>
      <c r="EMQ10" s="493"/>
      <c r="EMR10" s="493"/>
      <c r="EMS10" s="493"/>
      <c r="EMT10" s="493"/>
      <c r="EMU10" s="493"/>
      <c r="EMV10" s="493"/>
      <c r="EMW10" s="493"/>
      <c r="EMX10" s="493"/>
      <c r="EMY10" s="493"/>
      <c r="EMZ10" s="493"/>
      <c r="ENA10" s="493"/>
      <c r="ENB10" s="493"/>
      <c r="ENC10" s="493"/>
      <c r="END10" s="493"/>
      <c r="ENE10" s="493"/>
      <c r="ENF10" s="493"/>
      <c r="ENG10" s="493"/>
      <c r="ENH10" s="493"/>
      <c r="ENI10" s="493"/>
      <c r="ENJ10" s="493"/>
      <c r="ENK10" s="493"/>
      <c r="ENL10" s="493"/>
      <c r="ENM10" s="493"/>
      <c r="ENN10" s="493"/>
      <c r="ENO10" s="493"/>
      <c r="ENP10" s="493"/>
      <c r="ENQ10" s="493"/>
      <c r="ENR10" s="493"/>
      <c r="ENS10" s="493"/>
      <c r="ENT10" s="493"/>
      <c r="ENU10" s="493"/>
      <c r="ENV10" s="493"/>
      <c r="ENW10" s="493"/>
      <c r="ENX10" s="493"/>
      <c r="ENY10" s="493"/>
      <c r="ENZ10" s="493"/>
      <c r="EOA10" s="493"/>
      <c r="EOB10" s="493"/>
      <c r="EOC10" s="493"/>
      <c r="EOD10" s="493"/>
      <c r="EOE10" s="493"/>
      <c r="EOF10" s="493"/>
      <c r="EOG10" s="493"/>
      <c r="EOH10" s="493"/>
      <c r="EOI10" s="493"/>
      <c r="EOJ10" s="493"/>
      <c r="EOK10" s="493"/>
      <c r="EOL10" s="493"/>
      <c r="EOM10" s="493"/>
      <c r="EON10" s="493"/>
      <c r="EOO10" s="493"/>
      <c r="EOP10" s="493"/>
      <c r="EOQ10" s="493"/>
      <c r="EOR10" s="493"/>
      <c r="EOS10" s="493"/>
      <c r="EOT10" s="493"/>
      <c r="EOU10" s="493"/>
      <c r="EOV10" s="493"/>
      <c r="EOW10" s="493"/>
      <c r="EOX10" s="493"/>
      <c r="EOY10" s="493"/>
      <c r="EOZ10" s="493"/>
      <c r="EPA10" s="493"/>
      <c r="EPB10" s="493"/>
      <c r="EPC10" s="493"/>
      <c r="EPD10" s="493"/>
      <c r="EPE10" s="493"/>
      <c r="EPF10" s="493"/>
      <c r="EPG10" s="493"/>
      <c r="EPH10" s="493"/>
      <c r="EPI10" s="493"/>
      <c r="EPJ10" s="493"/>
      <c r="EPK10" s="493"/>
      <c r="EPL10" s="493"/>
      <c r="EPM10" s="493"/>
      <c r="EPN10" s="493"/>
      <c r="EPO10" s="493"/>
      <c r="EPP10" s="493"/>
      <c r="EPQ10" s="493"/>
      <c r="EPR10" s="493"/>
      <c r="EPS10" s="493"/>
      <c r="EPT10" s="493"/>
      <c r="EPU10" s="493"/>
      <c r="EPV10" s="493"/>
      <c r="EPW10" s="493"/>
      <c r="EPX10" s="493"/>
      <c r="EPY10" s="493"/>
      <c r="EPZ10" s="493"/>
      <c r="EQA10" s="493"/>
      <c r="EQB10" s="493"/>
      <c r="EQC10" s="493"/>
      <c r="EQD10" s="493"/>
      <c r="EQE10" s="493"/>
      <c r="EQF10" s="493"/>
      <c r="EQG10" s="493"/>
      <c r="EQH10" s="493"/>
      <c r="EQI10" s="493"/>
      <c r="EQJ10" s="493"/>
      <c r="EQK10" s="493"/>
      <c r="EQL10" s="493"/>
      <c r="EQM10" s="493"/>
      <c r="EQN10" s="493"/>
      <c r="EQO10" s="493"/>
      <c r="EQP10" s="493"/>
      <c r="EQQ10" s="493"/>
      <c r="EQR10" s="493"/>
      <c r="EQS10" s="493"/>
      <c r="EQT10" s="493"/>
      <c r="EQU10" s="493"/>
      <c r="EQV10" s="493"/>
      <c r="EQW10" s="493"/>
      <c r="EQX10" s="493"/>
      <c r="EQY10" s="493"/>
      <c r="EQZ10" s="493"/>
      <c r="ERA10" s="493"/>
      <c r="ERB10" s="493"/>
      <c r="ERC10" s="493"/>
      <c r="ERD10" s="493"/>
      <c r="ERE10" s="493"/>
      <c r="ERF10" s="493"/>
      <c r="ERG10" s="493"/>
      <c r="ERH10" s="493"/>
      <c r="ERI10" s="493"/>
      <c r="ERJ10" s="493"/>
      <c r="ERK10" s="493"/>
      <c r="ERL10" s="493"/>
      <c r="ERM10" s="493"/>
      <c r="ERN10" s="493"/>
      <c r="ERO10" s="493"/>
      <c r="ERP10" s="493"/>
      <c r="ERQ10" s="493"/>
      <c r="ERR10" s="493"/>
      <c r="ERS10" s="493"/>
      <c r="ERT10" s="493"/>
      <c r="ERU10" s="493"/>
      <c r="ERV10" s="493"/>
      <c r="ERW10" s="493"/>
      <c r="ERX10" s="493"/>
      <c r="ERY10" s="493"/>
      <c r="ERZ10" s="493"/>
      <c r="ESA10" s="493"/>
      <c r="ESB10" s="493"/>
      <c r="ESC10" s="493"/>
      <c r="ESD10" s="493"/>
      <c r="ESE10" s="493"/>
      <c r="ESF10" s="493"/>
      <c r="ESG10" s="493"/>
      <c r="ESH10" s="493"/>
      <c r="ESI10" s="493"/>
      <c r="ESJ10" s="493"/>
      <c r="ESK10" s="493"/>
      <c r="ESL10" s="493"/>
      <c r="ESM10" s="493"/>
      <c r="ESN10" s="493"/>
      <c r="ESO10" s="493"/>
      <c r="ESP10" s="493"/>
      <c r="ESQ10" s="493"/>
      <c r="ESR10" s="493"/>
      <c r="ESS10" s="493"/>
      <c r="EST10" s="493"/>
      <c r="ESU10" s="493"/>
      <c r="ESV10" s="493"/>
      <c r="ESW10" s="493"/>
      <c r="ESX10" s="493"/>
      <c r="ESY10" s="493"/>
      <c r="ESZ10" s="493"/>
      <c r="ETA10" s="493"/>
      <c r="ETB10" s="493"/>
      <c r="ETC10" s="493"/>
      <c r="ETD10" s="493"/>
      <c r="ETE10" s="493"/>
      <c r="ETF10" s="493"/>
      <c r="ETG10" s="493"/>
      <c r="ETH10" s="493"/>
      <c r="ETI10" s="493"/>
      <c r="ETJ10" s="493"/>
      <c r="ETK10" s="493"/>
      <c r="ETL10" s="493"/>
      <c r="ETM10" s="493"/>
      <c r="ETN10" s="493"/>
      <c r="ETO10" s="493"/>
      <c r="ETP10" s="493"/>
      <c r="ETQ10" s="493"/>
      <c r="ETR10" s="493"/>
      <c r="ETS10" s="493"/>
      <c r="ETT10" s="493"/>
      <c r="ETU10" s="493"/>
      <c r="ETV10" s="493"/>
      <c r="ETW10" s="493"/>
      <c r="ETX10" s="493"/>
      <c r="ETY10" s="493"/>
      <c r="ETZ10" s="493"/>
      <c r="EUA10" s="493"/>
      <c r="EUB10" s="493"/>
      <c r="EUC10" s="493"/>
      <c r="EUD10" s="493"/>
      <c r="EUE10" s="493"/>
      <c r="EUF10" s="493"/>
      <c r="EUG10" s="493"/>
      <c r="EUH10" s="493"/>
      <c r="EUI10" s="493"/>
      <c r="EUJ10" s="493"/>
      <c r="EUK10" s="493"/>
      <c r="EUL10" s="493"/>
      <c r="EUM10" s="493"/>
      <c r="EUN10" s="493"/>
      <c r="EUO10" s="493"/>
      <c r="EUP10" s="493"/>
      <c r="EUQ10" s="493"/>
      <c r="EUR10" s="493"/>
      <c r="EUS10" s="493"/>
      <c r="EUT10" s="493"/>
      <c r="EUU10" s="493"/>
      <c r="EUV10" s="493"/>
      <c r="EUW10" s="493"/>
      <c r="EUX10" s="493"/>
      <c r="EUY10" s="493"/>
      <c r="EUZ10" s="493"/>
      <c r="EVA10" s="493"/>
      <c r="EVB10" s="493"/>
      <c r="EVC10" s="493"/>
      <c r="EVD10" s="493"/>
      <c r="EVE10" s="493"/>
      <c r="EVF10" s="493"/>
      <c r="EVG10" s="493"/>
      <c r="EVH10" s="493"/>
      <c r="EVI10" s="493"/>
      <c r="EVJ10" s="493"/>
      <c r="EVK10" s="493"/>
      <c r="EVL10" s="493"/>
      <c r="EVM10" s="493"/>
      <c r="EVN10" s="493"/>
      <c r="EVO10" s="493"/>
      <c r="EVP10" s="493"/>
      <c r="EVQ10" s="493"/>
      <c r="EVR10" s="493"/>
      <c r="EVS10" s="493"/>
      <c r="EVT10" s="493"/>
      <c r="EVU10" s="493"/>
      <c r="EVV10" s="493"/>
      <c r="EVW10" s="493"/>
      <c r="EVX10" s="493"/>
      <c r="EVY10" s="493"/>
      <c r="EVZ10" s="493"/>
      <c r="EWA10" s="493"/>
      <c r="EWB10" s="493"/>
      <c r="EWC10" s="493"/>
      <c r="EWD10" s="493"/>
      <c r="EWE10" s="493"/>
      <c r="EWF10" s="493"/>
      <c r="EWG10" s="493"/>
      <c r="EWH10" s="493"/>
      <c r="EWI10" s="493"/>
      <c r="EWJ10" s="493"/>
      <c r="EWK10" s="493"/>
      <c r="EWL10" s="493"/>
      <c r="EWM10" s="493"/>
      <c r="EWN10" s="493"/>
      <c r="EWO10" s="493"/>
      <c r="EWP10" s="493"/>
      <c r="EWQ10" s="493"/>
      <c r="EWR10" s="493"/>
      <c r="EWS10" s="493"/>
      <c r="EWT10" s="493"/>
      <c r="EWU10" s="493"/>
      <c r="EWV10" s="493"/>
      <c r="EWW10" s="493"/>
      <c r="EWX10" s="493"/>
      <c r="EWY10" s="493"/>
      <c r="EWZ10" s="493"/>
      <c r="EXA10" s="493"/>
      <c r="EXB10" s="493"/>
      <c r="EXC10" s="493"/>
      <c r="EXD10" s="493"/>
      <c r="EXE10" s="493"/>
      <c r="EXF10" s="493"/>
      <c r="EXG10" s="493"/>
      <c r="EXH10" s="493"/>
      <c r="EXI10" s="493"/>
      <c r="EXJ10" s="493"/>
      <c r="EXK10" s="493"/>
      <c r="EXL10" s="493"/>
      <c r="EXM10" s="493"/>
      <c r="EXN10" s="493"/>
      <c r="EXO10" s="493"/>
      <c r="EXP10" s="493"/>
      <c r="EXQ10" s="493"/>
      <c r="EXR10" s="493"/>
      <c r="EXS10" s="493"/>
      <c r="EXT10" s="493"/>
      <c r="EXU10" s="493"/>
      <c r="EXV10" s="493"/>
      <c r="EXW10" s="493"/>
      <c r="EXX10" s="493"/>
      <c r="EXY10" s="493"/>
      <c r="EXZ10" s="493"/>
      <c r="EYA10" s="493"/>
      <c r="EYB10" s="493"/>
      <c r="EYC10" s="493"/>
      <c r="EYD10" s="493"/>
      <c r="EYE10" s="493"/>
      <c r="EYF10" s="493"/>
      <c r="EYG10" s="493"/>
      <c r="EYH10" s="493"/>
      <c r="EYI10" s="493"/>
      <c r="EYJ10" s="493"/>
      <c r="EYK10" s="493"/>
      <c r="EYL10" s="493"/>
      <c r="EYM10" s="493"/>
      <c r="EYN10" s="493"/>
      <c r="EYO10" s="493"/>
      <c r="EYP10" s="493"/>
      <c r="EYQ10" s="493"/>
      <c r="EYR10" s="493"/>
      <c r="EYS10" s="493"/>
      <c r="EYT10" s="493"/>
      <c r="EYU10" s="493"/>
      <c r="EYV10" s="493"/>
      <c r="EYW10" s="493"/>
      <c r="EYX10" s="493"/>
      <c r="EYY10" s="493"/>
      <c r="EYZ10" s="493"/>
      <c r="EZA10" s="493"/>
      <c r="EZB10" s="493"/>
      <c r="EZC10" s="493"/>
      <c r="EZD10" s="493"/>
      <c r="EZE10" s="493"/>
      <c r="EZF10" s="493"/>
      <c r="EZG10" s="493"/>
      <c r="EZH10" s="493"/>
      <c r="EZI10" s="493"/>
      <c r="EZJ10" s="493"/>
      <c r="EZK10" s="493"/>
      <c r="EZL10" s="493"/>
      <c r="EZM10" s="493"/>
      <c r="EZN10" s="493"/>
      <c r="EZO10" s="493"/>
      <c r="EZP10" s="493"/>
      <c r="EZQ10" s="493"/>
      <c r="EZR10" s="493"/>
      <c r="EZS10" s="493"/>
      <c r="EZT10" s="493"/>
      <c r="EZU10" s="493"/>
      <c r="EZV10" s="493"/>
      <c r="EZW10" s="493"/>
      <c r="EZX10" s="493"/>
      <c r="EZY10" s="493"/>
      <c r="EZZ10" s="493"/>
      <c r="FAA10" s="493"/>
      <c r="FAB10" s="493"/>
      <c r="FAC10" s="493"/>
      <c r="FAD10" s="493"/>
      <c r="FAE10" s="493"/>
      <c r="FAF10" s="493"/>
      <c r="FAG10" s="493"/>
      <c r="FAH10" s="493"/>
      <c r="FAI10" s="493"/>
      <c r="FAJ10" s="493"/>
      <c r="FAK10" s="493"/>
      <c r="FAL10" s="493"/>
      <c r="FAM10" s="493"/>
      <c r="FAN10" s="493"/>
      <c r="FAO10" s="493"/>
      <c r="FAP10" s="493"/>
      <c r="FAQ10" s="493"/>
      <c r="FAR10" s="493"/>
      <c r="FAS10" s="493"/>
      <c r="FAT10" s="493"/>
      <c r="FAU10" s="493"/>
      <c r="FAV10" s="493"/>
      <c r="FAW10" s="493"/>
      <c r="FAX10" s="493"/>
      <c r="FAY10" s="493"/>
      <c r="FAZ10" s="493"/>
      <c r="FBA10" s="493"/>
      <c r="FBB10" s="493"/>
      <c r="FBC10" s="493"/>
      <c r="FBD10" s="493"/>
      <c r="FBE10" s="493"/>
      <c r="FBF10" s="493"/>
      <c r="FBG10" s="493"/>
      <c r="FBH10" s="493"/>
      <c r="FBI10" s="493"/>
      <c r="FBJ10" s="493"/>
      <c r="FBK10" s="493"/>
      <c r="FBL10" s="493"/>
      <c r="FBM10" s="493"/>
      <c r="FBN10" s="493"/>
      <c r="FBO10" s="493"/>
      <c r="FBP10" s="493"/>
      <c r="FBQ10" s="493"/>
      <c r="FBR10" s="493"/>
      <c r="FBS10" s="493"/>
      <c r="FBT10" s="493"/>
      <c r="FBU10" s="493"/>
      <c r="FBV10" s="493"/>
      <c r="FBW10" s="493"/>
      <c r="FBX10" s="493"/>
      <c r="FBY10" s="493"/>
      <c r="FBZ10" s="493"/>
      <c r="FCA10" s="493"/>
      <c r="FCB10" s="493"/>
      <c r="FCC10" s="493"/>
      <c r="FCD10" s="493"/>
      <c r="FCE10" s="493"/>
      <c r="FCF10" s="493"/>
      <c r="FCG10" s="493"/>
      <c r="FCH10" s="493"/>
      <c r="FCI10" s="493"/>
      <c r="FCJ10" s="493"/>
      <c r="FCK10" s="493"/>
      <c r="FCL10" s="493"/>
      <c r="FCM10" s="493"/>
      <c r="FCN10" s="493"/>
      <c r="FCO10" s="493"/>
      <c r="FCP10" s="493"/>
      <c r="FCQ10" s="493"/>
      <c r="FCR10" s="493"/>
      <c r="FCS10" s="493"/>
      <c r="FCT10" s="493"/>
      <c r="FCU10" s="493"/>
      <c r="FCV10" s="493"/>
      <c r="FCW10" s="493"/>
      <c r="FCX10" s="493"/>
      <c r="FCY10" s="493"/>
      <c r="FCZ10" s="493"/>
      <c r="FDA10" s="493"/>
      <c r="FDB10" s="493"/>
      <c r="FDC10" s="493"/>
      <c r="FDD10" s="493"/>
      <c r="FDE10" s="493"/>
      <c r="FDF10" s="493"/>
      <c r="FDG10" s="493"/>
      <c r="FDH10" s="493"/>
      <c r="FDI10" s="493"/>
      <c r="FDJ10" s="493"/>
      <c r="FDK10" s="493"/>
      <c r="FDL10" s="493"/>
      <c r="FDM10" s="493"/>
      <c r="FDN10" s="493"/>
      <c r="FDO10" s="493"/>
      <c r="FDP10" s="493"/>
      <c r="FDQ10" s="493"/>
      <c r="FDR10" s="493"/>
      <c r="FDS10" s="493"/>
      <c r="FDT10" s="493"/>
      <c r="FDU10" s="493"/>
      <c r="FDV10" s="493"/>
      <c r="FDW10" s="493"/>
      <c r="FDX10" s="493"/>
      <c r="FDY10" s="493"/>
      <c r="FDZ10" s="493"/>
      <c r="FEA10" s="493"/>
      <c r="FEB10" s="493"/>
      <c r="FEC10" s="493"/>
      <c r="FED10" s="493"/>
      <c r="FEE10" s="493"/>
      <c r="FEF10" s="493"/>
      <c r="FEG10" s="493"/>
      <c r="FEH10" s="493"/>
      <c r="FEI10" s="493"/>
      <c r="FEJ10" s="493"/>
      <c r="FEK10" s="493"/>
      <c r="FEL10" s="493"/>
      <c r="FEM10" s="493"/>
      <c r="FEN10" s="493"/>
      <c r="FEO10" s="493"/>
      <c r="FEP10" s="493"/>
      <c r="FEQ10" s="493"/>
      <c r="FER10" s="493"/>
      <c r="FES10" s="493"/>
      <c r="FET10" s="493"/>
      <c r="FEU10" s="493"/>
      <c r="FEV10" s="493"/>
      <c r="FEW10" s="493"/>
      <c r="FEX10" s="493"/>
      <c r="FEY10" s="493"/>
      <c r="FEZ10" s="493"/>
      <c r="FFA10" s="493"/>
      <c r="FFB10" s="493"/>
      <c r="FFC10" s="493"/>
      <c r="FFD10" s="493"/>
      <c r="FFE10" s="493"/>
      <c r="FFF10" s="493"/>
      <c r="FFG10" s="493"/>
      <c r="FFH10" s="493"/>
      <c r="FFI10" s="493"/>
      <c r="FFJ10" s="493"/>
      <c r="FFK10" s="493"/>
      <c r="FFL10" s="493"/>
      <c r="FFM10" s="493"/>
      <c r="FFN10" s="493"/>
      <c r="FFO10" s="493"/>
      <c r="FFP10" s="493"/>
      <c r="FFQ10" s="493"/>
      <c r="FFR10" s="493"/>
      <c r="FFS10" s="493"/>
      <c r="FFT10" s="493"/>
      <c r="FFU10" s="493"/>
      <c r="FFV10" s="493"/>
      <c r="FFW10" s="493"/>
      <c r="FFX10" s="493"/>
      <c r="FFY10" s="493"/>
      <c r="FFZ10" s="493"/>
      <c r="FGA10" s="493"/>
      <c r="FGB10" s="493"/>
      <c r="FGC10" s="493"/>
      <c r="FGD10" s="493"/>
      <c r="FGE10" s="493"/>
      <c r="FGF10" s="493"/>
      <c r="FGG10" s="493"/>
      <c r="FGH10" s="493"/>
      <c r="FGI10" s="493"/>
      <c r="FGJ10" s="493"/>
      <c r="FGK10" s="493"/>
      <c r="FGL10" s="493"/>
      <c r="FGM10" s="493"/>
      <c r="FGN10" s="493"/>
      <c r="FGO10" s="493"/>
      <c r="FGP10" s="493"/>
      <c r="FGQ10" s="493"/>
      <c r="FGR10" s="493"/>
      <c r="FGS10" s="493"/>
      <c r="FGT10" s="493"/>
      <c r="FGU10" s="493"/>
      <c r="FGV10" s="493"/>
      <c r="FGW10" s="493"/>
      <c r="FGX10" s="493"/>
      <c r="FGY10" s="493"/>
      <c r="FGZ10" s="493"/>
      <c r="FHA10" s="493"/>
      <c r="FHB10" s="493"/>
      <c r="FHC10" s="493"/>
      <c r="FHD10" s="493"/>
      <c r="FHE10" s="493"/>
      <c r="FHF10" s="493"/>
      <c r="FHG10" s="493"/>
      <c r="FHH10" s="493"/>
      <c r="FHI10" s="493"/>
      <c r="FHJ10" s="493"/>
      <c r="FHK10" s="493"/>
      <c r="FHL10" s="493"/>
      <c r="FHM10" s="493"/>
      <c r="FHN10" s="493"/>
      <c r="FHO10" s="493"/>
      <c r="FHP10" s="493"/>
      <c r="FHQ10" s="493"/>
      <c r="FHR10" s="493"/>
      <c r="FHS10" s="493"/>
      <c r="FHT10" s="493"/>
      <c r="FHU10" s="493"/>
      <c r="FHV10" s="493"/>
      <c r="FHW10" s="493"/>
      <c r="FHX10" s="493"/>
      <c r="FHY10" s="493"/>
      <c r="FHZ10" s="493"/>
      <c r="FIA10" s="493"/>
      <c r="FIB10" s="493"/>
      <c r="FIC10" s="493"/>
      <c r="FID10" s="493"/>
      <c r="FIE10" s="493"/>
      <c r="FIF10" s="493"/>
      <c r="FIG10" s="493"/>
      <c r="FIH10" s="493"/>
      <c r="FII10" s="493"/>
      <c r="FIJ10" s="493"/>
      <c r="FIK10" s="493"/>
      <c r="FIL10" s="493"/>
      <c r="FIM10" s="493"/>
      <c r="FIN10" s="493"/>
      <c r="FIO10" s="493"/>
      <c r="FIP10" s="493"/>
      <c r="FIQ10" s="493"/>
      <c r="FIR10" s="493"/>
      <c r="FIS10" s="493"/>
      <c r="FIT10" s="493"/>
      <c r="FIU10" s="493"/>
      <c r="FIV10" s="493"/>
      <c r="FIW10" s="493"/>
      <c r="FIX10" s="493"/>
      <c r="FIY10" s="493"/>
      <c r="FIZ10" s="493"/>
      <c r="FJA10" s="493"/>
      <c r="FJB10" s="493"/>
      <c r="FJC10" s="493"/>
      <c r="FJD10" s="493"/>
      <c r="FJE10" s="493"/>
      <c r="FJF10" s="493"/>
      <c r="FJG10" s="493"/>
      <c r="FJH10" s="493"/>
      <c r="FJI10" s="493"/>
      <c r="FJJ10" s="493"/>
      <c r="FJK10" s="493"/>
      <c r="FJL10" s="493"/>
      <c r="FJM10" s="493"/>
      <c r="FJN10" s="493"/>
      <c r="FJO10" s="493"/>
      <c r="FJP10" s="493"/>
      <c r="FJQ10" s="493"/>
      <c r="FJR10" s="493"/>
      <c r="FJS10" s="493"/>
      <c r="FJT10" s="493"/>
      <c r="FJU10" s="493"/>
      <c r="FJV10" s="493"/>
      <c r="FJW10" s="493"/>
      <c r="FJX10" s="493"/>
      <c r="FJY10" s="493"/>
      <c r="FJZ10" s="493"/>
      <c r="FKA10" s="493"/>
      <c r="FKB10" s="493"/>
      <c r="FKC10" s="493"/>
      <c r="FKD10" s="493"/>
      <c r="FKE10" s="493"/>
      <c r="FKF10" s="493"/>
      <c r="FKG10" s="493"/>
      <c r="FKH10" s="493"/>
      <c r="FKI10" s="493"/>
      <c r="FKJ10" s="493"/>
      <c r="FKK10" s="493"/>
      <c r="FKL10" s="493"/>
      <c r="FKM10" s="493"/>
      <c r="FKN10" s="493"/>
      <c r="FKO10" s="493"/>
      <c r="FKP10" s="493"/>
      <c r="FKQ10" s="493"/>
      <c r="FKR10" s="493"/>
      <c r="FKS10" s="493"/>
      <c r="FKT10" s="493"/>
      <c r="FKU10" s="493"/>
      <c r="FKV10" s="493"/>
      <c r="FKW10" s="493"/>
      <c r="FKX10" s="493"/>
      <c r="FKY10" s="493"/>
      <c r="FKZ10" s="493"/>
      <c r="FLA10" s="493"/>
      <c r="FLB10" s="493"/>
      <c r="FLC10" s="493"/>
      <c r="FLD10" s="493"/>
      <c r="FLE10" s="493"/>
      <c r="FLF10" s="493"/>
      <c r="FLG10" s="493"/>
      <c r="FLH10" s="493"/>
      <c r="FLI10" s="493"/>
      <c r="FLJ10" s="493"/>
      <c r="FLK10" s="493"/>
      <c r="FLL10" s="493"/>
      <c r="FLM10" s="493"/>
      <c r="FLN10" s="493"/>
      <c r="FLO10" s="493"/>
      <c r="FLP10" s="493"/>
      <c r="FLQ10" s="493"/>
      <c r="FLR10" s="493"/>
      <c r="FLS10" s="493"/>
      <c r="FLT10" s="493"/>
      <c r="FLU10" s="493"/>
      <c r="FLV10" s="493"/>
      <c r="FLW10" s="493"/>
      <c r="FLX10" s="493"/>
      <c r="FLY10" s="493"/>
      <c r="FLZ10" s="493"/>
      <c r="FMA10" s="493"/>
      <c r="FMB10" s="493"/>
      <c r="FMC10" s="493"/>
      <c r="FMD10" s="493"/>
      <c r="FME10" s="493"/>
      <c r="FMF10" s="493"/>
      <c r="FMG10" s="493"/>
      <c r="FMH10" s="493"/>
      <c r="FMI10" s="493"/>
      <c r="FMJ10" s="493"/>
      <c r="FMK10" s="493"/>
      <c r="FML10" s="493"/>
      <c r="FMM10" s="493"/>
      <c r="FMN10" s="493"/>
      <c r="FMO10" s="493"/>
      <c r="FMP10" s="493"/>
      <c r="FMQ10" s="493"/>
      <c r="FMR10" s="493"/>
      <c r="FMS10" s="493"/>
      <c r="FMT10" s="493"/>
      <c r="FMU10" s="493"/>
      <c r="FMV10" s="493"/>
      <c r="FMW10" s="493"/>
      <c r="FMX10" s="493"/>
      <c r="FMY10" s="493"/>
      <c r="FMZ10" s="493"/>
      <c r="FNA10" s="493"/>
      <c r="FNB10" s="493"/>
      <c r="FNC10" s="493"/>
      <c r="FND10" s="493"/>
      <c r="FNE10" s="493"/>
      <c r="FNF10" s="493"/>
      <c r="FNG10" s="493"/>
      <c r="FNH10" s="493"/>
      <c r="FNI10" s="493"/>
      <c r="FNJ10" s="493"/>
      <c r="FNK10" s="493"/>
      <c r="FNL10" s="493"/>
      <c r="FNM10" s="493"/>
      <c r="FNN10" s="493"/>
      <c r="FNO10" s="493"/>
      <c r="FNP10" s="493"/>
      <c r="FNQ10" s="493"/>
      <c r="FNR10" s="493"/>
      <c r="FNS10" s="493"/>
      <c r="FNT10" s="493"/>
      <c r="FNU10" s="493"/>
      <c r="FNV10" s="493"/>
      <c r="FNW10" s="493"/>
      <c r="FNX10" s="493"/>
      <c r="FNY10" s="493"/>
      <c r="FNZ10" s="493"/>
      <c r="FOA10" s="493"/>
      <c r="FOB10" s="493"/>
      <c r="FOC10" s="493"/>
      <c r="FOD10" s="493"/>
      <c r="FOE10" s="493"/>
      <c r="FOF10" s="493"/>
      <c r="FOG10" s="493"/>
      <c r="FOH10" s="493"/>
      <c r="FOI10" s="493"/>
      <c r="FOJ10" s="493"/>
      <c r="FOK10" s="493"/>
      <c r="FOL10" s="493"/>
      <c r="FOM10" s="493"/>
      <c r="FON10" s="493"/>
      <c r="FOO10" s="493"/>
      <c r="FOP10" s="493"/>
      <c r="FOQ10" s="493"/>
      <c r="FOR10" s="493"/>
      <c r="FOS10" s="493"/>
      <c r="FOT10" s="493"/>
      <c r="FOU10" s="493"/>
      <c r="FOV10" s="493"/>
      <c r="FOW10" s="493"/>
      <c r="FOX10" s="493"/>
      <c r="FOY10" s="493"/>
      <c r="FOZ10" s="493"/>
      <c r="FPA10" s="493"/>
      <c r="FPB10" s="493"/>
      <c r="FPC10" s="493"/>
      <c r="FPD10" s="493"/>
      <c r="FPE10" s="493"/>
      <c r="FPF10" s="493"/>
      <c r="FPG10" s="493"/>
      <c r="FPH10" s="493"/>
      <c r="FPI10" s="493"/>
      <c r="FPJ10" s="493"/>
      <c r="FPK10" s="493"/>
      <c r="FPL10" s="493"/>
      <c r="FPM10" s="493"/>
      <c r="FPN10" s="493"/>
      <c r="FPO10" s="493"/>
      <c r="FPP10" s="493"/>
      <c r="FPQ10" s="493"/>
      <c r="FPR10" s="493"/>
      <c r="FPS10" s="493"/>
      <c r="FPT10" s="493"/>
      <c r="FPU10" s="493"/>
      <c r="FPV10" s="493"/>
      <c r="FPW10" s="493"/>
      <c r="FPX10" s="493"/>
      <c r="FPY10" s="493"/>
      <c r="FPZ10" s="493"/>
      <c r="FQA10" s="493"/>
      <c r="FQB10" s="493"/>
      <c r="FQC10" s="493"/>
      <c r="FQD10" s="493"/>
      <c r="FQE10" s="493"/>
      <c r="FQF10" s="493"/>
      <c r="FQG10" s="493"/>
      <c r="FQH10" s="493"/>
      <c r="FQI10" s="493"/>
      <c r="FQJ10" s="493"/>
      <c r="FQK10" s="493"/>
      <c r="FQL10" s="493"/>
      <c r="FQM10" s="493"/>
      <c r="FQN10" s="493"/>
      <c r="FQO10" s="493"/>
      <c r="FQP10" s="493"/>
      <c r="FQQ10" s="493"/>
      <c r="FQR10" s="493"/>
      <c r="FQS10" s="493"/>
      <c r="FQT10" s="493"/>
      <c r="FQU10" s="493"/>
      <c r="FQV10" s="493"/>
      <c r="FQW10" s="493"/>
      <c r="FQX10" s="493"/>
      <c r="FQY10" s="493"/>
      <c r="FQZ10" s="493"/>
      <c r="FRA10" s="493"/>
      <c r="FRB10" s="493"/>
      <c r="FRC10" s="493"/>
      <c r="FRD10" s="493"/>
      <c r="FRE10" s="493"/>
      <c r="FRF10" s="493"/>
      <c r="FRG10" s="493"/>
      <c r="FRH10" s="493"/>
      <c r="FRI10" s="493"/>
      <c r="FRJ10" s="493"/>
      <c r="FRK10" s="493"/>
      <c r="FRL10" s="493"/>
      <c r="FRM10" s="493"/>
      <c r="FRN10" s="493"/>
      <c r="FRO10" s="493"/>
      <c r="FRP10" s="493"/>
      <c r="FRQ10" s="493"/>
      <c r="FRR10" s="493"/>
      <c r="FRS10" s="493"/>
      <c r="FRT10" s="493"/>
      <c r="FRU10" s="493"/>
      <c r="FRV10" s="493"/>
      <c r="FRW10" s="493"/>
      <c r="FRX10" s="493"/>
      <c r="FRY10" s="493"/>
      <c r="FRZ10" s="493"/>
      <c r="FSA10" s="493"/>
      <c r="FSB10" s="493"/>
      <c r="FSC10" s="493"/>
      <c r="FSD10" s="493"/>
      <c r="FSE10" s="493"/>
      <c r="FSF10" s="493"/>
      <c r="FSG10" s="493"/>
      <c r="FSH10" s="493"/>
      <c r="FSI10" s="493"/>
      <c r="FSJ10" s="493"/>
      <c r="FSK10" s="493"/>
      <c r="FSL10" s="493"/>
      <c r="FSM10" s="493"/>
      <c r="FSN10" s="493"/>
      <c r="FSO10" s="493"/>
      <c r="FSP10" s="493"/>
      <c r="FSQ10" s="493"/>
      <c r="FSR10" s="493"/>
      <c r="FSS10" s="493"/>
      <c r="FST10" s="493"/>
      <c r="FSU10" s="493"/>
      <c r="FSV10" s="493"/>
      <c r="FSW10" s="493"/>
      <c r="FSX10" s="493"/>
      <c r="FSY10" s="493"/>
      <c r="FSZ10" s="493"/>
      <c r="FTA10" s="493"/>
      <c r="FTB10" s="493"/>
      <c r="FTC10" s="493"/>
      <c r="FTD10" s="493"/>
      <c r="FTE10" s="493"/>
      <c r="FTF10" s="493"/>
      <c r="FTG10" s="493"/>
      <c r="FTH10" s="493"/>
      <c r="FTI10" s="493"/>
      <c r="FTJ10" s="493"/>
      <c r="FTK10" s="493"/>
      <c r="FTL10" s="493"/>
      <c r="FTM10" s="493"/>
      <c r="FTN10" s="493"/>
      <c r="FTO10" s="493"/>
      <c r="FTP10" s="493"/>
      <c r="FTQ10" s="493"/>
      <c r="FTR10" s="493"/>
      <c r="FTS10" s="493"/>
      <c r="FTT10" s="493"/>
      <c r="FTU10" s="493"/>
      <c r="FTV10" s="493"/>
      <c r="FTW10" s="493"/>
      <c r="FTX10" s="493"/>
      <c r="FTY10" s="493"/>
      <c r="FTZ10" s="493"/>
      <c r="FUA10" s="493"/>
      <c r="FUB10" s="493"/>
      <c r="FUC10" s="493"/>
      <c r="FUD10" s="493"/>
      <c r="FUE10" s="493"/>
      <c r="FUF10" s="493"/>
      <c r="FUG10" s="493"/>
      <c r="FUH10" s="493"/>
      <c r="FUI10" s="493"/>
      <c r="FUJ10" s="493"/>
      <c r="FUK10" s="493"/>
      <c r="FUL10" s="493"/>
      <c r="FUM10" s="493"/>
      <c r="FUN10" s="493"/>
      <c r="FUO10" s="493"/>
      <c r="FUP10" s="493"/>
      <c r="FUQ10" s="493"/>
      <c r="FUR10" s="493"/>
      <c r="FUS10" s="493"/>
      <c r="FUT10" s="493"/>
      <c r="FUU10" s="493"/>
      <c r="FUV10" s="493"/>
      <c r="FUW10" s="493"/>
      <c r="FUX10" s="493"/>
      <c r="FUY10" s="493"/>
      <c r="FUZ10" s="493"/>
      <c r="FVA10" s="493"/>
      <c r="FVB10" s="493"/>
      <c r="FVC10" s="493"/>
      <c r="FVD10" s="493"/>
      <c r="FVE10" s="493"/>
      <c r="FVF10" s="493"/>
      <c r="FVG10" s="493"/>
      <c r="FVH10" s="493"/>
      <c r="FVI10" s="493"/>
      <c r="FVJ10" s="493"/>
      <c r="FVK10" s="493"/>
      <c r="FVL10" s="493"/>
      <c r="FVM10" s="493"/>
      <c r="FVN10" s="493"/>
      <c r="FVO10" s="493"/>
      <c r="FVP10" s="493"/>
      <c r="FVQ10" s="493"/>
      <c r="FVR10" s="493"/>
      <c r="FVS10" s="493"/>
      <c r="FVT10" s="493"/>
      <c r="FVU10" s="493"/>
      <c r="FVV10" s="493"/>
      <c r="FVW10" s="493"/>
      <c r="FVX10" s="493"/>
      <c r="FVY10" s="493"/>
      <c r="FVZ10" s="493"/>
      <c r="FWA10" s="493"/>
      <c r="FWB10" s="493"/>
      <c r="FWC10" s="493"/>
      <c r="FWD10" s="493"/>
      <c r="FWE10" s="493"/>
      <c r="FWF10" s="493"/>
      <c r="FWG10" s="493"/>
      <c r="FWH10" s="493"/>
      <c r="FWI10" s="493"/>
      <c r="FWJ10" s="493"/>
      <c r="FWK10" s="493"/>
      <c r="FWL10" s="493"/>
      <c r="FWM10" s="493"/>
      <c r="FWN10" s="493"/>
      <c r="FWO10" s="493"/>
      <c r="FWP10" s="493"/>
      <c r="FWQ10" s="493"/>
      <c r="FWR10" s="493"/>
      <c r="FWS10" s="493"/>
      <c r="FWT10" s="493"/>
      <c r="FWU10" s="493"/>
      <c r="FWV10" s="493"/>
      <c r="FWW10" s="493"/>
      <c r="FWX10" s="493"/>
      <c r="FWY10" s="493"/>
      <c r="FWZ10" s="493"/>
      <c r="FXA10" s="493"/>
      <c r="FXB10" s="493"/>
      <c r="FXC10" s="493"/>
      <c r="FXD10" s="493"/>
      <c r="FXE10" s="493"/>
      <c r="FXF10" s="493"/>
      <c r="FXG10" s="493"/>
      <c r="FXH10" s="493"/>
      <c r="FXI10" s="493"/>
      <c r="FXJ10" s="493"/>
      <c r="FXK10" s="493"/>
      <c r="FXL10" s="493"/>
      <c r="FXM10" s="493"/>
      <c r="FXN10" s="493"/>
      <c r="FXO10" s="493"/>
      <c r="FXP10" s="493"/>
      <c r="FXQ10" s="493"/>
      <c r="FXR10" s="493"/>
      <c r="FXS10" s="493"/>
      <c r="FXT10" s="493"/>
      <c r="FXU10" s="493"/>
      <c r="FXV10" s="493"/>
      <c r="FXW10" s="493"/>
      <c r="FXX10" s="493"/>
      <c r="FXY10" s="493"/>
      <c r="FXZ10" s="493"/>
      <c r="FYA10" s="493"/>
      <c r="FYB10" s="493"/>
      <c r="FYC10" s="493"/>
      <c r="FYD10" s="493"/>
      <c r="FYE10" s="493"/>
      <c r="FYF10" s="493"/>
      <c r="FYG10" s="493"/>
      <c r="FYH10" s="493"/>
      <c r="FYI10" s="493"/>
      <c r="FYJ10" s="493"/>
      <c r="FYK10" s="493"/>
      <c r="FYL10" s="493"/>
      <c r="FYM10" s="493"/>
      <c r="FYN10" s="493"/>
      <c r="FYO10" s="493"/>
      <c r="FYP10" s="493"/>
      <c r="FYQ10" s="493"/>
      <c r="FYR10" s="493"/>
      <c r="FYS10" s="493"/>
      <c r="FYT10" s="493"/>
      <c r="FYU10" s="493"/>
      <c r="FYV10" s="493"/>
      <c r="FYW10" s="493"/>
      <c r="FYX10" s="493"/>
      <c r="FYY10" s="493"/>
      <c r="FYZ10" s="493"/>
      <c r="FZA10" s="493"/>
      <c r="FZB10" s="493"/>
      <c r="FZC10" s="493"/>
      <c r="FZD10" s="493"/>
      <c r="FZE10" s="493"/>
      <c r="FZF10" s="493"/>
      <c r="FZG10" s="493"/>
      <c r="FZH10" s="493"/>
      <c r="FZI10" s="493"/>
      <c r="FZJ10" s="493"/>
      <c r="FZK10" s="493"/>
      <c r="FZL10" s="493"/>
      <c r="FZM10" s="493"/>
      <c r="FZN10" s="493"/>
      <c r="FZO10" s="493"/>
      <c r="FZP10" s="493"/>
      <c r="FZQ10" s="493"/>
      <c r="FZR10" s="493"/>
      <c r="FZS10" s="493"/>
      <c r="FZT10" s="493"/>
      <c r="FZU10" s="493"/>
      <c r="FZV10" s="493"/>
      <c r="FZW10" s="493"/>
      <c r="FZX10" s="493"/>
      <c r="FZY10" s="493"/>
      <c r="FZZ10" s="493"/>
      <c r="GAA10" s="493"/>
      <c r="GAB10" s="493"/>
      <c r="GAC10" s="493"/>
      <c r="GAD10" s="493"/>
      <c r="GAE10" s="493"/>
      <c r="GAF10" s="493"/>
      <c r="GAG10" s="493"/>
      <c r="GAH10" s="493"/>
      <c r="GAI10" s="493"/>
      <c r="GAJ10" s="493"/>
      <c r="GAK10" s="493"/>
      <c r="GAL10" s="493"/>
      <c r="GAM10" s="493"/>
      <c r="GAN10" s="493"/>
      <c r="GAO10" s="493"/>
      <c r="GAP10" s="493"/>
      <c r="GAQ10" s="493"/>
      <c r="GAR10" s="493"/>
      <c r="GAS10" s="493"/>
      <c r="GAT10" s="493"/>
      <c r="GAU10" s="493"/>
      <c r="GAV10" s="493"/>
      <c r="GAW10" s="493"/>
      <c r="GAX10" s="493"/>
      <c r="GAY10" s="493"/>
      <c r="GAZ10" s="493"/>
      <c r="GBA10" s="493"/>
      <c r="GBB10" s="493"/>
      <c r="GBC10" s="493"/>
      <c r="GBD10" s="493"/>
      <c r="GBE10" s="493"/>
      <c r="GBF10" s="493"/>
      <c r="GBG10" s="493"/>
      <c r="GBH10" s="493"/>
      <c r="GBI10" s="493"/>
      <c r="GBJ10" s="493"/>
      <c r="GBK10" s="493"/>
      <c r="GBL10" s="493"/>
      <c r="GBM10" s="493"/>
      <c r="GBN10" s="493"/>
      <c r="GBO10" s="493"/>
      <c r="GBP10" s="493"/>
      <c r="GBQ10" s="493"/>
      <c r="GBR10" s="493"/>
      <c r="GBS10" s="493"/>
      <c r="GBT10" s="493"/>
      <c r="GBU10" s="493"/>
      <c r="GBV10" s="493"/>
      <c r="GBW10" s="493"/>
      <c r="GBX10" s="493"/>
      <c r="GBY10" s="493"/>
      <c r="GBZ10" s="493"/>
      <c r="GCA10" s="493"/>
      <c r="GCB10" s="493"/>
      <c r="GCC10" s="493"/>
      <c r="GCD10" s="493"/>
      <c r="GCE10" s="493"/>
      <c r="GCF10" s="493"/>
      <c r="GCG10" s="493"/>
      <c r="GCH10" s="493"/>
      <c r="GCI10" s="493"/>
      <c r="GCJ10" s="493"/>
      <c r="GCK10" s="493"/>
      <c r="GCL10" s="493"/>
      <c r="GCM10" s="493"/>
      <c r="GCN10" s="493"/>
      <c r="GCO10" s="493"/>
      <c r="GCP10" s="493"/>
      <c r="GCQ10" s="493"/>
      <c r="GCR10" s="493"/>
      <c r="GCS10" s="493"/>
      <c r="GCT10" s="493"/>
      <c r="GCU10" s="493"/>
      <c r="GCV10" s="493"/>
      <c r="GCW10" s="493"/>
      <c r="GCX10" s="493"/>
      <c r="GCY10" s="493"/>
      <c r="GCZ10" s="493"/>
      <c r="GDA10" s="493"/>
      <c r="GDB10" s="493"/>
      <c r="GDC10" s="493"/>
      <c r="GDD10" s="493"/>
      <c r="GDE10" s="493"/>
      <c r="GDF10" s="493"/>
      <c r="GDG10" s="493"/>
      <c r="GDH10" s="493"/>
      <c r="GDI10" s="493"/>
      <c r="GDJ10" s="493"/>
      <c r="GDK10" s="493"/>
      <c r="GDL10" s="493"/>
      <c r="GDM10" s="493"/>
      <c r="GDN10" s="493"/>
      <c r="GDO10" s="493"/>
      <c r="GDP10" s="493"/>
      <c r="GDQ10" s="493"/>
      <c r="GDR10" s="493"/>
      <c r="GDS10" s="493"/>
      <c r="GDT10" s="493"/>
      <c r="GDU10" s="493"/>
      <c r="GDV10" s="493"/>
      <c r="GDW10" s="493"/>
      <c r="GDX10" s="493"/>
      <c r="GDY10" s="493"/>
      <c r="GDZ10" s="493"/>
      <c r="GEA10" s="493"/>
      <c r="GEB10" s="493"/>
      <c r="GEC10" s="493"/>
      <c r="GED10" s="493"/>
      <c r="GEE10" s="493"/>
      <c r="GEF10" s="493"/>
      <c r="GEG10" s="493"/>
      <c r="GEH10" s="493"/>
      <c r="GEI10" s="493"/>
      <c r="GEJ10" s="493"/>
      <c r="GEK10" s="493"/>
      <c r="GEL10" s="493"/>
      <c r="GEM10" s="493"/>
      <c r="GEN10" s="493"/>
      <c r="GEO10" s="493"/>
      <c r="GEP10" s="493"/>
      <c r="GEQ10" s="493"/>
      <c r="GER10" s="493"/>
      <c r="GES10" s="493"/>
      <c r="GET10" s="493"/>
      <c r="GEU10" s="493"/>
      <c r="GEV10" s="493"/>
      <c r="GEW10" s="493"/>
      <c r="GEX10" s="493"/>
      <c r="GEY10" s="493"/>
      <c r="GEZ10" s="493"/>
      <c r="GFA10" s="493"/>
      <c r="GFB10" s="493"/>
      <c r="GFC10" s="493"/>
      <c r="GFD10" s="493"/>
      <c r="GFE10" s="493"/>
      <c r="GFF10" s="493"/>
      <c r="GFG10" s="493"/>
      <c r="GFH10" s="493"/>
      <c r="GFI10" s="493"/>
      <c r="GFJ10" s="493"/>
      <c r="GFK10" s="493"/>
      <c r="GFL10" s="493"/>
      <c r="GFM10" s="493"/>
      <c r="GFN10" s="493"/>
      <c r="GFO10" s="493"/>
      <c r="GFP10" s="493"/>
      <c r="GFQ10" s="493"/>
      <c r="GFR10" s="493"/>
      <c r="GFS10" s="493"/>
      <c r="GFT10" s="493"/>
      <c r="GFU10" s="493"/>
      <c r="GFV10" s="493"/>
      <c r="GFW10" s="493"/>
      <c r="GFX10" s="493"/>
      <c r="GFY10" s="493"/>
      <c r="GFZ10" s="493"/>
      <c r="GGA10" s="493"/>
      <c r="GGB10" s="493"/>
      <c r="GGC10" s="493"/>
      <c r="GGD10" s="493"/>
      <c r="GGE10" s="493"/>
      <c r="GGF10" s="493"/>
      <c r="GGG10" s="493"/>
      <c r="GGH10" s="493"/>
      <c r="GGI10" s="493"/>
      <c r="GGJ10" s="493"/>
      <c r="GGK10" s="493"/>
      <c r="GGL10" s="493"/>
      <c r="GGM10" s="493"/>
      <c r="GGN10" s="493"/>
      <c r="GGO10" s="493"/>
      <c r="GGP10" s="493"/>
      <c r="GGQ10" s="493"/>
      <c r="GGR10" s="493"/>
      <c r="GGS10" s="493"/>
      <c r="GGT10" s="493"/>
      <c r="GGU10" s="493"/>
      <c r="GGV10" s="493"/>
      <c r="GGW10" s="493"/>
      <c r="GGX10" s="493"/>
      <c r="GGY10" s="493"/>
      <c r="GGZ10" s="493"/>
      <c r="GHA10" s="493"/>
      <c r="GHB10" s="493"/>
      <c r="GHC10" s="493"/>
      <c r="GHD10" s="493"/>
      <c r="GHE10" s="493"/>
      <c r="GHF10" s="493"/>
      <c r="GHG10" s="493"/>
      <c r="GHH10" s="493"/>
      <c r="GHI10" s="493"/>
      <c r="GHJ10" s="493"/>
      <c r="GHK10" s="493"/>
      <c r="GHL10" s="493"/>
      <c r="GHM10" s="493"/>
      <c r="GHN10" s="493"/>
      <c r="GHO10" s="493"/>
      <c r="GHP10" s="493"/>
      <c r="GHQ10" s="493"/>
      <c r="GHR10" s="493"/>
      <c r="GHS10" s="493"/>
      <c r="GHT10" s="493"/>
      <c r="GHU10" s="493"/>
      <c r="GHV10" s="493"/>
      <c r="GHW10" s="493"/>
      <c r="GHX10" s="493"/>
      <c r="GHY10" s="493"/>
      <c r="GHZ10" s="493"/>
      <c r="GIA10" s="493"/>
      <c r="GIB10" s="493"/>
      <c r="GIC10" s="493"/>
      <c r="GID10" s="493"/>
      <c r="GIE10" s="493"/>
      <c r="GIF10" s="493"/>
      <c r="GIG10" s="493"/>
      <c r="GIH10" s="493"/>
      <c r="GII10" s="493"/>
      <c r="GIJ10" s="493"/>
      <c r="GIK10" s="493"/>
      <c r="GIL10" s="493"/>
      <c r="GIM10" s="493"/>
      <c r="GIN10" s="493"/>
      <c r="GIO10" s="493"/>
      <c r="GIP10" s="493"/>
      <c r="GIQ10" s="493"/>
      <c r="GIR10" s="493"/>
      <c r="GIS10" s="493"/>
      <c r="GIT10" s="493"/>
      <c r="GIU10" s="493"/>
      <c r="GIV10" s="493"/>
      <c r="GIW10" s="493"/>
      <c r="GIX10" s="493"/>
      <c r="GIY10" s="493"/>
      <c r="GIZ10" s="493"/>
      <c r="GJA10" s="493"/>
      <c r="GJB10" s="493"/>
      <c r="GJC10" s="493"/>
      <c r="GJD10" s="493"/>
      <c r="GJE10" s="493"/>
      <c r="GJF10" s="493"/>
      <c r="GJG10" s="493"/>
      <c r="GJH10" s="493"/>
      <c r="GJI10" s="493"/>
      <c r="GJJ10" s="493"/>
      <c r="GJK10" s="493"/>
      <c r="GJL10" s="493"/>
      <c r="GJM10" s="493"/>
      <c r="GJN10" s="493"/>
      <c r="GJO10" s="493"/>
      <c r="GJP10" s="493"/>
      <c r="GJQ10" s="493"/>
      <c r="GJR10" s="493"/>
      <c r="GJS10" s="493"/>
      <c r="GJT10" s="493"/>
      <c r="GJU10" s="493"/>
      <c r="GJV10" s="493"/>
      <c r="GJW10" s="493"/>
      <c r="GJX10" s="493"/>
      <c r="GJY10" s="493"/>
      <c r="GJZ10" s="493"/>
      <c r="GKA10" s="493"/>
      <c r="GKB10" s="493"/>
      <c r="GKC10" s="493"/>
      <c r="GKD10" s="493"/>
      <c r="GKE10" s="493"/>
      <c r="GKF10" s="493"/>
      <c r="GKG10" s="493"/>
      <c r="GKH10" s="493"/>
      <c r="GKI10" s="493"/>
      <c r="GKJ10" s="493"/>
      <c r="GKK10" s="493"/>
      <c r="GKL10" s="493"/>
      <c r="GKM10" s="493"/>
      <c r="GKN10" s="493"/>
      <c r="GKO10" s="493"/>
      <c r="GKP10" s="493"/>
      <c r="GKQ10" s="493"/>
      <c r="GKR10" s="493"/>
      <c r="GKS10" s="493"/>
      <c r="GKT10" s="493"/>
      <c r="GKU10" s="493"/>
      <c r="GKV10" s="493"/>
      <c r="GKW10" s="493"/>
      <c r="GKX10" s="493"/>
      <c r="GKY10" s="493"/>
      <c r="GKZ10" s="493"/>
      <c r="GLA10" s="493"/>
      <c r="GLB10" s="493"/>
      <c r="GLC10" s="493"/>
      <c r="GLD10" s="493"/>
      <c r="GLE10" s="493"/>
      <c r="GLF10" s="493"/>
      <c r="GLG10" s="493"/>
      <c r="GLH10" s="493"/>
      <c r="GLI10" s="493"/>
      <c r="GLJ10" s="493"/>
      <c r="GLK10" s="493"/>
      <c r="GLL10" s="493"/>
      <c r="GLM10" s="493"/>
      <c r="GLN10" s="493"/>
      <c r="GLO10" s="493"/>
      <c r="GLP10" s="493"/>
      <c r="GLQ10" s="493"/>
      <c r="GLR10" s="493"/>
      <c r="GLS10" s="493"/>
      <c r="GLT10" s="493"/>
      <c r="GLU10" s="493"/>
      <c r="GLV10" s="493"/>
      <c r="GLW10" s="493"/>
      <c r="GLX10" s="493"/>
      <c r="GLY10" s="493"/>
      <c r="GLZ10" s="493"/>
      <c r="GMA10" s="493"/>
      <c r="GMB10" s="493"/>
      <c r="GMC10" s="493"/>
      <c r="GMD10" s="493"/>
      <c r="GME10" s="493"/>
      <c r="GMF10" s="493"/>
      <c r="GMG10" s="493"/>
      <c r="GMH10" s="493"/>
      <c r="GMI10" s="493"/>
      <c r="GMJ10" s="493"/>
      <c r="GMK10" s="493"/>
      <c r="GML10" s="493"/>
      <c r="GMM10" s="493"/>
      <c r="GMN10" s="493"/>
      <c r="GMO10" s="493"/>
      <c r="GMP10" s="493"/>
      <c r="GMQ10" s="493"/>
      <c r="GMR10" s="493"/>
      <c r="GMS10" s="493"/>
      <c r="GMT10" s="493"/>
      <c r="GMU10" s="493"/>
      <c r="GMV10" s="493"/>
      <c r="GMW10" s="493"/>
      <c r="GMX10" s="493"/>
      <c r="GMY10" s="493"/>
      <c r="GMZ10" s="493"/>
      <c r="GNA10" s="493"/>
      <c r="GNB10" s="493"/>
      <c r="GNC10" s="493"/>
      <c r="GND10" s="493"/>
      <c r="GNE10" s="493"/>
      <c r="GNF10" s="493"/>
      <c r="GNG10" s="493"/>
      <c r="GNH10" s="493"/>
      <c r="GNI10" s="493"/>
      <c r="GNJ10" s="493"/>
      <c r="GNK10" s="493"/>
      <c r="GNL10" s="493"/>
      <c r="GNM10" s="493"/>
      <c r="GNN10" s="493"/>
      <c r="GNO10" s="493"/>
      <c r="GNP10" s="493"/>
      <c r="GNQ10" s="493"/>
      <c r="GNR10" s="493"/>
      <c r="GNS10" s="493"/>
      <c r="GNT10" s="493"/>
      <c r="GNU10" s="493"/>
      <c r="GNV10" s="493"/>
      <c r="GNW10" s="493"/>
      <c r="GNX10" s="493"/>
      <c r="GNY10" s="493"/>
      <c r="GNZ10" s="493"/>
      <c r="GOA10" s="493"/>
      <c r="GOB10" s="493"/>
      <c r="GOC10" s="493"/>
      <c r="GOD10" s="493"/>
      <c r="GOE10" s="493"/>
      <c r="GOF10" s="493"/>
      <c r="GOG10" s="493"/>
      <c r="GOH10" s="493"/>
      <c r="GOI10" s="493"/>
      <c r="GOJ10" s="493"/>
      <c r="GOK10" s="493"/>
      <c r="GOL10" s="493"/>
      <c r="GOM10" s="493"/>
      <c r="GON10" s="493"/>
      <c r="GOO10" s="493"/>
      <c r="GOP10" s="493"/>
      <c r="GOQ10" s="493"/>
      <c r="GOR10" s="493"/>
      <c r="GOS10" s="493"/>
      <c r="GOT10" s="493"/>
      <c r="GOU10" s="493"/>
      <c r="GOV10" s="493"/>
      <c r="GOW10" s="493"/>
      <c r="GOX10" s="493"/>
      <c r="GOY10" s="493"/>
      <c r="GOZ10" s="493"/>
      <c r="GPA10" s="493"/>
      <c r="GPB10" s="493"/>
      <c r="GPC10" s="493"/>
      <c r="GPD10" s="493"/>
      <c r="GPE10" s="493"/>
      <c r="GPF10" s="493"/>
      <c r="GPG10" s="493"/>
      <c r="GPH10" s="493"/>
      <c r="GPI10" s="493"/>
      <c r="GPJ10" s="493"/>
      <c r="GPK10" s="493"/>
      <c r="GPL10" s="493"/>
      <c r="GPM10" s="493"/>
      <c r="GPN10" s="493"/>
      <c r="GPO10" s="493"/>
      <c r="GPP10" s="493"/>
      <c r="GPQ10" s="493"/>
      <c r="GPR10" s="493"/>
      <c r="GPS10" s="493"/>
      <c r="GPT10" s="493"/>
      <c r="GPU10" s="493"/>
      <c r="GPV10" s="493"/>
      <c r="GPW10" s="493"/>
      <c r="GPX10" s="493"/>
      <c r="GPY10" s="493"/>
      <c r="GPZ10" s="493"/>
      <c r="GQA10" s="493"/>
      <c r="GQB10" s="493"/>
      <c r="GQC10" s="493"/>
      <c r="GQD10" s="493"/>
      <c r="GQE10" s="493"/>
      <c r="GQF10" s="493"/>
      <c r="GQG10" s="493"/>
      <c r="GQH10" s="493"/>
      <c r="GQI10" s="493"/>
      <c r="GQJ10" s="493"/>
      <c r="GQK10" s="493"/>
      <c r="GQL10" s="493"/>
      <c r="GQM10" s="493"/>
      <c r="GQN10" s="493"/>
      <c r="GQO10" s="493"/>
      <c r="GQP10" s="493"/>
      <c r="GQQ10" s="493"/>
      <c r="GQR10" s="493"/>
      <c r="GQS10" s="493"/>
      <c r="GQT10" s="493"/>
      <c r="GQU10" s="493"/>
      <c r="GQV10" s="493"/>
      <c r="GQW10" s="493"/>
      <c r="GQX10" s="493"/>
      <c r="GQY10" s="493"/>
      <c r="GQZ10" s="493"/>
      <c r="GRA10" s="493"/>
      <c r="GRB10" s="493"/>
      <c r="GRC10" s="493"/>
      <c r="GRD10" s="493"/>
      <c r="GRE10" s="493"/>
      <c r="GRF10" s="493"/>
      <c r="GRG10" s="493"/>
      <c r="GRH10" s="493"/>
      <c r="GRI10" s="493"/>
      <c r="GRJ10" s="493"/>
      <c r="GRK10" s="493"/>
      <c r="GRL10" s="493"/>
      <c r="GRM10" s="493"/>
      <c r="GRN10" s="493"/>
      <c r="GRO10" s="493"/>
      <c r="GRP10" s="493"/>
      <c r="GRQ10" s="493"/>
      <c r="GRR10" s="493"/>
      <c r="GRS10" s="493"/>
      <c r="GRT10" s="493"/>
      <c r="GRU10" s="493"/>
      <c r="GRV10" s="493"/>
      <c r="GRW10" s="493"/>
      <c r="GRX10" s="493"/>
      <c r="GRY10" s="493"/>
      <c r="GRZ10" s="493"/>
      <c r="GSA10" s="493"/>
      <c r="GSB10" s="493"/>
      <c r="GSC10" s="493"/>
      <c r="GSD10" s="493"/>
      <c r="GSE10" s="493"/>
      <c r="GSF10" s="493"/>
      <c r="GSG10" s="493"/>
      <c r="GSH10" s="493"/>
      <c r="GSI10" s="493"/>
      <c r="GSJ10" s="493"/>
      <c r="GSK10" s="493"/>
      <c r="GSL10" s="493"/>
      <c r="GSM10" s="493"/>
      <c r="GSN10" s="493"/>
      <c r="GSO10" s="493"/>
      <c r="GSP10" s="493"/>
      <c r="GSQ10" s="493"/>
      <c r="GSR10" s="493"/>
      <c r="GSS10" s="493"/>
      <c r="GST10" s="493"/>
      <c r="GSU10" s="493"/>
      <c r="GSV10" s="493"/>
      <c r="GSW10" s="493"/>
      <c r="GSX10" s="493"/>
      <c r="GSY10" s="493"/>
      <c r="GSZ10" s="493"/>
      <c r="GTA10" s="493"/>
      <c r="GTB10" s="493"/>
      <c r="GTC10" s="493"/>
      <c r="GTD10" s="493"/>
      <c r="GTE10" s="493"/>
      <c r="GTF10" s="493"/>
      <c r="GTG10" s="493"/>
      <c r="GTH10" s="493"/>
      <c r="GTI10" s="493"/>
      <c r="GTJ10" s="493"/>
      <c r="GTK10" s="493"/>
      <c r="GTL10" s="493"/>
      <c r="GTM10" s="493"/>
      <c r="GTN10" s="493"/>
      <c r="GTO10" s="493"/>
      <c r="GTP10" s="493"/>
      <c r="GTQ10" s="493"/>
      <c r="GTR10" s="493"/>
      <c r="GTS10" s="493"/>
      <c r="GTT10" s="493"/>
      <c r="GTU10" s="493"/>
      <c r="GTV10" s="493"/>
      <c r="GTW10" s="493"/>
      <c r="GTX10" s="493"/>
      <c r="GTY10" s="493"/>
      <c r="GTZ10" s="493"/>
      <c r="GUA10" s="493"/>
      <c r="GUB10" s="493"/>
      <c r="GUC10" s="493"/>
      <c r="GUD10" s="493"/>
      <c r="GUE10" s="493"/>
      <c r="GUF10" s="493"/>
      <c r="GUG10" s="493"/>
      <c r="GUH10" s="493"/>
      <c r="GUI10" s="493"/>
      <c r="GUJ10" s="493"/>
      <c r="GUK10" s="493"/>
      <c r="GUL10" s="493"/>
      <c r="GUM10" s="493"/>
      <c r="GUN10" s="493"/>
      <c r="GUO10" s="493"/>
      <c r="GUP10" s="493"/>
      <c r="GUQ10" s="493"/>
      <c r="GUR10" s="493"/>
      <c r="GUS10" s="493"/>
      <c r="GUT10" s="493"/>
      <c r="GUU10" s="493"/>
      <c r="GUV10" s="493"/>
      <c r="GUW10" s="493"/>
      <c r="GUX10" s="493"/>
      <c r="GUY10" s="493"/>
      <c r="GUZ10" s="493"/>
      <c r="GVA10" s="493"/>
      <c r="GVB10" s="493"/>
      <c r="GVC10" s="493"/>
      <c r="GVD10" s="493"/>
      <c r="GVE10" s="493"/>
      <c r="GVF10" s="493"/>
      <c r="GVG10" s="493"/>
      <c r="GVH10" s="493"/>
      <c r="GVI10" s="493"/>
      <c r="GVJ10" s="493"/>
      <c r="GVK10" s="493"/>
      <c r="GVL10" s="493"/>
      <c r="GVM10" s="493"/>
      <c r="GVN10" s="493"/>
      <c r="GVO10" s="493"/>
      <c r="GVP10" s="493"/>
      <c r="GVQ10" s="493"/>
      <c r="GVR10" s="493"/>
      <c r="GVS10" s="493"/>
      <c r="GVT10" s="493"/>
      <c r="GVU10" s="493"/>
      <c r="GVV10" s="493"/>
      <c r="GVW10" s="493"/>
      <c r="GVX10" s="493"/>
      <c r="GVY10" s="493"/>
      <c r="GVZ10" s="493"/>
      <c r="GWA10" s="493"/>
      <c r="GWB10" s="493"/>
      <c r="GWC10" s="493"/>
      <c r="GWD10" s="493"/>
      <c r="GWE10" s="493"/>
      <c r="GWF10" s="493"/>
      <c r="GWG10" s="493"/>
      <c r="GWH10" s="493"/>
      <c r="GWI10" s="493"/>
      <c r="GWJ10" s="493"/>
      <c r="GWK10" s="493"/>
      <c r="GWL10" s="493"/>
      <c r="GWM10" s="493"/>
      <c r="GWN10" s="493"/>
      <c r="GWO10" s="493"/>
      <c r="GWP10" s="493"/>
      <c r="GWQ10" s="493"/>
      <c r="GWR10" s="493"/>
      <c r="GWS10" s="493"/>
      <c r="GWT10" s="493"/>
      <c r="GWU10" s="493"/>
      <c r="GWV10" s="493"/>
      <c r="GWW10" s="493"/>
      <c r="GWX10" s="493"/>
      <c r="GWY10" s="493"/>
      <c r="GWZ10" s="493"/>
      <c r="GXA10" s="493"/>
      <c r="GXB10" s="493"/>
      <c r="GXC10" s="493"/>
      <c r="GXD10" s="493"/>
      <c r="GXE10" s="493"/>
      <c r="GXF10" s="493"/>
      <c r="GXG10" s="493"/>
      <c r="GXH10" s="493"/>
      <c r="GXI10" s="493"/>
      <c r="GXJ10" s="493"/>
      <c r="GXK10" s="493"/>
      <c r="GXL10" s="493"/>
      <c r="GXM10" s="493"/>
      <c r="GXN10" s="493"/>
      <c r="GXO10" s="493"/>
      <c r="GXP10" s="493"/>
      <c r="GXQ10" s="493"/>
      <c r="GXR10" s="493"/>
      <c r="GXS10" s="493"/>
      <c r="GXT10" s="493"/>
      <c r="GXU10" s="493"/>
      <c r="GXV10" s="493"/>
      <c r="GXW10" s="493"/>
      <c r="GXX10" s="493"/>
      <c r="GXY10" s="493"/>
      <c r="GXZ10" s="493"/>
      <c r="GYA10" s="493"/>
      <c r="GYB10" s="493"/>
      <c r="GYC10" s="493"/>
      <c r="GYD10" s="493"/>
      <c r="GYE10" s="493"/>
      <c r="GYF10" s="493"/>
      <c r="GYG10" s="493"/>
      <c r="GYH10" s="493"/>
      <c r="GYI10" s="493"/>
      <c r="GYJ10" s="493"/>
      <c r="GYK10" s="493"/>
      <c r="GYL10" s="493"/>
      <c r="GYM10" s="493"/>
      <c r="GYN10" s="493"/>
      <c r="GYO10" s="493"/>
      <c r="GYP10" s="493"/>
      <c r="GYQ10" s="493"/>
      <c r="GYR10" s="493"/>
      <c r="GYS10" s="493"/>
      <c r="GYT10" s="493"/>
      <c r="GYU10" s="493"/>
      <c r="GYV10" s="493"/>
      <c r="GYW10" s="493"/>
      <c r="GYX10" s="493"/>
      <c r="GYY10" s="493"/>
      <c r="GYZ10" s="493"/>
      <c r="GZA10" s="493"/>
      <c r="GZB10" s="493"/>
      <c r="GZC10" s="493"/>
      <c r="GZD10" s="493"/>
      <c r="GZE10" s="493"/>
      <c r="GZF10" s="493"/>
      <c r="GZG10" s="493"/>
      <c r="GZH10" s="493"/>
      <c r="GZI10" s="493"/>
      <c r="GZJ10" s="493"/>
      <c r="GZK10" s="493"/>
      <c r="GZL10" s="493"/>
      <c r="GZM10" s="493"/>
      <c r="GZN10" s="493"/>
      <c r="GZO10" s="493"/>
      <c r="GZP10" s="493"/>
      <c r="GZQ10" s="493"/>
      <c r="GZR10" s="493"/>
      <c r="GZS10" s="493"/>
      <c r="GZT10" s="493"/>
      <c r="GZU10" s="493"/>
      <c r="GZV10" s="493"/>
      <c r="GZW10" s="493"/>
      <c r="GZX10" s="493"/>
      <c r="GZY10" s="493"/>
      <c r="GZZ10" s="493"/>
      <c r="HAA10" s="493"/>
      <c r="HAB10" s="493"/>
      <c r="HAC10" s="493"/>
      <c r="HAD10" s="493"/>
      <c r="HAE10" s="493"/>
      <c r="HAF10" s="493"/>
      <c r="HAG10" s="493"/>
      <c r="HAH10" s="493"/>
      <c r="HAI10" s="493"/>
      <c r="HAJ10" s="493"/>
      <c r="HAK10" s="493"/>
      <c r="HAL10" s="493"/>
      <c r="HAM10" s="493"/>
      <c r="HAN10" s="493"/>
      <c r="HAO10" s="493"/>
      <c r="HAP10" s="493"/>
      <c r="HAQ10" s="493"/>
      <c r="HAR10" s="493"/>
      <c r="HAS10" s="493"/>
      <c r="HAT10" s="493"/>
      <c r="HAU10" s="493"/>
      <c r="HAV10" s="493"/>
      <c r="HAW10" s="493"/>
      <c r="HAX10" s="493"/>
      <c r="HAY10" s="493"/>
      <c r="HAZ10" s="493"/>
      <c r="HBA10" s="493"/>
      <c r="HBB10" s="493"/>
      <c r="HBC10" s="493"/>
      <c r="HBD10" s="493"/>
      <c r="HBE10" s="493"/>
      <c r="HBF10" s="493"/>
      <c r="HBG10" s="493"/>
      <c r="HBH10" s="493"/>
      <c r="HBI10" s="493"/>
      <c r="HBJ10" s="493"/>
      <c r="HBK10" s="493"/>
      <c r="HBL10" s="493"/>
      <c r="HBM10" s="493"/>
      <c r="HBN10" s="493"/>
      <c r="HBO10" s="493"/>
      <c r="HBP10" s="493"/>
      <c r="HBQ10" s="493"/>
      <c r="HBR10" s="493"/>
      <c r="HBS10" s="493"/>
      <c r="HBT10" s="493"/>
      <c r="HBU10" s="493"/>
      <c r="HBV10" s="493"/>
      <c r="HBW10" s="493"/>
      <c r="HBX10" s="493"/>
      <c r="HBY10" s="493"/>
      <c r="HBZ10" s="493"/>
      <c r="HCA10" s="493"/>
      <c r="HCB10" s="493"/>
      <c r="HCC10" s="493"/>
      <c r="HCD10" s="493"/>
      <c r="HCE10" s="493"/>
      <c r="HCF10" s="493"/>
      <c r="HCG10" s="493"/>
      <c r="HCH10" s="493"/>
      <c r="HCI10" s="493"/>
      <c r="HCJ10" s="493"/>
      <c r="HCK10" s="493"/>
      <c r="HCL10" s="493"/>
      <c r="HCM10" s="493"/>
      <c r="HCN10" s="493"/>
      <c r="HCO10" s="493"/>
      <c r="HCP10" s="493"/>
      <c r="HCQ10" s="493"/>
      <c r="HCR10" s="493"/>
      <c r="HCS10" s="493"/>
      <c r="HCT10" s="493"/>
      <c r="HCU10" s="493"/>
      <c r="HCV10" s="493"/>
      <c r="HCW10" s="493"/>
      <c r="HCX10" s="493"/>
      <c r="HCY10" s="493"/>
      <c r="HCZ10" s="493"/>
      <c r="HDA10" s="493"/>
      <c r="HDB10" s="493"/>
      <c r="HDC10" s="493"/>
      <c r="HDD10" s="493"/>
      <c r="HDE10" s="493"/>
      <c r="HDF10" s="493"/>
      <c r="HDG10" s="493"/>
      <c r="HDH10" s="493"/>
      <c r="HDI10" s="493"/>
      <c r="HDJ10" s="493"/>
      <c r="HDK10" s="493"/>
      <c r="HDL10" s="493"/>
      <c r="HDM10" s="493"/>
      <c r="HDN10" s="493"/>
      <c r="HDO10" s="493"/>
      <c r="HDP10" s="493"/>
      <c r="HDQ10" s="493"/>
      <c r="HDR10" s="493"/>
      <c r="HDS10" s="493"/>
      <c r="HDT10" s="493"/>
      <c r="HDU10" s="493"/>
      <c r="HDV10" s="493"/>
      <c r="HDW10" s="493"/>
      <c r="HDX10" s="493"/>
      <c r="HDY10" s="493"/>
      <c r="HDZ10" s="493"/>
      <c r="HEA10" s="493"/>
      <c r="HEB10" s="493"/>
      <c r="HEC10" s="493"/>
      <c r="HED10" s="493"/>
      <c r="HEE10" s="493"/>
      <c r="HEF10" s="493"/>
      <c r="HEG10" s="493"/>
      <c r="HEH10" s="493"/>
      <c r="HEI10" s="493"/>
      <c r="HEJ10" s="493"/>
      <c r="HEK10" s="493"/>
      <c r="HEL10" s="493"/>
      <c r="HEM10" s="493"/>
      <c r="HEN10" s="493"/>
      <c r="HEO10" s="493"/>
      <c r="HEP10" s="493"/>
      <c r="HEQ10" s="493"/>
      <c r="HER10" s="493"/>
      <c r="HES10" s="493"/>
      <c r="HET10" s="493"/>
      <c r="HEU10" s="493"/>
      <c r="HEV10" s="493"/>
      <c r="HEW10" s="493"/>
      <c r="HEX10" s="493"/>
      <c r="HEY10" s="493"/>
      <c r="HEZ10" s="493"/>
      <c r="HFA10" s="493"/>
      <c r="HFB10" s="493"/>
      <c r="HFC10" s="493"/>
      <c r="HFD10" s="493"/>
      <c r="HFE10" s="493"/>
      <c r="HFF10" s="493"/>
      <c r="HFG10" s="493"/>
      <c r="HFH10" s="493"/>
      <c r="HFI10" s="493"/>
      <c r="HFJ10" s="493"/>
      <c r="HFK10" s="493"/>
      <c r="HFL10" s="493"/>
      <c r="HFM10" s="493"/>
      <c r="HFN10" s="493"/>
      <c r="HFO10" s="493"/>
      <c r="HFP10" s="493"/>
      <c r="HFQ10" s="493"/>
      <c r="HFR10" s="493"/>
      <c r="HFS10" s="493"/>
      <c r="HFT10" s="493"/>
      <c r="HFU10" s="493"/>
      <c r="HFV10" s="493"/>
      <c r="HFW10" s="493"/>
      <c r="HFX10" s="493"/>
      <c r="HFY10" s="493"/>
      <c r="HFZ10" s="493"/>
      <c r="HGA10" s="493"/>
      <c r="HGB10" s="493"/>
      <c r="HGC10" s="493"/>
      <c r="HGD10" s="493"/>
      <c r="HGE10" s="493"/>
      <c r="HGF10" s="493"/>
      <c r="HGG10" s="493"/>
      <c r="HGH10" s="493"/>
      <c r="HGI10" s="493"/>
      <c r="HGJ10" s="493"/>
      <c r="HGK10" s="493"/>
      <c r="HGL10" s="493"/>
      <c r="HGM10" s="493"/>
      <c r="HGN10" s="493"/>
      <c r="HGO10" s="493"/>
      <c r="HGP10" s="493"/>
      <c r="HGQ10" s="493"/>
      <c r="HGR10" s="493"/>
      <c r="HGS10" s="493"/>
      <c r="HGT10" s="493"/>
      <c r="HGU10" s="493"/>
      <c r="HGV10" s="493"/>
      <c r="HGW10" s="493"/>
      <c r="HGX10" s="493"/>
      <c r="HGY10" s="493"/>
      <c r="HGZ10" s="493"/>
      <c r="HHA10" s="493"/>
      <c r="HHB10" s="493"/>
      <c r="HHC10" s="493"/>
      <c r="HHD10" s="493"/>
      <c r="HHE10" s="493"/>
      <c r="HHF10" s="493"/>
      <c r="HHG10" s="493"/>
      <c r="HHH10" s="493"/>
      <c r="HHI10" s="493"/>
      <c r="HHJ10" s="493"/>
      <c r="HHK10" s="493"/>
      <c r="HHL10" s="493"/>
      <c r="HHM10" s="493"/>
      <c r="HHN10" s="493"/>
      <c r="HHO10" s="493"/>
      <c r="HHP10" s="493"/>
      <c r="HHQ10" s="493"/>
      <c r="HHR10" s="493"/>
      <c r="HHS10" s="493"/>
      <c r="HHT10" s="493"/>
      <c r="HHU10" s="493"/>
      <c r="HHV10" s="493"/>
      <c r="HHW10" s="493"/>
      <c r="HHX10" s="493"/>
      <c r="HHY10" s="493"/>
      <c r="HHZ10" s="493"/>
      <c r="HIA10" s="493"/>
      <c r="HIB10" s="493"/>
      <c r="HIC10" s="493"/>
      <c r="HID10" s="493"/>
      <c r="HIE10" s="493"/>
      <c r="HIF10" s="493"/>
      <c r="HIG10" s="493"/>
      <c r="HIH10" s="493"/>
      <c r="HII10" s="493"/>
      <c r="HIJ10" s="493"/>
      <c r="HIK10" s="493"/>
      <c r="HIL10" s="493"/>
      <c r="HIM10" s="493"/>
      <c r="HIN10" s="493"/>
      <c r="HIO10" s="493"/>
      <c r="HIP10" s="493"/>
      <c r="HIQ10" s="493"/>
      <c r="HIR10" s="493"/>
      <c r="HIS10" s="493"/>
      <c r="HIT10" s="493"/>
      <c r="HIU10" s="493"/>
      <c r="HIV10" s="493"/>
      <c r="HIW10" s="493"/>
      <c r="HIX10" s="493"/>
      <c r="HIY10" s="493"/>
      <c r="HIZ10" s="493"/>
      <c r="HJA10" s="493"/>
      <c r="HJB10" s="493"/>
      <c r="HJC10" s="493"/>
      <c r="HJD10" s="493"/>
      <c r="HJE10" s="493"/>
      <c r="HJF10" s="493"/>
      <c r="HJG10" s="493"/>
      <c r="HJH10" s="493"/>
      <c r="HJI10" s="493"/>
      <c r="HJJ10" s="493"/>
      <c r="HJK10" s="493"/>
      <c r="HJL10" s="493"/>
      <c r="HJM10" s="493"/>
      <c r="HJN10" s="493"/>
      <c r="HJO10" s="493"/>
      <c r="HJP10" s="493"/>
      <c r="HJQ10" s="493"/>
      <c r="HJR10" s="493"/>
      <c r="HJS10" s="493"/>
      <c r="HJT10" s="493"/>
      <c r="HJU10" s="493"/>
      <c r="HJV10" s="493"/>
      <c r="HJW10" s="493"/>
      <c r="HJX10" s="493"/>
      <c r="HJY10" s="493"/>
      <c r="HJZ10" s="493"/>
      <c r="HKA10" s="493"/>
      <c r="HKB10" s="493"/>
      <c r="HKC10" s="493"/>
      <c r="HKD10" s="493"/>
      <c r="HKE10" s="493"/>
      <c r="HKF10" s="493"/>
      <c r="HKG10" s="493"/>
      <c r="HKH10" s="493"/>
      <c r="HKI10" s="493"/>
      <c r="HKJ10" s="493"/>
      <c r="HKK10" s="493"/>
      <c r="HKL10" s="493"/>
      <c r="HKM10" s="493"/>
      <c r="HKN10" s="493"/>
      <c r="HKO10" s="493"/>
      <c r="HKP10" s="493"/>
      <c r="HKQ10" s="493"/>
      <c r="HKR10" s="493"/>
      <c r="HKS10" s="493"/>
      <c r="HKT10" s="493"/>
      <c r="HKU10" s="493"/>
      <c r="HKV10" s="493"/>
      <c r="HKW10" s="493"/>
      <c r="HKX10" s="493"/>
      <c r="HKY10" s="493"/>
      <c r="HKZ10" s="493"/>
      <c r="HLA10" s="493"/>
      <c r="HLB10" s="493"/>
      <c r="HLC10" s="493"/>
      <c r="HLD10" s="493"/>
      <c r="HLE10" s="493"/>
      <c r="HLF10" s="493"/>
      <c r="HLG10" s="493"/>
      <c r="HLH10" s="493"/>
      <c r="HLI10" s="493"/>
      <c r="HLJ10" s="493"/>
      <c r="HLK10" s="493"/>
      <c r="HLL10" s="493"/>
      <c r="HLM10" s="493"/>
      <c r="HLN10" s="493"/>
      <c r="HLO10" s="493"/>
      <c r="HLP10" s="493"/>
      <c r="HLQ10" s="493"/>
      <c r="HLR10" s="493"/>
      <c r="HLS10" s="493"/>
      <c r="HLT10" s="493"/>
      <c r="HLU10" s="493"/>
      <c r="HLV10" s="493"/>
      <c r="HLW10" s="493"/>
      <c r="HLX10" s="493"/>
      <c r="HLY10" s="493"/>
      <c r="HLZ10" s="493"/>
      <c r="HMA10" s="493"/>
      <c r="HMB10" s="493"/>
      <c r="HMC10" s="493"/>
      <c r="HMD10" s="493"/>
      <c r="HME10" s="493"/>
      <c r="HMF10" s="493"/>
      <c r="HMG10" s="493"/>
      <c r="HMH10" s="493"/>
      <c r="HMI10" s="493"/>
      <c r="HMJ10" s="493"/>
      <c r="HMK10" s="493"/>
      <c r="HML10" s="493"/>
      <c r="HMM10" s="493"/>
      <c r="HMN10" s="493"/>
      <c r="HMO10" s="493"/>
      <c r="HMP10" s="493"/>
      <c r="HMQ10" s="493"/>
      <c r="HMR10" s="493"/>
      <c r="HMS10" s="493"/>
      <c r="HMT10" s="493"/>
      <c r="HMU10" s="493"/>
      <c r="HMV10" s="493"/>
      <c r="HMW10" s="493"/>
      <c r="HMX10" s="493"/>
      <c r="HMY10" s="493"/>
      <c r="HMZ10" s="493"/>
      <c r="HNA10" s="493"/>
      <c r="HNB10" s="493"/>
      <c r="HNC10" s="493"/>
      <c r="HND10" s="493"/>
      <c r="HNE10" s="493"/>
      <c r="HNF10" s="493"/>
      <c r="HNG10" s="493"/>
      <c r="HNH10" s="493"/>
      <c r="HNI10" s="493"/>
      <c r="HNJ10" s="493"/>
      <c r="HNK10" s="493"/>
      <c r="HNL10" s="493"/>
      <c r="HNM10" s="493"/>
      <c r="HNN10" s="493"/>
      <c r="HNO10" s="493"/>
      <c r="HNP10" s="493"/>
      <c r="HNQ10" s="493"/>
      <c r="HNR10" s="493"/>
      <c r="HNS10" s="493"/>
      <c r="HNT10" s="493"/>
      <c r="HNU10" s="493"/>
      <c r="HNV10" s="493"/>
      <c r="HNW10" s="493"/>
      <c r="HNX10" s="493"/>
      <c r="HNY10" s="493"/>
      <c r="HNZ10" s="493"/>
      <c r="HOA10" s="493"/>
      <c r="HOB10" s="493"/>
      <c r="HOC10" s="493"/>
      <c r="HOD10" s="493"/>
      <c r="HOE10" s="493"/>
      <c r="HOF10" s="493"/>
      <c r="HOG10" s="493"/>
      <c r="HOH10" s="493"/>
      <c r="HOI10" s="493"/>
      <c r="HOJ10" s="493"/>
      <c r="HOK10" s="493"/>
      <c r="HOL10" s="493"/>
      <c r="HOM10" s="493"/>
      <c r="HON10" s="493"/>
      <c r="HOO10" s="493"/>
      <c r="HOP10" s="493"/>
      <c r="HOQ10" s="493"/>
      <c r="HOR10" s="493"/>
      <c r="HOS10" s="493"/>
      <c r="HOT10" s="493"/>
      <c r="HOU10" s="493"/>
      <c r="HOV10" s="493"/>
      <c r="HOW10" s="493"/>
      <c r="HOX10" s="493"/>
      <c r="HOY10" s="493"/>
      <c r="HOZ10" s="493"/>
      <c r="HPA10" s="493"/>
      <c r="HPB10" s="493"/>
      <c r="HPC10" s="493"/>
      <c r="HPD10" s="493"/>
      <c r="HPE10" s="493"/>
      <c r="HPF10" s="493"/>
      <c r="HPG10" s="493"/>
      <c r="HPH10" s="493"/>
      <c r="HPI10" s="493"/>
      <c r="HPJ10" s="493"/>
      <c r="HPK10" s="493"/>
      <c r="HPL10" s="493"/>
      <c r="HPM10" s="493"/>
      <c r="HPN10" s="493"/>
      <c r="HPO10" s="493"/>
      <c r="HPP10" s="493"/>
      <c r="HPQ10" s="493"/>
      <c r="HPR10" s="493"/>
      <c r="HPS10" s="493"/>
      <c r="HPT10" s="493"/>
      <c r="HPU10" s="493"/>
      <c r="HPV10" s="493"/>
      <c r="HPW10" s="493"/>
      <c r="HPX10" s="493"/>
      <c r="HPY10" s="493"/>
      <c r="HPZ10" s="493"/>
      <c r="HQA10" s="493"/>
      <c r="HQB10" s="493"/>
      <c r="HQC10" s="493"/>
      <c r="HQD10" s="493"/>
      <c r="HQE10" s="493"/>
      <c r="HQF10" s="493"/>
      <c r="HQG10" s="493"/>
      <c r="HQH10" s="493"/>
      <c r="HQI10" s="493"/>
      <c r="HQJ10" s="493"/>
      <c r="HQK10" s="493"/>
      <c r="HQL10" s="493"/>
      <c r="HQM10" s="493"/>
      <c r="HQN10" s="493"/>
      <c r="HQO10" s="493"/>
      <c r="HQP10" s="493"/>
      <c r="HQQ10" s="493"/>
      <c r="HQR10" s="493"/>
      <c r="HQS10" s="493"/>
      <c r="HQT10" s="493"/>
      <c r="HQU10" s="493"/>
      <c r="HQV10" s="493"/>
      <c r="HQW10" s="493"/>
      <c r="HQX10" s="493"/>
      <c r="HQY10" s="493"/>
      <c r="HQZ10" s="493"/>
      <c r="HRA10" s="493"/>
      <c r="HRB10" s="493"/>
      <c r="HRC10" s="493"/>
      <c r="HRD10" s="493"/>
      <c r="HRE10" s="493"/>
      <c r="HRF10" s="493"/>
      <c r="HRG10" s="493"/>
      <c r="HRH10" s="493"/>
      <c r="HRI10" s="493"/>
      <c r="HRJ10" s="493"/>
      <c r="HRK10" s="493"/>
      <c r="HRL10" s="493"/>
      <c r="HRM10" s="493"/>
      <c r="HRN10" s="493"/>
      <c r="HRO10" s="493"/>
      <c r="HRP10" s="493"/>
      <c r="HRQ10" s="493"/>
      <c r="HRR10" s="493"/>
      <c r="HRS10" s="493"/>
      <c r="HRT10" s="493"/>
      <c r="HRU10" s="493"/>
      <c r="HRV10" s="493"/>
      <c r="HRW10" s="493"/>
      <c r="HRX10" s="493"/>
      <c r="HRY10" s="493"/>
      <c r="HRZ10" s="493"/>
      <c r="HSA10" s="493"/>
      <c r="HSB10" s="493"/>
      <c r="HSC10" s="493"/>
      <c r="HSD10" s="493"/>
      <c r="HSE10" s="493"/>
      <c r="HSF10" s="493"/>
      <c r="HSG10" s="493"/>
      <c r="HSH10" s="493"/>
      <c r="HSI10" s="493"/>
      <c r="HSJ10" s="493"/>
      <c r="HSK10" s="493"/>
      <c r="HSL10" s="493"/>
      <c r="HSM10" s="493"/>
      <c r="HSN10" s="493"/>
      <c r="HSO10" s="493"/>
      <c r="HSP10" s="493"/>
      <c r="HSQ10" s="493"/>
      <c r="HSR10" s="493"/>
      <c r="HSS10" s="493"/>
      <c r="HST10" s="493"/>
      <c r="HSU10" s="493"/>
      <c r="HSV10" s="493"/>
      <c r="HSW10" s="493"/>
      <c r="HSX10" s="493"/>
      <c r="HSY10" s="493"/>
      <c r="HSZ10" s="493"/>
      <c r="HTA10" s="493"/>
      <c r="HTB10" s="493"/>
      <c r="HTC10" s="493"/>
      <c r="HTD10" s="493"/>
      <c r="HTE10" s="493"/>
      <c r="HTF10" s="493"/>
      <c r="HTG10" s="493"/>
      <c r="HTH10" s="493"/>
      <c r="HTI10" s="493"/>
      <c r="HTJ10" s="493"/>
      <c r="HTK10" s="493"/>
      <c r="HTL10" s="493"/>
      <c r="HTM10" s="493"/>
      <c r="HTN10" s="493"/>
      <c r="HTO10" s="493"/>
      <c r="HTP10" s="493"/>
      <c r="HTQ10" s="493"/>
      <c r="HTR10" s="493"/>
      <c r="HTS10" s="493"/>
      <c r="HTT10" s="493"/>
      <c r="HTU10" s="493"/>
      <c r="HTV10" s="493"/>
      <c r="HTW10" s="493"/>
      <c r="HTX10" s="493"/>
      <c r="HTY10" s="493"/>
      <c r="HTZ10" s="493"/>
      <c r="HUA10" s="493"/>
      <c r="HUB10" s="493"/>
      <c r="HUC10" s="493"/>
      <c r="HUD10" s="493"/>
      <c r="HUE10" s="493"/>
      <c r="HUF10" s="493"/>
      <c r="HUG10" s="493"/>
      <c r="HUH10" s="493"/>
      <c r="HUI10" s="493"/>
      <c r="HUJ10" s="493"/>
      <c r="HUK10" s="493"/>
      <c r="HUL10" s="493"/>
      <c r="HUM10" s="493"/>
      <c r="HUN10" s="493"/>
      <c r="HUO10" s="493"/>
      <c r="HUP10" s="493"/>
      <c r="HUQ10" s="493"/>
      <c r="HUR10" s="493"/>
      <c r="HUS10" s="493"/>
      <c r="HUT10" s="493"/>
      <c r="HUU10" s="493"/>
      <c r="HUV10" s="493"/>
      <c r="HUW10" s="493"/>
      <c r="HUX10" s="493"/>
      <c r="HUY10" s="493"/>
      <c r="HUZ10" s="493"/>
      <c r="HVA10" s="493"/>
      <c r="HVB10" s="493"/>
      <c r="HVC10" s="493"/>
      <c r="HVD10" s="493"/>
      <c r="HVE10" s="493"/>
      <c r="HVF10" s="493"/>
      <c r="HVG10" s="493"/>
      <c r="HVH10" s="493"/>
      <c r="HVI10" s="493"/>
      <c r="HVJ10" s="493"/>
      <c r="HVK10" s="493"/>
      <c r="HVL10" s="493"/>
      <c r="HVM10" s="493"/>
      <c r="HVN10" s="493"/>
      <c r="HVO10" s="493"/>
      <c r="HVP10" s="493"/>
      <c r="HVQ10" s="493"/>
      <c r="HVR10" s="493"/>
      <c r="HVS10" s="493"/>
      <c r="HVT10" s="493"/>
      <c r="HVU10" s="493"/>
      <c r="HVV10" s="493"/>
      <c r="HVW10" s="493"/>
      <c r="HVX10" s="493"/>
      <c r="HVY10" s="493"/>
      <c r="HVZ10" s="493"/>
      <c r="HWA10" s="493"/>
      <c r="HWB10" s="493"/>
      <c r="HWC10" s="493"/>
      <c r="HWD10" s="493"/>
      <c r="HWE10" s="493"/>
      <c r="HWF10" s="493"/>
      <c r="HWG10" s="493"/>
      <c r="HWH10" s="493"/>
      <c r="HWI10" s="493"/>
      <c r="HWJ10" s="493"/>
      <c r="HWK10" s="493"/>
      <c r="HWL10" s="493"/>
      <c r="HWM10" s="493"/>
      <c r="HWN10" s="493"/>
      <c r="HWO10" s="493"/>
      <c r="HWP10" s="493"/>
      <c r="HWQ10" s="493"/>
      <c r="HWR10" s="493"/>
      <c r="HWS10" s="493"/>
      <c r="HWT10" s="493"/>
      <c r="HWU10" s="493"/>
      <c r="HWV10" s="493"/>
      <c r="HWW10" s="493"/>
      <c r="HWX10" s="493"/>
      <c r="HWY10" s="493"/>
      <c r="HWZ10" s="493"/>
      <c r="HXA10" s="493"/>
      <c r="HXB10" s="493"/>
      <c r="HXC10" s="493"/>
      <c r="HXD10" s="493"/>
      <c r="HXE10" s="493"/>
      <c r="HXF10" s="493"/>
      <c r="HXG10" s="493"/>
      <c r="HXH10" s="493"/>
      <c r="HXI10" s="493"/>
      <c r="HXJ10" s="493"/>
      <c r="HXK10" s="493"/>
      <c r="HXL10" s="493"/>
      <c r="HXM10" s="493"/>
      <c r="HXN10" s="493"/>
      <c r="HXO10" s="493"/>
      <c r="HXP10" s="493"/>
      <c r="HXQ10" s="493"/>
      <c r="HXR10" s="493"/>
      <c r="HXS10" s="493"/>
      <c r="HXT10" s="493"/>
      <c r="HXU10" s="493"/>
      <c r="HXV10" s="493"/>
      <c r="HXW10" s="493"/>
      <c r="HXX10" s="493"/>
      <c r="HXY10" s="493"/>
      <c r="HXZ10" s="493"/>
      <c r="HYA10" s="493"/>
      <c r="HYB10" s="493"/>
      <c r="HYC10" s="493"/>
      <c r="HYD10" s="493"/>
      <c r="HYE10" s="493"/>
      <c r="HYF10" s="493"/>
      <c r="HYG10" s="493"/>
      <c r="HYH10" s="493"/>
      <c r="HYI10" s="493"/>
      <c r="HYJ10" s="493"/>
      <c r="HYK10" s="493"/>
      <c r="HYL10" s="493"/>
      <c r="HYM10" s="493"/>
      <c r="HYN10" s="493"/>
      <c r="HYO10" s="493"/>
      <c r="HYP10" s="493"/>
      <c r="HYQ10" s="493"/>
      <c r="HYR10" s="493"/>
      <c r="HYS10" s="493"/>
      <c r="HYT10" s="493"/>
      <c r="HYU10" s="493"/>
      <c r="HYV10" s="493"/>
      <c r="HYW10" s="493"/>
      <c r="HYX10" s="493"/>
      <c r="HYY10" s="493"/>
      <c r="HYZ10" s="493"/>
      <c r="HZA10" s="493"/>
      <c r="HZB10" s="493"/>
      <c r="HZC10" s="493"/>
      <c r="HZD10" s="493"/>
      <c r="HZE10" s="493"/>
      <c r="HZF10" s="493"/>
      <c r="HZG10" s="493"/>
      <c r="HZH10" s="493"/>
      <c r="HZI10" s="493"/>
      <c r="HZJ10" s="493"/>
      <c r="HZK10" s="493"/>
      <c r="HZL10" s="493"/>
      <c r="HZM10" s="493"/>
      <c r="HZN10" s="493"/>
      <c r="HZO10" s="493"/>
      <c r="HZP10" s="493"/>
      <c r="HZQ10" s="493"/>
      <c r="HZR10" s="493"/>
      <c r="HZS10" s="493"/>
      <c r="HZT10" s="493"/>
      <c r="HZU10" s="493"/>
      <c r="HZV10" s="493"/>
      <c r="HZW10" s="493"/>
      <c r="HZX10" s="493"/>
      <c r="HZY10" s="493"/>
      <c r="HZZ10" s="493"/>
      <c r="IAA10" s="493"/>
      <c r="IAB10" s="493"/>
      <c r="IAC10" s="493"/>
      <c r="IAD10" s="493"/>
      <c r="IAE10" s="493"/>
      <c r="IAF10" s="493"/>
      <c r="IAG10" s="493"/>
      <c r="IAH10" s="493"/>
      <c r="IAI10" s="493"/>
      <c r="IAJ10" s="493"/>
      <c r="IAK10" s="493"/>
      <c r="IAL10" s="493"/>
      <c r="IAM10" s="493"/>
      <c r="IAN10" s="493"/>
      <c r="IAO10" s="493"/>
      <c r="IAP10" s="493"/>
      <c r="IAQ10" s="493"/>
      <c r="IAR10" s="493"/>
      <c r="IAS10" s="493"/>
      <c r="IAT10" s="493"/>
      <c r="IAU10" s="493"/>
      <c r="IAV10" s="493"/>
      <c r="IAW10" s="493"/>
      <c r="IAX10" s="493"/>
      <c r="IAY10" s="493"/>
      <c r="IAZ10" s="493"/>
      <c r="IBA10" s="493"/>
      <c r="IBB10" s="493"/>
      <c r="IBC10" s="493"/>
      <c r="IBD10" s="493"/>
      <c r="IBE10" s="493"/>
      <c r="IBF10" s="493"/>
      <c r="IBG10" s="493"/>
      <c r="IBH10" s="493"/>
      <c r="IBI10" s="493"/>
      <c r="IBJ10" s="493"/>
      <c r="IBK10" s="493"/>
      <c r="IBL10" s="493"/>
      <c r="IBM10" s="493"/>
      <c r="IBN10" s="493"/>
      <c r="IBO10" s="493"/>
      <c r="IBP10" s="493"/>
      <c r="IBQ10" s="493"/>
      <c r="IBR10" s="493"/>
      <c r="IBS10" s="493"/>
      <c r="IBT10" s="493"/>
      <c r="IBU10" s="493"/>
      <c r="IBV10" s="493"/>
      <c r="IBW10" s="493"/>
      <c r="IBX10" s="493"/>
      <c r="IBY10" s="493"/>
      <c r="IBZ10" s="493"/>
      <c r="ICA10" s="493"/>
      <c r="ICB10" s="493"/>
      <c r="ICC10" s="493"/>
      <c r="ICD10" s="493"/>
      <c r="ICE10" s="493"/>
      <c r="ICF10" s="493"/>
      <c r="ICG10" s="493"/>
      <c r="ICH10" s="493"/>
      <c r="ICI10" s="493"/>
      <c r="ICJ10" s="493"/>
      <c r="ICK10" s="493"/>
      <c r="ICL10" s="493"/>
      <c r="ICM10" s="493"/>
      <c r="ICN10" s="493"/>
      <c r="ICO10" s="493"/>
      <c r="ICP10" s="493"/>
      <c r="ICQ10" s="493"/>
      <c r="ICR10" s="493"/>
      <c r="ICS10" s="493"/>
      <c r="ICT10" s="493"/>
      <c r="ICU10" s="493"/>
      <c r="ICV10" s="493"/>
      <c r="ICW10" s="493"/>
      <c r="ICX10" s="493"/>
      <c r="ICY10" s="493"/>
      <c r="ICZ10" s="493"/>
      <c r="IDA10" s="493"/>
      <c r="IDB10" s="493"/>
      <c r="IDC10" s="493"/>
      <c r="IDD10" s="493"/>
      <c r="IDE10" s="493"/>
      <c r="IDF10" s="493"/>
      <c r="IDG10" s="493"/>
      <c r="IDH10" s="493"/>
      <c r="IDI10" s="493"/>
      <c r="IDJ10" s="493"/>
      <c r="IDK10" s="493"/>
      <c r="IDL10" s="493"/>
      <c r="IDM10" s="493"/>
      <c r="IDN10" s="493"/>
      <c r="IDO10" s="493"/>
      <c r="IDP10" s="493"/>
      <c r="IDQ10" s="493"/>
      <c r="IDR10" s="493"/>
      <c r="IDS10" s="493"/>
      <c r="IDT10" s="493"/>
      <c r="IDU10" s="493"/>
      <c r="IDV10" s="493"/>
      <c r="IDW10" s="493"/>
      <c r="IDX10" s="493"/>
      <c r="IDY10" s="493"/>
      <c r="IDZ10" s="493"/>
      <c r="IEA10" s="493"/>
      <c r="IEB10" s="493"/>
      <c r="IEC10" s="493"/>
      <c r="IED10" s="493"/>
      <c r="IEE10" s="493"/>
      <c r="IEF10" s="493"/>
      <c r="IEG10" s="493"/>
      <c r="IEH10" s="493"/>
      <c r="IEI10" s="493"/>
      <c r="IEJ10" s="493"/>
      <c r="IEK10" s="493"/>
      <c r="IEL10" s="493"/>
      <c r="IEM10" s="493"/>
      <c r="IEN10" s="493"/>
      <c r="IEO10" s="493"/>
      <c r="IEP10" s="493"/>
      <c r="IEQ10" s="493"/>
      <c r="IER10" s="493"/>
      <c r="IES10" s="493"/>
      <c r="IET10" s="493"/>
      <c r="IEU10" s="493"/>
      <c r="IEV10" s="493"/>
      <c r="IEW10" s="493"/>
      <c r="IEX10" s="493"/>
      <c r="IEY10" s="493"/>
      <c r="IEZ10" s="493"/>
      <c r="IFA10" s="493"/>
      <c r="IFB10" s="493"/>
      <c r="IFC10" s="493"/>
      <c r="IFD10" s="493"/>
      <c r="IFE10" s="493"/>
      <c r="IFF10" s="493"/>
      <c r="IFG10" s="493"/>
      <c r="IFH10" s="493"/>
      <c r="IFI10" s="493"/>
      <c r="IFJ10" s="493"/>
      <c r="IFK10" s="493"/>
      <c r="IFL10" s="493"/>
      <c r="IFM10" s="493"/>
      <c r="IFN10" s="493"/>
      <c r="IFO10" s="493"/>
      <c r="IFP10" s="493"/>
      <c r="IFQ10" s="493"/>
      <c r="IFR10" s="493"/>
      <c r="IFS10" s="493"/>
      <c r="IFT10" s="493"/>
      <c r="IFU10" s="493"/>
      <c r="IFV10" s="493"/>
      <c r="IFW10" s="493"/>
      <c r="IFX10" s="493"/>
      <c r="IFY10" s="493"/>
      <c r="IFZ10" s="493"/>
      <c r="IGA10" s="493"/>
      <c r="IGB10" s="493"/>
      <c r="IGC10" s="493"/>
      <c r="IGD10" s="493"/>
      <c r="IGE10" s="493"/>
      <c r="IGF10" s="493"/>
      <c r="IGG10" s="493"/>
      <c r="IGH10" s="493"/>
      <c r="IGI10" s="493"/>
      <c r="IGJ10" s="493"/>
      <c r="IGK10" s="493"/>
      <c r="IGL10" s="493"/>
      <c r="IGM10" s="493"/>
      <c r="IGN10" s="493"/>
      <c r="IGO10" s="493"/>
      <c r="IGP10" s="493"/>
      <c r="IGQ10" s="493"/>
      <c r="IGR10" s="493"/>
      <c r="IGS10" s="493"/>
      <c r="IGT10" s="493"/>
      <c r="IGU10" s="493"/>
      <c r="IGV10" s="493"/>
      <c r="IGW10" s="493"/>
      <c r="IGX10" s="493"/>
      <c r="IGY10" s="493"/>
      <c r="IGZ10" s="493"/>
      <c r="IHA10" s="493"/>
      <c r="IHB10" s="493"/>
      <c r="IHC10" s="493"/>
      <c r="IHD10" s="493"/>
      <c r="IHE10" s="493"/>
      <c r="IHF10" s="493"/>
      <c r="IHG10" s="493"/>
      <c r="IHH10" s="493"/>
      <c r="IHI10" s="493"/>
      <c r="IHJ10" s="493"/>
      <c r="IHK10" s="493"/>
      <c r="IHL10" s="493"/>
      <c r="IHM10" s="493"/>
      <c r="IHN10" s="493"/>
      <c r="IHO10" s="493"/>
      <c r="IHP10" s="493"/>
      <c r="IHQ10" s="493"/>
      <c r="IHR10" s="493"/>
      <c r="IHS10" s="493"/>
      <c r="IHT10" s="493"/>
      <c r="IHU10" s="493"/>
      <c r="IHV10" s="493"/>
      <c r="IHW10" s="493"/>
      <c r="IHX10" s="493"/>
      <c r="IHY10" s="493"/>
      <c r="IHZ10" s="493"/>
      <c r="IIA10" s="493"/>
      <c r="IIB10" s="493"/>
      <c r="IIC10" s="493"/>
      <c r="IID10" s="493"/>
      <c r="IIE10" s="493"/>
      <c r="IIF10" s="493"/>
      <c r="IIG10" s="493"/>
      <c r="IIH10" s="493"/>
      <c r="III10" s="493"/>
      <c r="IIJ10" s="493"/>
      <c r="IIK10" s="493"/>
      <c r="IIL10" s="493"/>
      <c r="IIM10" s="493"/>
      <c r="IIN10" s="493"/>
      <c r="IIO10" s="493"/>
      <c r="IIP10" s="493"/>
      <c r="IIQ10" s="493"/>
      <c r="IIR10" s="493"/>
      <c r="IIS10" s="493"/>
      <c r="IIT10" s="493"/>
      <c r="IIU10" s="493"/>
      <c r="IIV10" s="493"/>
      <c r="IIW10" s="493"/>
      <c r="IIX10" s="493"/>
      <c r="IIY10" s="493"/>
      <c r="IIZ10" s="493"/>
      <c r="IJA10" s="493"/>
      <c r="IJB10" s="493"/>
      <c r="IJC10" s="493"/>
      <c r="IJD10" s="493"/>
      <c r="IJE10" s="493"/>
      <c r="IJF10" s="493"/>
      <c r="IJG10" s="493"/>
      <c r="IJH10" s="493"/>
      <c r="IJI10" s="493"/>
      <c r="IJJ10" s="493"/>
      <c r="IJK10" s="493"/>
      <c r="IJL10" s="493"/>
      <c r="IJM10" s="493"/>
      <c r="IJN10" s="493"/>
      <c r="IJO10" s="493"/>
      <c r="IJP10" s="493"/>
      <c r="IJQ10" s="493"/>
      <c r="IJR10" s="493"/>
      <c r="IJS10" s="493"/>
      <c r="IJT10" s="493"/>
      <c r="IJU10" s="493"/>
      <c r="IJV10" s="493"/>
      <c r="IJW10" s="493"/>
      <c r="IJX10" s="493"/>
      <c r="IJY10" s="493"/>
      <c r="IJZ10" s="493"/>
      <c r="IKA10" s="493"/>
      <c r="IKB10" s="493"/>
      <c r="IKC10" s="493"/>
      <c r="IKD10" s="493"/>
      <c r="IKE10" s="493"/>
      <c r="IKF10" s="493"/>
      <c r="IKG10" s="493"/>
      <c r="IKH10" s="493"/>
      <c r="IKI10" s="493"/>
      <c r="IKJ10" s="493"/>
      <c r="IKK10" s="493"/>
      <c r="IKL10" s="493"/>
      <c r="IKM10" s="493"/>
      <c r="IKN10" s="493"/>
      <c r="IKO10" s="493"/>
      <c r="IKP10" s="493"/>
      <c r="IKQ10" s="493"/>
      <c r="IKR10" s="493"/>
      <c r="IKS10" s="493"/>
      <c r="IKT10" s="493"/>
      <c r="IKU10" s="493"/>
      <c r="IKV10" s="493"/>
      <c r="IKW10" s="493"/>
      <c r="IKX10" s="493"/>
      <c r="IKY10" s="493"/>
      <c r="IKZ10" s="493"/>
      <c r="ILA10" s="493"/>
      <c r="ILB10" s="493"/>
      <c r="ILC10" s="493"/>
      <c r="ILD10" s="493"/>
      <c r="ILE10" s="493"/>
      <c r="ILF10" s="493"/>
      <c r="ILG10" s="493"/>
      <c r="ILH10" s="493"/>
      <c r="ILI10" s="493"/>
      <c r="ILJ10" s="493"/>
      <c r="ILK10" s="493"/>
      <c r="ILL10" s="493"/>
      <c r="ILM10" s="493"/>
      <c r="ILN10" s="493"/>
      <c r="ILO10" s="493"/>
      <c r="ILP10" s="493"/>
      <c r="ILQ10" s="493"/>
      <c r="ILR10" s="493"/>
      <c r="ILS10" s="493"/>
      <c r="ILT10" s="493"/>
      <c r="ILU10" s="493"/>
      <c r="ILV10" s="493"/>
      <c r="ILW10" s="493"/>
      <c r="ILX10" s="493"/>
      <c r="ILY10" s="493"/>
      <c r="ILZ10" s="493"/>
      <c r="IMA10" s="493"/>
      <c r="IMB10" s="493"/>
      <c r="IMC10" s="493"/>
      <c r="IMD10" s="493"/>
      <c r="IME10" s="493"/>
      <c r="IMF10" s="493"/>
      <c r="IMG10" s="493"/>
      <c r="IMH10" s="493"/>
      <c r="IMI10" s="493"/>
      <c r="IMJ10" s="493"/>
      <c r="IMK10" s="493"/>
      <c r="IML10" s="493"/>
      <c r="IMM10" s="493"/>
      <c r="IMN10" s="493"/>
      <c r="IMO10" s="493"/>
      <c r="IMP10" s="493"/>
      <c r="IMQ10" s="493"/>
      <c r="IMR10" s="493"/>
      <c r="IMS10" s="493"/>
      <c r="IMT10" s="493"/>
      <c r="IMU10" s="493"/>
      <c r="IMV10" s="493"/>
      <c r="IMW10" s="493"/>
      <c r="IMX10" s="493"/>
      <c r="IMY10" s="493"/>
      <c r="IMZ10" s="493"/>
      <c r="INA10" s="493"/>
      <c r="INB10" s="493"/>
      <c r="INC10" s="493"/>
      <c r="IND10" s="493"/>
      <c r="INE10" s="493"/>
      <c r="INF10" s="493"/>
      <c r="ING10" s="493"/>
      <c r="INH10" s="493"/>
      <c r="INI10" s="493"/>
      <c r="INJ10" s="493"/>
      <c r="INK10" s="493"/>
      <c r="INL10" s="493"/>
      <c r="INM10" s="493"/>
      <c r="INN10" s="493"/>
      <c r="INO10" s="493"/>
      <c r="INP10" s="493"/>
      <c r="INQ10" s="493"/>
      <c r="INR10" s="493"/>
      <c r="INS10" s="493"/>
      <c r="INT10" s="493"/>
      <c r="INU10" s="493"/>
      <c r="INV10" s="493"/>
      <c r="INW10" s="493"/>
      <c r="INX10" s="493"/>
      <c r="INY10" s="493"/>
      <c r="INZ10" s="493"/>
      <c r="IOA10" s="493"/>
      <c r="IOB10" s="493"/>
      <c r="IOC10" s="493"/>
      <c r="IOD10" s="493"/>
      <c r="IOE10" s="493"/>
      <c r="IOF10" s="493"/>
      <c r="IOG10" s="493"/>
      <c r="IOH10" s="493"/>
      <c r="IOI10" s="493"/>
      <c r="IOJ10" s="493"/>
      <c r="IOK10" s="493"/>
      <c r="IOL10" s="493"/>
      <c r="IOM10" s="493"/>
      <c r="ION10" s="493"/>
      <c r="IOO10" s="493"/>
      <c r="IOP10" s="493"/>
      <c r="IOQ10" s="493"/>
      <c r="IOR10" s="493"/>
      <c r="IOS10" s="493"/>
      <c r="IOT10" s="493"/>
      <c r="IOU10" s="493"/>
      <c r="IOV10" s="493"/>
      <c r="IOW10" s="493"/>
      <c r="IOX10" s="493"/>
      <c r="IOY10" s="493"/>
      <c r="IOZ10" s="493"/>
      <c r="IPA10" s="493"/>
      <c r="IPB10" s="493"/>
      <c r="IPC10" s="493"/>
      <c r="IPD10" s="493"/>
      <c r="IPE10" s="493"/>
      <c r="IPF10" s="493"/>
      <c r="IPG10" s="493"/>
      <c r="IPH10" s="493"/>
      <c r="IPI10" s="493"/>
      <c r="IPJ10" s="493"/>
      <c r="IPK10" s="493"/>
      <c r="IPL10" s="493"/>
      <c r="IPM10" s="493"/>
      <c r="IPN10" s="493"/>
      <c r="IPO10" s="493"/>
      <c r="IPP10" s="493"/>
      <c r="IPQ10" s="493"/>
      <c r="IPR10" s="493"/>
      <c r="IPS10" s="493"/>
      <c r="IPT10" s="493"/>
      <c r="IPU10" s="493"/>
      <c r="IPV10" s="493"/>
      <c r="IPW10" s="493"/>
      <c r="IPX10" s="493"/>
      <c r="IPY10" s="493"/>
      <c r="IPZ10" s="493"/>
      <c r="IQA10" s="493"/>
      <c r="IQB10" s="493"/>
      <c r="IQC10" s="493"/>
      <c r="IQD10" s="493"/>
      <c r="IQE10" s="493"/>
      <c r="IQF10" s="493"/>
      <c r="IQG10" s="493"/>
      <c r="IQH10" s="493"/>
      <c r="IQI10" s="493"/>
      <c r="IQJ10" s="493"/>
      <c r="IQK10" s="493"/>
      <c r="IQL10" s="493"/>
      <c r="IQM10" s="493"/>
      <c r="IQN10" s="493"/>
      <c r="IQO10" s="493"/>
      <c r="IQP10" s="493"/>
      <c r="IQQ10" s="493"/>
      <c r="IQR10" s="493"/>
      <c r="IQS10" s="493"/>
      <c r="IQT10" s="493"/>
      <c r="IQU10" s="493"/>
      <c r="IQV10" s="493"/>
      <c r="IQW10" s="493"/>
      <c r="IQX10" s="493"/>
      <c r="IQY10" s="493"/>
      <c r="IQZ10" s="493"/>
      <c r="IRA10" s="493"/>
      <c r="IRB10" s="493"/>
      <c r="IRC10" s="493"/>
      <c r="IRD10" s="493"/>
      <c r="IRE10" s="493"/>
      <c r="IRF10" s="493"/>
      <c r="IRG10" s="493"/>
      <c r="IRH10" s="493"/>
      <c r="IRI10" s="493"/>
      <c r="IRJ10" s="493"/>
      <c r="IRK10" s="493"/>
      <c r="IRL10" s="493"/>
      <c r="IRM10" s="493"/>
      <c r="IRN10" s="493"/>
      <c r="IRO10" s="493"/>
      <c r="IRP10" s="493"/>
      <c r="IRQ10" s="493"/>
      <c r="IRR10" s="493"/>
      <c r="IRS10" s="493"/>
      <c r="IRT10" s="493"/>
      <c r="IRU10" s="493"/>
      <c r="IRV10" s="493"/>
      <c r="IRW10" s="493"/>
      <c r="IRX10" s="493"/>
      <c r="IRY10" s="493"/>
      <c r="IRZ10" s="493"/>
      <c r="ISA10" s="493"/>
      <c r="ISB10" s="493"/>
      <c r="ISC10" s="493"/>
      <c r="ISD10" s="493"/>
      <c r="ISE10" s="493"/>
      <c r="ISF10" s="493"/>
      <c r="ISG10" s="493"/>
      <c r="ISH10" s="493"/>
      <c r="ISI10" s="493"/>
      <c r="ISJ10" s="493"/>
      <c r="ISK10" s="493"/>
      <c r="ISL10" s="493"/>
      <c r="ISM10" s="493"/>
      <c r="ISN10" s="493"/>
      <c r="ISO10" s="493"/>
      <c r="ISP10" s="493"/>
      <c r="ISQ10" s="493"/>
      <c r="ISR10" s="493"/>
      <c r="ISS10" s="493"/>
      <c r="IST10" s="493"/>
      <c r="ISU10" s="493"/>
      <c r="ISV10" s="493"/>
      <c r="ISW10" s="493"/>
      <c r="ISX10" s="493"/>
      <c r="ISY10" s="493"/>
      <c r="ISZ10" s="493"/>
      <c r="ITA10" s="493"/>
      <c r="ITB10" s="493"/>
      <c r="ITC10" s="493"/>
      <c r="ITD10" s="493"/>
      <c r="ITE10" s="493"/>
      <c r="ITF10" s="493"/>
      <c r="ITG10" s="493"/>
      <c r="ITH10" s="493"/>
      <c r="ITI10" s="493"/>
      <c r="ITJ10" s="493"/>
      <c r="ITK10" s="493"/>
      <c r="ITL10" s="493"/>
      <c r="ITM10" s="493"/>
      <c r="ITN10" s="493"/>
      <c r="ITO10" s="493"/>
      <c r="ITP10" s="493"/>
      <c r="ITQ10" s="493"/>
      <c r="ITR10" s="493"/>
      <c r="ITS10" s="493"/>
      <c r="ITT10" s="493"/>
      <c r="ITU10" s="493"/>
      <c r="ITV10" s="493"/>
      <c r="ITW10" s="493"/>
      <c r="ITX10" s="493"/>
      <c r="ITY10" s="493"/>
      <c r="ITZ10" s="493"/>
      <c r="IUA10" s="493"/>
      <c r="IUB10" s="493"/>
      <c r="IUC10" s="493"/>
      <c r="IUD10" s="493"/>
      <c r="IUE10" s="493"/>
      <c r="IUF10" s="493"/>
      <c r="IUG10" s="493"/>
      <c r="IUH10" s="493"/>
      <c r="IUI10" s="493"/>
      <c r="IUJ10" s="493"/>
      <c r="IUK10" s="493"/>
      <c r="IUL10" s="493"/>
      <c r="IUM10" s="493"/>
      <c r="IUN10" s="493"/>
      <c r="IUO10" s="493"/>
      <c r="IUP10" s="493"/>
      <c r="IUQ10" s="493"/>
      <c r="IUR10" s="493"/>
      <c r="IUS10" s="493"/>
      <c r="IUT10" s="493"/>
      <c r="IUU10" s="493"/>
      <c r="IUV10" s="493"/>
      <c r="IUW10" s="493"/>
      <c r="IUX10" s="493"/>
      <c r="IUY10" s="493"/>
      <c r="IUZ10" s="493"/>
      <c r="IVA10" s="493"/>
      <c r="IVB10" s="493"/>
      <c r="IVC10" s="493"/>
      <c r="IVD10" s="493"/>
      <c r="IVE10" s="493"/>
      <c r="IVF10" s="493"/>
      <c r="IVG10" s="493"/>
      <c r="IVH10" s="493"/>
      <c r="IVI10" s="493"/>
      <c r="IVJ10" s="493"/>
      <c r="IVK10" s="493"/>
      <c r="IVL10" s="493"/>
      <c r="IVM10" s="493"/>
      <c r="IVN10" s="493"/>
      <c r="IVO10" s="493"/>
      <c r="IVP10" s="493"/>
      <c r="IVQ10" s="493"/>
      <c r="IVR10" s="493"/>
      <c r="IVS10" s="493"/>
      <c r="IVT10" s="493"/>
      <c r="IVU10" s="493"/>
      <c r="IVV10" s="493"/>
      <c r="IVW10" s="493"/>
      <c r="IVX10" s="493"/>
      <c r="IVY10" s="493"/>
      <c r="IVZ10" s="493"/>
      <c r="IWA10" s="493"/>
      <c r="IWB10" s="493"/>
      <c r="IWC10" s="493"/>
      <c r="IWD10" s="493"/>
      <c r="IWE10" s="493"/>
      <c r="IWF10" s="493"/>
      <c r="IWG10" s="493"/>
      <c r="IWH10" s="493"/>
      <c r="IWI10" s="493"/>
      <c r="IWJ10" s="493"/>
      <c r="IWK10" s="493"/>
      <c r="IWL10" s="493"/>
      <c r="IWM10" s="493"/>
      <c r="IWN10" s="493"/>
      <c r="IWO10" s="493"/>
      <c r="IWP10" s="493"/>
      <c r="IWQ10" s="493"/>
      <c r="IWR10" s="493"/>
      <c r="IWS10" s="493"/>
      <c r="IWT10" s="493"/>
      <c r="IWU10" s="493"/>
      <c r="IWV10" s="493"/>
      <c r="IWW10" s="493"/>
      <c r="IWX10" s="493"/>
      <c r="IWY10" s="493"/>
      <c r="IWZ10" s="493"/>
      <c r="IXA10" s="493"/>
      <c r="IXB10" s="493"/>
      <c r="IXC10" s="493"/>
      <c r="IXD10" s="493"/>
      <c r="IXE10" s="493"/>
      <c r="IXF10" s="493"/>
      <c r="IXG10" s="493"/>
      <c r="IXH10" s="493"/>
      <c r="IXI10" s="493"/>
      <c r="IXJ10" s="493"/>
      <c r="IXK10" s="493"/>
      <c r="IXL10" s="493"/>
      <c r="IXM10" s="493"/>
      <c r="IXN10" s="493"/>
      <c r="IXO10" s="493"/>
      <c r="IXP10" s="493"/>
      <c r="IXQ10" s="493"/>
      <c r="IXR10" s="493"/>
      <c r="IXS10" s="493"/>
      <c r="IXT10" s="493"/>
      <c r="IXU10" s="493"/>
      <c r="IXV10" s="493"/>
      <c r="IXW10" s="493"/>
      <c r="IXX10" s="493"/>
      <c r="IXY10" s="493"/>
      <c r="IXZ10" s="493"/>
      <c r="IYA10" s="493"/>
      <c r="IYB10" s="493"/>
      <c r="IYC10" s="493"/>
      <c r="IYD10" s="493"/>
      <c r="IYE10" s="493"/>
      <c r="IYF10" s="493"/>
      <c r="IYG10" s="493"/>
      <c r="IYH10" s="493"/>
      <c r="IYI10" s="493"/>
      <c r="IYJ10" s="493"/>
      <c r="IYK10" s="493"/>
      <c r="IYL10" s="493"/>
      <c r="IYM10" s="493"/>
      <c r="IYN10" s="493"/>
      <c r="IYO10" s="493"/>
      <c r="IYP10" s="493"/>
      <c r="IYQ10" s="493"/>
      <c r="IYR10" s="493"/>
      <c r="IYS10" s="493"/>
      <c r="IYT10" s="493"/>
      <c r="IYU10" s="493"/>
      <c r="IYV10" s="493"/>
      <c r="IYW10" s="493"/>
      <c r="IYX10" s="493"/>
      <c r="IYY10" s="493"/>
      <c r="IYZ10" s="493"/>
      <c r="IZA10" s="493"/>
      <c r="IZB10" s="493"/>
      <c r="IZC10" s="493"/>
      <c r="IZD10" s="493"/>
      <c r="IZE10" s="493"/>
      <c r="IZF10" s="493"/>
      <c r="IZG10" s="493"/>
      <c r="IZH10" s="493"/>
      <c r="IZI10" s="493"/>
      <c r="IZJ10" s="493"/>
      <c r="IZK10" s="493"/>
      <c r="IZL10" s="493"/>
      <c r="IZM10" s="493"/>
      <c r="IZN10" s="493"/>
      <c r="IZO10" s="493"/>
      <c r="IZP10" s="493"/>
      <c r="IZQ10" s="493"/>
      <c r="IZR10" s="493"/>
      <c r="IZS10" s="493"/>
      <c r="IZT10" s="493"/>
      <c r="IZU10" s="493"/>
      <c r="IZV10" s="493"/>
      <c r="IZW10" s="493"/>
      <c r="IZX10" s="493"/>
      <c r="IZY10" s="493"/>
      <c r="IZZ10" s="493"/>
      <c r="JAA10" s="493"/>
      <c r="JAB10" s="493"/>
      <c r="JAC10" s="493"/>
      <c r="JAD10" s="493"/>
      <c r="JAE10" s="493"/>
      <c r="JAF10" s="493"/>
      <c r="JAG10" s="493"/>
      <c r="JAH10" s="493"/>
      <c r="JAI10" s="493"/>
      <c r="JAJ10" s="493"/>
      <c r="JAK10" s="493"/>
      <c r="JAL10" s="493"/>
      <c r="JAM10" s="493"/>
      <c r="JAN10" s="493"/>
      <c r="JAO10" s="493"/>
      <c r="JAP10" s="493"/>
      <c r="JAQ10" s="493"/>
      <c r="JAR10" s="493"/>
      <c r="JAS10" s="493"/>
      <c r="JAT10" s="493"/>
      <c r="JAU10" s="493"/>
      <c r="JAV10" s="493"/>
      <c r="JAW10" s="493"/>
      <c r="JAX10" s="493"/>
      <c r="JAY10" s="493"/>
      <c r="JAZ10" s="493"/>
      <c r="JBA10" s="493"/>
      <c r="JBB10" s="493"/>
      <c r="JBC10" s="493"/>
      <c r="JBD10" s="493"/>
      <c r="JBE10" s="493"/>
      <c r="JBF10" s="493"/>
      <c r="JBG10" s="493"/>
      <c r="JBH10" s="493"/>
      <c r="JBI10" s="493"/>
      <c r="JBJ10" s="493"/>
      <c r="JBK10" s="493"/>
      <c r="JBL10" s="493"/>
      <c r="JBM10" s="493"/>
      <c r="JBN10" s="493"/>
      <c r="JBO10" s="493"/>
      <c r="JBP10" s="493"/>
      <c r="JBQ10" s="493"/>
      <c r="JBR10" s="493"/>
      <c r="JBS10" s="493"/>
      <c r="JBT10" s="493"/>
      <c r="JBU10" s="493"/>
      <c r="JBV10" s="493"/>
      <c r="JBW10" s="493"/>
      <c r="JBX10" s="493"/>
      <c r="JBY10" s="493"/>
      <c r="JBZ10" s="493"/>
      <c r="JCA10" s="493"/>
      <c r="JCB10" s="493"/>
      <c r="JCC10" s="493"/>
      <c r="JCD10" s="493"/>
      <c r="JCE10" s="493"/>
      <c r="JCF10" s="493"/>
      <c r="JCG10" s="493"/>
      <c r="JCH10" s="493"/>
      <c r="JCI10" s="493"/>
      <c r="JCJ10" s="493"/>
      <c r="JCK10" s="493"/>
      <c r="JCL10" s="493"/>
      <c r="JCM10" s="493"/>
      <c r="JCN10" s="493"/>
      <c r="JCO10" s="493"/>
      <c r="JCP10" s="493"/>
      <c r="JCQ10" s="493"/>
      <c r="JCR10" s="493"/>
      <c r="JCS10" s="493"/>
      <c r="JCT10" s="493"/>
      <c r="JCU10" s="493"/>
      <c r="JCV10" s="493"/>
      <c r="JCW10" s="493"/>
      <c r="JCX10" s="493"/>
      <c r="JCY10" s="493"/>
      <c r="JCZ10" s="493"/>
      <c r="JDA10" s="493"/>
      <c r="JDB10" s="493"/>
      <c r="JDC10" s="493"/>
      <c r="JDD10" s="493"/>
      <c r="JDE10" s="493"/>
      <c r="JDF10" s="493"/>
      <c r="JDG10" s="493"/>
      <c r="JDH10" s="493"/>
      <c r="JDI10" s="493"/>
      <c r="JDJ10" s="493"/>
      <c r="JDK10" s="493"/>
      <c r="JDL10" s="493"/>
      <c r="JDM10" s="493"/>
      <c r="JDN10" s="493"/>
      <c r="JDO10" s="493"/>
      <c r="JDP10" s="493"/>
      <c r="JDQ10" s="493"/>
      <c r="JDR10" s="493"/>
      <c r="JDS10" s="493"/>
      <c r="JDT10" s="493"/>
      <c r="JDU10" s="493"/>
      <c r="JDV10" s="493"/>
      <c r="JDW10" s="493"/>
      <c r="JDX10" s="493"/>
      <c r="JDY10" s="493"/>
      <c r="JDZ10" s="493"/>
      <c r="JEA10" s="493"/>
      <c r="JEB10" s="493"/>
      <c r="JEC10" s="493"/>
      <c r="JED10" s="493"/>
      <c r="JEE10" s="493"/>
      <c r="JEF10" s="493"/>
      <c r="JEG10" s="493"/>
      <c r="JEH10" s="493"/>
      <c r="JEI10" s="493"/>
      <c r="JEJ10" s="493"/>
      <c r="JEK10" s="493"/>
      <c r="JEL10" s="493"/>
      <c r="JEM10" s="493"/>
      <c r="JEN10" s="493"/>
      <c r="JEO10" s="493"/>
      <c r="JEP10" s="493"/>
      <c r="JEQ10" s="493"/>
      <c r="JER10" s="493"/>
      <c r="JES10" s="493"/>
      <c r="JET10" s="493"/>
      <c r="JEU10" s="493"/>
      <c r="JEV10" s="493"/>
      <c r="JEW10" s="493"/>
      <c r="JEX10" s="493"/>
      <c r="JEY10" s="493"/>
      <c r="JEZ10" s="493"/>
      <c r="JFA10" s="493"/>
      <c r="JFB10" s="493"/>
      <c r="JFC10" s="493"/>
      <c r="JFD10" s="493"/>
      <c r="JFE10" s="493"/>
      <c r="JFF10" s="493"/>
      <c r="JFG10" s="493"/>
      <c r="JFH10" s="493"/>
      <c r="JFI10" s="493"/>
      <c r="JFJ10" s="493"/>
      <c r="JFK10" s="493"/>
      <c r="JFL10" s="493"/>
      <c r="JFM10" s="493"/>
      <c r="JFN10" s="493"/>
      <c r="JFO10" s="493"/>
      <c r="JFP10" s="493"/>
      <c r="JFQ10" s="493"/>
      <c r="JFR10" s="493"/>
      <c r="JFS10" s="493"/>
      <c r="JFT10" s="493"/>
      <c r="JFU10" s="493"/>
      <c r="JFV10" s="493"/>
      <c r="JFW10" s="493"/>
      <c r="JFX10" s="493"/>
      <c r="JFY10" s="493"/>
      <c r="JFZ10" s="493"/>
      <c r="JGA10" s="493"/>
      <c r="JGB10" s="493"/>
      <c r="JGC10" s="493"/>
      <c r="JGD10" s="493"/>
      <c r="JGE10" s="493"/>
      <c r="JGF10" s="493"/>
      <c r="JGG10" s="493"/>
      <c r="JGH10" s="493"/>
      <c r="JGI10" s="493"/>
      <c r="JGJ10" s="493"/>
      <c r="JGK10" s="493"/>
      <c r="JGL10" s="493"/>
      <c r="JGM10" s="493"/>
      <c r="JGN10" s="493"/>
      <c r="JGO10" s="493"/>
      <c r="JGP10" s="493"/>
      <c r="JGQ10" s="493"/>
      <c r="JGR10" s="493"/>
      <c r="JGS10" s="493"/>
      <c r="JGT10" s="493"/>
      <c r="JGU10" s="493"/>
      <c r="JGV10" s="493"/>
      <c r="JGW10" s="493"/>
      <c r="JGX10" s="493"/>
      <c r="JGY10" s="493"/>
      <c r="JGZ10" s="493"/>
      <c r="JHA10" s="493"/>
      <c r="JHB10" s="493"/>
      <c r="JHC10" s="493"/>
      <c r="JHD10" s="493"/>
      <c r="JHE10" s="493"/>
      <c r="JHF10" s="493"/>
      <c r="JHG10" s="493"/>
      <c r="JHH10" s="493"/>
      <c r="JHI10" s="493"/>
      <c r="JHJ10" s="493"/>
      <c r="JHK10" s="493"/>
      <c r="JHL10" s="493"/>
      <c r="JHM10" s="493"/>
      <c r="JHN10" s="493"/>
      <c r="JHO10" s="493"/>
      <c r="JHP10" s="493"/>
      <c r="JHQ10" s="493"/>
      <c r="JHR10" s="493"/>
      <c r="JHS10" s="493"/>
      <c r="JHT10" s="493"/>
      <c r="JHU10" s="493"/>
      <c r="JHV10" s="493"/>
      <c r="JHW10" s="493"/>
      <c r="JHX10" s="493"/>
      <c r="JHY10" s="493"/>
      <c r="JHZ10" s="493"/>
      <c r="JIA10" s="493"/>
      <c r="JIB10" s="493"/>
      <c r="JIC10" s="493"/>
      <c r="JID10" s="493"/>
      <c r="JIE10" s="493"/>
      <c r="JIF10" s="493"/>
      <c r="JIG10" s="493"/>
      <c r="JIH10" s="493"/>
      <c r="JII10" s="493"/>
      <c r="JIJ10" s="493"/>
      <c r="JIK10" s="493"/>
      <c r="JIL10" s="493"/>
      <c r="JIM10" s="493"/>
      <c r="JIN10" s="493"/>
      <c r="JIO10" s="493"/>
      <c r="JIP10" s="493"/>
      <c r="JIQ10" s="493"/>
      <c r="JIR10" s="493"/>
      <c r="JIS10" s="493"/>
      <c r="JIT10" s="493"/>
      <c r="JIU10" s="493"/>
      <c r="JIV10" s="493"/>
      <c r="JIW10" s="493"/>
      <c r="JIX10" s="493"/>
      <c r="JIY10" s="493"/>
      <c r="JIZ10" s="493"/>
      <c r="JJA10" s="493"/>
      <c r="JJB10" s="493"/>
      <c r="JJC10" s="493"/>
      <c r="JJD10" s="493"/>
      <c r="JJE10" s="493"/>
      <c r="JJF10" s="493"/>
      <c r="JJG10" s="493"/>
      <c r="JJH10" s="493"/>
      <c r="JJI10" s="493"/>
      <c r="JJJ10" s="493"/>
      <c r="JJK10" s="493"/>
      <c r="JJL10" s="493"/>
      <c r="JJM10" s="493"/>
      <c r="JJN10" s="493"/>
      <c r="JJO10" s="493"/>
      <c r="JJP10" s="493"/>
      <c r="JJQ10" s="493"/>
      <c r="JJR10" s="493"/>
      <c r="JJS10" s="493"/>
      <c r="JJT10" s="493"/>
      <c r="JJU10" s="493"/>
      <c r="JJV10" s="493"/>
      <c r="JJW10" s="493"/>
      <c r="JJX10" s="493"/>
      <c r="JJY10" s="493"/>
      <c r="JJZ10" s="493"/>
      <c r="JKA10" s="493"/>
      <c r="JKB10" s="493"/>
      <c r="JKC10" s="493"/>
      <c r="JKD10" s="493"/>
      <c r="JKE10" s="493"/>
      <c r="JKF10" s="493"/>
      <c r="JKG10" s="493"/>
      <c r="JKH10" s="493"/>
      <c r="JKI10" s="493"/>
      <c r="JKJ10" s="493"/>
      <c r="JKK10" s="493"/>
      <c r="JKL10" s="493"/>
      <c r="JKM10" s="493"/>
      <c r="JKN10" s="493"/>
      <c r="JKO10" s="493"/>
      <c r="JKP10" s="493"/>
      <c r="JKQ10" s="493"/>
      <c r="JKR10" s="493"/>
      <c r="JKS10" s="493"/>
      <c r="JKT10" s="493"/>
      <c r="JKU10" s="493"/>
      <c r="JKV10" s="493"/>
      <c r="JKW10" s="493"/>
      <c r="JKX10" s="493"/>
      <c r="JKY10" s="493"/>
      <c r="JKZ10" s="493"/>
      <c r="JLA10" s="493"/>
      <c r="JLB10" s="493"/>
      <c r="JLC10" s="493"/>
      <c r="JLD10" s="493"/>
      <c r="JLE10" s="493"/>
      <c r="JLF10" s="493"/>
      <c r="JLG10" s="493"/>
      <c r="JLH10" s="493"/>
      <c r="JLI10" s="493"/>
      <c r="JLJ10" s="493"/>
      <c r="JLK10" s="493"/>
      <c r="JLL10" s="493"/>
      <c r="JLM10" s="493"/>
      <c r="JLN10" s="493"/>
      <c r="JLO10" s="493"/>
      <c r="JLP10" s="493"/>
      <c r="JLQ10" s="493"/>
      <c r="JLR10" s="493"/>
      <c r="JLS10" s="493"/>
      <c r="JLT10" s="493"/>
      <c r="JLU10" s="493"/>
      <c r="JLV10" s="493"/>
      <c r="JLW10" s="493"/>
      <c r="JLX10" s="493"/>
      <c r="JLY10" s="493"/>
      <c r="JLZ10" s="493"/>
      <c r="JMA10" s="493"/>
      <c r="JMB10" s="493"/>
      <c r="JMC10" s="493"/>
      <c r="JMD10" s="493"/>
      <c r="JME10" s="493"/>
      <c r="JMF10" s="493"/>
      <c r="JMG10" s="493"/>
      <c r="JMH10" s="493"/>
      <c r="JMI10" s="493"/>
      <c r="JMJ10" s="493"/>
      <c r="JMK10" s="493"/>
      <c r="JML10" s="493"/>
      <c r="JMM10" s="493"/>
      <c r="JMN10" s="493"/>
      <c r="JMO10" s="493"/>
      <c r="JMP10" s="493"/>
      <c r="JMQ10" s="493"/>
      <c r="JMR10" s="493"/>
      <c r="JMS10" s="493"/>
      <c r="JMT10" s="493"/>
      <c r="JMU10" s="493"/>
      <c r="JMV10" s="493"/>
      <c r="JMW10" s="493"/>
      <c r="JMX10" s="493"/>
      <c r="JMY10" s="493"/>
      <c r="JMZ10" s="493"/>
      <c r="JNA10" s="493"/>
      <c r="JNB10" s="493"/>
      <c r="JNC10" s="493"/>
      <c r="JND10" s="493"/>
      <c r="JNE10" s="493"/>
      <c r="JNF10" s="493"/>
      <c r="JNG10" s="493"/>
      <c r="JNH10" s="493"/>
      <c r="JNI10" s="493"/>
      <c r="JNJ10" s="493"/>
      <c r="JNK10" s="493"/>
      <c r="JNL10" s="493"/>
      <c r="JNM10" s="493"/>
      <c r="JNN10" s="493"/>
      <c r="JNO10" s="493"/>
      <c r="JNP10" s="493"/>
      <c r="JNQ10" s="493"/>
      <c r="JNR10" s="493"/>
      <c r="JNS10" s="493"/>
      <c r="JNT10" s="493"/>
      <c r="JNU10" s="493"/>
      <c r="JNV10" s="493"/>
      <c r="JNW10" s="493"/>
      <c r="JNX10" s="493"/>
      <c r="JNY10" s="493"/>
      <c r="JNZ10" s="493"/>
      <c r="JOA10" s="493"/>
      <c r="JOB10" s="493"/>
      <c r="JOC10" s="493"/>
      <c r="JOD10" s="493"/>
      <c r="JOE10" s="493"/>
      <c r="JOF10" s="493"/>
      <c r="JOG10" s="493"/>
      <c r="JOH10" s="493"/>
      <c r="JOI10" s="493"/>
      <c r="JOJ10" s="493"/>
      <c r="JOK10" s="493"/>
      <c r="JOL10" s="493"/>
      <c r="JOM10" s="493"/>
      <c r="JON10" s="493"/>
      <c r="JOO10" s="493"/>
      <c r="JOP10" s="493"/>
      <c r="JOQ10" s="493"/>
      <c r="JOR10" s="493"/>
      <c r="JOS10" s="493"/>
      <c r="JOT10" s="493"/>
      <c r="JOU10" s="493"/>
      <c r="JOV10" s="493"/>
      <c r="JOW10" s="493"/>
      <c r="JOX10" s="493"/>
      <c r="JOY10" s="493"/>
      <c r="JOZ10" s="493"/>
      <c r="JPA10" s="493"/>
      <c r="JPB10" s="493"/>
      <c r="JPC10" s="493"/>
      <c r="JPD10" s="493"/>
      <c r="JPE10" s="493"/>
      <c r="JPF10" s="493"/>
      <c r="JPG10" s="493"/>
      <c r="JPH10" s="493"/>
      <c r="JPI10" s="493"/>
      <c r="JPJ10" s="493"/>
      <c r="JPK10" s="493"/>
      <c r="JPL10" s="493"/>
      <c r="JPM10" s="493"/>
      <c r="JPN10" s="493"/>
      <c r="JPO10" s="493"/>
      <c r="JPP10" s="493"/>
      <c r="JPQ10" s="493"/>
      <c r="JPR10" s="493"/>
      <c r="JPS10" s="493"/>
      <c r="JPT10" s="493"/>
      <c r="JPU10" s="493"/>
      <c r="JPV10" s="493"/>
      <c r="JPW10" s="493"/>
      <c r="JPX10" s="493"/>
      <c r="JPY10" s="493"/>
      <c r="JPZ10" s="493"/>
      <c r="JQA10" s="493"/>
      <c r="JQB10" s="493"/>
      <c r="JQC10" s="493"/>
      <c r="JQD10" s="493"/>
      <c r="JQE10" s="493"/>
      <c r="JQF10" s="493"/>
      <c r="JQG10" s="493"/>
      <c r="JQH10" s="493"/>
      <c r="JQI10" s="493"/>
      <c r="JQJ10" s="493"/>
      <c r="JQK10" s="493"/>
      <c r="JQL10" s="493"/>
      <c r="JQM10" s="493"/>
      <c r="JQN10" s="493"/>
      <c r="JQO10" s="493"/>
      <c r="JQP10" s="493"/>
      <c r="JQQ10" s="493"/>
      <c r="JQR10" s="493"/>
      <c r="JQS10" s="493"/>
      <c r="JQT10" s="493"/>
      <c r="JQU10" s="493"/>
      <c r="JQV10" s="493"/>
      <c r="JQW10" s="493"/>
      <c r="JQX10" s="493"/>
      <c r="JQY10" s="493"/>
      <c r="JQZ10" s="493"/>
      <c r="JRA10" s="493"/>
      <c r="JRB10" s="493"/>
      <c r="JRC10" s="493"/>
      <c r="JRD10" s="493"/>
      <c r="JRE10" s="493"/>
      <c r="JRF10" s="493"/>
      <c r="JRG10" s="493"/>
      <c r="JRH10" s="493"/>
      <c r="JRI10" s="493"/>
      <c r="JRJ10" s="493"/>
      <c r="JRK10" s="493"/>
      <c r="JRL10" s="493"/>
      <c r="JRM10" s="493"/>
      <c r="JRN10" s="493"/>
      <c r="JRO10" s="493"/>
      <c r="JRP10" s="493"/>
      <c r="JRQ10" s="493"/>
      <c r="JRR10" s="493"/>
      <c r="JRS10" s="493"/>
      <c r="JRT10" s="493"/>
      <c r="JRU10" s="493"/>
      <c r="JRV10" s="493"/>
      <c r="JRW10" s="493"/>
      <c r="JRX10" s="493"/>
      <c r="JRY10" s="493"/>
      <c r="JRZ10" s="493"/>
      <c r="JSA10" s="493"/>
      <c r="JSB10" s="493"/>
      <c r="JSC10" s="493"/>
      <c r="JSD10" s="493"/>
      <c r="JSE10" s="493"/>
      <c r="JSF10" s="493"/>
      <c r="JSG10" s="493"/>
      <c r="JSH10" s="493"/>
      <c r="JSI10" s="493"/>
      <c r="JSJ10" s="493"/>
      <c r="JSK10" s="493"/>
      <c r="JSL10" s="493"/>
      <c r="JSM10" s="493"/>
      <c r="JSN10" s="493"/>
      <c r="JSO10" s="493"/>
      <c r="JSP10" s="493"/>
      <c r="JSQ10" s="493"/>
      <c r="JSR10" s="493"/>
      <c r="JSS10" s="493"/>
      <c r="JST10" s="493"/>
      <c r="JSU10" s="493"/>
      <c r="JSV10" s="493"/>
      <c r="JSW10" s="493"/>
      <c r="JSX10" s="493"/>
      <c r="JSY10" s="493"/>
      <c r="JSZ10" s="493"/>
      <c r="JTA10" s="493"/>
      <c r="JTB10" s="493"/>
      <c r="JTC10" s="493"/>
      <c r="JTD10" s="493"/>
      <c r="JTE10" s="493"/>
      <c r="JTF10" s="493"/>
      <c r="JTG10" s="493"/>
      <c r="JTH10" s="493"/>
      <c r="JTI10" s="493"/>
      <c r="JTJ10" s="493"/>
      <c r="JTK10" s="493"/>
      <c r="JTL10" s="493"/>
      <c r="JTM10" s="493"/>
      <c r="JTN10" s="493"/>
      <c r="JTO10" s="493"/>
      <c r="JTP10" s="493"/>
      <c r="JTQ10" s="493"/>
      <c r="JTR10" s="493"/>
      <c r="JTS10" s="493"/>
      <c r="JTT10" s="493"/>
      <c r="JTU10" s="493"/>
      <c r="JTV10" s="493"/>
      <c r="JTW10" s="493"/>
      <c r="JTX10" s="493"/>
      <c r="JTY10" s="493"/>
      <c r="JTZ10" s="493"/>
      <c r="JUA10" s="493"/>
      <c r="JUB10" s="493"/>
      <c r="JUC10" s="493"/>
      <c r="JUD10" s="493"/>
      <c r="JUE10" s="493"/>
      <c r="JUF10" s="493"/>
      <c r="JUG10" s="493"/>
      <c r="JUH10" s="493"/>
      <c r="JUI10" s="493"/>
      <c r="JUJ10" s="493"/>
      <c r="JUK10" s="493"/>
      <c r="JUL10" s="493"/>
      <c r="JUM10" s="493"/>
      <c r="JUN10" s="493"/>
      <c r="JUO10" s="493"/>
      <c r="JUP10" s="493"/>
      <c r="JUQ10" s="493"/>
      <c r="JUR10" s="493"/>
      <c r="JUS10" s="493"/>
      <c r="JUT10" s="493"/>
      <c r="JUU10" s="493"/>
      <c r="JUV10" s="493"/>
      <c r="JUW10" s="493"/>
      <c r="JUX10" s="493"/>
      <c r="JUY10" s="493"/>
      <c r="JUZ10" s="493"/>
      <c r="JVA10" s="493"/>
      <c r="JVB10" s="493"/>
      <c r="JVC10" s="493"/>
      <c r="JVD10" s="493"/>
      <c r="JVE10" s="493"/>
      <c r="JVF10" s="493"/>
      <c r="JVG10" s="493"/>
      <c r="JVH10" s="493"/>
      <c r="JVI10" s="493"/>
      <c r="JVJ10" s="493"/>
      <c r="JVK10" s="493"/>
      <c r="JVL10" s="493"/>
      <c r="JVM10" s="493"/>
      <c r="JVN10" s="493"/>
      <c r="JVO10" s="493"/>
      <c r="JVP10" s="493"/>
      <c r="JVQ10" s="493"/>
      <c r="JVR10" s="493"/>
      <c r="JVS10" s="493"/>
      <c r="JVT10" s="493"/>
      <c r="JVU10" s="493"/>
      <c r="JVV10" s="493"/>
      <c r="JVW10" s="493"/>
      <c r="JVX10" s="493"/>
      <c r="JVY10" s="493"/>
      <c r="JVZ10" s="493"/>
      <c r="JWA10" s="493"/>
      <c r="JWB10" s="493"/>
      <c r="JWC10" s="493"/>
      <c r="JWD10" s="493"/>
      <c r="JWE10" s="493"/>
      <c r="JWF10" s="493"/>
      <c r="JWG10" s="493"/>
      <c r="JWH10" s="493"/>
      <c r="JWI10" s="493"/>
      <c r="JWJ10" s="493"/>
      <c r="JWK10" s="493"/>
      <c r="JWL10" s="493"/>
      <c r="JWM10" s="493"/>
      <c r="JWN10" s="493"/>
      <c r="JWO10" s="493"/>
      <c r="JWP10" s="493"/>
      <c r="JWQ10" s="493"/>
      <c r="JWR10" s="493"/>
      <c r="JWS10" s="493"/>
      <c r="JWT10" s="493"/>
      <c r="JWU10" s="493"/>
      <c r="JWV10" s="493"/>
      <c r="JWW10" s="493"/>
      <c r="JWX10" s="493"/>
      <c r="JWY10" s="493"/>
      <c r="JWZ10" s="493"/>
      <c r="JXA10" s="493"/>
      <c r="JXB10" s="493"/>
      <c r="JXC10" s="493"/>
      <c r="JXD10" s="493"/>
      <c r="JXE10" s="493"/>
      <c r="JXF10" s="493"/>
      <c r="JXG10" s="493"/>
      <c r="JXH10" s="493"/>
      <c r="JXI10" s="493"/>
      <c r="JXJ10" s="493"/>
      <c r="JXK10" s="493"/>
      <c r="JXL10" s="493"/>
      <c r="JXM10" s="493"/>
      <c r="JXN10" s="493"/>
      <c r="JXO10" s="493"/>
      <c r="JXP10" s="493"/>
      <c r="JXQ10" s="493"/>
      <c r="JXR10" s="493"/>
      <c r="JXS10" s="493"/>
      <c r="JXT10" s="493"/>
      <c r="JXU10" s="493"/>
      <c r="JXV10" s="493"/>
      <c r="JXW10" s="493"/>
      <c r="JXX10" s="493"/>
      <c r="JXY10" s="493"/>
      <c r="JXZ10" s="493"/>
      <c r="JYA10" s="493"/>
      <c r="JYB10" s="493"/>
      <c r="JYC10" s="493"/>
      <c r="JYD10" s="493"/>
      <c r="JYE10" s="493"/>
      <c r="JYF10" s="493"/>
      <c r="JYG10" s="493"/>
      <c r="JYH10" s="493"/>
      <c r="JYI10" s="493"/>
      <c r="JYJ10" s="493"/>
      <c r="JYK10" s="493"/>
      <c r="JYL10" s="493"/>
      <c r="JYM10" s="493"/>
      <c r="JYN10" s="493"/>
      <c r="JYO10" s="493"/>
      <c r="JYP10" s="493"/>
      <c r="JYQ10" s="493"/>
      <c r="JYR10" s="493"/>
      <c r="JYS10" s="493"/>
      <c r="JYT10" s="493"/>
      <c r="JYU10" s="493"/>
      <c r="JYV10" s="493"/>
      <c r="JYW10" s="493"/>
      <c r="JYX10" s="493"/>
      <c r="JYY10" s="493"/>
      <c r="JYZ10" s="493"/>
      <c r="JZA10" s="493"/>
      <c r="JZB10" s="493"/>
      <c r="JZC10" s="493"/>
      <c r="JZD10" s="493"/>
      <c r="JZE10" s="493"/>
      <c r="JZF10" s="493"/>
      <c r="JZG10" s="493"/>
      <c r="JZH10" s="493"/>
      <c r="JZI10" s="493"/>
      <c r="JZJ10" s="493"/>
      <c r="JZK10" s="493"/>
      <c r="JZL10" s="493"/>
      <c r="JZM10" s="493"/>
      <c r="JZN10" s="493"/>
      <c r="JZO10" s="493"/>
      <c r="JZP10" s="493"/>
      <c r="JZQ10" s="493"/>
      <c r="JZR10" s="493"/>
      <c r="JZS10" s="493"/>
      <c r="JZT10" s="493"/>
      <c r="JZU10" s="493"/>
      <c r="JZV10" s="493"/>
      <c r="JZW10" s="493"/>
      <c r="JZX10" s="493"/>
      <c r="JZY10" s="493"/>
      <c r="JZZ10" s="493"/>
      <c r="KAA10" s="493"/>
      <c r="KAB10" s="493"/>
      <c r="KAC10" s="493"/>
      <c r="KAD10" s="493"/>
      <c r="KAE10" s="493"/>
      <c r="KAF10" s="493"/>
      <c r="KAG10" s="493"/>
      <c r="KAH10" s="493"/>
      <c r="KAI10" s="493"/>
      <c r="KAJ10" s="493"/>
      <c r="KAK10" s="493"/>
      <c r="KAL10" s="493"/>
      <c r="KAM10" s="493"/>
      <c r="KAN10" s="493"/>
      <c r="KAO10" s="493"/>
      <c r="KAP10" s="493"/>
      <c r="KAQ10" s="493"/>
      <c r="KAR10" s="493"/>
      <c r="KAS10" s="493"/>
      <c r="KAT10" s="493"/>
      <c r="KAU10" s="493"/>
      <c r="KAV10" s="493"/>
      <c r="KAW10" s="493"/>
      <c r="KAX10" s="493"/>
      <c r="KAY10" s="493"/>
      <c r="KAZ10" s="493"/>
      <c r="KBA10" s="493"/>
      <c r="KBB10" s="493"/>
      <c r="KBC10" s="493"/>
      <c r="KBD10" s="493"/>
      <c r="KBE10" s="493"/>
      <c r="KBF10" s="493"/>
      <c r="KBG10" s="493"/>
      <c r="KBH10" s="493"/>
      <c r="KBI10" s="493"/>
      <c r="KBJ10" s="493"/>
      <c r="KBK10" s="493"/>
      <c r="KBL10" s="493"/>
      <c r="KBM10" s="493"/>
      <c r="KBN10" s="493"/>
      <c r="KBO10" s="493"/>
      <c r="KBP10" s="493"/>
      <c r="KBQ10" s="493"/>
      <c r="KBR10" s="493"/>
      <c r="KBS10" s="493"/>
      <c r="KBT10" s="493"/>
      <c r="KBU10" s="493"/>
      <c r="KBV10" s="493"/>
      <c r="KBW10" s="493"/>
      <c r="KBX10" s="493"/>
      <c r="KBY10" s="493"/>
      <c r="KBZ10" s="493"/>
      <c r="KCA10" s="493"/>
      <c r="KCB10" s="493"/>
      <c r="KCC10" s="493"/>
      <c r="KCD10" s="493"/>
      <c r="KCE10" s="493"/>
      <c r="KCF10" s="493"/>
      <c r="KCG10" s="493"/>
      <c r="KCH10" s="493"/>
      <c r="KCI10" s="493"/>
      <c r="KCJ10" s="493"/>
      <c r="KCK10" s="493"/>
      <c r="KCL10" s="493"/>
      <c r="KCM10" s="493"/>
      <c r="KCN10" s="493"/>
      <c r="KCO10" s="493"/>
      <c r="KCP10" s="493"/>
      <c r="KCQ10" s="493"/>
      <c r="KCR10" s="493"/>
      <c r="KCS10" s="493"/>
      <c r="KCT10" s="493"/>
      <c r="KCU10" s="493"/>
      <c r="KCV10" s="493"/>
      <c r="KCW10" s="493"/>
      <c r="KCX10" s="493"/>
      <c r="KCY10" s="493"/>
      <c r="KCZ10" s="493"/>
      <c r="KDA10" s="493"/>
      <c r="KDB10" s="493"/>
      <c r="KDC10" s="493"/>
      <c r="KDD10" s="493"/>
      <c r="KDE10" s="493"/>
      <c r="KDF10" s="493"/>
      <c r="KDG10" s="493"/>
      <c r="KDH10" s="493"/>
      <c r="KDI10" s="493"/>
      <c r="KDJ10" s="493"/>
      <c r="KDK10" s="493"/>
      <c r="KDL10" s="493"/>
      <c r="KDM10" s="493"/>
      <c r="KDN10" s="493"/>
      <c r="KDO10" s="493"/>
      <c r="KDP10" s="493"/>
      <c r="KDQ10" s="493"/>
      <c r="KDR10" s="493"/>
      <c r="KDS10" s="493"/>
      <c r="KDT10" s="493"/>
      <c r="KDU10" s="493"/>
      <c r="KDV10" s="493"/>
      <c r="KDW10" s="493"/>
      <c r="KDX10" s="493"/>
      <c r="KDY10" s="493"/>
      <c r="KDZ10" s="493"/>
      <c r="KEA10" s="493"/>
      <c r="KEB10" s="493"/>
      <c r="KEC10" s="493"/>
      <c r="KED10" s="493"/>
      <c r="KEE10" s="493"/>
      <c r="KEF10" s="493"/>
      <c r="KEG10" s="493"/>
      <c r="KEH10" s="493"/>
      <c r="KEI10" s="493"/>
      <c r="KEJ10" s="493"/>
      <c r="KEK10" s="493"/>
      <c r="KEL10" s="493"/>
      <c r="KEM10" s="493"/>
      <c r="KEN10" s="493"/>
      <c r="KEO10" s="493"/>
      <c r="KEP10" s="493"/>
      <c r="KEQ10" s="493"/>
      <c r="KER10" s="493"/>
      <c r="KES10" s="493"/>
      <c r="KET10" s="493"/>
      <c r="KEU10" s="493"/>
      <c r="KEV10" s="493"/>
      <c r="KEW10" s="493"/>
      <c r="KEX10" s="493"/>
      <c r="KEY10" s="493"/>
      <c r="KEZ10" s="493"/>
      <c r="KFA10" s="493"/>
      <c r="KFB10" s="493"/>
      <c r="KFC10" s="493"/>
      <c r="KFD10" s="493"/>
      <c r="KFE10" s="493"/>
      <c r="KFF10" s="493"/>
      <c r="KFG10" s="493"/>
      <c r="KFH10" s="493"/>
      <c r="KFI10" s="493"/>
      <c r="KFJ10" s="493"/>
      <c r="KFK10" s="493"/>
      <c r="KFL10" s="493"/>
      <c r="KFM10" s="493"/>
      <c r="KFN10" s="493"/>
      <c r="KFO10" s="493"/>
      <c r="KFP10" s="493"/>
      <c r="KFQ10" s="493"/>
      <c r="KFR10" s="493"/>
      <c r="KFS10" s="493"/>
      <c r="KFT10" s="493"/>
      <c r="KFU10" s="493"/>
      <c r="KFV10" s="493"/>
      <c r="KFW10" s="493"/>
      <c r="KFX10" s="493"/>
      <c r="KFY10" s="493"/>
      <c r="KFZ10" s="493"/>
      <c r="KGA10" s="493"/>
      <c r="KGB10" s="493"/>
      <c r="KGC10" s="493"/>
      <c r="KGD10" s="493"/>
      <c r="KGE10" s="493"/>
      <c r="KGF10" s="493"/>
      <c r="KGG10" s="493"/>
      <c r="KGH10" s="493"/>
      <c r="KGI10" s="493"/>
      <c r="KGJ10" s="493"/>
      <c r="KGK10" s="493"/>
      <c r="KGL10" s="493"/>
      <c r="KGM10" s="493"/>
      <c r="KGN10" s="493"/>
      <c r="KGO10" s="493"/>
      <c r="KGP10" s="493"/>
      <c r="KGQ10" s="493"/>
      <c r="KGR10" s="493"/>
      <c r="KGS10" s="493"/>
      <c r="KGT10" s="493"/>
      <c r="KGU10" s="493"/>
      <c r="KGV10" s="493"/>
      <c r="KGW10" s="493"/>
      <c r="KGX10" s="493"/>
      <c r="KGY10" s="493"/>
      <c r="KGZ10" s="493"/>
      <c r="KHA10" s="493"/>
      <c r="KHB10" s="493"/>
      <c r="KHC10" s="493"/>
      <c r="KHD10" s="493"/>
      <c r="KHE10" s="493"/>
      <c r="KHF10" s="493"/>
      <c r="KHG10" s="493"/>
      <c r="KHH10" s="493"/>
      <c r="KHI10" s="493"/>
      <c r="KHJ10" s="493"/>
      <c r="KHK10" s="493"/>
      <c r="KHL10" s="493"/>
      <c r="KHM10" s="493"/>
      <c r="KHN10" s="493"/>
      <c r="KHO10" s="493"/>
      <c r="KHP10" s="493"/>
      <c r="KHQ10" s="493"/>
      <c r="KHR10" s="493"/>
      <c r="KHS10" s="493"/>
      <c r="KHT10" s="493"/>
      <c r="KHU10" s="493"/>
      <c r="KHV10" s="493"/>
      <c r="KHW10" s="493"/>
      <c r="KHX10" s="493"/>
      <c r="KHY10" s="493"/>
      <c r="KHZ10" s="493"/>
      <c r="KIA10" s="493"/>
      <c r="KIB10" s="493"/>
      <c r="KIC10" s="493"/>
      <c r="KID10" s="493"/>
      <c r="KIE10" s="493"/>
      <c r="KIF10" s="493"/>
      <c r="KIG10" s="493"/>
      <c r="KIH10" s="493"/>
      <c r="KII10" s="493"/>
      <c r="KIJ10" s="493"/>
      <c r="KIK10" s="493"/>
      <c r="KIL10" s="493"/>
      <c r="KIM10" s="493"/>
      <c r="KIN10" s="493"/>
      <c r="KIO10" s="493"/>
      <c r="KIP10" s="493"/>
      <c r="KIQ10" s="493"/>
      <c r="KIR10" s="493"/>
      <c r="KIS10" s="493"/>
      <c r="KIT10" s="493"/>
      <c r="KIU10" s="493"/>
      <c r="KIV10" s="493"/>
      <c r="KIW10" s="493"/>
      <c r="KIX10" s="493"/>
      <c r="KIY10" s="493"/>
      <c r="KIZ10" s="493"/>
      <c r="KJA10" s="493"/>
      <c r="KJB10" s="493"/>
      <c r="KJC10" s="493"/>
      <c r="KJD10" s="493"/>
      <c r="KJE10" s="493"/>
      <c r="KJF10" s="493"/>
      <c r="KJG10" s="493"/>
      <c r="KJH10" s="493"/>
      <c r="KJI10" s="493"/>
      <c r="KJJ10" s="493"/>
      <c r="KJK10" s="493"/>
      <c r="KJL10" s="493"/>
      <c r="KJM10" s="493"/>
      <c r="KJN10" s="493"/>
      <c r="KJO10" s="493"/>
      <c r="KJP10" s="493"/>
      <c r="KJQ10" s="493"/>
      <c r="KJR10" s="493"/>
      <c r="KJS10" s="493"/>
      <c r="KJT10" s="493"/>
      <c r="KJU10" s="493"/>
      <c r="KJV10" s="493"/>
      <c r="KJW10" s="493"/>
      <c r="KJX10" s="493"/>
      <c r="KJY10" s="493"/>
      <c r="KJZ10" s="493"/>
      <c r="KKA10" s="493"/>
      <c r="KKB10" s="493"/>
      <c r="KKC10" s="493"/>
      <c r="KKD10" s="493"/>
      <c r="KKE10" s="493"/>
      <c r="KKF10" s="493"/>
      <c r="KKG10" s="493"/>
      <c r="KKH10" s="493"/>
      <c r="KKI10" s="493"/>
      <c r="KKJ10" s="493"/>
      <c r="KKK10" s="493"/>
      <c r="KKL10" s="493"/>
      <c r="KKM10" s="493"/>
      <c r="KKN10" s="493"/>
      <c r="KKO10" s="493"/>
      <c r="KKP10" s="493"/>
      <c r="KKQ10" s="493"/>
      <c r="KKR10" s="493"/>
      <c r="KKS10" s="493"/>
      <c r="KKT10" s="493"/>
      <c r="KKU10" s="493"/>
      <c r="KKV10" s="493"/>
      <c r="KKW10" s="493"/>
      <c r="KKX10" s="493"/>
      <c r="KKY10" s="493"/>
      <c r="KKZ10" s="493"/>
      <c r="KLA10" s="493"/>
      <c r="KLB10" s="493"/>
      <c r="KLC10" s="493"/>
      <c r="KLD10" s="493"/>
      <c r="KLE10" s="493"/>
      <c r="KLF10" s="493"/>
      <c r="KLG10" s="493"/>
      <c r="KLH10" s="493"/>
      <c r="KLI10" s="493"/>
      <c r="KLJ10" s="493"/>
      <c r="KLK10" s="493"/>
      <c r="KLL10" s="493"/>
      <c r="KLM10" s="493"/>
      <c r="KLN10" s="493"/>
      <c r="KLO10" s="493"/>
      <c r="KLP10" s="493"/>
      <c r="KLQ10" s="493"/>
      <c r="KLR10" s="493"/>
      <c r="KLS10" s="493"/>
      <c r="KLT10" s="493"/>
      <c r="KLU10" s="493"/>
      <c r="KLV10" s="493"/>
      <c r="KLW10" s="493"/>
      <c r="KLX10" s="493"/>
      <c r="KLY10" s="493"/>
      <c r="KLZ10" s="493"/>
      <c r="KMA10" s="493"/>
      <c r="KMB10" s="493"/>
      <c r="KMC10" s="493"/>
      <c r="KMD10" s="493"/>
      <c r="KME10" s="493"/>
      <c r="KMF10" s="493"/>
      <c r="KMG10" s="493"/>
      <c r="KMH10" s="493"/>
      <c r="KMI10" s="493"/>
      <c r="KMJ10" s="493"/>
      <c r="KMK10" s="493"/>
      <c r="KML10" s="493"/>
      <c r="KMM10" s="493"/>
      <c r="KMN10" s="493"/>
      <c r="KMO10" s="493"/>
      <c r="KMP10" s="493"/>
      <c r="KMQ10" s="493"/>
      <c r="KMR10" s="493"/>
      <c r="KMS10" s="493"/>
      <c r="KMT10" s="493"/>
      <c r="KMU10" s="493"/>
      <c r="KMV10" s="493"/>
      <c r="KMW10" s="493"/>
      <c r="KMX10" s="493"/>
      <c r="KMY10" s="493"/>
      <c r="KMZ10" s="493"/>
      <c r="KNA10" s="493"/>
      <c r="KNB10" s="493"/>
      <c r="KNC10" s="493"/>
      <c r="KND10" s="493"/>
      <c r="KNE10" s="493"/>
      <c r="KNF10" s="493"/>
      <c r="KNG10" s="493"/>
      <c r="KNH10" s="493"/>
      <c r="KNI10" s="493"/>
      <c r="KNJ10" s="493"/>
      <c r="KNK10" s="493"/>
      <c r="KNL10" s="493"/>
      <c r="KNM10" s="493"/>
      <c r="KNN10" s="493"/>
      <c r="KNO10" s="493"/>
      <c r="KNP10" s="493"/>
      <c r="KNQ10" s="493"/>
      <c r="KNR10" s="493"/>
      <c r="KNS10" s="493"/>
      <c r="KNT10" s="493"/>
      <c r="KNU10" s="493"/>
      <c r="KNV10" s="493"/>
      <c r="KNW10" s="493"/>
      <c r="KNX10" s="493"/>
      <c r="KNY10" s="493"/>
      <c r="KNZ10" s="493"/>
      <c r="KOA10" s="493"/>
      <c r="KOB10" s="493"/>
      <c r="KOC10" s="493"/>
      <c r="KOD10" s="493"/>
      <c r="KOE10" s="493"/>
      <c r="KOF10" s="493"/>
      <c r="KOG10" s="493"/>
      <c r="KOH10" s="493"/>
      <c r="KOI10" s="493"/>
      <c r="KOJ10" s="493"/>
      <c r="KOK10" s="493"/>
      <c r="KOL10" s="493"/>
      <c r="KOM10" s="493"/>
      <c r="KON10" s="493"/>
      <c r="KOO10" s="493"/>
      <c r="KOP10" s="493"/>
      <c r="KOQ10" s="493"/>
      <c r="KOR10" s="493"/>
      <c r="KOS10" s="493"/>
      <c r="KOT10" s="493"/>
      <c r="KOU10" s="493"/>
      <c r="KOV10" s="493"/>
      <c r="KOW10" s="493"/>
      <c r="KOX10" s="493"/>
      <c r="KOY10" s="493"/>
      <c r="KOZ10" s="493"/>
      <c r="KPA10" s="493"/>
      <c r="KPB10" s="493"/>
      <c r="KPC10" s="493"/>
      <c r="KPD10" s="493"/>
      <c r="KPE10" s="493"/>
      <c r="KPF10" s="493"/>
      <c r="KPG10" s="493"/>
      <c r="KPH10" s="493"/>
      <c r="KPI10" s="493"/>
      <c r="KPJ10" s="493"/>
      <c r="KPK10" s="493"/>
      <c r="KPL10" s="493"/>
      <c r="KPM10" s="493"/>
      <c r="KPN10" s="493"/>
      <c r="KPO10" s="493"/>
      <c r="KPP10" s="493"/>
      <c r="KPQ10" s="493"/>
      <c r="KPR10" s="493"/>
      <c r="KPS10" s="493"/>
      <c r="KPT10" s="493"/>
      <c r="KPU10" s="493"/>
      <c r="KPV10" s="493"/>
      <c r="KPW10" s="493"/>
      <c r="KPX10" s="493"/>
      <c r="KPY10" s="493"/>
      <c r="KPZ10" s="493"/>
      <c r="KQA10" s="493"/>
      <c r="KQB10" s="493"/>
      <c r="KQC10" s="493"/>
      <c r="KQD10" s="493"/>
      <c r="KQE10" s="493"/>
      <c r="KQF10" s="493"/>
      <c r="KQG10" s="493"/>
      <c r="KQH10" s="493"/>
      <c r="KQI10" s="493"/>
      <c r="KQJ10" s="493"/>
      <c r="KQK10" s="493"/>
      <c r="KQL10" s="493"/>
      <c r="KQM10" s="493"/>
      <c r="KQN10" s="493"/>
      <c r="KQO10" s="493"/>
      <c r="KQP10" s="493"/>
      <c r="KQQ10" s="493"/>
      <c r="KQR10" s="493"/>
      <c r="KQS10" s="493"/>
      <c r="KQT10" s="493"/>
      <c r="KQU10" s="493"/>
      <c r="KQV10" s="493"/>
      <c r="KQW10" s="493"/>
      <c r="KQX10" s="493"/>
      <c r="KQY10" s="493"/>
      <c r="KQZ10" s="493"/>
      <c r="KRA10" s="493"/>
      <c r="KRB10" s="493"/>
      <c r="KRC10" s="493"/>
      <c r="KRD10" s="493"/>
      <c r="KRE10" s="493"/>
      <c r="KRF10" s="493"/>
      <c r="KRG10" s="493"/>
      <c r="KRH10" s="493"/>
      <c r="KRI10" s="493"/>
      <c r="KRJ10" s="493"/>
      <c r="KRK10" s="493"/>
      <c r="KRL10" s="493"/>
      <c r="KRM10" s="493"/>
      <c r="KRN10" s="493"/>
      <c r="KRO10" s="493"/>
      <c r="KRP10" s="493"/>
      <c r="KRQ10" s="493"/>
      <c r="KRR10" s="493"/>
      <c r="KRS10" s="493"/>
      <c r="KRT10" s="493"/>
      <c r="KRU10" s="493"/>
      <c r="KRV10" s="493"/>
      <c r="KRW10" s="493"/>
      <c r="KRX10" s="493"/>
      <c r="KRY10" s="493"/>
      <c r="KRZ10" s="493"/>
      <c r="KSA10" s="493"/>
      <c r="KSB10" s="493"/>
      <c r="KSC10" s="493"/>
      <c r="KSD10" s="493"/>
      <c r="KSE10" s="493"/>
      <c r="KSF10" s="493"/>
      <c r="KSG10" s="493"/>
      <c r="KSH10" s="493"/>
      <c r="KSI10" s="493"/>
      <c r="KSJ10" s="493"/>
      <c r="KSK10" s="493"/>
      <c r="KSL10" s="493"/>
      <c r="KSM10" s="493"/>
      <c r="KSN10" s="493"/>
      <c r="KSO10" s="493"/>
      <c r="KSP10" s="493"/>
      <c r="KSQ10" s="493"/>
      <c r="KSR10" s="493"/>
      <c r="KSS10" s="493"/>
      <c r="KST10" s="493"/>
      <c r="KSU10" s="493"/>
      <c r="KSV10" s="493"/>
      <c r="KSW10" s="493"/>
      <c r="KSX10" s="493"/>
      <c r="KSY10" s="493"/>
      <c r="KSZ10" s="493"/>
      <c r="KTA10" s="493"/>
      <c r="KTB10" s="493"/>
      <c r="KTC10" s="493"/>
      <c r="KTD10" s="493"/>
      <c r="KTE10" s="493"/>
      <c r="KTF10" s="493"/>
      <c r="KTG10" s="493"/>
      <c r="KTH10" s="493"/>
      <c r="KTI10" s="493"/>
      <c r="KTJ10" s="493"/>
      <c r="KTK10" s="493"/>
      <c r="KTL10" s="493"/>
      <c r="KTM10" s="493"/>
      <c r="KTN10" s="493"/>
      <c r="KTO10" s="493"/>
      <c r="KTP10" s="493"/>
      <c r="KTQ10" s="493"/>
      <c r="KTR10" s="493"/>
      <c r="KTS10" s="493"/>
      <c r="KTT10" s="493"/>
      <c r="KTU10" s="493"/>
      <c r="KTV10" s="493"/>
      <c r="KTW10" s="493"/>
      <c r="KTX10" s="493"/>
      <c r="KTY10" s="493"/>
      <c r="KTZ10" s="493"/>
      <c r="KUA10" s="493"/>
      <c r="KUB10" s="493"/>
      <c r="KUC10" s="493"/>
      <c r="KUD10" s="493"/>
      <c r="KUE10" s="493"/>
      <c r="KUF10" s="493"/>
      <c r="KUG10" s="493"/>
      <c r="KUH10" s="493"/>
      <c r="KUI10" s="493"/>
      <c r="KUJ10" s="493"/>
      <c r="KUK10" s="493"/>
      <c r="KUL10" s="493"/>
      <c r="KUM10" s="493"/>
      <c r="KUN10" s="493"/>
      <c r="KUO10" s="493"/>
      <c r="KUP10" s="493"/>
      <c r="KUQ10" s="493"/>
      <c r="KUR10" s="493"/>
      <c r="KUS10" s="493"/>
      <c r="KUT10" s="493"/>
      <c r="KUU10" s="493"/>
      <c r="KUV10" s="493"/>
      <c r="KUW10" s="493"/>
      <c r="KUX10" s="493"/>
      <c r="KUY10" s="493"/>
      <c r="KUZ10" s="493"/>
      <c r="KVA10" s="493"/>
      <c r="KVB10" s="493"/>
      <c r="KVC10" s="493"/>
      <c r="KVD10" s="493"/>
      <c r="KVE10" s="493"/>
      <c r="KVF10" s="493"/>
      <c r="KVG10" s="493"/>
      <c r="KVH10" s="493"/>
      <c r="KVI10" s="493"/>
      <c r="KVJ10" s="493"/>
      <c r="KVK10" s="493"/>
      <c r="KVL10" s="493"/>
      <c r="KVM10" s="493"/>
      <c r="KVN10" s="493"/>
      <c r="KVO10" s="493"/>
      <c r="KVP10" s="493"/>
      <c r="KVQ10" s="493"/>
      <c r="KVR10" s="493"/>
      <c r="KVS10" s="493"/>
      <c r="KVT10" s="493"/>
      <c r="KVU10" s="493"/>
      <c r="KVV10" s="493"/>
      <c r="KVW10" s="493"/>
      <c r="KVX10" s="493"/>
      <c r="KVY10" s="493"/>
      <c r="KVZ10" s="493"/>
      <c r="KWA10" s="493"/>
      <c r="KWB10" s="493"/>
      <c r="KWC10" s="493"/>
      <c r="KWD10" s="493"/>
      <c r="KWE10" s="493"/>
      <c r="KWF10" s="493"/>
      <c r="KWG10" s="493"/>
      <c r="KWH10" s="493"/>
      <c r="KWI10" s="493"/>
      <c r="KWJ10" s="493"/>
      <c r="KWK10" s="493"/>
      <c r="KWL10" s="493"/>
      <c r="KWM10" s="493"/>
      <c r="KWN10" s="493"/>
      <c r="KWO10" s="493"/>
      <c r="KWP10" s="493"/>
      <c r="KWQ10" s="493"/>
      <c r="KWR10" s="493"/>
      <c r="KWS10" s="493"/>
      <c r="KWT10" s="493"/>
      <c r="KWU10" s="493"/>
      <c r="KWV10" s="493"/>
      <c r="KWW10" s="493"/>
      <c r="KWX10" s="493"/>
      <c r="KWY10" s="493"/>
      <c r="KWZ10" s="493"/>
      <c r="KXA10" s="493"/>
      <c r="KXB10" s="493"/>
      <c r="KXC10" s="493"/>
      <c r="KXD10" s="493"/>
      <c r="KXE10" s="493"/>
      <c r="KXF10" s="493"/>
      <c r="KXG10" s="493"/>
      <c r="KXH10" s="493"/>
      <c r="KXI10" s="493"/>
      <c r="KXJ10" s="493"/>
      <c r="KXK10" s="493"/>
      <c r="KXL10" s="493"/>
      <c r="KXM10" s="493"/>
      <c r="KXN10" s="493"/>
      <c r="KXO10" s="493"/>
      <c r="KXP10" s="493"/>
      <c r="KXQ10" s="493"/>
      <c r="KXR10" s="493"/>
      <c r="KXS10" s="493"/>
      <c r="KXT10" s="493"/>
      <c r="KXU10" s="493"/>
      <c r="KXV10" s="493"/>
      <c r="KXW10" s="493"/>
      <c r="KXX10" s="493"/>
      <c r="KXY10" s="493"/>
      <c r="KXZ10" s="493"/>
      <c r="KYA10" s="493"/>
      <c r="KYB10" s="493"/>
      <c r="KYC10" s="493"/>
      <c r="KYD10" s="493"/>
      <c r="KYE10" s="493"/>
      <c r="KYF10" s="493"/>
      <c r="KYG10" s="493"/>
      <c r="KYH10" s="493"/>
      <c r="KYI10" s="493"/>
      <c r="KYJ10" s="493"/>
      <c r="KYK10" s="493"/>
      <c r="KYL10" s="493"/>
      <c r="KYM10" s="493"/>
      <c r="KYN10" s="493"/>
      <c r="KYO10" s="493"/>
      <c r="KYP10" s="493"/>
      <c r="KYQ10" s="493"/>
      <c r="KYR10" s="493"/>
      <c r="KYS10" s="493"/>
      <c r="KYT10" s="493"/>
      <c r="KYU10" s="493"/>
      <c r="KYV10" s="493"/>
      <c r="KYW10" s="493"/>
      <c r="KYX10" s="493"/>
      <c r="KYY10" s="493"/>
      <c r="KYZ10" s="493"/>
      <c r="KZA10" s="493"/>
      <c r="KZB10" s="493"/>
      <c r="KZC10" s="493"/>
      <c r="KZD10" s="493"/>
      <c r="KZE10" s="493"/>
      <c r="KZF10" s="493"/>
      <c r="KZG10" s="493"/>
      <c r="KZH10" s="493"/>
      <c r="KZI10" s="493"/>
      <c r="KZJ10" s="493"/>
      <c r="KZK10" s="493"/>
      <c r="KZL10" s="493"/>
      <c r="KZM10" s="493"/>
      <c r="KZN10" s="493"/>
      <c r="KZO10" s="493"/>
      <c r="KZP10" s="493"/>
      <c r="KZQ10" s="493"/>
      <c r="KZR10" s="493"/>
      <c r="KZS10" s="493"/>
      <c r="KZT10" s="493"/>
      <c r="KZU10" s="493"/>
      <c r="KZV10" s="493"/>
      <c r="KZW10" s="493"/>
      <c r="KZX10" s="493"/>
      <c r="KZY10" s="493"/>
      <c r="KZZ10" s="493"/>
      <c r="LAA10" s="493"/>
      <c r="LAB10" s="493"/>
      <c r="LAC10" s="493"/>
      <c r="LAD10" s="493"/>
      <c r="LAE10" s="493"/>
      <c r="LAF10" s="493"/>
      <c r="LAG10" s="493"/>
      <c r="LAH10" s="493"/>
      <c r="LAI10" s="493"/>
      <c r="LAJ10" s="493"/>
      <c r="LAK10" s="493"/>
      <c r="LAL10" s="493"/>
      <c r="LAM10" s="493"/>
      <c r="LAN10" s="493"/>
      <c r="LAO10" s="493"/>
      <c r="LAP10" s="493"/>
      <c r="LAQ10" s="493"/>
      <c r="LAR10" s="493"/>
      <c r="LAS10" s="493"/>
      <c r="LAT10" s="493"/>
      <c r="LAU10" s="493"/>
      <c r="LAV10" s="493"/>
      <c r="LAW10" s="493"/>
      <c r="LAX10" s="493"/>
      <c r="LAY10" s="493"/>
      <c r="LAZ10" s="493"/>
      <c r="LBA10" s="493"/>
      <c r="LBB10" s="493"/>
      <c r="LBC10" s="493"/>
      <c r="LBD10" s="493"/>
      <c r="LBE10" s="493"/>
      <c r="LBF10" s="493"/>
      <c r="LBG10" s="493"/>
      <c r="LBH10" s="493"/>
      <c r="LBI10" s="493"/>
      <c r="LBJ10" s="493"/>
      <c r="LBK10" s="493"/>
      <c r="LBL10" s="493"/>
      <c r="LBM10" s="493"/>
      <c r="LBN10" s="493"/>
      <c r="LBO10" s="493"/>
      <c r="LBP10" s="493"/>
      <c r="LBQ10" s="493"/>
      <c r="LBR10" s="493"/>
      <c r="LBS10" s="493"/>
      <c r="LBT10" s="493"/>
      <c r="LBU10" s="493"/>
      <c r="LBV10" s="493"/>
      <c r="LBW10" s="493"/>
      <c r="LBX10" s="493"/>
      <c r="LBY10" s="493"/>
      <c r="LBZ10" s="493"/>
      <c r="LCA10" s="493"/>
      <c r="LCB10" s="493"/>
      <c r="LCC10" s="493"/>
      <c r="LCD10" s="493"/>
      <c r="LCE10" s="493"/>
      <c r="LCF10" s="493"/>
      <c r="LCG10" s="493"/>
      <c r="LCH10" s="493"/>
      <c r="LCI10" s="493"/>
      <c r="LCJ10" s="493"/>
      <c r="LCK10" s="493"/>
      <c r="LCL10" s="493"/>
      <c r="LCM10" s="493"/>
      <c r="LCN10" s="493"/>
      <c r="LCO10" s="493"/>
      <c r="LCP10" s="493"/>
      <c r="LCQ10" s="493"/>
      <c r="LCR10" s="493"/>
      <c r="LCS10" s="493"/>
      <c r="LCT10" s="493"/>
      <c r="LCU10" s="493"/>
      <c r="LCV10" s="493"/>
      <c r="LCW10" s="493"/>
      <c r="LCX10" s="493"/>
      <c r="LCY10" s="493"/>
      <c r="LCZ10" s="493"/>
      <c r="LDA10" s="493"/>
      <c r="LDB10" s="493"/>
      <c r="LDC10" s="493"/>
      <c r="LDD10" s="493"/>
      <c r="LDE10" s="493"/>
      <c r="LDF10" s="493"/>
      <c r="LDG10" s="493"/>
      <c r="LDH10" s="493"/>
      <c r="LDI10" s="493"/>
      <c r="LDJ10" s="493"/>
      <c r="LDK10" s="493"/>
      <c r="LDL10" s="493"/>
      <c r="LDM10" s="493"/>
      <c r="LDN10" s="493"/>
      <c r="LDO10" s="493"/>
      <c r="LDP10" s="493"/>
      <c r="LDQ10" s="493"/>
      <c r="LDR10" s="493"/>
      <c r="LDS10" s="493"/>
      <c r="LDT10" s="493"/>
      <c r="LDU10" s="493"/>
      <c r="LDV10" s="493"/>
      <c r="LDW10" s="493"/>
      <c r="LDX10" s="493"/>
      <c r="LDY10" s="493"/>
      <c r="LDZ10" s="493"/>
      <c r="LEA10" s="493"/>
      <c r="LEB10" s="493"/>
      <c r="LEC10" s="493"/>
      <c r="LED10" s="493"/>
      <c r="LEE10" s="493"/>
      <c r="LEF10" s="493"/>
      <c r="LEG10" s="493"/>
      <c r="LEH10" s="493"/>
      <c r="LEI10" s="493"/>
      <c r="LEJ10" s="493"/>
      <c r="LEK10" s="493"/>
      <c r="LEL10" s="493"/>
      <c r="LEM10" s="493"/>
      <c r="LEN10" s="493"/>
      <c r="LEO10" s="493"/>
      <c r="LEP10" s="493"/>
      <c r="LEQ10" s="493"/>
      <c r="LER10" s="493"/>
      <c r="LES10" s="493"/>
      <c r="LET10" s="493"/>
      <c r="LEU10" s="493"/>
      <c r="LEV10" s="493"/>
      <c r="LEW10" s="493"/>
      <c r="LEX10" s="493"/>
      <c r="LEY10" s="493"/>
      <c r="LEZ10" s="493"/>
      <c r="LFA10" s="493"/>
      <c r="LFB10" s="493"/>
      <c r="LFC10" s="493"/>
      <c r="LFD10" s="493"/>
      <c r="LFE10" s="493"/>
      <c r="LFF10" s="493"/>
      <c r="LFG10" s="493"/>
      <c r="LFH10" s="493"/>
      <c r="LFI10" s="493"/>
      <c r="LFJ10" s="493"/>
      <c r="LFK10" s="493"/>
      <c r="LFL10" s="493"/>
      <c r="LFM10" s="493"/>
      <c r="LFN10" s="493"/>
      <c r="LFO10" s="493"/>
      <c r="LFP10" s="493"/>
      <c r="LFQ10" s="493"/>
      <c r="LFR10" s="493"/>
      <c r="LFS10" s="493"/>
      <c r="LFT10" s="493"/>
      <c r="LFU10" s="493"/>
      <c r="LFV10" s="493"/>
      <c r="LFW10" s="493"/>
      <c r="LFX10" s="493"/>
      <c r="LFY10" s="493"/>
      <c r="LFZ10" s="493"/>
      <c r="LGA10" s="493"/>
      <c r="LGB10" s="493"/>
      <c r="LGC10" s="493"/>
      <c r="LGD10" s="493"/>
      <c r="LGE10" s="493"/>
      <c r="LGF10" s="493"/>
      <c r="LGG10" s="493"/>
      <c r="LGH10" s="493"/>
      <c r="LGI10" s="493"/>
      <c r="LGJ10" s="493"/>
      <c r="LGK10" s="493"/>
      <c r="LGL10" s="493"/>
      <c r="LGM10" s="493"/>
      <c r="LGN10" s="493"/>
      <c r="LGO10" s="493"/>
      <c r="LGP10" s="493"/>
      <c r="LGQ10" s="493"/>
      <c r="LGR10" s="493"/>
      <c r="LGS10" s="493"/>
      <c r="LGT10" s="493"/>
      <c r="LGU10" s="493"/>
      <c r="LGV10" s="493"/>
      <c r="LGW10" s="493"/>
      <c r="LGX10" s="493"/>
      <c r="LGY10" s="493"/>
      <c r="LGZ10" s="493"/>
      <c r="LHA10" s="493"/>
      <c r="LHB10" s="493"/>
      <c r="LHC10" s="493"/>
      <c r="LHD10" s="493"/>
      <c r="LHE10" s="493"/>
      <c r="LHF10" s="493"/>
      <c r="LHG10" s="493"/>
      <c r="LHH10" s="493"/>
      <c r="LHI10" s="493"/>
      <c r="LHJ10" s="493"/>
      <c r="LHK10" s="493"/>
      <c r="LHL10" s="493"/>
      <c r="LHM10" s="493"/>
      <c r="LHN10" s="493"/>
      <c r="LHO10" s="493"/>
      <c r="LHP10" s="493"/>
      <c r="LHQ10" s="493"/>
      <c r="LHR10" s="493"/>
      <c r="LHS10" s="493"/>
      <c r="LHT10" s="493"/>
      <c r="LHU10" s="493"/>
      <c r="LHV10" s="493"/>
      <c r="LHW10" s="493"/>
      <c r="LHX10" s="493"/>
      <c r="LHY10" s="493"/>
      <c r="LHZ10" s="493"/>
      <c r="LIA10" s="493"/>
      <c r="LIB10" s="493"/>
      <c r="LIC10" s="493"/>
      <c r="LID10" s="493"/>
      <c r="LIE10" s="493"/>
      <c r="LIF10" s="493"/>
      <c r="LIG10" s="493"/>
      <c r="LIH10" s="493"/>
      <c r="LII10" s="493"/>
      <c r="LIJ10" s="493"/>
      <c r="LIK10" s="493"/>
      <c r="LIL10" s="493"/>
      <c r="LIM10" s="493"/>
      <c r="LIN10" s="493"/>
      <c r="LIO10" s="493"/>
      <c r="LIP10" s="493"/>
      <c r="LIQ10" s="493"/>
      <c r="LIR10" s="493"/>
      <c r="LIS10" s="493"/>
      <c r="LIT10" s="493"/>
      <c r="LIU10" s="493"/>
      <c r="LIV10" s="493"/>
      <c r="LIW10" s="493"/>
      <c r="LIX10" s="493"/>
      <c r="LIY10" s="493"/>
      <c r="LIZ10" s="493"/>
      <c r="LJA10" s="493"/>
      <c r="LJB10" s="493"/>
      <c r="LJC10" s="493"/>
      <c r="LJD10" s="493"/>
      <c r="LJE10" s="493"/>
      <c r="LJF10" s="493"/>
      <c r="LJG10" s="493"/>
      <c r="LJH10" s="493"/>
      <c r="LJI10" s="493"/>
      <c r="LJJ10" s="493"/>
      <c r="LJK10" s="493"/>
      <c r="LJL10" s="493"/>
      <c r="LJM10" s="493"/>
      <c r="LJN10" s="493"/>
      <c r="LJO10" s="493"/>
      <c r="LJP10" s="493"/>
      <c r="LJQ10" s="493"/>
      <c r="LJR10" s="493"/>
      <c r="LJS10" s="493"/>
      <c r="LJT10" s="493"/>
      <c r="LJU10" s="493"/>
      <c r="LJV10" s="493"/>
      <c r="LJW10" s="493"/>
      <c r="LJX10" s="493"/>
      <c r="LJY10" s="493"/>
      <c r="LJZ10" s="493"/>
      <c r="LKA10" s="493"/>
      <c r="LKB10" s="493"/>
      <c r="LKC10" s="493"/>
      <c r="LKD10" s="493"/>
      <c r="LKE10" s="493"/>
      <c r="LKF10" s="493"/>
      <c r="LKG10" s="493"/>
      <c r="LKH10" s="493"/>
      <c r="LKI10" s="493"/>
      <c r="LKJ10" s="493"/>
      <c r="LKK10" s="493"/>
      <c r="LKL10" s="493"/>
      <c r="LKM10" s="493"/>
      <c r="LKN10" s="493"/>
      <c r="LKO10" s="493"/>
      <c r="LKP10" s="493"/>
      <c r="LKQ10" s="493"/>
      <c r="LKR10" s="493"/>
      <c r="LKS10" s="493"/>
      <c r="LKT10" s="493"/>
      <c r="LKU10" s="493"/>
      <c r="LKV10" s="493"/>
      <c r="LKW10" s="493"/>
      <c r="LKX10" s="493"/>
      <c r="LKY10" s="493"/>
      <c r="LKZ10" s="493"/>
      <c r="LLA10" s="493"/>
      <c r="LLB10" s="493"/>
      <c r="LLC10" s="493"/>
      <c r="LLD10" s="493"/>
      <c r="LLE10" s="493"/>
      <c r="LLF10" s="493"/>
      <c r="LLG10" s="493"/>
      <c r="LLH10" s="493"/>
      <c r="LLI10" s="493"/>
      <c r="LLJ10" s="493"/>
      <c r="LLK10" s="493"/>
      <c r="LLL10" s="493"/>
      <c r="LLM10" s="493"/>
      <c r="LLN10" s="493"/>
      <c r="LLO10" s="493"/>
      <c r="LLP10" s="493"/>
      <c r="LLQ10" s="493"/>
      <c r="LLR10" s="493"/>
      <c r="LLS10" s="493"/>
      <c r="LLT10" s="493"/>
      <c r="LLU10" s="493"/>
      <c r="LLV10" s="493"/>
      <c r="LLW10" s="493"/>
      <c r="LLX10" s="493"/>
      <c r="LLY10" s="493"/>
      <c r="LLZ10" s="493"/>
      <c r="LMA10" s="493"/>
      <c r="LMB10" s="493"/>
      <c r="LMC10" s="493"/>
      <c r="LMD10" s="493"/>
      <c r="LME10" s="493"/>
      <c r="LMF10" s="493"/>
      <c r="LMG10" s="493"/>
      <c r="LMH10" s="493"/>
      <c r="LMI10" s="493"/>
      <c r="LMJ10" s="493"/>
      <c r="LMK10" s="493"/>
      <c r="LML10" s="493"/>
      <c r="LMM10" s="493"/>
      <c r="LMN10" s="493"/>
      <c r="LMO10" s="493"/>
      <c r="LMP10" s="493"/>
      <c r="LMQ10" s="493"/>
      <c r="LMR10" s="493"/>
      <c r="LMS10" s="493"/>
      <c r="LMT10" s="493"/>
      <c r="LMU10" s="493"/>
      <c r="LMV10" s="493"/>
      <c r="LMW10" s="493"/>
      <c r="LMX10" s="493"/>
      <c r="LMY10" s="493"/>
      <c r="LMZ10" s="493"/>
      <c r="LNA10" s="493"/>
      <c r="LNB10" s="493"/>
      <c r="LNC10" s="493"/>
      <c r="LND10" s="493"/>
      <c r="LNE10" s="493"/>
      <c r="LNF10" s="493"/>
      <c r="LNG10" s="493"/>
      <c r="LNH10" s="493"/>
      <c r="LNI10" s="493"/>
      <c r="LNJ10" s="493"/>
      <c r="LNK10" s="493"/>
      <c r="LNL10" s="493"/>
      <c r="LNM10" s="493"/>
      <c r="LNN10" s="493"/>
      <c r="LNO10" s="493"/>
      <c r="LNP10" s="493"/>
      <c r="LNQ10" s="493"/>
      <c r="LNR10" s="493"/>
      <c r="LNS10" s="493"/>
      <c r="LNT10" s="493"/>
      <c r="LNU10" s="493"/>
      <c r="LNV10" s="493"/>
      <c r="LNW10" s="493"/>
      <c r="LNX10" s="493"/>
      <c r="LNY10" s="493"/>
      <c r="LNZ10" s="493"/>
      <c r="LOA10" s="493"/>
      <c r="LOB10" s="493"/>
      <c r="LOC10" s="493"/>
      <c r="LOD10" s="493"/>
      <c r="LOE10" s="493"/>
      <c r="LOF10" s="493"/>
      <c r="LOG10" s="493"/>
      <c r="LOH10" s="493"/>
      <c r="LOI10" s="493"/>
      <c r="LOJ10" s="493"/>
      <c r="LOK10" s="493"/>
      <c r="LOL10" s="493"/>
      <c r="LOM10" s="493"/>
      <c r="LON10" s="493"/>
      <c r="LOO10" s="493"/>
      <c r="LOP10" s="493"/>
      <c r="LOQ10" s="493"/>
      <c r="LOR10" s="493"/>
      <c r="LOS10" s="493"/>
      <c r="LOT10" s="493"/>
      <c r="LOU10" s="493"/>
      <c r="LOV10" s="493"/>
      <c r="LOW10" s="493"/>
      <c r="LOX10" s="493"/>
      <c r="LOY10" s="493"/>
      <c r="LOZ10" s="493"/>
      <c r="LPA10" s="493"/>
      <c r="LPB10" s="493"/>
      <c r="LPC10" s="493"/>
      <c r="LPD10" s="493"/>
      <c r="LPE10" s="493"/>
      <c r="LPF10" s="493"/>
      <c r="LPG10" s="493"/>
      <c r="LPH10" s="493"/>
      <c r="LPI10" s="493"/>
      <c r="LPJ10" s="493"/>
      <c r="LPK10" s="493"/>
      <c r="LPL10" s="493"/>
      <c r="LPM10" s="493"/>
      <c r="LPN10" s="493"/>
      <c r="LPO10" s="493"/>
      <c r="LPP10" s="493"/>
      <c r="LPQ10" s="493"/>
      <c r="LPR10" s="493"/>
      <c r="LPS10" s="493"/>
      <c r="LPT10" s="493"/>
      <c r="LPU10" s="493"/>
      <c r="LPV10" s="493"/>
      <c r="LPW10" s="493"/>
      <c r="LPX10" s="493"/>
      <c r="LPY10" s="493"/>
      <c r="LPZ10" s="493"/>
      <c r="LQA10" s="493"/>
      <c r="LQB10" s="493"/>
      <c r="LQC10" s="493"/>
      <c r="LQD10" s="493"/>
      <c r="LQE10" s="493"/>
      <c r="LQF10" s="493"/>
      <c r="LQG10" s="493"/>
      <c r="LQH10" s="493"/>
      <c r="LQI10" s="493"/>
      <c r="LQJ10" s="493"/>
      <c r="LQK10" s="493"/>
      <c r="LQL10" s="493"/>
      <c r="LQM10" s="493"/>
      <c r="LQN10" s="493"/>
      <c r="LQO10" s="493"/>
      <c r="LQP10" s="493"/>
      <c r="LQQ10" s="493"/>
      <c r="LQR10" s="493"/>
      <c r="LQS10" s="493"/>
      <c r="LQT10" s="493"/>
      <c r="LQU10" s="493"/>
      <c r="LQV10" s="493"/>
      <c r="LQW10" s="493"/>
      <c r="LQX10" s="493"/>
      <c r="LQY10" s="493"/>
      <c r="LQZ10" s="493"/>
      <c r="LRA10" s="493"/>
      <c r="LRB10" s="493"/>
      <c r="LRC10" s="493"/>
      <c r="LRD10" s="493"/>
      <c r="LRE10" s="493"/>
      <c r="LRF10" s="493"/>
      <c r="LRG10" s="493"/>
      <c r="LRH10" s="493"/>
      <c r="LRI10" s="493"/>
      <c r="LRJ10" s="493"/>
      <c r="LRK10" s="493"/>
      <c r="LRL10" s="493"/>
      <c r="LRM10" s="493"/>
      <c r="LRN10" s="493"/>
      <c r="LRO10" s="493"/>
      <c r="LRP10" s="493"/>
      <c r="LRQ10" s="493"/>
      <c r="LRR10" s="493"/>
      <c r="LRS10" s="493"/>
      <c r="LRT10" s="493"/>
      <c r="LRU10" s="493"/>
      <c r="LRV10" s="493"/>
      <c r="LRW10" s="493"/>
      <c r="LRX10" s="493"/>
      <c r="LRY10" s="493"/>
      <c r="LRZ10" s="493"/>
      <c r="LSA10" s="493"/>
      <c r="LSB10" s="493"/>
      <c r="LSC10" s="493"/>
      <c r="LSD10" s="493"/>
      <c r="LSE10" s="493"/>
      <c r="LSF10" s="493"/>
      <c r="LSG10" s="493"/>
      <c r="LSH10" s="493"/>
      <c r="LSI10" s="493"/>
      <c r="LSJ10" s="493"/>
      <c r="LSK10" s="493"/>
      <c r="LSL10" s="493"/>
      <c r="LSM10" s="493"/>
      <c r="LSN10" s="493"/>
      <c r="LSO10" s="493"/>
      <c r="LSP10" s="493"/>
      <c r="LSQ10" s="493"/>
      <c r="LSR10" s="493"/>
      <c r="LSS10" s="493"/>
      <c r="LST10" s="493"/>
      <c r="LSU10" s="493"/>
      <c r="LSV10" s="493"/>
      <c r="LSW10" s="493"/>
      <c r="LSX10" s="493"/>
      <c r="LSY10" s="493"/>
      <c r="LSZ10" s="493"/>
      <c r="LTA10" s="493"/>
      <c r="LTB10" s="493"/>
      <c r="LTC10" s="493"/>
      <c r="LTD10" s="493"/>
      <c r="LTE10" s="493"/>
      <c r="LTF10" s="493"/>
      <c r="LTG10" s="493"/>
      <c r="LTH10" s="493"/>
      <c r="LTI10" s="493"/>
      <c r="LTJ10" s="493"/>
      <c r="LTK10" s="493"/>
      <c r="LTL10" s="493"/>
      <c r="LTM10" s="493"/>
      <c r="LTN10" s="493"/>
      <c r="LTO10" s="493"/>
      <c r="LTP10" s="493"/>
      <c r="LTQ10" s="493"/>
      <c r="LTR10" s="493"/>
      <c r="LTS10" s="493"/>
      <c r="LTT10" s="493"/>
      <c r="LTU10" s="493"/>
      <c r="LTV10" s="493"/>
      <c r="LTW10" s="493"/>
      <c r="LTX10" s="493"/>
      <c r="LTY10" s="493"/>
      <c r="LTZ10" s="493"/>
      <c r="LUA10" s="493"/>
      <c r="LUB10" s="493"/>
      <c r="LUC10" s="493"/>
      <c r="LUD10" s="493"/>
      <c r="LUE10" s="493"/>
      <c r="LUF10" s="493"/>
      <c r="LUG10" s="493"/>
      <c r="LUH10" s="493"/>
      <c r="LUI10" s="493"/>
      <c r="LUJ10" s="493"/>
      <c r="LUK10" s="493"/>
      <c r="LUL10" s="493"/>
      <c r="LUM10" s="493"/>
      <c r="LUN10" s="493"/>
      <c r="LUO10" s="493"/>
      <c r="LUP10" s="493"/>
      <c r="LUQ10" s="493"/>
      <c r="LUR10" s="493"/>
      <c r="LUS10" s="493"/>
      <c r="LUT10" s="493"/>
      <c r="LUU10" s="493"/>
      <c r="LUV10" s="493"/>
      <c r="LUW10" s="493"/>
      <c r="LUX10" s="493"/>
      <c r="LUY10" s="493"/>
      <c r="LUZ10" s="493"/>
      <c r="LVA10" s="493"/>
      <c r="LVB10" s="493"/>
      <c r="LVC10" s="493"/>
      <c r="LVD10" s="493"/>
      <c r="LVE10" s="493"/>
      <c r="LVF10" s="493"/>
      <c r="LVG10" s="493"/>
      <c r="LVH10" s="493"/>
      <c r="LVI10" s="493"/>
      <c r="LVJ10" s="493"/>
      <c r="LVK10" s="493"/>
      <c r="LVL10" s="493"/>
      <c r="LVM10" s="493"/>
      <c r="LVN10" s="493"/>
      <c r="LVO10" s="493"/>
      <c r="LVP10" s="493"/>
      <c r="LVQ10" s="493"/>
      <c r="LVR10" s="493"/>
      <c r="LVS10" s="493"/>
      <c r="LVT10" s="493"/>
      <c r="LVU10" s="493"/>
      <c r="LVV10" s="493"/>
      <c r="LVW10" s="493"/>
      <c r="LVX10" s="493"/>
      <c r="LVY10" s="493"/>
      <c r="LVZ10" s="493"/>
      <c r="LWA10" s="493"/>
      <c r="LWB10" s="493"/>
      <c r="LWC10" s="493"/>
      <c r="LWD10" s="493"/>
      <c r="LWE10" s="493"/>
      <c r="LWF10" s="493"/>
      <c r="LWG10" s="493"/>
      <c r="LWH10" s="493"/>
      <c r="LWI10" s="493"/>
      <c r="LWJ10" s="493"/>
      <c r="LWK10" s="493"/>
      <c r="LWL10" s="493"/>
      <c r="LWM10" s="493"/>
      <c r="LWN10" s="493"/>
      <c r="LWO10" s="493"/>
      <c r="LWP10" s="493"/>
      <c r="LWQ10" s="493"/>
      <c r="LWR10" s="493"/>
      <c r="LWS10" s="493"/>
      <c r="LWT10" s="493"/>
      <c r="LWU10" s="493"/>
      <c r="LWV10" s="493"/>
      <c r="LWW10" s="493"/>
      <c r="LWX10" s="493"/>
      <c r="LWY10" s="493"/>
      <c r="LWZ10" s="493"/>
      <c r="LXA10" s="493"/>
      <c r="LXB10" s="493"/>
      <c r="LXC10" s="493"/>
      <c r="LXD10" s="493"/>
      <c r="LXE10" s="493"/>
      <c r="LXF10" s="493"/>
      <c r="LXG10" s="493"/>
      <c r="LXH10" s="493"/>
      <c r="LXI10" s="493"/>
      <c r="LXJ10" s="493"/>
      <c r="LXK10" s="493"/>
      <c r="LXL10" s="493"/>
      <c r="LXM10" s="493"/>
      <c r="LXN10" s="493"/>
      <c r="LXO10" s="493"/>
      <c r="LXP10" s="493"/>
      <c r="LXQ10" s="493"/>
      <c r="LXR10" s="493"/>
      <c r="LXS10" s="493"/>
      <c r="LXT10" s="493"/>
      <c r="LXU10" s="493"/>
      <c r="LXV10" s="493"/>
      <c r="LXW10" s="493"/>
      <c r="LXX10" s="493"/>
      <c r="LXY10" s="493"/>
      <c r="LXZ10" s="493"/>
      <c r="LYA10" s="493"/>
      <c r="LYB10" s="493"/>
      <c r="LYC10" s="493"/>
      <c r="LYD10" s="493"/>
      <c r="LYE10" s="493"/>
      <c r="LYF10" s="493"/>
      <c r="LYG10" s="493"/>
      <c r="LYH10" s="493"/>
      <c r="LYI10" s="493"/>
      <c r="LYJ10" s="493"/>
      <c r="LYK10" s="493"/>
      <c r="LYL10" s="493"/>
      <c r="LYM10" s="493"/>
      <c r="LYN10" s="493"/>
      <c r="LYO10" s="493"/>
      <c r="LYP10" s="493"/>
      <c r="LYQ10" s="493"/>
      <c r="LYR10" s="493"/>
      <c r="LYS10" s="493"/>
      <c r="LYT10" s="493"/>
      <c r="LYU10" s="493"/>
      <c r="LYV10" s="493"/>
      <c r="LYW10" s="493"/>
      <c r="LYX10" s="493"/>
      <c r="LYY10" s="493"/>
      <c r="LYZ10" s="493"/>
      <c r="LZA10" s="493"/>
      <c r="LZB10" s="493"/>
      <c r="LZC10" s="493"/>
      <c r="LZD10" s="493"/>
      <c r="LZE10" s="493"/>
      <c r="LZF10" s="493"/>
      <c r="LZG10" s="493"/>
      <c r="LZH10" s="493"/>
      <c r="LZI10" s="493"/>
      <c r="LZJ10" s="493"/>
      <c r="LZK10" s="493"/>
      <c r="LZL10" s="493"/>
      <c r="LZM10" s="493"/>
      <c r="LZN10" s="493"/>
      <c r="LZO10" s="493"/>
      <c r="LZP10" s="493"/>
      <c r="LZQ10" s="493"/>
      <c r="LZR10" s="493"/>
      <c r="LZS10" s="493"/>
      <c r="LZT10" s="493"/>
      <c r="LZU10" s="493"/>
      <c r="LZV10" s="493"/>
      <c r="LZW10" s="493"/>
      <c r="LZX10" s="493"/>
      <c r="LZY10" s="493"/>
      <c r="LZZ10" s="493"/>
      <c r="MAA10" s="493"/>
      <c r="MAB10" s="493"/>
      <c r="MAC10" s="493"/>
      <c r="MAD10" s="493"/>
      <c r="MAE10" s="493"/>
      <c r="MAF10" s="493"/>
      <c r="MAG10" s="493"/>
      <c r="MAH10" s="493"/>
      <c r="MAI10" s="493"/>
      <c r="MAJ10" s="493"/>
      <c r="MAK10" s="493"/>
      <c r="MAL10" s="493"/>
      <c r="MAM10" s="493"/>
      <c r="MAN10" s="493"/>
      <c r="MAO10" s="493"/>
      <c r="MAP10" s="493"/>
      <c r="MAQ10" s="493"/>
      <c r="MAR10" s="493"/>
      <c r="MAS10" s="493"/>
      <c r="MAT10" s="493"/>
      <c r="MAU10" s="493"/>
      <c r="MAV10" s="493"/>
      <c r="MAW10" s="493"/>
      <c r="MAX10" s="493"/>
      <c r="MAY10" s="493"/>
      <c r="MAZ10" s="493"/>
      <c r="MBA10" s="493"/>
      <c r="MBB10" s="493"/>
      <c r="MBC10" s="493"/>
      <c r="MBD10" s="493"/>
      <c r="MBE10" s="493"/>
      <c r="MBF10" s="493"/>
      <c r="MBG10" s="493"/>
      <c r="MBH10" s="493"/>
      <c r="MBI10" s="493"/>
      <c r="MBJ10" s="493"/>
      <c r="MBK10" s="493"/>
      <c r="MBL10" s="493"/>
      <c r="MBM10" s="493"/>
      <c r="MBN10" s="493"/>
      <c r="MBO10" s="493"/>
      <c r="MBP10" s="493"/>
      <c r="MBQ10" s="493"/>
      <c r="MBR10" s="493"/>
      <c r="MBS10" s="493"/>
      <c r="MBT10" s="493"/>
      <c r="MBU10" s="493"/>
      <c r="MBV10" s="493"/>
      <c r="MBW10" s="493"/>
      <c r="MBX10" s="493"/>
      <c r="MBY10" s="493"/>
      <c r="MBZ10" s="493"/>
      <c r="MCA10" s="493"/>
      <c r="MCB10" s="493"/>
      <c r="MCC10" s="493"/>
      <c r="MCD10" s="493"/>
      <c r="MCE10" s="493"/>
      <c r="MCF10" s="493"/>
      <c r="MCG10" s="493"/>
      <c r="MCH10" s="493"/>
      <c r="MCI10" s="493"/>
      <c r="MCJ10" s="493"/>
      <c r="MCK10" s="493"/>
      <c r="MCL10" s="493"/>
      <c r="MCM10" s="493"/>
      <c r="MCN10" s="493"/>
      <c r="MCO10" s="493"/>
      <c r="MCP10" s="493"/>
      <c r="MCQ10" s="493"/>
      <c r="MCR10" s="493"/>
      <c r="MCS10" s="493"/>
      <c r="MCT10" s="493"/>
      <c r="MCU10" s="493"/>
      <c r="MCV10" s="493"/>
      <c r="MCW10" s="493"/>
      <c r="MCX10" s="493"/>
      <c r="MCY10" s="493"/>
      <c r="MCZ10" s="493"/>
      <c r="MDA10" s="493"/>
      <c r="MDB10" s="493"/>
      <c r="MDC10" s="493"/>
      <c r="MDD10" s="493"/>
      <c r="MDE10" s="493"/>
      <c r="MDF10" s="493"/>
      <c r="MDG10" s="493"/>
      <c r="MDH10" s="493"/>
      <c r="MDI10" s="493"/>
      <c r="MDJ10" s="493"/>
      <c r="MDK10" s="493"/>
      <c r="MDL10" s="493"/>
      <c r="MDM10" s="493"/>
      <c r="MDN10" s="493"/>
      <c r="MDO10" s="493"/>
      <c r="MDP10" s="493"/>
      <c r="MDQ10" s="493"/>
      <c r="MDR10" s="493"/>
      <c r="MDS10" s="493"/>
      <c r="MDT10" s="493"/>
      <c r="MDU10" s="493"/>
      <c r="MDV10" s="493"/>
      <c r="MDW10" s="493"/>
      <c r="MDX10" s="493"/>
      <c r="MDY10" s="493"/>
      <c r="MDZ10" s="493"/>
      <c r="MEA10" s="493"/>
      <c r="MEB10" s="493"/>
      <c r="MEC10" s="493"/>
      <c r="MED10" s="493"/>
      <c r="MEE10" s="493"/>
      <c r="MEF10" s="493"/>
      <c r="MEG10" s="493"/>
      <c r="MEH10" s="493"/>
      <c r="MEI10" s="493"/>
      <c r="MEJ10" s="493"/>
      <c r="MEK10" s="493"/>
      <c r="MEL10" s="493"/>
      <c r="MEM10" s="493"/>
      <c r="MEN10" s="493"/>
      <c r="MEO10" s="493"/>
      <c r="MEP10" s="493"/>
      <c r="MEQ10" s="493"/>
      <c r="MER10" s="493"/>
      <c r="MES10" s="493"/>
      <c r="MET10" s="493"/>
      <c r="MEU10" s="493"/>
      <c r="MEV10" s="493"/>
      <c r="MEW10" s="493"/>
      <c r="MEX10" s="493"/>
      <c r="MEY10" s="493"/>
      <c r="MEZ10" s="493"/>
      <c r="MFA10" s="493"/>
      <c r="MFB10" s="493"/>
      <c r="MFC10" s="493"/>
      <c r="MFD10" s="493"/>
      <c r="MFE10" s="493"/>
      <c r="MFF10" s="493"/>
      <c r="MFG10" s="493"/>
      <c r="MFH10" s="493"/>
      <c r="MFI10" s="493"/>
      <c r="MFJ10" s="493"/>
      <c r="MFK10" s="493"/>
      <c r="MFL10" s="493"/>
      <c r="MFM10" s="493"/>
      <c r="MFN10" s="493"/>
      <c r="MFO10" s="493"/>
      <c r="MFP10" s="493"/>
      <c r="MFQ10" s="493"/>
      <c r="MFR10" s="493"/>
      <c r="MFS10" s="493"/>
      <c r="MFT10" s="493"/>
      <c r="MFU10" s="493"/>
      <c r="MFV10" s="493"/>
      <c r="MFW10" s="493"/>
      <c r="MFX10" s="493"/>
      <c r="MFY10" s="493"/>
      <c r="MFZ10" s="493"/>
      <c r="MGA10" s="493"/>
      <c r="MGB10" s="493"/>
      <c r="MGC10" s="493"/>
      <c r="MGD10" s="493"/>
      <c r="MGE10" s="493"/>
      <c r="MGF10" s="493"/>
      <c r="MGG10" s="493"/>
      <c r="MGH10" s="493"/>
      <c r="MGI10" s="493"/>
      <c r="MGJ10" s="493"/>
      <c r="MGK10" s="493"/>
      <c r="MGL10" s="493"/>
      <c r="MGM10" s="493"/>
      <c r="MGN10" s="493"/>
      <c r="MGO10" s="493"/>
      <c r="MGP10" s="493"/>
      <c r="MGQ10" s="493"/>
      <c r="MGR10" s="493"/>
      <c r="MGS10" s="493"/>
      <c r="MGT10" s="493"/>
      <c r="MGU10" s="493"/>
      <c r="MGV10" s="493"/>
      <c r="MGW10" s="493"/>
      <c r="MGX10" s="493"/>
      <c r="MGY10" s="493"/>
      <c r="MGZ10" s="493"/>
      <c r="MHA10" s="493"/>
      <c r="MHB10" s="493"/>
      <c r="MHC10" s="493"/>
      <c r="MHD10" s="493"/>
      <c r="MHE10" s="493"/>
      <c r="MHF10" s="493"/>
      <c r="MHG10" s="493"/>
      <c r="MHH10" s="493"/>
      <c r="MHI10" s="493"/>
      <c r="MHJ10" s="493"/>
      <c r="MHK10" s="493"/>
      <c r="MHL10" s="493"/>
      <c r="MHM10" s="493"/>
      <c r="MHN10" s="493"/>
      <c r="MHO10" s="493"/>
      <c r="MHP10" s="493"/>
      <c r="MHQ10" s="493"/>
      <c r="MHR10" s="493"/>
      <c r="MHS10" s="493"/>
      <c r="MHT10" s="493"/>
      <c r="MHU10" s="493"/>
      <c r="MHV10" s="493"/>
      <c r="MHW10" s="493"/>
      <c r="MHX10" s="493"/>
      <c r="MHY10" s="493"/>
      <c r="MHZ10" s="493"/>
      <c r="MIA10" s="493"/>
      <c r="MIB10" s="493"/>
      <c r="MIC10" s="493"/>
      <c r="MID10" s="493"/>
      <c r="MIE10" s="493"/>
      <c r="MIF10" s="493"/>
      <c r="MIG10" s="493"/>
      <c r="MIH10" s="493"/>
      <c r="MII10" s="493"/>
      <c r="MIJ10" s="493"/>
      <c r="MIK10" s="493"/>
      <c r="MIL10" s="493"/>
      <c r="MIM10" s="493"/>
      <c r="MIN10" s="493"/>
      <c r="MIO10" s="493"/>
      <c r="MIP10" s="493"/>
      <c r="MIQ10" s="493"/>
      <c r="MIR10" s="493"/>
      <c r="MIS10" s="493"/>
      <c r="MIT10" s="493"/>
      <c r="MIU10" s="493"/>
      <c r="MIV10" s="493"/>
      <c r="MIW10" s="493"/>
      <c r="MIX10" s="493"/>
      <c r="MIY10" s="493"/>
      <c r="MIZ10" s="493"/>
      <c r="MJA10" s="493"/>
      <c r="MJB10" s="493"/>
      <c r="MJC10" s="493"/>
      <c r="MJD10" s="493"/>
      <c r="MJE10" s="493"/>
      <c r="MJF10" s="493"/>
      <c r="MJG10" s="493"/>
      <c r="MJH10" s="493"/>
      <c r="MJI10" s="493"/>
      <c r="MJJ10" s="493"/>
      <c r="MJK10" s="493"/>
      <c r="MJL10" s="493"/>
      <c r="MJM10" s="493"/>
      <c r="MJN10" s="493"/>
      <c r="MJO10" s="493"/>
      <c r="MJP10" s="493"/>
      <c r="MJQ10" s="493"/>
      <c r="MJR10" s="493"/>
      <c r="MJS10" s="493"/>
      <c r="MJT10" s="493"/>
      <c r="MJU10" s="493"/>
      <c r="MJV10" s="493"/>
      <c r="MJW10" s="493"/>
      <c r="MJX10" s="493"/>
      <c r="MJY10" s="493"/>
      <c r="MJZ10" s="493"/>
      <c r="MKA10" s="493"/>
      <c r="MKB10" s="493"/>
      <c r="MKC10" s="493"/>
      <c r="MKD10" s="493"/>
      <c r="MKE10" s="493"/>
      <c r="MKF10" s="493"/>
      <c r="MKG10" s="493"/>
      <c r="MKH10" s="493"/>
      <c r="MKI10" s="493"/>
      <c r="MKJ10" s="493"/>
      <c r="MKK10" s="493"/>
      <c r="MKL10" s="493"/>
      <c r="MKM10" s="493"/>
      <c r="MKN10" s="493"/>
      <c r="MKO10" s="493"/>
      <c r="MKP10" s="493"/>
      <c r="MKQ10" s="493"/>
      <c r="MKR10" s="493"/>
      <c r="MKS10" s="493"/>
      <c r="MKT10" s="493"/>
      <c r="MKU10" s="493"/>
      <c r="MKV10" s="493"/>
      <c r="MKW10" s="493"/>
      <c r="MKX10" s="493"/>
      <c r="MKY10" s="493"/>
      <c r="MKZ10" s="493"/>
      <c r="MLA10" s="493"/>
      <c r="MLB10" s="493"/>
      <c r="MLC10" s="493"/>
      <c r="MLD10" s="493"/>
      <c r="MLE10" s="493"/>
      <c r="MLF10" s="493"/>
      <c r="MLG10" s="493"/>
      <c r="MLH10" s="493"/>
      <c r="MLI10" s="493"/>
      <c r="MLJ10" s="493"/>
      <c r="MLK10" s="493"/>
      <c r="MLL10" s="493"/>
      <c r="MLM10" s="493"/>
      <c r="MLN10" s="493"/>
      <c r="MLO10" s="493"/>
      <c r="MLP10" s="493"/>
      <c r="MLQ10" s="493"/>
      <c r="MLR10" s="493"/>
      <c r="MLS10" s="493"/>
      <c r="MLT10" s="493"/>
      <c r="MLU10" s="493"/>
      <c r="MLV10" s="493"/>
      <c r="MLW10" s="493"/>
      <c r="MLX10" s="493"/>
      <c r="MLY10" s="493"/>
      <c r="MLZ10" s="493"/>
      <c r="MMA10" s="493"/>
      <c r="MMB10" s="493"/>
      <c r="MMC10" s="493"/>
      <c r="MMD10" s="493"/>
      <c r="MME10" s="493"/>
      <c r="MMF10" s="493"/>
      <c r="MMG10" s="493"/>
      <c r="MMH10" s="493"/>
      <c r="MMI10" s="493"/>
      <c r="MMJ10" s="493"/>
      <c r="MMK10" s="493"/>
      <c r="MML10" s="493"/>
      <c r="MMM10" s="493"/>
      <c r="MMN10" s="493"/>
      <c r="MMO10" s="493"/>
      <c r="MMP10" s="493"/>
      <c r="MMQ10" s="493"/>
      <c r="MMR10" s="493"/>
      <c r="MMS10" s="493"/>
      <c r="MMT10" s="493"/>
      <c r="MMU10" s="493"/>
      <c r="MMV10" s="493"/>
      <c r="MMW10" s="493"/>
      <c r="MMX10" s="493"/>
      <c r="MMY10" s="493"/>
      <c r="MMZ10" s="493"/>
      <c r="MNA10" s="493"/>
      <c r="MNB10" s="493"/>
      <c r="MNC10" s="493"/>
      <c r="MND10" s="493"/>
      <c r="MNE10" s="493"/>
      <c r="MNF10" s="493"/>
      <c r="MNG10" s="493"/>
      <c r="MNH10" s="493"/>
      <c r="MNI10" s="493"/>
      <c r="MNJ10" s="493"/>
      <c r="MNK10" s="493"/>
      <c r="MNL10" s="493"/>
      <c r="MNM10" s="493"/>
      <c r="MNN10" s="493"/>
      <c r="MNO10" s="493"/>
      <c r="MNP10" s="493"/>
      <c r="MNQ10" s="493"/>
      <c r="MNR10" s="493"/>
      <c r="MNS10" s="493"/>
      <c r="MNT10" s="493"/>
      <c r="MNU10" s="493"/>
      <c r="MNV10" s="493"/>
      <c r="MNW10" s="493"/>
      <c r="MNX10" s="493"/>
      <c r="MNY10" s="493"/>
      <c r="MNZ10" s="493"/>
      <c r="MOA10" s="493"/>
      <c r="MOB10" s="493"/>
      <c r="MOC10" s="493"/>
      <c r="MOD10" s="493"/>
      <c r="MOE10" s="493"/>
      <c r="MOF10" s="493"/>
      <c r="MOG10" s="493"/>
      <c r="MOH10" s="493"/>
      <c r="MOI10" s="493"/>
      <c r="MOJ10" s="493"/>
      <c r="MOK10" s="493"/>
      <c r="MOL10" s="493"/>
      <c r="MOM10" s="493"/>
      <c r="MON10" s="493"/>
      <c r="MOO10" s="493"/>
      <c r="MOP10" s="493"/>
      <c r="MOQ10" s="493"/>
      <c r="MOR10" s="493"/>
      <c r="MOS10" s="493"/>
      <c r="MOT10" s="493"/>
      <c r="MOU10" s="493"/>
      <c r="MOV10" s="493"/>
      <c r="MOW10" s="493"/>
      <c r="MOX10" s="493"/>
      <c r="MOY10" s="493"/>
      <c r="MOZ10" s="493"/>
      <c r="MPA10" s="493"/>
      <c r="MPB10" s="493"/>
      <c r="MPC10" s="493"/>
      <c r="MPD10" s="493"/>
      <c r="MPE10" s="493"/>
      <c r="MPF10" s="493"/>
      <c r="MPG10" s="493"/>
      <c r="MPH10" s="493"/>
      <c r="MPI10" s="493"/>
      <c r="MPJ10" s="493"/>
      <c r="MPK10" s="493"/>
      <c r="MPL10" s="493"/>
      <c r="MPM10" s="493"/>
      <c r="MPN10" s="493"/>
      <c r="MPO10" s="493"/>
      <c r="MPP10" s="493"/>
      <c r="MPQ10" s="493"/>
      <c r="MPR10" s="493"/>
      <c r="MPS10" s="493"/>
      <c r="MPT10" s="493"/>
      <c r="MPU10" s="493"/>
      <c r="MPV10" s="493"/>
      <c r="MPW10" s="493"/>
      <c r="MPX10" s="493"/>
      <c r="MPY10" s="493"/>
      <c r="MPZ10" s="493"/>
      <c r="MQA10" s="493"/>
      <c r="MQB10" s="493"/>
      <c r="MQC10" s="493"/>
      <c r="MQD10" s="493"/>
      <c r="MQE10" s="493"/>
      <c r="MQF10" s="493"/>
      <c r="MQG10" s="493"/>
      <c r="MQH10" s="493"/>
      <c r="MQI10" s="493"/>
      <c r="MQJ10" s="493"/>
      <c r="MQK10" s="493"/>
      <c r="MQL10" s="493"/>
      <c r="MQM10" s="493"/>
      <c r="MQN10" s="493"/>
      <c r="MQO10" s="493"/>
      <c r="MQP10" s="493"/>
      <c r="MQQ10" s="493"/>
      <c r="MQR10" s="493"/>
      <c r="MQS10" s="493"/>
      <c r="MQT10" s="493"/>
      <c r="MQU10" s="493"/>
      <c r="MQV10" s="493"/>
      <c r="MQW10" s="493"/>
      <c r="MQX10" s="493"/>
      <c r="MQY10" s="493"/>
      <c r="MQZ10" s="493"/>
      <c r="MRA10" s="493"/>
      <c r="MRB10" s="493"/>
      <c r="MRC10" s="493"/>
      <c r="MRD10" s="493"/>
      <c r="MRE10" s="493"/>
      <c r="MRF10" s="493"/>
      <c r="MRG10" s="493"/>
      <c r="MRH10" s="493"/>
      <c r="MRI10" s="493"/>
      <c r="MRJ10" s="493"/>
      <c r="MRK10" s="493"/>
      <c r="MRL10" s="493"/>
      <c r="MRM10" s="493"/>
      <c r="MRN10" s="493"/>
      <c r="MRO10" s="493"/>
      <c r="MRP10" s="493"/>
      <c r="MRQ10" s="493"/>
      <c r="MRR10" s="493"/>
      <c r="MRS10" s="493"/>
      <c r="MRT10" s="493"/>
      <c r="MRU10" s="493"/>
      <c r="MRV10" s="493"/>
      <c r="MRW10" s="493"/>
      <c r="MRX10" s="493"/>
      <c r="MRY10" s="493"/>
      <c r="MRZ10" s="493"/>
      <c r="MSA10" s="493"/>
      <c r="MSB10" s="493"/>
      <c r="MSC10" s="493"/>
      <c r="MSD10" s="493"/>
      <c r="MSE10" s="493"/>
      <c r="MSF10" s="493"/>
      <c r="MSG10" s="493"/>
      <c r="MSH10" s="493"/>
      <c r="MSI10" s="493"/>
      <c r="MSJ10" s="493"/>
      <c r="MSK10" s="493"/>
      <c r="MSL10" s="493"/>
      <c r="MSM10" s="493"/>
      <c r="MSN10" s="493"/>
      <c r="MSO10" s="493"/>
      <c r="MSP10" s="493"/>
      <c r="MSQ10" s="493"/>
      <c r="MSR10" s="493"/>
      <c r="MSS10" s="493"/>
      <c r="MST10" s="493"/>
      <c r="MSU10" s="493"/>
      <c r="MSV10" s="493"/>
      <c r="MSW10" s="493"/>
      <c r="MSX10" s="493"/>
      <c r="MSY10" s="493"/>
      <c r="MSZ10" s="493"/>
      <c r="MTA10" s="493"/>
      <c r="MTB10" s="493"/>
      <c r="MTC10" s="493"/>
      <c r="MTD10" s="493"/>
      <c r="MTE10" s="493"/>
      <c r="MTF10" s="493"/>
      <c r="MTG10" s="493"/>
      <c r="MTH10" s="493"/>
      <c r="MTI10" s="493"/>
      <c r="MTJ10" s="493"/>
      <c r="MTK10" s="493"/>
      <c r="MTL10" s="493"/>
      <c r="MTM10" s="493"/>
      <c r="MTN10" s="493"/>
      <c r="MTO10" s="493"/>
      <c r="MTP10" s="493"/>
      <c r="MTQ10" s="493"/>
      <c r="MTR10" s="493"/>
      <c r="MTS10" s="493"/>
      <c r="MTT10" s="493"/>
      <c r="MTU10" s="493"/>
      <c r="MTV10" s="493"/>
      <c r="MTW10" s="493"/>
      <c r="MTX10" s="493"/>
      <c r="MTY10" s="493"/>
      <c r="MTZ10" s="493"/>
      <c r="MUA10" s="493"/>
      <c r="MUB10" s="493"/>
      <c r="MUC10" s="493"/>
      <c r="MUD10" s="493"/>
      <c r="MUE10" s="493"/>
      <c r="MUF10" s="493"/>
      <c r="MUG10" s="493"/>
      <c r="MUH10" s="493"/>
      <c r="MUI10" s="493"/>
      <c r="MUJ10" s="493"/>
      <c r="MUK10" s="493"/>
      <c r="MUL10" s="493"/>
      <c r="MUM10" s="493"/>
      <c r="MUN10" s="493"/>
      <c r="MUO10" s="493"/>
      <c r="MUP10" s="493"/>
      <c r="MUQ10" s="493"/>
      <c r="MUR10" s="493"/>
      <c r="MUS10" s="493"/>
      <c r="MUT10" s="493"/>
      <c r="MUU10" s="493"/>
      <c r="MUV10" s="493"/>
      <c r="MUW10" s="493"/>
      <c r="MUX10" s="493"/>
      <c r="MUY10" s="493"/>
      <c r="MUZ10" s="493"/>
      <c r="MVA10" s="493"/>
      <c r="MVB10" s="493"/>
      <c r="MVC10" s="493"/>
      <c r="MVD10" s="493"/>
      <c r="MVE10" s="493"/>
      <c r="MVF10" s="493"/>
      <c r="MVG10" s="493"/>
      <c r="MVH10" s="493"/>
      <c r="MVI10" s="493"/>
      <c r="MVJ10" s="493"/>
      <c r="MVK10" s="493"/>
      <c r="MVL10" s="493"/>
      <c r="MVM10" s="493"/>
      <c r="MVN10" s="493"/>
      <c r="MVO10" s="493"/>
      <c r="MVP10" s="493"/>
      <c r="MVQ10" s="493"/>
      <c r="MVR10" s="493"/>
      <c r="MVS10" s="493"/>
      <c r="MVT10" s="493"/>
      <c r="MVU10" s="493"/>
      <c r="MVV10" s="493"/>
      <c r="MVW10" s="493"/>
      <c r="MVX10" s="493"/>
      <c r="MVY10" s="493"/>
      <c r="MVZ10" s="493"/>
      <c r="MWA10" s="493"/>
      <c r="MWB10" s="493"/>
      <c r="MWC10" s="493"/>
      <c r="MWD10" s="493"/>
      <c r="MWE10" s="493"/>
      <c r="MWF10" s="493"/>
      <c r="MWG10" s="493"/>
      <c r="MWH10" s="493"/>
      <c r="MWI10" s="493"/>
      <c r="MWJ10" s="493"/>
      <c r="MWK10" s="493"/>
      <c r="MWL10" s="493"/>
      <c r="MWM10" s="493"/>
      <c r="MWN10" s="493"/>
      <c r="MWO10" s="493"/>
      <c r="MWP10" s="493"/>
      <c r="MWQ10" s="493"/>
      <c r="MWR10" s="493"/>
      <c r="MWS10" s="493"/>
      <c r="MWT10" s="493"/>
      <c r="MWU10" s="493"/>
      <c r="MWV10" s="493"/>
      <c r="MWW10" s="493"/>
      <c r="MWX10" s="493"/>
      <c r="MWY10" s="493"/>
      <c r="MWZ10" s="493"/>
      <c r="MXA10" s="493"/>
      <c r="MXB10" s="493"/>
      <c r="MXC10" s="493"/>
      <c r="MXD10" s="493"/>
      <c r="MXE10" s="493"/>
      <c r="MXF10" s="493"/>
      <c r="MXG10" s="493"/>
      <c r="MXH10" s="493"/>
      <c r="MXI10" s="493"/>
      <c r="MXJ10" s="493"/>
      <c r="MXK10" s="493"/>
      <c r="MXL10" s="493"/>
      <c r="MXM10" s="493"/>
      <c r="MXN10" s="493"/>
      <c r="MXO10" s="493"/>
      <c r="MXP10" s="493"/>
      <c r="MXQ10" s="493"/>
      <c r="MXR10" s="493"/>
      <c r="MXS10" s="493"/>
      <c r="MXT10" s="493"/>
      <c r="MXU10" s="493"/>
      <c r="MXV10" s="493"/>
      <c r="MXW10" s="493"/>
      <c r="MXX10" s="493"/>
      <c r="MXY10" s="493"/>
      <c r="MXZ10" s="493"/>
      <c r="MYA10" s="493"/>
      <c r="MYB10" s="493"/>
      <c r="MYC10" s="493"/>
      <c r="MYD10" s="493"/>
      <c r="MYE10" s="493"/>
      <c r="MYF10" s="493"/>
      <c r="MYG10" s="493"/>
      <c r="MYH10" s="493"/>
      <c r="MYI10" s="493"/>
      <c r="MYJ10" s="493"/>
      <c r="MYK10" s="493"/>
      <c r="MYL10" s="493"/>
      <c r="MYM10" s="493"/>
      <c r="MYN10" s="493"/>
      <c r="MYO10" s="493"/>
      <c r="MYP10" s="493"/>
      <c r="MYQ10" s="493"/>
      <c r="MYR10" s="493"/>
      <c r="MYS10" s="493"/>
      <c r="MYT10" s="493"/>
      <c r="MYU10" s="493"/>
      <c r="MYV10" s="493"/>
      <c r="MYW10" s="493"/>
      <c r="MYX10" s="493"/>
      <c r="MYY10" s="493"/>
      <c r="MYZ10" s="493"/>
      <c r="MZA10" s="493"/>
      <c r="MZB10" s="493"/>
      <c r="MZC10" s="493"/>
      <c r="MZD10" s="493"/>
      <c r="MZE10" s="493"/>
      <c r="MZF10" s="493"/>
      <c r="MZG10" s="493"/>
      <c r="MZH10" s="493"/>
      <c r="MZI10" s="493"/>
      <c r="MZJ10" s="493"/>
      <c r="MZK10" s="493"/>
      <c r="MZL10" s="493"/>
      <c r="MZM10" s="493"/>
      <c r="MZN10" s="493"/>
      <c r="MZO10" s="493"/>
      <c r="MZP10" s="493"/>
      <c r="MZQ10" s="493"/>
      <c r="MZR10" s="493"/>
      <c r="MZS10" s="493"/>
      <c r="MZT10" s="493"/>
      <c r="MZU10" s="493"/>
      <c r="MZV10" s="493"/>
      <c r="MZW10" s="493"/>
      <c r="MZX10" s="493"/>
      <c r="MZY10" s="493"/>
      <c r="MZZ10" s="493"/>
      <c r="NAA10" s="493"/>
      <c r="NAB10" s="493"/>
      <c r="NAC10" s="493"/>
      <c r="NAD10" s="493"/>
      <c r="NAE10" s="493"/>
      <c r="NAF10" s="493"/>
      <c r="NAG10" s="493"/>
      <c r="NAH10" s="493"/>
      <c r="NAI10" s="493"/>
      <c r="NAJ10" s="493"/>
      <c r="NAK10" s="493"/>
      <c r="NAL10" s="493"/>
      <c r="NAM10" s="493"/>
      <c r="NAN10" s="493"/>
      <c r="NAO10" s="493"/>
      <c r="NAP10" s="493"/>
      <c r="NAQ10" s="493"/>
      <c r="NAR10" s="493"/>
      <c r="NAS10" s="493"/>
      <c r="NAT10" s="493"/>
      <c r="NAU10" s="493"/>
      <c r="NAV10" s="493"/>
      <c r="NAW10" s="493"/>
      <c r="NAX10" s="493"/>
      <c r="NAY10" s="493"/>
      <c r="NAZ10" s="493"/>
      <c r="NBA10" s="493"/>
      <c r="NBB10" s="493"/>
      <c r="NBC10" s="493"/>
      <c r="NBD10" s="493"/>
      <c r="NBE10" s="493"/>
      <c r="NBF10" s="493"/>
      <c r="NBG10" s="493"/>
      <c r="NBH10" s="493"/>
      <c r="NBI10" s="493"/>
      <c r="NBJ10" s="493"/>
      <c r="NBK10" s="493"/>
      <c r="NBL10" s="493"/>
      <c r="NBM10" s="493"/>
      <c r="NBN10" s="493"/>
      <c r="NBO10" s="493"/>
      <c r="NBP10" s="493"/>
      <c r="NBQ10" s="493"/>
      <c r="NBR10" s="493"/>
      <c r="NBS10" s="493"/>
      <c r="NBT10" s="493"/>
      <c r="NBU10" s="493"/>
      <c r="NBV10" s="493"/>
      <c r="NBW10" s="493"/>
      <c r="NBX10" s="493"/>
      <c r="NBY10" s="493"/>
      <c r="NBZ10" s="493"/>
      <c r="NCA10" s="493"/>
      <c r="NCB10" s="493"/>
      <c r="NCC10" s="493"/>
      <c r="NCD10" s="493"/>
      <c r="NCE10" s="493"/>
      <c r="NCF10" s="493"/>
      <c r="NCG10" s="493"/>
      <c r="NCH10" s="493"/>
      <c r="NCI10" s="493"/>
      <c r="NCJ10" s="493"/>
      <c r="NCK10" s="493"/>
      <c r="NCL10" s="493"/>
      <c r="NCM10" s="493"/>
      <c r="NCN10" s="493"/>
      <c r="NCO10" s="493"/>
      <c r="NCP10" s="493"/>
      <c r="NCQ10" s="493"/>
      <c r="NCR10" s="493"/>
      <c r="NCS10" s="493"/>
      <c r="NCT10" s="493"/>
      <c r="NCU10" s="493"/>
      <c r="NCV10" s="493"/>
      <c r="NCW10" s="493"/>
      <c r="NCX10" s="493"/>
      <c r="NCY10" s="493"/>
      <c r="NCZ10" s="493"/>
      <c r="NDA10" s="493"/>
      <c r="NDB10" s="493"/>
      <c r="NDC10" s="493"/>
      <c r="NDD10" s="493"/>
      <c r="NDE10" s="493"/>
      <c r="NDF10" s="493"/>
      <c r="NDG10" s="493"/>
      <c r="NDH10" s="493"/>
      <c r="NDI10" s="493"/>
      <c r="NDJ10" s="493"/>
      <c r="NDK10" s="493"/>
      <c r="NDL10" s="493"/>
      <c r="NDM10" s="493"/>
      <c r="NDN10" s="493"/>
      <c r="NDO10" s="493"/>
      <c r="NDP10" s="493"/>
      <c r="NDQ10" s="493"/>
      <c r="NDR10" s="493"/>
      <c r="NDS10" s="493"/>
      <c r="NDT10" s="493"/>
      <c r="NDU10" s="493"/>
      <c r="NDV10" s="493"/>
      <c r="NDW10" s="493"/>
      <c r="NDX10" s="493"/>
      <c r="NDY10" s="493"/>
      <c r="NDZ10" s="493"/>
      <c r="NEA10" s="493"/>
      <c r="NEB10" s="493"/>
      <c r="NEC10" s="493"/>
      <c r="NED10" s="493"/>
      <c r="NEE10" s="493"/>
      <c r="NEF10" s="493"/>
      <c r="NEG10" s="493"/>
      <c r="NEH10" s="493"/>
      <c r="NEI10" s="493"/>
      <c r="NEJ10" s="493"/>
      <c r="NEK10" s="493"/>
      <c r="NEL10" s="493"/>
      <c r="NEM10" s="493"/>
      <c r="NEN10" s="493"/>
      <c r="NEO10" s="493"/>
      <c r="NEP10" s="493"/>
      <c r="NEQ10" s="493"/>
      <c r="NER10" s="493"/>
      <c r="NES10" s="493"/>
      <c r="NET10" s="493"/>
      <c r="NEU10" s="493"/>
      <c r="NEV10" s="493"/>
      <c r="NEW10" s="493"/>
      <c r="NEX10" s="493"/>
      <c r="NEY10" s="493"/>
      <c r="NEZ10" s="493"/>
      <c r="NFA10" s="493"/>
      <c r="NFB10" s="493"/>
      <c r="NFC10" s="493"/>
      <c r="NFD10" s="493"/>
      <c r="NFE10" s="493"/>
      <c r="NFF10" s="493"/>
      <c r="NFG10" s="493"/>
      <c r="NFH10" s="493"/>
      <c r="NFI10" s="493"/>
      <c r="NFJ10" s="493"/>
      <c r="NFK10" s="493"/>
      <c r="NFL10" s="493"/>
      <c r="NFM10" s="493"/>
      <c r="NFN10" s="493"/>
      <c r="NFO10" s="493"/>
      <c r="NFP10" s="493"/>
      <c r="NFQ10" s="493"/>
      <c r="NFR10" s="493"/>
      <c r="NFS10" s="493"/>
      <c r="NFT10" s="493"/>
      <c r="NFU10" s="493"/>
      <c r="NFV10" s="493"/>
      <c r="NFW10" s="493"/>
      <c r="NFX10" s="493"/>
      <c r="NFY10" s="493"/>
      <c r="NFZ10" s="493"/>
      <c r="NGA10" s="493"/>
      <c r="NGB10" s="493"/>
      <c r="NGC10" s="493"/>
      <c r="NGD10" s="493"/>
      <c r="NGE10" s="493"/>
      <c r="NGF10" s="493"/>
      <c r="NGG10" s="493"/>
      <c r="NGH10" s="493"/>
      <c r="NGI10" s="493"/>
      <c r="NGJ10" s="493"/>
      <c r="NGK10" s="493"/>
      <c r="NGL10" s="493"/>
      <c r="NGM10" s="493"/>
      <c r="NGN10" s="493"/>
      <c r="NGO10" s="493"/>
      <c r="NGP10" s="493"/>
      <c r="NGQ10" s="493"/>
      <c r="NGR10" s="493"/>
      <c r="NGS10" s="493"/>
      <c r="NGT10" s="493"/>
      <c r="NGU10" s="493"/>
      <c r="NGV10" s="493"/>
      <c r="NGW10" s="493"/>
      <c r="NGX10" s="493"/>
      <c r="NGY10" s="493"/>
      <c r="NGZ10" s="493"/>
      <c r="NHA10" s="493"/>
      <c r="NHB10" s="493"/>
      <c r="NHC10" s="493"/>
      <c r="NHD10" s="493"/>
      <c r="NHE10" s="493"/>
      <c r="NHF10" s="493"/>
      <c r="NHG10" s="493"/>
      <c r="NHH10" s="493"/>
      <c r="NHI10" s="493"/>
      <c r="NHJ10" s="493"/>
      <c r="NHK10" s="493"/>
      <c r="NHL10" s="493"/>
      <c r="NHM10" s="493"/>
      <c r="NHN10" s="493"/>
      <c r="NHO10" s="493"/>
      <c r="NHP10" s="493"/>
      <c r="NHQ10" s="493"/>
      <c r="NHR10" s="493"/>
      <c r="NHS10" s="493"/>
      <c r="NHT10" s="493"/>
      <c r="NHU10" s="493"/>
      <c r="NHV10" s="493"/>
      <c r="NHW10" s="493"/>
      <c r="NHX10" s="493"/>
      <c r="NHY10" s="493"/>
      <c r="NHZ10" s="493"/>
      <c r="NIA10" s="493"/>
      <c r="NIB10" s="493"/>
      <c r="NIC10" s="493"/>
      <c r="NID10" s="493"/>
      <c r="NIE10" s="493"/>
      <c r="NIF10" s="493"/>
      <c r="NIG10" s="493"/>
      <c r="NIH10" s="493"/>
      <c r="NII10" s="493"/>
      <c r="NIJ10" s="493"/>
      <c r="NIK10" s="493"/>
      <c r="NIL10" s="493"/>
      <c r="NIM10" s="493"/>
      <c r="NIN10" s="493"/>
      <c r="NIO10" s="493"/>
      <c r="NIP10" s="493"/>
      <c r="NIQ10" s="493"/>
      <c r="NIR10" s="493"/>
      <c r="NIS10" s="493"/>
      <c r="NIT10" s="493"/>
      <c r="NIU10" s="493"/>
      <c r="NIV10" s="493"/>
      <c r="NIW10" s="493"/>
      <c r="NIX10" s="493"/>
      <c r="NIY10" s="493"/>
      <c r="NIZ10" s="493"/>
      <c r="NJA10" s="493"/>
      <c r="NJB10" s="493"/>
      <c r="NJC10" s="493"/>
      <c r="NJD10" s="493"/>
      <c r="NJE10" s="493"/>
      <c r="NJF10" s="493"/>
      <c r="NJG10" s="493"/>
      <c r="NJH10" s="493"/>
      <c r="NJI10" s="493"/>
      <c r="NJJ10" s="493"/>
      <c r="NJK10" s="493"/>
      <c r="NJL10" s="493"/>
      <c r="NJM10" s="493"/>
      <c r="NJN10" s="493"/>
      <c r="NJO10" s="493"/>
      <c r="NJP10" s="493"/>
      <c r="NJQ10" s="493"/>
      <c r="NJR10" s="493"/>
      <c r="NJS10" s="493"/>
      <c r="NJT10" s="493"/>
      <c r="NJU10" s="493"/>
      <c r="NJV10" s="493"/>
      <c r="NJW10" s="493"/>
      <c r="NJX10" s="493"/>
      <c r="NJY10" s="493"/>
      <c r="NJZ10" s="493"/>
      <c r="NKA10" s="493"/>
      <c r="NKB10" s="493"/>
      <c r="NKC10" s="493"/>
      <c r="NKD10" s="493"/>
      <c r="NKE10" s="493"/>
      <c r="NKF10" s="493"/>
      <c r="NKG10" s="493"/>
      <c r="NKH10" s="493"/>
      <c r="NKI10" s="493"/>
      <c r="NKJ10" s="493"/>
      <c r="NKK10" s="493"/>
      <c r="NKL10" s="493"/>
      <c r="NKM10" s="493"/>
      <c r="NKN10" s="493"/>
      <c r="NKO10" s="493"/>
      <c r="NKP10" s="493"/>
      <c r="NKQ10" s="493"/>
      <c r="NKR10" s="493"/>
      <c r="NKS10" s="493"/>
      <c r="NKT10" s="493"/>
      <c r="NKU10" s="493"/>
      <c r="NKV10" s="493"/>
      <c r="NKW10" s="493"/>
      <c r="NKX10" s="493"/>
      <c r="NKY10" s="493"/>
      <c r="NKZ10" s="493"/>
      <c r="NLA10" s="493"/>
      <c r="NLB10" s="493"/>
      <c r="NLC10" s="493"/>
      <c r="NLD10" s="493"/>
      <c r="NLE10" s="493"/>
      <c r="NLF10" s="493"/>
      <c r="NLG10" s="493"/>
      <c r="NLH10" s="493"/>
      <c r="NLI10" s="493"/>
      <c r="NLJ10" s="493"/>
      <c r="NLK10" s="493"/>
      <c r="NLL10" s="493"/>
      <c r="NLM10" s="493"/>
      <c r="NLN10" s="493"/>
      <c r="NLO10" s="493"/>
      <c r="NLP10" s="493"/>
      <c r="NLQ10" s="493"/>
      <c r="NLR10" s="493"/>
      <c r="NLS10" s="493"/>
      <c r="NLT10" s="493"/>
      <c r="NLU10" s="493"/>
      <c r="NLV10" s="493"/>
      <c r="NLW10" s="493"/>
      <c r="NLX10" s="493"/>
      <c r="NLY10" s="493"/>
      <c r="NLZ10" s="493"/>
      <c r="NMA10" s="493"/>
      <c r="NMB10" s="493"/>
      <c r="NMC10" s="493"/>
      <c r="NMD10" s="493"/>
      <c r="NME10" s="493"/>
      <c r="NMF10" s="493"/>
      <c r="NMG10" s="493"/>
      <c r="NMH10" s="493"/>
      <c r="NMI10" s="493"/>
      <c r="NMJ10" s="493"/>
      <c r="NMK10" s="493"/>
      <c r="NML10" s="493"/>
      <c r="NMM10" s="493"/>
      <c r="NMN10" s="493"/>
      <c r="NMO10" s="493"/>
      <c r="NMP10" s="493"/>
      <c r="NMQ10" s="493"/>
      <c r="NMR10" s="493"/>
      <c r="NMS10" s="493"/>
      <c r="NMT10" s="493"/>
      <c r="NMU10" s="493"/>
      <c r="NMV10" s="493"/>
      <c r="NMW10" s="493"/>
      <c r="NMX10" s="493"/>
      <c r="NMY10" s="493"/>
      <c r="NMZ10" s="493"/>
      <c r="NNA10" s="493"/>
      <c r="NNB10" s="493"/>
      <c r="NNC10" s="493"/>
      <c r="NND10" s="493"/>
      <c r="NNE10" s="493"/>
      <c r="NNF10" s="493"/>
      <c r="NNG10" s="493"/>
      <c r="NNH10" s="493"/>
      <c r="NNI10" s="493"/>
      <c r="NNJ10" s="493"/>
      <c r="NNK10" s="493"/>
      <c r="NNL10" s="493"/>
      <c r="NNM10" s="493"/>
      <c r="NNN10" s="493"/>
      <c r="NNO10" s="493"/>
      <c r="NNP10" s="493"/>
      <c r="NNQ10" s="493"/>
      <c r="NNR10" s="493"/>
      <c r="NNS10" s="493"/>
      <c r="NNT10" s="493"/>
      <c r="NNU10" s="493"/>
      <c r="NNV10" s="493"/>
      <c r="NNW10" s="493"/>
      <c r="NNX10" s="493"/>
      <c r="NNY10" s="493"/>
      <c r="NNZ10" s="493"/>
      <c r="NOA10" s="493"/>
      <c r="NOB10" s="493"/>
      <c r="NOC10" s="493"/>
      <c r="NOD10" s="493"/>
      <c r="NOE10" s="493"/>
      <c r="NOF10" s="493"/>
      <c r="NOG10" s="493"/>
      <c r="NOH10" s="493"/>
      <c r="NOI10" s="493"/>
      <c r="NOJ10" s="493"/>
      <c r="NOK10" s="493"/>
      <c r="NOL10" s="493"/>
      <c r="NOM10" s="493"/>
      <c r="NON10" s="493"/>
      <c r="NOO10" s="493"/>
      <c r="NOP10" s="493"/>
      <c r="NOQ10" s="493"/>
      <c r="NOR10" s="493"/>
      <c r="NOS10" s="493"/>
      <c r="NOT10" s="493"/>
      <c r="NOU10" s="493"/>
      <c r="NOV10" s="493"/>
      <c r="NOW10" s="493"/>
      <c r="NOX10" s="493"/>
      <c r="NOY10" s="493"/>
      <c r="NOZ10" s="493"/>
      <c r="NPA10" s="493"/>
      <c r="NPB10" s="493"/>
      <c r="NPC10" s="493"/>
      <c r="NPD10" s="493"/>
      <c r="NPE10" s="493"/>
      <c r="NPF10" s="493"/>
      <c r="NPG10" s="493"/>
      <c r="NPH10" s="493"/>
      <c r="NPI10" s="493"/>
      <c r="NPJ10" s="493"/>
      <c r="NPK10" s="493"/>
      <c r="NPL10" s="493"/>
      <c r="NPM10" s="493"/>
      <c r="NPN10" s="493"/>
      <c r="NPO10" s="493"/>
      <c r="NPP10" s="493"/>
      <c r="NPQ10" s="493"/>
      <c r="NPR10" s="493"/>
      <c r="NPS10" s="493"/>
      <c r="NPT10" s="493"/>
      <c r="NPU10" s="493"/>
      <c r="NPV10" s="493"/>
      <c r="NPW10" s="493"/>
      <c r="NPX10" s="493"/>
      <c r="NPY10" s="493"/>
      <c r="NPZ10" s="493"/>
      <c r="NQA10" s="493"/>
      <c r="NQB10" s="493"/>
      <c r="NQC10" s="493"/>
      <c r="NQD10" s="493"/>
      <c r="NQE10" s="493"/>
      <c r="NQF10" s="493"/>
      <c r="NQG10" s="493"/>
      <c r="NQH10" s="493"/>
      <c r="NQI10" s="493"/>
      <c r="NQJ10" s="493"/>
      <c r="NQK10" s="493"/>
      <c r="NQL10" s="493"/>
      <c r="NQM10" s="493"/>
      <c r="NQN10" s="493"/>
      <c r="NQO10" s="493"/>
      <c r="NQP10" s="493"/>
      <c r="NQQ10" s="493"/>
      <c r="NQR10" s="493"/>
      <c r="NQS10" s="493"/>
      <c r="NQT10" s="493"/>
      <c r="NQU10" s="493"/>
      <c r="NQV10" s="493"/>
      <c r="NQW10" s="493"/>
      <c r="NQX10" s="493"/>
      <c r="NQY10" s="493"/>
      <c r="NQZ10" s="493"/>
      <c r="NRA10" s="493"/>
      <c r="NRB10" s="493"/>
      <c r="NRC10" s="493"/>
      <c r="NRD10" s="493"/>
      <c r="NRE10" s="493"/>
      <c r="NRF10" s="493"/>
      <c r="NRG10" s="493"/>
      <c r="NRH10" s="493"/>
      <c r="NRI10" s="493"/>
      <c r="NRJ10" s="493"/>
      <c r="NRK10" s="493"/>
      <c r="NRL10" s="493"/>
      <c r="NRM10" s="493"/>
      <c r="NRN10" s="493"/>
      <c r="NRO10" s="493"/>
      <c r="NRP10" s="493"/>
      <c r="NRQ10" s="493"/>
      <c r="NRR10" s="493"/>
      <c r="NRS10" s="493"/>
      <c r="NRT10" s="493"/>
      <c r="NRU10" s="493"/>
      <c r="NRV10" s="493"/>
      <c r="NRW10" s="493"/>
      <c r="NRX10" s="493"/>
      <c r="NRY10" s="493"/>
      <c r="NRZ10" s="493"/>
      <c r="NSA10" s="493"/>
      <c r="NSB10" s="493"/>
      <c r="NSC10" s="493"/>
      <c r="NSD10" s="493"/>
      <c r="NSE10" s="493"/>
      <c r="NSF10" s="493"/>
      <c r="NSG10" s="493"/>
      <c r="NSH10" s="493"/>
      <c r="NSI10" s="493"/>
      <c r="NSJ10" s="493"/>
      <c r="NSK10" s="493"/>
      <c r="NSL10" s="493"/>
      <c r="NSM10" s="493"/>
      <c r="NSN10" s="493"/>
      <c r="NSO10" s="493"/>
      <c r="NSP10" s="493"/>
      <c r="NSQ10" s="493"/>
      <c r="NSR10" s="493"/>
      <c r="NSS10" s="493"/>
      <c r="NST10" s="493"/>
      <c r="NSU10" s="493"/>
      <c r="NSV10" s="493"/>
      <c r="NSW10" s="493"/>
      <c r="NSX10" s="493"/>
      <c r="NSY10" s="493"/>
      <c r="NSZ10" s="493"/>
      <c r="NTA10" s="493"/>
      <c r="NTB10" s="493"/>
      <c r="NTC10" s="493"/>
      <c r="NTD10" s="493"/>
      <c r="NTE10" s="493"/>
      <c r="NTF10" s="493"/>
      <c r="NTG10" s="493"/>
      <c r="NTH10" s="493"/>
      <c r="NTI10" s="493"/>
      <c r="NTJ10" s="493"/>
      <c r="NTK10" s="493"/>
      <c r="NTL10" s="493"/>
      <c r="NTM10" s="493"/>
      <c r="NTN10" s="493"/>
      <c r="NTO10" s="493"/>
      <c r="NTP10" s="493"/>
      <c r="NTQ10" s="493"/>
      <c r="NTR10" s="493"/>
      <c r="NTS10" s="493"/>
      <c r="NTT10" s="493"/>
      <c r="NTU10" s="493"/>
      <c r="NTV10" s="493"/>
      <c r="NTW10" s="493"/>
      <c r="NTX10" s="493"/>
      <c r="NTY10" s="493"/>
      <c r="NTZ10" s="493"/>
      <c r="NUA10" s="493"/>
      <c r="NUB10" s="493"/>
      <c r="NUC10" s="493"/>
      <c r="NUD10" s="493"/>
      <c r="NUE10" s="493"/>
      <c r="NUF10" s="493"/>
      <c r="NUG10" s="493"/>
      <c r="NUH10" s="493"/>
      <c r="NUI10" s="493"/>
      <c r="NUJ10" s="493"/>
      <c r="NUK10" s="493"/>
      <c r="NUL10" s="493"/>
      <c r="NUM10" s="493"/>
      <c r="NUN10" s="493"/>
      <c r="NUO10" s="493"/>
      <c r="NUP10" s="493"/>
      <c r="NUQ10" s="493"/>
      <c r="NUR10" s="493"/>
      <c r="NUS10" s="493"/>
      <c r="NUT10" s="493"/>
      <c r="NUU10" s="493"/>
      <c r="NUV10" s="493"/>
      <c r="NUW10" s="493"/>
      <c r="NUX10" s="493"/>
      <c r="NUY10" s="493"/>
      <c r="NUZ10" s="493"/>
      <c r="NVA10" s="493"/>
      <c r="NVB10" s="493"/>
      <c r="NVC10" s="493"/>
      <c r="NVD10" s="493"/>
      <c r="NVE10" s="493"/>
      <c r="NVF10" s="493"/>
      <c r="NVG10" s="493"/>
      <c r="NVH10" s="493"/>
      <c r="NVI10" s="493"/>
      <c r="NVJ10" s="493"/>
      <c r="NVK10" s="493"/>
      <c r="NVL10" s="493"/>
      <c r="NVM10" s="493"/>
      <c r="NVN10" s="493"/>
      <c r="NVO10" s="493"/>
      <c r="NVP10" s="493"/>
      <c r="NVQ10" s="493"/>
      <c r="NVR10" s="493"/>
      <c r="NVS10" s="493"/>
      <c r="NVT10" s="493"/>
      <c r="NVU10" s="493"/>
      <c r="NVV10" s="493"/>
      <c r="NVW10" s="493"/>
      <c r="NVX10" s="493"/>
      <c r="NVY10" s="493"/>
      <c r="NVZ10" s="493"/>
      <c r="NWA10" s="493"/>
      <c r="NWB10" s="493"/>
      <c r="NWC10" s="493"/>
      <c r="NWD10" s="493"/>
      <c r="NWE10" s="493"/>
      <c r="NWF10" s="493"/>
      <c r="NWG10" s="493"/>
      <c r="NWH10" s="493"/>
      <c r="NWI10" s="493"/>
      <c r="NWJ10" s="493"/>
      <c r="NWK10" s="493"/>
      <c r="NWL10" s="493"/>
      <c r="NWM10" s="493"/>
      <c r="NWN10" s="493"/>
      <c r="NWO10" s="493"/>
      <c r="NWP10" s="493"/>
      <c r="NWQ10" s="493"/>
      <c r="NWR10" s="493"/>
      <c r="NWS10" s="493"/>
      <c r="NWT10" s="493"/>
      <c r="NWU10" s="493"/>
      <c r="NWV10" s="493"/>
      <c r="NWW10" s="493"/>
      <c r="NWX10" s="493"/>
      <c r="NWY10" s="493"/>
      <c r="NWZ10" s="493"/>
      <c r="NXA10" s="493"/>
      <c r="NXB10" s="493"/>
      <c r="NXC10" s="493"/>
      <c r="NXD10" s="493"/>
      <c r="NXE10" s="493"/>
      <c r="NXF10" s="493"/>
      <c r="NXG10" s="493"/>
      <c r="NXH10" s="493"/>
      <c r="NXI10" s="493"/>
      <c r="NXJ10" s="493"/>
      <c r="NXK10" s="493"/>
      <c r="NXL10" s="493"/>
      <c r="NXM10" s="493"/>
      <c r="NXN10" s="493"/>
      <c r="NXO10" s="493"/>
      <c r="NXP10" s="493"/>
      <c r="NXQ10" s="493"/>
      <c r="NXR10" s="493"/>
      <c r="NXS10" s="493"/>
      <c r="NXT10" s="493"/>
      <c r="NXU10" s="493"/>
      <c r="NXV10" s="493"/>
      <c r="NXW10" s="493"/>
      <c r="NXX10" s="493"/>
      <c r="NXY10" s="493"/>
      <c r="NXZ10" s="493"/>
      <c r="NYA10" s="493"/>
      <c r="NYB10" s="493"/>
      <c r="NYC10" s="493"/>
      <c r="NYD10" s="493"/>
      <c r="NYE10" s="493"/>
      <c r="NYF10" s="493"/>
      <c r="NYG10" s="493"/>
      <c r="NYH10" s="493"/>
      <c r="NYI10" s="493"/>
      <c r="NYJ10" s="493"/>
      <c r="NYK10" s="493"/>
      <c r="NYL10" s="493"/>
      <c r="NYM10" s="493"/>
      <c r="NYN10" s="493"/>
      <c r="NYO10" s="493"/>
      <c r="NYP10" s="493"/>
      <c r="NYQ10" s="493"/>
      <c r="NYR10" s="493"/>
      <c r="NYS10" s="493"/>
      <c r="NYT10" s="493"/>
      <c r="NYU10" s="493"/>
      <c r="NYV10" s="493"/>
      <c r="NYW10" s="493"/>
      <c r="NYX10" s="493"/>
      <c r="NYY10" s="493"/>
      <c r="NYZ10" s="493"/>
      <c r="NZA10" s="493"/>
      <c r="NZB10" s="493"/>
      <c r="NZC10" s="493"/>
      <c r="NZD10" s="493"/>
      <c r="NZE10" s="493"/>
      <c r="NZF10" s="493"/>
      <c r="NZG10" s="493"/>
      <c r="NZH10" s="493"/>
      <c r="NZI10" s="493"/>
      <c r="NZJ10" s="493"/>
      <c r="NZK10" s="493"/>
      <c r="NZL10" s="493"/>
      <c r="NZM10" s="493"/>
      <c r="NZN10" s="493"/>
      <c r="NZO10" s="493"/>
      <c r="NZP10" s="493"/>
      <c r="NZQ10" s="493"/>
      <c r="NZR10" s="493"/>
      <c r="NZS10" s="493"/>
      <c r="NZT10" s="493"/>
      <c r="NZU10" s="493"/>
      <c r="NZV10" s="493"/>
      <c r="NZW10" s="493"/>
      <c r="NZX10" s="493"/>
      <c r="NZY10" s="493"/>
      <c r="NZZ10" s="493"/>
      <c r="OAA10" s="493"/>
      <c r="OAB10" s="493"/>
      <c r="OAC10" s="493"/>
      <c r="OAD10" s="493"/>
      <c r="OAE10" s="493"/>
      <c r="OAF10" s="493"/>
      <c r="OAG10" s="493"/>
      <c r="OAH10" s="493"/>
      <c r="OAI10" s="493"/>
      <c r="OAJ10" s="493"/>
      <c r="OAK10" s="493"/>
      <c r="OAL10" s="493"/>
      <c r="OAM10" s="493"/>
      <c r="OAN10" s="493"/>
      <c r="OAO10" s="493"/>
      <c r="OAP10" s="493"/>
      <c r="OAQ10" s="493"/>
      <c r="OAR10" s="493"/>
      <c r="OAS10" s="493"/>
      <c r="OAT10" s="493"/>
      <c r="OAU10" s="493"/>
      <c r="OAV10" s="493"/>
      <c r="OAW10" s="493"/>
      <c r="OAX10" s="493"/>
      <c r="OAY10" s="493"/>
      <c r="OAZ10" s="493"/>
      <c r="OBA10" s="493"/>
      <c r="OBB10" s="493"/>
      <c r="OBC10" s="493"/>
      <c r="OBD10" s="493"/>
      <c r="OBE10" s="493"/>
      <c r="OBF10" s="493"/>
      <c r="OBG10" s="493"/>
      <c r="OBH10" s="493"/>
      <c r="OBI10" s="493"/>
      <c r="OBJ10" s="493"/>
      <c r="OBK10" s="493"/>
      <c r="OBL10" s="493"/>
      <c r="OBM10" s="493"/>
      <c r="OBN10" s="493"/>
      <c r="OBO10" s="493"/>
      <c r="OBP10" s="493"/>
      <c r="OBQ10" s="493"/>
      <c r="OBR10" s="493"/>
      <c r="OBS10" s="493"/>
      <c r="OBT10" s="493"/>
      <c r="OBU10" s="493"/>
      <c r="OBV10" s="493"/>
      <c r="OBW10" s="493"/>
      <c r="OBX10" s="493"/>
      <c r="OBY10" s="493"/>
      <c r="OBZ10" s="493"/>
      <c r="OCA10" s="493"/>
      <c r="OCB10" s="493"/>
      <c r="OCC10" s="493"/>
      <c r="OCD10" s="493"/>
      <c r="OCE10" s="493"/>
      <c r="OCF10" s="493"/>
      <c r="OCG10" s="493"/>
      <c r="OCH10" s="493"/>
      <c r="OCI10" s="493"/>
      <c r="OCJ10" s="493"/>
      <c r="OCK10" s="493"/>
      <c r="OCL10" s="493"/>
      <c r="OCM10" s="493"/>
      <c r="OCN10" s="493"/>
      <c r="OCO10" s="493"/>
      <c r="OCP10" s="493"/>
      <c r="OCQ10" s="493"/>
      <c r="OCR10" s="493"/>
      <c r="OCS10" s="493"/>
      <c r="OCT10" s="493"/>
      <c r="OCU10" s="493"/>
      <c r="OCV10" s="493"/>
      <c r="OCW10" s="493"/>
      <c r="OCX10" s="493"/>
      <c r="OCY10" s="493"/>
      <c r="OCZ10" s="493"/>
      <c r="ODA10" s="493"/>
      <c r="ODB10" s="493"/>
      <c r="ODC10" s="493"/>
      <c r="ODD10" s="493"/>
      <c r="ODE10" s="493"/>
      <c r="ODF10" s="493"/>
      <c r="ODG10" s="493"/>
      <c r="ODH10" s="493"/>
      <c r="ODI10" s="493"/>
      <c r="ODJ10" s="493"/>
      <c r="ODK10" s="493"/>
      <c r="ODL10" s="493"/>
      <c r="ODM10" s="493"/>
      <c r="ODN10" s="493"/>
      <c r="ODO10" s="493"/>
      <c r="ODP10" s="493"/>
      <c r="ODQ10" s="493"/>
      <c r="ODR10" s="493"/>
      <c r="ODS10" s="493"/>
      <c r="ODT10" s="493"/>
      <c r="ODU10" s="493"/>
      <c r="ODV10" s="493"/>
      <c r="ODW10" s="493"/>
      <c r="ODX10" s="493"/>
      <c r="ODY10" s="493"/>
      <c r="ODZ10" s="493"/>
      <c r="OEA10" s="493"/>
      <c r="OEB10" s="493"/>
      <c r="OEC10" s="493"/>
      <c r="OED10" s="493"/>
      <c r="OEE10" s="493"/>
      <c r="OEF10" s="493"/>
      <c r="OEG10" s="493"/>
      <c r="OEH10" s="493"/>
      <c r="OEI10" s="493"/>
      <c r="OEJ10" s="493"/>
      <c r="OEK10" s="493"/>
      <c r="OEL10" s="493"/>
      <c r="OEM10" s="493"/>
      <c r="OEN10" s="493"/>
      <c r="OEO10" s="493"/>
      <c r="OEP10" s="493"/>
      <c r="OEQ10" s="493"/>
      <c r="OER10" s="493"/>
      <c r="OES10" s="493"/>
      <c r="OET10" s="493"/>
      <c r="OEU10" s="493"/>
      <c r="OEV10" s="493"/>
      <c r="OEW10" s="493"/>
      <c r="OEX10" s="493"/>
      <c r="OEY10" s="493"/>
      <c r="OEZ10" s="493"/>
      <c r="OFA10" s="493"/>
      <c r="OFB10" s="493"/>
      <c r="OFC10" s="493"/>
      <c r="OFD10" s="493"/>
      <c r="OFE10" s="493"/>
      <c r="OFF10" s="493"/>
      <c r="OFG10" s="493"/>
      <c r="OFH10" s="493"/>
      <c r="OFI10" s="493"/>
      <c r="OFJ10" s="493"/>
      <c r="OFK10" s="493"/>
      <c r="OFL10" s="493"/>
      <c r="OFM10" s="493"/>
      <c r="OFN10" s="493"/>
      <c r="OFO10" s="493"/>
      <c r="OFP10" s="493"/>
      <c r="OFQ10" s="493"/>
      <c r="OFR10" s="493"/>
      <c r="OFS10" s="493"/>
      <c r="OFT10" s="493"/>
      <c r="OFU10" s="493"/>
      <c r="OFV10" s="493"/>
      <c r="OFW10" s="493"/>
      <c r="OFX10" s="493"/>
      <c r="OFY10" s="493"/>
      <c r="OFZ10" s="493"/>
      <c r="OGA10" s="493"/>
      <c r="OGB10" s="493"/>
      <c r="OGC10" s="493"/>
      <c r="OGD10" s="493"/>
      <c r="OGE10" s="493"/>
      <c r="OGF10" s="493"/>
      <c r="OGG10" s="493"/>
      <c r="OGH10" s="493"/>
      <c r="OGI10" s="493"/>
      <c r="OGJ10" s="493"/>
      <c r="OGK10" s="493"/>
      <c r="OGL10" s="493"/>
      <c r="OGM10" s="493"/>
      <c r="OGN10" s="493"/>
      <c r="OGO10" s="493"/>
      <c r="OGP10" s="493"/>
      <c r="OGQ10" s="493"/>
      <c r="OGR10" s="493"/>
      <c r="OGS10" s="493"/>
      <c r="OGT10" s="493"/>
      <c r="OGU10" s="493"/>
      <c r="OGV10" s="493"/>
      <c r="OGW10" s="493"/>
      <c r="OGX10" s="493"/>
      <c r="OGY10" s="493"/>
      <c r="OGZ10" s="493"/>
      <c r="OHA10" s="493"/>
      <c r="OHB10" s="493"/>
      <c r="OHC10" s="493"/>
      <c r="OHD10" s="493"/>
      <c r="OHE10" s="493"/>
      <c r="OHF10" s="493"/>
      <c r="OHG10" s="493"/>
      <c r="OHH10" s="493"/>
      <c r="OHI10" s="493"/>
      <c r="OHJ10" s="493"/>
      <c r="OHK10" s="493"/>
      <c r="OHL10" s="493"/>
      <c r="OHM10" s="493"/>
      <c r="OHN10" s="493"/>
      <c r="OHO10" s="493"/>
      <c r="OHP10" s="493"/>
      <c r="OHQ10" s="493"/>
      <c r="OHR10" s="493"/>
      <c r="OHS10" s="493"/>
      <c r="OHT10" s="493"/>
      <c r="OHU10" s="493"/>
      <c r="OHV10" s="493"/>
      <c r="OHW10" s="493"/>
      <c r="OHX10" s="493"/>
      <c r="OHY10" s="493"/>
      <c r="OHZ10" s="493"/>
      <c r="OIA10" s="493"/>
      <c r="OIB10" s="493"/>
      <c r="OIC10" s="493"/>
      <c r="OID10" s="493"/>
      <c r="OIE10" s="493"/>
      <c r="OIF10" s="493"/>
      <c r="OIG10" s="493"/>
      <c r="OIH10" s="493"/>
      <c r="OII10" s="493"/>
      <c r="OIJ10" s="493"/>
      <c r="OIK10" s="493"/>
      <c r="OIL10" s="493"/>
      <c r="OIM10" s="493"/>
      <c r="OIN10" s="493"/>
      <c r="OIO10" s="493"/>
      <c r="OIP10" s="493"/>
      <c r="OIQ10" s="493"/>
      <c r="OIR10" s="493"/>
      <c r="OIS10" s="493"/>
      <c r="OIT10" s="493"/>
      <c r="OIU10" s="493"/>
      <c r="OIV10" s="493"/>
      <c r="OIW10" s="493"/>
      <c r="OIX10" s="493"/>
      <c r="OIY10" s="493"/>
      <c r="OIZ10" s="493"/>
      <c r="OJA10" s="493"/>
      <c r="OJB10" s="493"/>
      <c r="OJC10" s="493"/>
      <c r="OJD10" s="493"/>
      <c r="OJE10" s="493"/>
      <c r="OJF10" s="493"/>
      <c r="OJG10" s="493"/>
      <c r="OJH10" s="493"/>
      <c r="OJI10" s="493"/>
      <c r="OJJ10" s="493"/>
      <c r="OJK10" s="493"/>
      <c r="OJL10" s="493"/>
      <c r="OJM10" s="493"/>
      <c r="OJN10" s="493"/>
      <c r="OJO10" s="493"/>
      <c r="OJP10" s="493"/>
      <c r="OJQ10" s="493"/>
      <c r="OJR10" s="493"/>
      <c r="OJS10" s="493"/>
      <c r="OJT10" s="493"/>
      <c r="OJU10" s="493"/>
      <c r="OJV10" s="493"/>
      <c r="OJW10" s="493"/>
      <c r="OJX10" s="493"/>
      <c r="OJY10" s="493"/>
      <c r="OJZ10" s="493"/>
      <c r="OKA10" s="493"/>
      <c r="OKB10" s="493"/>
      <c r="OKC10" s="493"/>
      <c r="OKD10" s="493"/>
      <c r="OKE10" s="493"/>
      <c r="OKF10" s="493"/>
      <c r="OKG10" s="493"/>
      <c r="OKH10" s="493"/>
      <c r="OKI10" s="493"/>
      <c r="OKJ10" s="493"/>
      <c r="OKK10" s="493"/>
      <c r="OKL10" s="493"/>
      <c r="OKM10" s="493"/>
      <c r="OKN10" s="493"/>
      <c r="OKO10" s="493"/>
      <c r="OKP10" s="493"/>
      <c r="OKQ10" s="493"/>
      <c r="OKR10" s="493"/>
      <c r="OKS10" s="493"/>
      <c r="OKT10" s="493"/>
      <c r="OKU10" s="493"/>
      <c r="OKV10" s="493"/>
      <c r="OKW10" s="493"/>
      <c r="OKX10" s="493"/>
      <c r="OKY10" s="493"/>
      <c r="OKZ10" s="493"/>
      <c r="OLA10" s="493"/>
      <c r="OLB10" s="493"/>
      <c r="OLC10" s="493"/>
      <c r="OLD10" s="493"/>
      <c r="OLE10" s="493"/>
      <c r="OLF10" s="493"/>
      <c r="OLG10" s="493"/>
      <c r="OLH10" s="493"/>
      <c r="OLI10" s="493"/>
      <c r="OLJ10" s="493"/>
      <c r="OLK10" s="493"/>
      <c r="OLL10" s="493"/>
      <c r="OLM10" s="493"/>
      <c r="OLN10" s="493"/>
      <c r="OLO10" s="493"/>
      <c r="OLP10" s="493"/>
      <c r="OLQ10" s="493"/>
      <c r="OLR10" s="493"/>
      <c r="OLS10" s="493"/>
      <c r="OLT10" s="493"/>
      <c r="OLU10" s="493"/>
      <c r="OLV10" s="493"/>
      <c r="OLW10" s="493"/>
      <c r="OLX10" s="493"/>
      <c r="OLY10" s="493"/>
      <c r="OLZ10" s="493"/>
      <c r="OMA10" s="493"/>
      <c r="OMB10" s="493"/>
      <c r="OMC10" s="493"/>
      <c r="OMD10" s="493"/>
      <c r="OME10" s="493"/>
      <c r="OMF10" s="493"/>
      <c r="OMG10" s="493"/>
      <c r="OMH10" s="493"/>
      <c r="OMI10" s="493"/>
      <c r="OMJ10" s="493"/>
      <c r="OMK10" s="493"/>
      <c r="OML10" s="493"/>
      <c r="OMM10" s="493"/>
      <c r="OMN10" s="493"/>
      <c r="OMO10" s="493"/>
      <c r="OMP10" s="493"/>
      <c r="OMQ10" s="493"/>
      <c r="OMR10" s="493"/>
      <c r="OMS10" s="493"/>
      <c r="OMT10" s="493"/>
      <c r="OMU10" s="493"/>
      <c r="OMV10" s="493"/>
      <c r="OMW10" s="493"/>
      <c r="OMX10" s="493"/>
      <c r="OMY10" s="493"/>
      <c r="OMZ10" s="493"/>
      <c r="ONA10" s="493"/>
      <c r="ONB10" s="493"/>
      <c r="ONC10" s="493"/>
      <c r="OND10" s="493"/>
      <c r="ONE10" s="493"/>
      <c r="ONF10" s="493"/>
      <c r="ONG10" s="493"/>
      <c r="ONH10" s="493"/>
      <c r="ONI10" s="493"/>
      <c r="ONJ10" s="493"/>
      <c r="ONK10" s="493"/>
      <c r="ONL10" s="493"/>
      <c r="ONM10" s="493"/>
      <c r="ONN10" s="493"/>
      <c r="ONO10" s="493"/>
      <c r="ONP10" s="493"/>
      <c r="ONQ10" s="493"/>
      <c r="ONR10" s="493"/>
      <c r="ONS10" s="493"/>
      <c r="ONT10" s="493"/>
      <c r="ONU10" s="493"/>
      <c r="ONV10" s="493"/>
      <c r="ONW10" s="493"/>
      <c r="ONX10" s="493"/>
      <c r="ONY10" s="493"/>
      <c r="ONZ10" s="493"/>
      <c r="OOA10" s="493"/>
      <c r="OOB10" s="493"/>
      <c r="OOC10" s="493"/>
      <c r="OOD10" s="493"/>
      <c r="OOE10" s="493"/>
      <c r="OOF10" s="493"/>
      <c r="OOG10" s="493"/>
      <c r="OOH10" s="493"/>
      <c r="OOI10" s="493"/>
      <c r="OOJ10" s="493"/>
      <c r="OOK10" s="493"/>
      <c r="OOL10" s="493"/>
      <c r="OOM10" s="493"/>
      <c r="OON10" s="493"/>
      <c r="OOO10" s="493"/>
      <c r="OOP10" s="493"/>
      <c r="OOQ10" s="493"/>
      <c r="OOR10" s="493"/>
      <c r="OOS10" s="493"/>
      <c r="OOT10" s="493"/>
      <c r="OOU10" s="493"/>
      <c r="OOV10" s="493"/>
      <c r="OOW10" s="493"/>
      <c r="OOX10" s="493"/>
      <c r="OOY10" s="493"/>
      <c r="OOZ10" s="493"/>
      <c r="OPA10" s="493"/>
      <c r="OPB10" s="493"/>
      <c r="OPC10" s="493"/>
      <c r="OPD10" s="493"/>
      <c r="OPE10" s="493"/>
      <c r="OPF10" s="493"/>
      <c r="OPG10" s="493"/>
      <c r="OPH10" s="493"/>
      <c r="OPI10" s="493"/>
      <c r="OPJ10" s="493"/>
      <c r="OPK10" s="493"/>
      <c r="OPL10" s="493"/>
      <c r="OPM10" s="493"/>
      <c r="OPN10" s="493"/>
      <c r="OPO10" s="493"/>
      <c r="OPP10" s="493"/>
      <c r="OPQ10" s="493"/>
      <c r="OPR10" s="493"/>
      <c r="OPS10" s="493"/>
      <c r="OPT10" s="493"/>
      <c r="OPU10" s="493"/>
      <c r="OPV10" s="493"/>
      <c r="OPW10" s="493"/>
      <c r="OPX10" s="493"/>
      <c r="OPY10" s="493"/>
      <c r="OPZ10" s="493"/>
      <c r="OQA10" s="493"/>
      <c r="OQB10" s="493"/>
      <c r="OQC10" s="493"/>
      <c r="OQD10" s="493"/>
      <c r="OQE10" s="493"/>
      <c r="OQF10" s="493"/>
      <c r="OQG10" s="493"/>
      <c r="OQH10" s="493"/>
      <c r="OQI10" s="493"/>
      <c r="OQJ10" s="493"/>
      <c r="OQK10" s="493"/>
      <c r="OQL10" s="493"/>
      <c r="OQM10" s="493"/>
      <c r="OQN10" s="493"/>
      <c r="OQO10" s="493"/>
      <c r="OQP10" s="493"/>
      <c r="OQQ10" s="493"/>
      <c r="OQR10" s="493"/>
      <c r="OQS10" s="493"/>
      <c r="OQT10" s="493"/>
      <c r="OQU10" s="493"/>
      <c r="OQV10" s="493"/>
      <c r="OQW10" s="493"/>
      <c r="OQX10" s="493"/>
      <c r="OQY10" s="493"/>
      <c r="OQZ10" s="493"/>
      <c r="ORA10" s="493"/>
      <c r="ORB10" s="493"/>
      <c r="ORC10" s="493"/>
      <c r="ORD10" s="493"/>
      <c r="ORE10" s="493"/>
      <c r="ORF10" s="493"/>
      <c r="ORG10" s="493"/>
      <c r="ORH10" s="493"/>
      <c r="ORI10" s="493"/>
      <c r="ORJ10" s="493"/>
      <c r="ORK10" s="493"/>
      <c r="ORL10" s="493"/>
      <c r="ORM10" s="493"/>
      <c r="ORN10" s="493"/>
      <c r="ORO10" s="493"/>
      <c r="ORP10" s="493"/>
      <c r="ORQ10" s="493"/>
      <c r="ORR10" s="493"/>
      <c r="ORS10" s="493"/>
      <c r="ORT10" s="493"/>
      <c r="ORU10" s="493"/>
      <c r="ORV10" s="493"/>
      <c r="ORW10" s="493"/>
      <c r="ORX10" s="493"/>
      <c r="ORY10" s="493"/>
      <c r="ORZ10" s="493"/>
      <c r="OSA10" s="493"/>
      <c r="OSB10" s="493"/>
      <c r="OSC10" s="493"/>
      <c r="OSD10" s="493"/>
      <c r="OSE10" s="493"/>
      <c r="OSF10" s="493"/>
      <c r="OSG10" s="493"/>
      <c r="OSH10" s="493"/>
      <c r="OSI10" s="493"/>
      <c r="OSJ10" s="493"/>
      <c r="OSK10" s="493"/>
      <c r="OSL10" s="493"/>
      <c r="OSM10" s="493"/>
      <c r="OSN10" s="493"/>
      <c r="OSO10" s="493"/>
      <c r="OSP10" s="493"/>
      <c r="OSQ10" s="493"/>
      <c r="OSR10" s="493"/>
      <c r="OSS10" s="493"/>
      <c r="OST10" s="493"/>
      <c r="OSU10" s="493"/>
      <c r="OSV10" s="493"/>
      <c r="OSW10" s="493"/>
      <c r="OSX10" s="493"/>
      <c r="OSY10" s="493"/>
      <c r="OSZ10" s="493"/>
      <c r="OTA10" s="493"/>
      <c r="OTB10" s="493"/>
      <c r="OTC10" s="493"/>
      <c r="OTD10" s="493"/>
      <c r="OTE10" s="493"/>
      <c r="OTF10" s="493"/>
      <c r="OTG10" s="493"/>
      <c r="OTH10" s="493"/>
      <c r="OTI10" s="493"/>
      <c r="OTJ10" s="493"/>
      <c r="OTK10" s="493"/>
      <c r="OTL10" s="493"/>
      <c r="OTM10" s="493"/>
      <c r="OTN10" s="493"/>
      <c r="OTO10" s="493"/>
      <c r="OTP10" s="493"/>
      <c r="OTQ10" s="493"/>
      <c r="OTR10" s="493"/>
      <c r="OTS10" s="493"/>
      <c r="OTT10" s="493"/>
      <c r="OTU10" s="493"/>
      <c r="OTV10" s="493"/>
      <c r="OTW10" s="493"/>
      <c r="OTX10" s="493"/>
      <c r="OTY10" s="493"/>
      <c r="OTZ10" s="493"/>
      <c r="OUA10" s="493"/>
      <c r="OUB10" s="493"/>
      <c r="OUC10" s="493"/>
      <c r="OUD10" s="493"/>
      <c r="OUE10" s="493"/>
      <c r="OUF10" s="493"/>
      <c r="OUG10" s="493"/>
      <c r="OUH10" s="493"/>
      <c r="OUI10" s="493"/>
      <c r="OUJ10" s="493"/>
      <c r="OUK10" s="493"/>
      <c r="OUL10" s="493"/>
      <c r="OUM10" s="493"/>
      <c r="OUN10" s="493"/>
      <c r="OUO10" s="493"/>
      <c r="OUP10" s="493"/>
      <c r="OUQ10" s="493"/>
      <c r="OUR10" s="493"/>
      <c r="OUS10" s="493"/>
      <c r="OUT10" s="493"/>
      <c r="OUU10" s="493"/>
      <c r="OUV10" s="493"/>
      <c r="OUW10" s="493"/>
      <c r="OUX10" s="493"/>
      <c r="OUY10" s="493"/>
      <c r="OUZ10" s="493"/>
      <c r="OVA10" s="493"/>
      <c r="OVB10" s="493"/>
      <c r="OVC10" s="493"/>
      <c r="OVD10" s="493"/>
      <c r="OVE10" s="493"/>
      <c r="OVF10" s="493"/>
      <c r="OVG10" s="493"/>
      <c r="OVH10" s="493"/>
      <c r="OVI10" s="493"/>
      <c r="OVJ10" s="493"/>
      <c r="OVK10" s="493"/>
      <c r="OVL10" s="493"/>
      <c r="OVM10" s="493"/>
      <c r="OVN10" s="493"/>
      <c r="OVO10" s="493"/>
      <c r="OVP10" s="493"/>
      <c r="OVQ10" s="493"/>
      <c r="OVR10" s="493"/>
      <c r="OVS10" s="493"/>
      <c r="OVT10" s="493"/>
      <c r="OVU10" s="493"/>
      <c r="OVV10" s="493"/>
      <c r="OVW10" s="493"/>
      <c r="OVX10" s="493"/>
      <c r="OVY10" s="493"/>
      <c r="OVZ10" s="493"/>
      <c r="OWA10" s="493"/>
      <c r="OWB10" s="493"/>
      <c r="OWC10" s="493"/>
      <c r="OWD10" s="493"/>
      <c r="OWE10" s="493"/>
      <c r="OWF10" s="493"/>
      <c r="OWG10" s="493"/>
      <c r="OWH10" s="493"/>
      <c r="OWI10" s="493"/>
      <c r="OWJ10" s="493"/>
      <c r="OWK10" s="493"/>
      <c r="OWL10" s="493"/>
      <c r="OWM10" s="493"/>
      <c r="OWN10" s="493"/>
      <c r="OWO10" s="493"/>
      <c r="OWP10" s="493"/>
      <c r="OWQ10" s="493"/>
      <c r="OWR10" s="493"/>
      <c r="OWS10" s="493"/>
      <c r="OWT10" s="493"/>
      <c r="OWU10" s="493"/>
      <c r="OWV10" s="493"/>
      <c r="OWW10" s="493"/>
      <c r="OWX10" s="493"/>
      <c r="OWY10" s="493"/>
      <c r="OWZ10" s="493"/>
      <c r="OXA10" s="493"/>
      <c r="OXB10" s="493"/>
      <c r="OXC10" s="493"/>
      <c r="OXD10" s="493"/>
      <c r="OXE10" s="493"/>
      <c r="OXF10" s="493"/>
      <c r="OXG10" s="493"/>
      <c r="OXH10" s="493"/>
      <c r="OXI10" s="493"/>
      <c r="OXJ10" s="493"/>
      <c r="OXK10" s="493"/>
      <c r="OXL10" s="493"/>
      <c r="OXM10" s="493"/>
      <c r="OXN10" s="493"/>
      <c r="OXO10" s="493"/>
      <c r="OXP10" s="493"/>
      <c r="OXQ10" s="493"/>
      <c r="OXR10" s="493"/>
      <c r="OXS10" s="493"/>
      <c r="OXT10" s="493"/>
      <c r="OXU10" s="493"/>
      <c r="OXV10" s="493"/>
      <c r="OXW10" s="493"/>
      <c r="OXX10" s="493"/>
      <c r="OXY10" s="493"/>
      <c r="OXZ10" s="493"/>
      <c r="OYA10" s="493"/>
      <c r="OYB10" s="493"/>
      <c r="OYC10" s="493"/>
      <c r="OYD10" s="493"/>
      <c r="OYE10" s="493"/>
      <c r="OYF10" s="493"/>
      <c r="OYG10" s="493"/>
      <c r="OYH10" s="493"/>
      <c r="OYI10" s="493"/>
      <c r="OYJ10" s="493"/>
      <c r="OYK10" s="493"/>
      <c r="OYL10" s="493"/>
      <c r="OYM10" s="493"/>
      <c r="OYN10" s="493"/>
      <c r="OYO10" s="493"/>
      <c r="OYP10" s="493"/>
      <c r="OYQ10" s="493"/>
      <c r="OYR10" s="493"/>
      <c r="OYS10" s="493"/>
      <c r="OYT10" s="493"/>
      <c r="OYU10" s="493"/>
      <c r="OYV10" s="493"/>
      <c r="OYW10" s="493"/>
      <c r="OYX10" s="493"/>
      <c r="OYY10" s="493"/>
      <c r="OYZ10" s="493"/>
      <c r="OZA10" s="493"/>
      <c r="OZB10" s="493"/>
      <c r="OZC10" s="493"/>
      <c r="OZD10" s="493"/>
      <c r="OZE10" s="493"/>
      <c r="OZF10" s="493"/>
      <c r="OZG10" s="493"/>
      <c r="OZH10" s="493"/>
      <c r="OZI10" s="493"/>
      <c r="OZJ10" s="493"/>
      <c r="OZK10" s="493"/>
      <c r="OZL10" s="493"/>
      <c r="OZM10" s="493"/>
      <c r="OZN10" s="493"/>
      <c r="OZO10" s="493"/>
      <c r="OZP10" s="493"/>
      <c r="OZQ10" s="493"/>
      <c r="OZR10" s="493"/>
      <c r="OZS10" s="493"/>
      <c r="OZT10" s="493"/>
      <c r="OZU10" s="493"/>
      <c r="OZV10" s="493"/>
      <c r="OZW10" s="493"/>
      <c r="OZX10" s="493"/>
      <c r="OZY10" s="493"/>
      <c r="OZZ10" s="493"/>
      <c r="PAA10" s="493"/>
      <c r="PAB10" s="493"/>
      <c r="PAC10" s="493"/>
      <c r="PAD10" s="493"/>
      <c r="PAE10" s="493"/>
      <c r="PAF10" s="493"/>
      <c r="PAG10" s="493"/>
      <c r="PAH10" s="493"/>
      <c r="PAI10" s="493"/>
      <c r="PAJ10" s="493"/>
      <c r="PAK10" s="493"/>
      <c r="PAL10" s="493"/>
      <c r="PAM10" s="493"/>
      <c r="PAN10" s="493"/>
      <c r="PAO10" s="493"/>
      <c r="PAP10" s="493"/>
      <c r="PAQ10" s="493"/>
      <c r="PAR10" s="493"/>
      <c r="PAS10" s="493"/>
      <c r="PAT10" s="493"/>
      <c r="PAU10" s="493"/>
      <c r="PAV10" s="493"/>
      <c r="PAW10" s="493"/>
      <c r="PAX10" s="493"/>
      <c r="PAY10" s="493"/>
      <c r="PAZ10" s="493"/>
      <c r="PBA10" s="493"/>
      <c r="PBB10" s="493"/>
      <c r="PBC10" s="493"/>
      <c r="PBD10" s="493"/>
      <c r="PBE10" s="493"/>
      <c r="PBF10" s="493"/>
      <c r="PBG10" s="493"/>
      <c r="PBH10" s="493"/>
      <c r="PBI10" s="493"/>
      <c r="PBJ10" s="493"/>
      <c r="PBK10" s="493"/>
      <c r="PBL10" s="493"/>
      <c r="PBM10" s="493"/>
      <c r="PBN10" s="493"/>
      <c r="PBO10" s="493"/>
      <c r="PBP10" s="493"/>
      <c r="PBQ10" s="493"/>
      <c r="PBR10" s="493"/>
      <c r="PBS10" s="493"/>
      <c r="PBT10" s="493"/>
      <c r="PBU10" s="493"/>
      <c r="PBV10" s="493"/>
      <c r="PBW10" s="493"/>
      <c r="PBX10" s="493"/>
      <c r="PBY10" s="493"/>
      <c r="PBZ10" s="493"/>
      <c r="PCA10" s="493"/>
      <c r="PCB10" s="493"/>
      <c r="PCC10" s="493"/>
      <c r="PCD10" s="493"/>
      <c r="PCE10" s="493"/>
      <c r="PCF10" s="493"/>
      <c r="PCG10" s="493"/>
      <c r="PCH10" s="493"/>
      <c r="PCI10" s="493"/>
      <c r="PCJ10" s="493"/>
      <c r="PCK10" s="493"/>
      <c r="PCL10" s="493"/>
      <c r="PCM10" s="493"/>
      <c r="PCN10" s="493"/>
      <c r="PCO10" s="493"/>
      <c r="PCP10" s="493"/>
      <c r="PCQ10" s="493"/>
      <c r="PCR10" s="493"/>
      <c r="PCS10" s="493"/>
      <c r="PCT10" s="493"/>
      <c r="PCU10" s="493"/>
      <c r="PCV10" s="493"/>
      <c r="PCW10" s="493"/>
      <c r="PCX10" s="493"/>
      <c r="PCY10" s="493"/>
      <c r="PCZ10" s="493"/>
      <c r="PDA10" s="493"/>
      <c r="PDB10" s="493"/>
      <c r="PDC10" s="493"/>
      <c r="PDD10" s="493"/>
      <c r="PDE10" s="493"/>
      <c r="PDF10" s="493"/>
      <c r="PDG10" s="493"/>
      <c r="PDH10" s="493"/>
      <c r="PDI10" s="493"/>
      <c r="PDJ10" s="493"/>
      <c r="PDK10" s="493"/>
      <c r="PDL10" s="493"/>
      <c r="PDM10" s="493"/>
      <c r="PDN10" s="493"/>
      <c r="PDO10" s="493"/>
      <c r="PDP10" s="493"/>
      <c r="PDQ10" s="493"/>
      <c r="PDR10" s="493"/>
      <c r="PDS10" s="493"/>
      <c r="PDT10" s="493"/>
      <c r="PDU10" s="493"/>
      <c r="PDV10" s="493"/>
      <c r="PDW10" s="493"/>
      <c r="PDX10" s="493"/>
      <c r="PDY10" s="493"/>
      <c r="PDZ10" s="493"/>
      <c r="PEA10" s="493"/>
      <c r="PEB10" s="493"/>
      <c r="PEC10" s="493"/>
      <c r="PED10" s="493"/>
      <c r="PEE10" s="493"/>
      <c r="PEF10" s="493"/>
      <c r="PEG10" s="493"/>
      <c r="PEH10" s="493"/>
      <c r="PEI10" s="493"/>
      <c r="PEJ10" s="493"/>
      <c r="PEK10" s="493"/>
      <c r="PEL10" s="493"/>
      <c r="PEM10" s="493"/>
      <c r="PEN10" s="493"/>
      <c r="PEO10" s="493"/>
      <c r="PEP10" s="493"/>
      <c r="PEQ10" s="493"/>
      <c r="PER10" s="493"/>
      <c r="PES10" s="493"/>
      <c r="PET10" s="493"/>
      <c r="PEU10" s="493"/>
      <c r="PEV10" s="493"/>
      <c r="PEW10" s="493"/>
      <c r="PEX10" s="493"/>
      <c r="PEY10" s="493"/>
      <c r="PEZ10" s="493"/>
      <c r="PFA10" s="493"/>
      <c r="PFB10" s="493"/>
      <c r="PFC10" s="493"/>
      <c r="PFD10" s="493"/>
      <c r="PFE10" s="493"/>
      <c r="PFF10" s="493"/>
      <c r="PFG10" s="493"/>
      <c r="PFH10" s="493"/>
      <c r="PFI10" s="493"/>
      <c r="PFJ10" s="493"/>
      <c r="PFK10" s="493"/>
      <c r="PFL10" s="493"/>
      <c r="PFM10" s="493"/>
      <c r="PFN10" s="493"/>
      <c r="PFO10" s="493"/>
      <c r="PFP10" s="493"/>
      <c r="PFQ10" s="493"/>
      <c r="PFR10" s="493"/>
      <c r="PFS10" s="493"/>
      <c r="PFT10" s="493"/>
      <c r="PFU10" s="493"/>
      <c r="PFV10" s="493"/>
      <c r="PFW10" s="493"/>
      <c r="PFX10" s="493"/>
      <c r="PFY10" s="493"/>
      <c r="PFZ10" s="493"/>
      <c r="PGA10" s="493"/>
      <c r="PGB10" s="493"/>
      <c r="PGC10" s="493"/>
      <c r="PGD10" s="493"/>
      <c r="PGE10" s="493"/>
      <c r="PGF10" s="493"/>
      <c r="PGG10" s="493"/>
      <c r="PGH10" s="493"/>
      <c r="PGI10" s="493"/>
      <c r="PGJ10" s="493"/>
      <c r="PGK10" s="493"/>
      <c r="PGL10" s="493"/>
      <c r="PGM10" s="493"/>
      <c r="PGN10" s="493"/>
      <c r="PGO10" s="493"/>
      <c r="PGP10" s="493"/>
      <c r="PGQ10" s="493"/>
      <c r="PGR10" s="493"/>
      <c r="PGS10" s="493"/>
      <c r="PGT10" s="493"/>
      <c r="PGU10" s="493"/>
      <c r="PGV10" s="493"/>
      <c r="PGW10" s="493"/>
      <c r="PGX10" s="493"/>
      <c r="PGY10" s="493"/>
      <c r="PGZ10" s="493"/>
      <c r="PHA10" s="493"/>
      <c r="PHB10" s="493"/>
      <c r="PHC10" s="493"/>
      <c r="PHD10" s="493"/>
      <c r="PHE10" s="493"/>
      <c r="PHF10" s="493"/>
      <c r="PHG10" s="493"/>
      <c r="PHH10" s="493"/>
      <c r="PHI10" s="493"/>
      <c r="PHJ10" s="493"/>
      <c r="PHK10" s="493"/>
      <c r="PHL10" s="493"/>
      <c r="PHM10" s="493"/>
      <c r="PHN10" s="493"/>
      <c r="PHO10" s="493"/>
      <c r="PHP10" s="493"/>
      <c r="PHQ10" s="493"/>
      <c r="PHR10" s="493"/>
      <c r="PHS10" s="493"/>
      <c r="PHT10" s="493"/>
      <c r="PHU10" s="493"/>
      <c r="PHV10" s="493"/>
      <c r="PHW10" s="493"/>
      <c r="PHX10" s="493"/>
      <c r="PHY10" s="493"/>
      <c r="PHZ10" s="493"/>
      <c r="PIA10" s="493"/>
      <c r="PIB10" s="493"/>
      <c r="PIC10" s="493"/>
      <c r="PID10" s="493"/>
      <c r="PIE10" s="493"/>
      <c r="PIF10" s="493"/>
      <c r="PIG10" s="493"/>
      <c r="PIH10" s="493"/>
      <c r="PII10" s="493"/>
      <c r="PIJ10" s="493"/>
      <c r="PIK10" s="493"/>
      <c r="PIL10" s="493"/>
      <c r="PIM10" s="493"/>
      <c r="PIN10" s="493"/>
      <c r="PIO10" s="493"/>
      <c r="PIP10" s="493"/>
      <c r="PIQ10" s="493"/>
      <c r="PIR10" s="493"/>
      <c r="PIS10" s="493"/>
      <c r="PIT10" s="493"/>
      <c r="PIU10" s="493"/>
      <c r="PIV10" s="493"/>
      <c r="PIW10" s="493"/>
      <c r="PIX10" s="493"/>
      <c r="PIY10" s="493"/>
      <c r="PIZ10" s="493"/>
      <c r="PJA10" s="493"/>
      <c r="PJB10" s="493"/>
      <c r="PJC10" s="493"/>
      <c r="PJD10" s="493"/>
      <c r="PJE10" s="493"/>
      <c r="PJF10" s="493"/>
      <c r="PJG10" s="493"/>
      <c r="PJH10" s="493"/>
      <c r="PJI10" s="493"/>
      <c r="PJJ10" s="493"/>
      <c r="PJK10" s="493"/>
      <c r="PJL10" s="493"/>
      <c r="PJM10" s="493"/>
      <c r="PJN10" s="493"/>
      <c r="PJO10" s="493"/>
      <c r="PJP10" s="493"/>
      <c r="PJQ10" s="493"/>
      <c r="PJR10" s="493"/>
      <c r="PJS10" s="493"/>
      <c r="PJT10" s="493"/>
      <c r="PJU10" s="493"/>
      <c r="PJV10" s="493"/>
      <c r="PJW10" s="493"/>
      <c r="PJX10" s="493"/>
      <c r="PJY10" s="493"/>
      <c r="PJZ10" s="493"/>
      <c r="PKA10" s="493"/>
      <c r="PKB10" s="493"/>
      <c r="PKC10" s="493"/>
      <c r="PKD10" s="493"/>
      <c r="PKE10" s="493"/>
      <c r="PKF10" s="493"/>
      <c r="PKG10" s="493"/>
      <c r="PKH10" s="493"/>
      <c r="PKI10" s="493"/>
      <c r="PKJ10" s="493"/>
      <c r="PKK10" s="493"/>
      <c r="PKL10" s="493"/>
      <c r="PKM10" s="493"/>
      <c r="PKN10" s="493"/>
      <c r="PKO10" s="493"/>
      <c r="PKP10" s="493"/>
      <c r="PKQ10" s="493"/>
      <c r="PKR10" s="493"/>
      <c r="PKS10" s="493"/>
      <c r="PKT10" s="493"/>
      <c r="PKU10" s="493"/>
      <c r="PKV10" s="493"/>
      <c r="PKW10" s="493"/>
      <c r="PKX10" s="493"/>
      <c r="PKY10" s="493"/>
      <c r="PKZ10" s="493"/>
      <c r="PLA10" s="493"/>
      <c r="PLB10" s="493"/>
      <c r="PLC10" s="493"/>
      <c r="PLD10" s="493"/>
      <c r="PLE10" s="493"/>
      <c r="PLF10" s="493"/>
      <c r="PLG10" s="493"/>
      <c r="PLH10" s="493"/>
      <c r="PLI10" s="493"/>
      <c r="PLJ10" s="493"/>
      <c r="PLK10" s="493"/>
      <c r="PLL10" s="493"/>
      <c r="PLM10" s="493"/>
      <c r="PLN10" s="493"/>
      <c r="PLO10" s="493"/>
      <c r="PLP10" s="493"/>
      <c r="PLQ10" s="493"/>
      <c r="PLR10" s="493"/>
      <c r="PLS10" s="493"/>
      <c r="PLT10" s="493"/>
      <c r="PLU10" s="493"/>
      <c r="PLV10" s="493"/>
      <c r="PLW10" s="493"/>
      <c r="PLX10" s="493"/>
      <c r="PLY10" s="493"/>
      <c r="PLZ10" s="493"/>
      <c r="PMA10" s="493"/>
      <c r="PMB10" s="493"/>
      <c r="PMC10" s="493"/>
      <c r="PMD10" s="493"/>
      <c r="PME10" s="493"/>
      <c r="PMF10" s="493"/>
      <c r="PMG10" s="493"/>
      <c r="PMH10" s="493"/>
      <c r="PMI10" s="493"/>
      <c r="PMJ10" s="493"/>
      <c r="PMK10" s="493"/>
      <c r="PML10" s="493"/>
      <c r="PMM10" s="493"/>
      <c r="PMN10" s="493"/>
      <c r="PMO10" s="493"/>
      <c r="PMP10" s="493"/>
      <c r="PMQ10" s="493"/>
      <c r="PMR10" s="493"/>
      <c r="PMS10" s="493"/>
      <c r="PMT10" s="493"/>
      <c r="PMU10" s="493"/>
      <c r="PMV10" s="493"/>
      <c r="PMW10" s="493"/>
      <c r="PMX10" s="493"/>
      <c r="PMY10" s="493"/>
      <c r="PMZ10" s="493"/>
      <c r="PNA10" s="493"/>
      <c r="PNB10" s="493"/>
      <c r="PNC10" s="493"/>
      <c r="PND10" s="493"/>
      <c r="PNE10" s="493"/>
      <c r="PNF10" s="493"/>
      <c r="PNG10" s="493"/>
      <c r="PNH10" s="493"/>
      <c r="PNI10" s="493"/>
      <c r="PNJ10" s="493"/>
      <c r="PNK10" s="493"/>
      <c r="PNL10" s="493"/>
      <c r="PNM10" s="493"/>
      <c r="PNN10" s="493"/>
      <c r="PNO10" s="493"/>
      <c r="PNP10" s="493"/>
      <c r="PNQ10" s="493"/>
      <c r="PNR10" s="493"/>
      <c r="PNS10" s="493"/>
      <c r="PNT10" s="493"/>
      <c r="PNU10" s="493"/>
      <c r="PNV10" s="493"/>
      <c r="PNW10" s="493"/>
      <c r="PNX10" s="493"/>
      <c r="PNY10" s="493"/>
      <c r="PNZ10" s="493"/>
      <c r="POA10" s="493"/>
      <c r="POB10" s="493"/>
      <c r="POC10" s="493"/>
      <c r="POD10" s="493"/>
      <c r="POE10" s="493"/>
      <c r="POF10" s="493"/>
      <c r="POG10" s="493"/>
      <c r="POH10" s="493"/>
      <c r="POI10" s="493"/>
      <c r="POJ10" s="493"/>
      <c r="POK10" s="493"/>
      <c r="POL10" s="493"/>
      <c r="POM10" s="493"/>
      <c r="PON10" s="493"/>
      <c r="POO10" s="493"/>
      <c r="POP10" s="493"/>
      <c r="POQ10" s="493"/>
      <c r="POR10" s="493"/>
      <c r="POS10" s="493"/>
      <c r="POT10" s="493"/>
      <c r="POU10" s="493"/>
      <c r="POV10" s="493"/>
      <c r="POW10" s="493"/>
      <c r="POX10" s="493"/>
      <c r="POY10" s="493"/>
      <c r="POZ10" s="493"/>
      <c r="PPA10" s="493"/>
      <c r="PPB10" s="493"/>
      <c r="PPC10" s="493"/>
      <c r="PPD10" s="493"/>
      <c r="PPE10" s="493"/>
      <c r="PPF10" s="493"/>
      <c r="PPG10" s="493"/>
      <c r="PPH10" s="493"/>
      <c r="PPI10" s="493"/>
      <c r="PPJ10" s="493"/>
      <c r="PPK10" s="493"/>
      <c r="PPL10" s="493"/>
      <c r="PPM10" s="493"/>
      <c r="PPN10" s="493"/>
      <c r="PPO10" s="493"/>
      <c r="PPP10" s="493"/>
      <c r="PPQ10" s="493"/>
      <c r="PPR10" s="493"/>
      <c r="PPS10" s="493"/>
      <c r="PPT10" s="493"/>
      <c r="PPU10" s="493"/>
      <c r="PPV10" s="493"/>
      <c r="PPW10" s="493"/>
      <c r="PPX10" s="493"/>
      <c r="PPY10" s="493"/>
      <c r="PPZ10" s="493"/>
      <c r="PQA10" s="493"/>
      <c r="PQB10" s="493"/>
      <c r="PQC10" s="493"/>
      <c r="PQD10" s="493"/>
      <c r="PQE10" s="493"/>
      <c r="PQF10" s="493"/>
      <c r="PQG10" s="493"/>
      <c r="PQH10" s="493"/>
      <c r="PQI10" s="493"/>
      <c r="PQJ10" s="493"/>
      <c r="PQK10" s="493"/>
      <c r="PQL10" s="493"/>
      <c r="PQM10" s="493"/>
      <c r="PQN10" s="493"/>
      <c r="PQO10" s="493"/>
      <c r="PQP10" s="493"/>
      <c r="PQQ10" s="493"/>
      <c r="PQR10" s="493"/>
      <c r="PQS10" s="493"/>
      <c r="PQT10" s="493"/>
      <c r="PQU10" s="493"/>
      <c r="PQV10" s="493"/>
      <c r="PQW10" s="493"/>
      <c r="PQX10" s="493"/>
      <c r="PQY10" s="493"/>
      <c r="PQZ10" s="493"/>
      <c r="PRA10" s="493"/>
      <c r="PRB10" s="493"/>
      <c r="PRC10" s="493"/>
      <c r="PRD10" s="493"/>
      <c r="PRE10" s="493"/>
      <c r="PRF10" s="493"/>
      <c r="PRG10" s="493"/>
      <c r="PRH10" s="493"/>
      <c r="PRI10" s="493"/>
      <c r="PRJ10" s="493"/>
      <c r="PRK10" s="493"/>
      <c r="PRL10" s="493"/>
      <c r="PRM10" s="493"/>
      <c r="PRN10" s="493"/>
      <c r="PRO10" s="493"/>
      <c r="PRP10" s="493"/>
      <c r="PRQ10" s="493"/>
      <c r="PRR10" s="493"/>
      <c r="PRS10" s="493"/>
      <c r="PRT10" s="493"/>
      <c r="PRU10" s="493"/>
      <c r="PRV10" s="493"/>
      <c r="PRW10" s="493"/>
      <c r="PRX10" s="493"/>
      <c r="PRY10" s="493"/>
      <c r="PRZ10" s="493"/>
      <c r="PSA10" s="493"/>
      <c r="PSB10" s="493"/>
      <c r="PSC10" s="493"/>
      <c r="PSD10" s="493"/>
      <c r="PSE10" s="493"/>
      <c r="PSF10" s="493"/>
      <c r="PSG10" s="493"/>
      <c r="PSH10" s="493"/>
      <c r="PSI10" s="493"/>
      <c r="PSJ10" s="493"/>
      <c r="PSK10" s="493"/>
      <c r="PSL10" s="493"/>
      <c r="PSM10" s="493"/>
      <c r="PSN10" s="493"/>
      <c r="PSO10" s="493"/>
      <c r="PSP10" s="493"/>
      <c r="PSQ10" s="493"/>
      <c r="PSR10" s="493"/>
      <c r="PSS10" s="493"/>
      <c r="PST10" s="493"/>
      <c r="PSU10" s="493"/>
      <c r="PSV10" s="493"/>
      <c r="PSW10" s="493"/>
      <c r="PSX10" s="493"/>
      <c r="PSY10" s="493"/>
      <c r="PSZ10" s="493"/>
      <c r="PTA10" s="493"/>
      <c r="PTB10" s="493"/>
      <c r="PTC10" s="493"/>
      <c r="PTD10" s="493"/>
      <c r="PTE10" s="493"/>
      <c r="PTF10" s="493"/>
      <c r="PTG10" s="493"/>
      <c r="PTH10" s="493"/>
      <c r="PTI10" s="493"/>
      <c r="PTJ10" s="493"/>
      <c r="PTK10" s="493"/>
      <c r="PTL10" s="493"/>
      <c r="PTM10" s="493"/>
      <c r="PTN10" s="493"/>
      <c r="PTO10" s="493"/>
      <c r="PTP10" s="493"/>
      <c r="PTQ10" s="493"/>
      <c r="PTR10" s="493"/>
      <c r="PTS10" s="493"/>
      <c r="PTT10" s="493"/>
      <c r="PTU10" s="493"/>
      <c r="PTV10" s="493"/>
      <c r="PTW10" s="493"/>
      <c r="PTX10" s="493"/>
      <c r="PTY10" s="493"/>
      <c r="PTZ10" s="493"/>
      <c r="PUA10" s="493"/>
      <c r="PUB10" s="493"/>
      <c r="PUC10" s="493"/>
      <c r="PUD10" s="493"/>
      <c r="PUE10" s="493"/>
      <c r="PUF10" s="493"/>
      <c r="PUG10" s="493"/>
      <c r="PUH10" s="493"/>
      <c r="PUI10" s="493"/>
      <c r="PUJ10" s="493"/>
      <c r="PUK10" s="493"/>
      <c r="PUL10" s="493"/>
      <c r="PUM10" s="493"/>
      <c r="PUN10" s="493"/>
      <c r="PUO10" s="493"/>
      <c r="PUP10" s="493"/>
      <c r="PUQ10" s="493"/>
      <c r="PUR10" s="493"/>
      <c r="PUS10" s="493"/>
      <c r="PUT10" s="493"/>
      <c r="PUU10" s="493"/>
      <c r="PUV10" s="493"/>
      <c r="PUW10" s="493"/>
      <c r="PUX10" s="493"/>
      <c r="PUY10" s="493"/>
      <c r="PUZ10" s="493"/>
      <c r="PVA10" s="493"/>
      <c r="PVB10" s="493"/>
      <c r="PVC10" s="493"/>
      <c r="PVD10" s="493"/>
      <c r="PVE10" s="493"/>
      <c r="PVF10" s="493"/>
      <c r="PVG10" s="493"/>
      <c r="PVH10" s="493"/>
      <c r="PVI10" s="493"/>
      <c r="PVJ10" s="493"/>
      <c r="PVK10" s="493"/>
      <c r="PVL10" s="493"/>
      <c r="PVM10" s="493"/>
      <c r="PVN10" s="493"/>
      <c r="PVO10" s="493"/>
      <c r="PVP10" s="493"/>
      <c r="PVQ10" s="493"/>
      <c r="PVR10" s="493"/>
      <c r="PVS10" s="493"/>
      <c r="PVT10" s="493"/>
      <c r="PVU10" s="493"/>
      <c r="PVV10" s="493"/>
      <c r="PVW10" s="493"/>
      <c r="PVX10" s="493"/>
      <c r="PVY10" s="493"/>
      <c r="PVZ10" s="493"/>
      <c r="PWA10" s="493"/>
      <c r="PWB10" s="493"/>
      <c r="PWC10" s="493"/>
      <c r="PWD10" s="493"/>
      <c r="PWE10" s="493"/>
      <c r="PWF10" s="493"/>
      <c r="PWG10" s="493"/>
      <c r="PWH10" s="493"/>
      <c r="PWI10" s="493"/>
      <c r="PWJ10" s="493"/>
      <c r="PWK10" s="493"/>
      <c r="PWL10" s="493"/>
      <c r="PWM10" s="493"/>
      <c r="PWN10" s="493"/>
      <c r="PWO10" s="493"/>
      <c r="PWP10" s="493"/>
      <c r="PWQ10" s="493"/>
      <c r="PWR10" s="493"/>
      <c r="PWS10" s="493"/>
      <c r="PWT10" s="493"/>
      <c r="PWU10" s="493"/>
      <c r="PWV10" s="493"/>
      <c r="PWW10" s="493"/>
      <c r="PWX10" s="493"/>
      <c r="PWY10" s="493"/>
      <c r="PWZ10" s="493"/>
      <c r="PXA10" s="493"/>
      <c r="PXB10" s="493"/>
      <c r="PXC10" s="493"/>
      <c r="PXD10" s="493"/>
      <c r="PXE10" s="493"/>
      <c r="PXF10" s="493"/>
      <c r="PXG10" s="493"/>
      <c r="PXH10" s="493"/>
      <c r="PXI10" s="493"/>
      <c r="PXJ10" s="493"/>
      <c r="PXK10" s="493"/>
      <c r="PXL10" s="493"/>
      <c r="PXM10" s="493"/>
      <c r="PXN10" s="493"/>
      <c r="PXO10" s="493"/>
      <c r="PXP10" s="493"/>
      <c r="PXQ10" s="493"/>
      <c r="PXR10" s="493"/>
      <c r="PXS10" s="493"/>
      <c r="PXT10" s="493"/>
      <c r="PXU10" s="493"/>
      <c r="PXV10" s="493"/>
      <c r="PXW10" s="493"/>
      <c r="PXX10" s="493"/>
      <c r="PXY10" s="493"/>
      <c r="PXZ10" s="493"/>
      <c r="PYA10" s="493"/>
      <c r="PYB10" s="493"/>
      <c r="PYC10" s="493"/>
      <c r="PYD10" s="493"/>
      <c r="PYE10" s="493"/>
      <c r="PYF10" s="493"/>
      <c r="PYG10" s="493"/>
      <c r="PYH10" s="493"/>
      <c r="PYI10" s="493"/>
      <c r="PYJ10" s="493"/>
      <c r="PYK10" s="493"/>
      <c r="PYL10" s="493"/>
      <c r="PYM10" s="493"/>
      <c r="PYN10" s="493"/>
      <c r="PYO10" s="493"/>
      <c r="PYP10" s="493"/>
      <c r="PYQ10" s="493"/>
      <c r="PYR10" s="493"/>
      <c r="PYS10" s="493"/>
      <c r="PYT10" s="493"/>
      <c r="PYU10" s="493"/>
      <c r="PYV10" s="493"/>
      <c r="PYW10" s="493"/>
      <c r="PYX10" s="493"/>
      <c r="PYY10" s="493"/>
      <c r="PYZ10" s="493"/>
      <c r="PZA10" s="493"/>
      <c r="PZB10" s="493"/>
      <c r="PZC10" s="493"/>
      <c r="PZD10" s="493"/>
      <c r="PZE10" s="493"/>
      <c r="PZF10" s="493"/>
      <c r="PZG10" s="493"/>
      <c r="PZH10" s="493"/>
      <c r="PZI10" s="493"/>
      <c r="PZJ10" s="493"/>
      <c r="PZK10" s="493"/>
      <c r="PZL10" s="493"/>
      <c r="PZM10" s="493"/>
      <c r="PZN10" s="493"/>
      <c r="PZO10" s="493"/>
      <c r="PZP10" s="493"/>
      <c r="PZQ10" s="493"/>
      <c r="PZR10" s="493"/>
      <c r="PZS10" s="493"/>
      <c r="PZT10" s="493"/>
      <c r="PZU10" s="493"/>
      <c r="PZV10" s="493"/>
      <c r="PZW10" s="493"/>
      <c r="PZX10" s="493"/>
      <c r="PZY10" s="493"/>
      <c r="PZZ10" s="493"/>
      <c r="QAA10" s="493"/>
      <c r="QAB10" s="493"/>
      <c r="QAC10" s="493"/>
      <c r="QAD10" s="493"/>
      <c r="QAE10" s="493"/>
      <c r="QAF10" s="493"/>
      <c r="QAG10" s="493"/>
      <c r="QAH10" s="493"/>
      <c r="QAI10" s="493"/>
      <c r="QAJ10" s="493"/>
      <c r="QAK10" s="493"/>
      <c r="QAL10" s="493"/>
      <c r="QAM10" s="493"/>
      <c r="QAN10" s="493"/>
      <c r="QAO10" s="493"/>
      <c r="QAP10" s="493"/>
      <c r="QAQ10" s="493"/>
      <c r="QAR10" s="493"/>
      <c r="QAS10" s="493"/>
      <c r="QAT10" s="493"/>
      <c r="QAU10" s="493"/>
      <c r="QAV10" s="493"/>
      <c r="QAW10" s="493"/>
      <c r="QAX10" s="493"/>
      <c r="QAY10" s="493"/>
      <c r="QAZ10" s="493"/>
      <c r="QBA10" s="493"/>
      <c r="QBB10" s="493"/>
      <c r="QBC10" s="493"/>
      <c r="QBD10" s="493"/>
      <c r="QBE10" s="493"/>
      <c r="QBF10" s="493"/>
      <c r="QBG10" s="493"/>
      <c r="QBH10" s="493"/>
      <c r="QBI10" s="493"/>
      <c r="QBJ10" s="493"/>
      <c r="QBK10" s="493"/>
      <c r="QBL10" s="493"/>
      <c r="QBM10" s="493"/>
      <c r="QBN10" s="493"/>
      <c r="QBO10" s="493"/>
      <c r="QBP10" s="493"/>
      <c r="QBQ10" s="493"/>
      <c r="QBR10" s="493"/>
      <c r="QBS10" s="493"/>
      <c r="QBT10" s="493"/>
      <c r="QBU10" s="493"/>
      <c r="QBV10" s="493"/>
      <c r="QBW10" s="493"/>
      <c r="QBX10" s="493"/>
      <c r="QBY10" s="493"/>
      <c r="QBZ10" s="493"/>
      <c r="QCA10" s="493"/>
      <c r="QCB10" s="493"/>
      <c r="QCC10" s="493"/>
      <c r="QCD10" s="493"/>
      <c r="QCE10" s="493"/>
      <c r="QCF10" s="493"/>
      <c r="QCG10" s="493"/>
      <c r="QCH10" s="493"/>
      <c r="QCI10" s="493"/>
      <c r="QCJ10" s="493"/>
      <c r="QCK10" s="493"/>
      <c r="QCL10" s="493"/>
      <c r="QCM10" s="493"/>
      <c r="QCN10" s="493"/>
      <c r="QCO10" s="493"/>
      <c r="QCP10" s="493"/>
      <c r="QCQ10" s="493"/>
      <c r="QCR10" s="493"/>
      <c r="QCS10" s="493"/>
      <c r="QCT10" s="493"/>
      <c r="QCU10" s="493"/>
      <c r="QCV10" s="493"/>
      <c r="QCW10" s="493"/>
      <c r="QCX10" s="493"/>
      <c r="QCY10" s="493"/>
      <c r="QCZ10" s="493"/>
      <c r="QDA10" s="493"/>
      <c r="QDB10" s="493"/>
      <c r="QDC10" s="493"/>
      <c r="QDD10" s="493"/>
      <c r="QDE10" s="493"/>
      <c r="QDF10" s="493"/>
      <c r="QDG10" s="493"/>
      <c r="QDH10" s="493"/>
      <c r="QDI10" s="493"/>
      <c r="QDJ10" s="493"/>
      <c r="QDK10" s="493"/>
      <c r="QDL10" s="493"/>
      <c r="QDM10" s="493"/>
      <c r="QDN10" s="493"/>
      <c r="QDO10" s="493"/>
      <c r="QDP10" s="493"/>
      <c r="QDQ10" s="493"/>
      <c r="QDR10" s="493"/>
      <c r="QDS10" s="493"/>
      <c r="QDT10" s="493"/>
      <c r="QDU10" s="493"/>
      <c r="QDV10" s="493"/>
      <c r="QDW10" s="493"/>
      <c r="QDX10" s="493"/>
      <c r="QDY10" s="493"/>
      <c r="QDZ10" s="493"/>
      <c r="QEA10" s="493"/>
      <c r="QEB10" s="493"/>
      <c r="QEC10" s="493"/>
      <c r="QED10" s="493"/>
      <c r="QEE10" s="493"/>
      <c r="QEF10" s="493"/>
      <c r="QEG10" s="493"/>
      <c r="QEH10" s="493"/>
      <c r="QEI10" s="493"/>
      <c r="QEJ10" s="493"/>
      <c r="QEK10" s="493"/>
      <c r="QEL10" s="493"/>
      <c r="QEM10" s="493"/>
      <c r="QEN10" s="493"/>
      <c r="QEO10" s="493"/>
      <c r="QEP10" s="493"/>
      <c r="QEQ10" s="493"/>
      <c r="QER10" s="493"/>
      <c r="QES10" s="493"/>
      <c r="QET10" s="493"/>
      <c r="QEU10" s="493"/>
      <c r="QEV10" s="493"/>
      <c r="QEW10" s="493"/>
      <c r="QEX10" s="493"/>
      <c r="QEY10" s="493"/>
      <c r="QEZ10" s="493"/>
      <c r="QFA10" s="493"/>
      <c r="QFB10" s="493"/>
      <c r="QFC10" s="493"/>
      <c r="QFD10" s="493"/>
      <c r="QFE10" s="493"/>
      <c r="QFF10" s="493"/>
      <c r="QFG10" s="493"/>
      <c r="QFH10" s="493"/>
      <c r="QFI10" s="493"/>
      <c r="QFJ10" s="493"/>
      <c r="QFK10" s="493"/>
      <c r="QFL10" s="493"/>
      <c r="QFM10" s="493"/>
      <c r="QFN10" s="493"/>
      <c r="QFO10" s="493"/>
      <c r="QFP10" s="493"/>
      <c r="QFQ10" s="493"/>
      <c r="QFR10" s="493"/>
      <c r="QFS10" s="493"/>
      <c r="QFT10" s="493"/>
      <c r="QFU10" s="493"/>
      <c r="QFV10" s="493"/>
      <c r="QFW10" s="493"/>
      <c r="QFX10" s="493"/>
      <c r="QFY10" s="493"/>
      <c r="QFZ10" s="493"/>
      <c r="QGA10" s="493"/>
      <c r="QGB10" s="493"/>
      <c r="QGC10" s="493"/>
      <c r="QGD10" s="493"/>
      <c r="QGE10" s="493"/>
      <c r="QGF10" s="493"/>
      <c r="QGG10" s="493"/>
      <c r="QGH10" s="493"/>
      <c r="QGI10" s="493"/>
      <c r="QGJ10" s="493"/>
      <c r="QGK10" s="493"/>
      <c r="QGL10" s="493"/>
      <c r="QGM10" s="493"/>
      <c r="QGN10" s="493"/>
      <c r="QGO10" s="493"/>
      <c r="QGP10" s="493"/>
      <c r="QGQ10" s="493"/>
      <c r="QGR10" s="493"/>
      <c r="QGS10" s="493"/>
      <c r="QGT10" s="493"/>
      <c r="QGU10" s="493"/>
      <c r="QGV10" s="493"/>
      <c r="QGW10" s="493"/>
      <c r="QGX10" s="493"/>
      <c r="QGY10" s="493"/>
      <c r="QGZ10" s="493"/>
      <c r="QHA10" s="493"/>
      <c r="QHB10" s="493"/>
      <c r="QHC10" s="493"/>
      <c r="QHD10" s="493"/>
      <c r="QHE10" s="493"/>
      <c r="QHF10" s="493"/>
      <c r="QHG10" s="493"/>
      <c r="QHH10" s="493"/>
      <c r="QHI10" s="493"/>
      <c r="QHJ10" s="493"/>
      <c r="QHK10" s="493"/>
      <c r="QHL10" s="493"/>
      <c r="QHM10" s="493"/>
      <c r="QHN10" s="493"/>
      <c r="QHO10" s="493"/>
      <c r="QHP10" s="493"/>
      <c r="QHQ10" s="493"/>
      <c r="QHR10" s="493"/>
      <c r="QHS10" s="493"/>
      <c r="QHT10" s="493"/>
      <c r="QHU10" s="493"/>
      <c r="QHV10" s="493"/>
      <c r="QHW10" s="493"/>
      <c r="QHX10" s="493"/>
      <c r="QHY10" s="493"/>
      <c r="QHZ10" s="493"/>
      <c r="QIA10" s="493"/>
      <c r="QIB10" s="493"/>
      <c r="QIC10" s="493"/>
      <c r="QID10" s="493"/>
      <c r="QIE10" s="493"/>
      <c r="QIF10" s="493"/>
      <c r="QIG10" s="493"/>
      <c r="QIH10" s="493"/>
      <c r="QII10" s="493"/>
      <c r="QIJ10" s="493"/>
      <c r="QIK10" s="493"/>
      <c r="QIL10" s="493"/>
      <c r="QIM10" s="493"/>
      <c r="QIN10" s="493"/>
      <c r="QIO10" s="493"/>
      <c r="QIP10" s="493"/>
      <c r="QIQ10" s="493"/>
      <c r="QIR10" s="493"/>
      <c r="QIS10" s="493"/>
      <c r="QIT10" s="493"/>
      <c r="QIU10" s="493"/>
      <c r="QIV10" s="493"/>
      <c r="QIW10" s="493"/>
      <c r="QIX10" s="493"/>
      <c r="QIY10" s="493"/>
      <c r="QIZ10" s="493"/>
      <c r="QJA10" s="493"/>
      <c r="QJB10" s="493"/>
      <c r="QJC10" s="493"/>
      <c r="QJD10" s="493"/>
      <c r="QJE10" s="493"/>
      <c r="QJF10" s="493"/>
      <c r="QJG10" s="493"/>
      <c r="QJH10" s="493"/>
      <c r="QJI10" s="493"/>
      <c r="QJJ10" s="493"/>
      <c r="QJK10" s="493"/>
      <c r="QJL10" s="493"/>
      <c r="QJM10" s="493"/>
      <c r="QJN10" s="493"/>
      <c r="QJO10" s="493"/>
      <c r="QJP10" s="493"/>
      <c r="QJQ10" s="493"/>
      <c r="QJR10" s="493"/>
      <c r="QJS10" s="493"/>
      <c r="QJT10" s="493"/>
      <c r="QJU10" s="493"/>
      <c r="QJV10" s="493"/>
      <c r="QJW10" s="493"/>
      <c r="QJX10" s="493"/>
      <c r="QJY10" s="493"/>
      <c r="QJZ10" s="493"/>
      <c r="QKA10" s="493"/>
      <c r="QKB10" s="493"/>
      <c r="QKC10" s="493"/>
      <c r="QKD10" s="493"/>
      <c r="QKE10" s="493"/>
      <c r="QKF10" s="493"/>
      <c r="QKG10" s="493"/>
      <c r="QKH10" s="493"/>
      <c r="QKI10" s="493"/>
      <c r="QKJ10" s="493"/>
      <c r="QKK10" s="493"/>
      <c r="QKL10" s="493"/>
      <c r="QKM10" s="493"/>
      <c r="QKN10" s="493"/>
      <c r="QKO10" s="493"/>
      <c r="QKP10" s="493"/>
      <c r="QKQ10" s="493"/>
      <c r="QKR10" s="493"/>
      <c r="QKS10" s="493"/>
      <c r="QKT10" s="493"/>
      <c r="QKU10" s="493"/>
      <c r="QKV10" s="493"/>
      <c r="QKW10" s="493"/>
      <c r="QKX10" s="493"/>
      <c r="QKY10" s="493"/>
      <c r="QKZ10" s="493"/>
      <c r="QLA10" s="493"/>
      <c r="QLB10" s="493"/>
      <c r="QLC10" s="493"/>
      <c r="QLD10" s="493"/>
      <c r="QLE10" s="493"/>
      <c r="QLF10" s="493"/>
      <c r="QLG10" s="493"/>
      <c r="QLH10" s="493"/>
      <c r="QLI10" s="493"/>
      <c r="QLJ10" s="493"/>
      <c r="QLK10" s="493"/>
      <c r="QLL10" s="493"/>
      <c r="QLM10" s="493"/>
      <c r="QLN10" s="493"/>
      <c r="QLO10" s="493"/>
      <c r="QLP10" s="493"/>
      <c r="QLQ10" s="493"/>
      <c r="QLR10" s="493"/>
      <c r="QLS10" s="493"/>
      <c r="QLT10" s="493"/>
      <c r="QLU10" s="493"/>
      <c r="QLV10" s="493"/>
      <c r="QLW10" s="493"/>
      <c r="QLX10" s="493"/>
      <c r="QLY10" s="493"/>
      <c r="QLZ10" s="493"/>
      <c r="QMA10" s="493"/>
      <c r="QMB10" s="493"/>
      <c r="QMC10" s="493"/>
      <c r="QMD10" s="493"/>
      <c r="QME10" s="493"/>
      <c r="QMF10" s="493"/>
      <c r="QMG10" s="493"/>
      <c r="QMH10" s="493"/>
      <c r="QMI10" s="493"/>
      <c r="QMJ10" s="493"/>
      <c r="QMK10" s="493"/>
      <c r="QML10" s="493"/>
      <c r="QMM10" s="493"/>
      <c r="QMN10" s="493"/>
      <c r="QMO10" s="493"/>
      <c r="QMP10" s="493"/>
      <c r="QMQ10" s="493"/>
      <c r="QMR10" s="493"/>
      <c r="QMS10" s="493"/>
      <c r="QMT10" s="493"/>
      <c r="QMU10" s="493"/>
      <c r="QMV10" s="493"/>
      <c r="QMW10" s="493"/>
      <c r="QMX10" s="493"/>
      <c r="QMY10" s="493"/>
      <c r="QMZ10" s="493"/>
      <c r="QNA10" s="493"/>
      <c r="QNB10" s="493"/>
      <c r="QNC10" s="493"/>
      <c r="QND10" s="493"/>
      <c r="QNE10" s="493"/>
      <c r="QNF10" s="493"/>
      <c r="QNG10" s="493"/>
      <c r="QNH10" s="493"/>
      <c r="QNI10" s="493"/>
      <c r="QNJ10" s="493"/>
      <c r="QNK10" s="493"/>
      <c r="QNL10" s="493"/>
      <c r="QNM10" s="493"/>
      <c r="QNN10" s="493"/>
      <c r="QNO10" s="493"/>
      <c r="QNP10" s="493"/>
      <c r="QNQ10" s="493"/>
      <c r="QNR10" s="493"/>
      <c r="QNS10" s="493"/>
      <c r="QNT10" s="493"/>
      <c r="QNU10" s="493"/>
      <c r="QNV10" s="493"/>
      <c r="QNW10" s="493"/>
      <c r="QNX10" s="493"/>
      <c r="QNY10" s="493"/>
      <c r="QNZ10" s="493"/>
      <c r="QOA10" s="493"/>
      <c r="QOB10" s="493"/>
      <c r="QOC10" s="493"/>
      <c r="QOD10" s="493"/>
      <c r="QOE10" s="493"/>
      <c r="QOF10" s="493"/>
      <c r="QOG10" s="493"/>
      <c r="QOH10" s="493"/>
      <c r="QOI10" s="493"/>
      <c r="QOJ10" s="493"/>
      <c r="QOK10" s="493"/>
      <c r="QOL10" s="493"/>
      <c r="QOM10" s="493"/>
      <c r="QON10" s="493"/>
      <c r="QOO10" s="493"/>
      <c r="QOP10" s="493"/>
      <c r="QOQ10" s="493"/>
      <c r="QOR10" s="493"/>
      <c r="QOS10" s="493"/>
      <c r="QOT10" s="493"/>
      <c r="QOU10" s="493"/>
      <c r="QOV10" s="493"/>
      <c r="QOW10" s="493"/>
      <c r="QOX10" s="493"/>
      <c r="QOY10" s="493"/>
      <c r="QOZ10" s="493"/>
      <c r="QPA10" s="493"/>
      <c r="QPB10" s="493"/>
      <c r="QPC10" s="493"/>
      <c r="QPD10" s="493"/>
      <c r="QPE10" s="493"/>
      <c r="QPF10" s="493"/>
      <c r="QPG10" s="493"/>
      <c r="QPH10" s="493"/>
      <c r="QPI10" s="493"/>
      <c r="QPJ10" s="493"/>
      <c r="QPK10" s="493"/>
      <c r="QPL10" s="493"/>
      <c r="QPM10" s="493"/>
      <c r="QPN10" s="493"/>
      <c r="QPO10" s="493"/>
      <c r="QPP10" s="493"/>
      <c r="QPQ10" s="493"/>
      <c r="QPR10" s="493"/>
      <c r="QPS10" s="493"/>
      <c r="QPT10" s="493"/>
      <c r="QPU10" s="493"/>
      <c r="QPV10" s="493"/>
      <c r="QPW10" s="493"/>
      <c r="QPX10" s="493"/>
      <c r="QPY10" s="493"/>
      <c r="QPZ10" s="493"/>
      <c r="QQA10" s="493"/>
      <c r="QQB10" s="493"/>
      <c r="QQC10" s="493"/>
      <c r="QQD10" s="493"/>
      <c r="QQE10" s="493"/>
      <c r="QQF10" s="493"/>
      <c r="QQG10" s="493"/>
      <c r="QQH10" s="493"/>
      <c r="QQI10" s="493"/>
      <c r="QQJ10" s="493"/>
      <c r="QQK10" s="493"/>
      <c r="QQL10" s="493"/>
      <c r="QQM10" s="493"/>
      <c r="QQN10" s="493"/>
      <c r="QQO10" s="493"/>
      <c r="QQP10" s="493"/>
      <c r="QQQ10" s="493"/>
      <c r="QQR10" s="493"/>
      <c r="QQS10" s="493"/>
      <c r="QQT10" s="493"/>
      <c r="QQU10" s="493"/>
      <c r="QQV10" s="493"/>
      <c r="QQW10" s="493"/>
      <c r="QQX10" s="493"/>
      <c r="QQY10" s="493"/>
      <c r="QQZ10" s="493"/>
      <c r="QRA10" s="493"/>
      <c r="QRB10" s="493"/>
      <c r="QRC10" s="493"/>
      <c r="QRD10" s="493"/>
      <c r="QRE10" s="493"/>
      <c r="QRF10" s="493"/>
      <c r="QRG10" s="493"/>
      <c r="QRH10" s="493"/>
      <c r="QRI10" s="493"/>
      <c r="QRJ10" s="493"/>
      <c r="QRK10" s="493"/>
      <c r="QRL10" s="493"/>
      <c r="QRM10" s="493"/>
      <c r="QRN10" s="493"/>
      <c r="QRO10" s="493"/>
      <c r="QRP10" s="493"/>
      <c r="QRQ10" s="493"/>
      <c r="QRR10" s="493"/>
      <c r="QRS10" s="493"/>
      <c r="QRT10" s="493"/>
      <c r="QRU10" s="493"/>
      <c r="QRV10" s="493"/>
      <c r="QRW10" s="493"/>
      <c r="QRX10" s="493"/>
      <c r="QRY10" s="493"/>
      <c r="QRZ10" s="493"/>
      <c r="QSA10" s="493"/>
      <c r="QSB10" s="493"/>
      <c r="QSC10" s="493"/>
      <c r="QSD10" s="493"/>
      <c r="QSE10" s="493"/>
      <c r="QSF10" s="493"/>
      <c r="QSG10" s="493"/>
      <c r="QSH10" s="493"/>
      <c r="QSI10" s="493"/>
      <c r="QSJ10" s="493"/>
      <c r="QSK10" s="493"/>
      <c r="QSL10" s="493"/>
      <c r="QSM10" s="493"/>
      <c r="QSN10" s="493"/>
      <c r="QSO10" s="493"/>
      <c r="QSP10" s="493"/>
      <c r="QSQ10" s="493"/>
      <c r="QSR10" s="493"/>
      <c r="QSS10" s="493"/>
      <c r="QST10" s="493"/>
      <c r="QSU10" s="493"/>
      <c r="QSV10" s="493"/>
      <c r="QSW10" s="493"/>
      <c r="QSX10" s="493"/>
      <c r="QSY10" s="493"/>
      <c r="QSZ10" s="493"/>
      <c r="QTA10" s="493"/>
      <c r="QTB10" s="493"/>
      <c r="QTC10" s="493"/>
      <c r="QTD10" s="493"/>
      <c r="QTE10" s="493"/>
      <c r="QTF10" s="493"/>
      <c r="QTG10" s="493"/>
      <c r="QTH10" s="493"/>
      <c r="QTI10" s="493"/>
      <c r="QTJ10" s="493"/>
      <c r="QTK10" s="493"/>
      <c r="QTL10" s="493"/>
      <c r="QTM10" s="493"/>
      <c r="QTN10" s="493"/>
      <c r="QTO10" s="493"/>
      <c r="QTP10" s="493"/>
      <c r="QTQ10" s="493"/>
      <c r="QTR10" s="493"/>
      <c r="QTS10" s="493"/>
      <c r="QTT10" s="493"/>
      <c r="QTU10" s="493"/>
      <c r="QTV10" s="493"/>
      <c r="QTW10" s="493"/>
      <c r="QTX10" s="493"/>
      <c r="QTY10" s="493"/>
      <c r="QTZ10" s="493"/>
      <c r="QUA10" s="493"/>
      <c r="QUB10" s="493"/>
      <c r="QUC10" s="493"/>
      <c r="QUD10" s="493"/>
      <c r="QUE10" s="493"/>
      <c r="QUF10" s="493"/>
      <c r="QUG10" s="493"/>
      <c r="QUH10" s="493"/>
      <c r="QUI10" s="493"/>
      <c r="QUJ10" s="493"/>
      <c r="QUK10" s="493"/>
      <c r="QUL10" s="493"/>
      <c r="QUM10" s="493"/>
      <c r="QUN10" s="493"/>
      <c r="QUO10" s="493"/>
      <c r="QUP10" s="493"/>
      <c r="QUQ10" s="493"/>
      <c r="QUR10" s="493"/>
      <c r="QUS10" s="493"/>
      <c r="QUT10" s="493"/>
      <c r="QUU10" s="493"/>
      <c r="QUV10" s="493"/>
      <c r="QUW10" s="493"/>
      <c r="QUX10" s="493"/>
      <c r="QUY10" s="493"/>
      <c r="QUZ10" s="493"/>
      <c r="QVA10" s="493"/>
      <c r="QVB10" s="493"/>
      <c r="QVC10" s="493"/>
      <c r="QVD10" s="493"/>
      <c r="QVE10" s="493"/>
      <c r="QVF10" s="493"/>
      <c r="QVG10" s="493"/>
      <c r="QVH10" s="493"/>
      <c r="QVI10" s="493"/>
      <c r="QVJ10" s="493"/>
      <c r="QVK10" s="493"/>
      <c r="QVL10" s="493"/>
      <c r="QVM10" s="493"/>
      <c r="QVN10" s="493"/>
      <c r="QVO10" s="493"/>
      <c r="QVP10" s="493"/>
      <c r="QVQ10" s="493"/>
      <c r="QVR10" s="493"/>
      <c r="QVS10" s="493"/>
      <c r="QVT10" s="493"/>
      <c r="QVU10" s="493"/>
      <c r="QVV10" s="493"/>
      <c r="QVW10" s="493"/>
      <c r="QVX10" s="493"/>
      <c r="QVY10" s="493"/>
      <c r="QVZ10" s="493"/>
      <c r="QWA10" s="493"/>
      <c r="QWB10" s="493"/>
      <c r="QWC10" s="493"/>
      <c r="QWD10" s="493"/>
      <c r="QWE10" s="493"/>
      <c r="QWF10" s="493"/>
      <c r="QWG10" s="493"/>
      <c r="QWH10" s="493"/>
      <c r="QWI10" s="493"/>
      <c r="QWJ10" s="493"/>
      <c r="QWK10" s="493"/>
      <c r="QWL10" s="493"/>
      <c r="QWM10" s="493"/>
      <c r="QWN10" s="493"/>
      <c r="QWO10" s="493"/>
      <c r="QWP10" s="493"/>
      <c r="QWQ10" s="493"/>
      <c r="QWR10" s="493"/>
      <c r="QWS10" s="493"/>
      <c r="QWT10" s="493"/>
      <c r="QWU10" s="493"/>
      <c r="QWV10" s="493"/>
      <c r="QWW10" s="493"/>
      <c r="QWX10" s="493"/>
      <c r="QWY10" s="493"/>
      <c r="QWZ10" s="493"/>
      <c r="QXA10" s="493"/>
      <c r="QXB10" s="493"/>
      <c r="QXC10" s="493"/>
      <c r="QXD10" s="493"/>
      <c r="QXE10" s="493"/>
      <c r="QXF10" s="493"/>
      <c r="QXG10" s="493"/>
      <c r="QXH10" s="493"/>
      <c r="QXI10" s="493"/>
      <c r="QXJ10" s="493"/>
      <c r="QXK10" s="493"/>
      <c r="QXL10" s="493"/>
      <c r="QXM10" s="493"/>
      <c r="QXN10" s="493"/>
      <c r="QXO10" s="493"/>
      <c r="QXP10" s="493"/>
      <c r="QXQ10" s="493"/>
      <c r="QXR10" s="493"/>
      <c r="QXS10" s="493"/>
      <c r="QXT10" s="493"/>
      <c r="QXU10" s="493"/>
      <c r="QXV10" s="493"/>
      <c r="QXW10" s="493"/>
      <c r="QXX10" s="493"/>
      <c r="QXY10" s="493"/>
      <c r="QXZ10" s="493"/>
      <c r="QYA10" s="493"/>
      <c r="QYB10" s="493"/>
      <c r="QYC10" s="493"/>
      <c r="QYD10" s="493"/>
      <c r="QYE10" s="493"/>
      <c r="QYF10" s="493"/>
      <c r="QYG10" s="493"/>
      <c r="QYH10" s="493"/>
      <c r="QYI10" s="493"/>
      <c r="QYJ10" s="493"/>
      <c r="QYK10" s="493"/>
      <c r="QYL10" s="493"/>
      <c r="QYM10" s="493"/>
      <c r="QYN10" s="493"/>
      <c r="QYO10" s="493"/>
      <c r="QYP10" s="493"/>
      <c r="QYQ10" s="493"/>
      <c r="QYR10" s="493"/>
      <c r="QYS10" s="493"/>
      <c r="QYT10" s="493"/>
      <c r="QYU10" s="493"/>
      <c r="QYV10" s="493"/>
      <c r="QYW10" s="493"/>
      <c r="QYX10" s="493"/>
      <c r="QYY10" s="493"/>
      <c r="QYZ10" s="493"/>
      <c r="QZA10" s="493"/>
      <c r="QZB10" s="493"/>
      <c r="QZC10" s="493"/>
      <c r="QZD10" s="493"/>
      <c r="QZE10" s="493"/>
      <c r="QZF10" s="493"/>
      <c r="QZG10" s="493"/>
      <c r="QZH10" s="493"/>
      <c r="QZI10" s="493"/>
      <c r="QZJ10" s="493"/>
      <c r="QZK10" s="493"/>
      <c r="QZL10" s="493"/>
      <c r="QZM10" s="493"/>
      <c r="QZN10" s="493"/>
      <c r="QZO10" s="493"/>
      <c r="QZP10" s="493"/>
      <c r="QZQ10" s="493"/>
      <c r="QZR10" s="493"/>
      <c r="QZS10" s="493"/>
      <c r="QZT10" s="493"/>
      <c r="QZU10" s="493"/>
      <c r="QZV10" s="493"/>
      <c r="QZW10" s="493"/>
      <c r="QZX10" s="493"/>
      <c r="QZY10" s="493"/>
      <c r="QZZ10" s="493"/>
      <c r="RAA10" s="493"/>
      <c r="RAB10" s="493"/>
      <c r="RAC10" s="493"/>
      <c r="RAD10" s="493"/>
      <c r="RAE10" s="493"/>
      <c r="RAF10" s="493"/>
      <c r="RAG10" s="493"/>
      <c r="RAH10" s="493"/>
      <c r="RAI10" s="493"/>
      <c r="RAJ10" s="493"/>
      <c r="RAK10" s="493"/>
      <c r="RAL10" s="493"/>
      <c r="RAM10" s="493"/>
      <c r="RAN10" s="493"/>
      <c r="RAO10" s="493"/>
      <c r="RAP10" s="493"/>
      <c r="RAQ10" s="493"/>
      <c r="RAR10" s="493"/>
      <c r="RAS10" s="493"/>
      <c r="RAT10" s="493"/>
      <c r="RAU10" s="493"/>
      <c r="RAV10" s="493"/>
      <c r="RAW10" s="493"/>
      <c r="RAX10" s="493"/>
      <c r="RAY10" s="493"/>
      <c r="RAZ10" s="493"/>
      <c r="RBA10" s="493"/>
      <c r="RBB10" s="493"/>
      <c r="RBC10" s="493"/>
      <c r="RBD10" s="493"/>
      <c r="RBE10" s="493"/>
      <c r="RBF10" s="493"/>
      <c r="RBG10" s="493"/>
      <c r="RBH10" s="493"/>
      <c r="RBI10" s="493"/>
      <c r="RBJ10" s="493"/>
      <c r="RBK10" s="493"/>
      <c r="RBL10" s="493"/>
      <c r="RBM10" s="493"/>
      <c r="RBN10" s="493"/>
      <c r="RBO10" s="493"/>
      <c r="RBP10" s="493"/>
      <c r="RBQ10" s="493"/>
      <c r="RBR10" s="493"/>
      <c r="RBS10" s="493"/>
      <c r="RBT10" s="493"/>
      <c r="RBU10" s="493"/>
      <c r="RBV10" s="493"/>
      <c r="RBW10" s="493"/>
      <c r="RBX10" s="493"/>
      <c r="RBY10" s="493"/>
      <c r="RBZ10" s="493"/>
      <c r="RCA10" s="493"/>
      <c r="RCB10" s="493"/>
      <c r="RCC10" s="493"/>
      <c r="RCD10" s="493"/>
      <c r="RCE10" s="493"/>
      <c r="RCF10" s="493"/>
      <c r="RCG10" s="493"/>
      <c r="RCH10" s="493"/>
      <c r="RCI10" s="493"/>
      <c r="RCJ10" s="493"/>
      <c r="RCK10" s="493"/>
      <c r="RCL10" s="493"/>
      <c r="RCM10" s="493"/>
      <c r="RCN10" s="493"/>
      <c r="RCO10" s="493"/>
      <c r="RCP10" s="493"/>
      <c r="RCQ10" s="493"/>
      <c r="RCR10" s="493"/>
      <c r="RCS10" s="493"/>
      <c r="RCT10" s="493"/>
      <c r="RCU10" s="493"/>
      <c r="RCV10" s="493"/>
      <c r="RCW10" s="493"/>
      <c r="RCX10" s="493"/>
      <c r="RCY10" s="493"/>
      <c r="RCZ10" s="493"/>
      <c r="RDA10" s="493"/>
      <c r="RDB10" s="493"/>
      <c r="RDC10" s="493"/>
      <c r="RDD10" s="493"/>
      <c r="RDE10" s="493"/>
      <c r="RDF10" s="493"/>
      <c r="RDG10" s="493"/>
      <c r="RDH10" s="493"/>
      <c r="RDI10" s="493"/>
      <c r="RDJ10" s="493"/>
      <c r="RDK10" s="493"/>
      <c r="RDL10" s="493"/>
      <c r="RDM10" s="493"/>
      <c r="RDN10" s="493"/>
      <c r="RDO10" s="493"/>
      <c r="RDP10" s="493"/>
      <c r="RDQ10" s="493"/>
      <c r="RDR10" s="493"/>
      <c r="RDS10" s="493"/>
      <c r="RDT10" s="493"/>
      <c r="RDU10" s="493"/>
      <c r="RDV10" s="493"/>
      <c r="RDW10" s="493"/>
      <c r="RDX10" s="493"/>
      <c r="RDY10" s="493"/>
      <c r="RDZ10" s="493"/>
      <c r="REA10" s="493"/>
      <c r="REB10" s="493"/>
      <c r="REC10" s="493"/>
      <c r="RED10" s="493"/>
      <c r="REE10" s="493"/>
      <c r="REF10" s="493"/>
      <c r="REG10" s="493"/>
      <c r="REH10" s="493"/>
      <c r="REI10" s="493"/>
      <c r="REJ10" s="493"/>
      <c r="REK10" s="493"/>
      <c r="REL10" s="493"/>
      <c r="REM10" s="493"/>
      <c r="REN10" s="493"/>
      <c r="REO10" s="493"/>
      <c r="REP10" s="493"/>
      <c r="REQ10" s="493"/>
      <c r="RER10" s="493"/>
      <c r="RES10" s="493"/>
      <c r="RET10" s="493"/>
      <c r="REU10" s="493"/>
      <c r="REV10" s="493"/>
      <c r="REW10" s="493"/>
      <c r="REX10" s="493"/>
      <c r="REY10" s="493"/>
      <c r="REZ10" s="493"/>
      <c r="RFA10" s="493"/>
      <c r="RFB10" s="493"/>
      <c r="RFC10" s="493"/>
      <c r="RFD10" s="493"/>
      <c r="RFE10" s="493"/>
      <c r="RFF10" s="493"/>
      <c r="RFG10" s="493"/>
      <c r="RFH10" s="493"/>
      <c r="RFI10" s="493"/>
      <c r="RFJ10" s="493"/>
      <c r="RFK10" s="493"/>
      <c r="RFL10" s="493"/>
      <c r="RFM10" s="493"/>
      <c r="RFN10" s="493"/>
      <c r="RFO10" s="493"/>
      <c r="RFP10" s="493"/>
      <c r="RFQ10" s="493"/>
      <c r="RFR10" s="493"/>
      <c r="RFS10" s="493"/>
      <c r="RFT10" s="493"/>
      <c r="RFU10" s="493"/>
      <c r="RFV10" s="493"/>
      <c r="RFW10" s="493"/>
      <c r="RFX10" s="493"/>
      <c r="RFY10" s="493"/>
      <c r="RFZ10" s="493"/>
      <c r="RGA10" s="493"/>
      <c r="RGB10" s="493"/>
      <c r="RGC10" s="493"/>
      <c r="RGD10" s="493"/>
      <c r="RGE10" s="493"/>
      <c r="RGF10" s="493"/>
      <c r="RGG10" s="493"/>
      <c r="RGH10" s="493"/>
      <c r="RGI10" s="493"/>
      <c r="RGJ10" s="493"/>
      <c r="RGK10" s="493"/>
      <c r="RGL10" s="493"/>
      <c r="RGM10" s="493"/>
      <c r="RGN10" s="493"/>
      <c r="RGO10" s="493"/>
      <c r="RGP10" s="493"/>
      <c r="RGQ10" s="493"/>
      <c r="RGR10" s="493"/>
      <c r="RGS10" s="493"/>
      <c r="RGT10" s="493"/>
      <c r="RGU10" s="493"/>
      <c r="RGV10" s="493"/>
      <c r="RGW10" s="493"/>
      <c r="RGX10" s="493"/>
      <c r="RGY10" s="493"/>
      <c r="RGZ10" s="493"/>
      <c r="RHA10" s="493"/>
      <c r="RHB10" s="493"/>
      <c r="RHC10" s="493"/>
      <c r="RHD10" s="493"/>
      <c r="RHE10" s="493"/>
      <c r="RHF10" s="493"/>
      <c r="RHG10" s="493"/>
      <c r="RHH10" s="493"/>
      <c r="RHI10" s="493"/>
      <c r="RHJ10" s="493"/>
      <c r="RHK10" s="493"/>
      <c r="RHL10" s="493"/>
      <c r="RHM10" s="493"/>
      <c r="RHN10" s="493"/>
      <c r="RHO10" s="493"/>
      <c r="RHP10" s="493"/>
      <c r="RHQ10" s="493"/>
      <c r="RHR10" s="493"/>
      <c r="RHS10" s="493"/>
      <c r="RHT10" s="493"/>
      <c r="RHU10" s="493"/>
      <c r="RHV10" s="493"/>
      <c r="RHW10" s="493"/>
      <c r="RHX10" s="493"/>
      <c r="RHY10" s="493"/>
      <c r="RHZ10" s="493"/>
      <c r="RIA10" s="493"/>
      <c r="RIB10" s="493"/>
      <c r="RIC10" s="493"/>
      <c r="RID10" s="493"/>
      <c r="RIE10" s="493"/>
      <c r="RIF10" s="493"/>
      <c r="RIG10" s="493"/>
      <c r="RIH10" s="493"/>
      <c r="RII10" s="493"/>
      <c r="RIJ10" s="493"/>
      <c r="RIK10" s="493"/>
      <c r="RIL10" s="493"/>
      <c r="RIM10" s="493"/>
      <c r="RIN10" s="493"/>
      <c r="RIO10" s="493"/>
      <c r="RIP10" s="493"/>
      <c r="RIQ10" s="493"/>
      <c r="RIR10" s="493"/>
      <c r="RIS10" s="493"/>
      <c r="RIT10" s="493"/>
      <c r="RIU10" s="493"/>
      <c r="RIV10" s="493"/>
      <c r="RIW10" s="493"/>
      <c r="RIX10" s="493"/>
      <c r="RIY10" s="493"/>
      <c r="RIZ10" s="493"/>
      <c r="RJA10" s="493"/>
      <c r="RJB10" s="493"/>
      <c r="RJC10" s="493"/>
      <c r="RJD10" s="493"/>
      <c r="RJE10" s="493"/>
      <c r="RJF10" s="493"/>
      <c r="RJG10" s="493"/>
      <c r="RJH10" s="493"/>
      <c r="RJI10" s="493"/>
      <c r="RJJ10" s="493"/>
      <c r="RJK10" s="493"/>
      <c r="RJL10" s="493"/>
      <c r="RJM10" s="493"/>
      <c r="RJN10" s="493"/>
      <c r="RJO10" s="493"/>
      <c r="RJP10" s="493"/>
      <c r="RJQ10" s="493"/>
      <c r="RJR10" s="493"/>
      <c r="RJS10" s="493"/>
      <c r="RJT10" s="493"/>
      <c r="RJU10" s="493"/>
      <c r="RJV10" s="493"/>
      <c r="RJW10" s="493"/>
      <c r="RJX10" s="493"/>
      <c r="RJY10" s="493"/>
      <c r="RJZ10" s="493"/>
      <c r="RKA10" s="493"/>
      <c r="RKB10" s="493"/>
      <c r="RKC10" s="493"/>
      <c r="RKD10" s="493"/>
      <c r="RKE10" s="493"/>
      <c r="RKF10" s="493"/>
      <c r="RKG10" s="493"/>
      <c r="RKH10" s="493"/>
      <c r="RKI10" s="493"/>
      <c r="RKJ10" s="493"/>
      <c r="RKK10" s="493"/>
      <c r="RKL10" s="493"/>
      <c r="RKM10" s="493"/>
      <c r="RKN10" s="493"/>
      <c r="RKO10" s="493"/>
      <c r="RKP10" s="493"/>
      <c r="RKQ10" s="493"/>
      <c r="RKR10" s="493"/>
      <c r="RKS10" s="493"/>
      <c r="RKT10" s="493"/>
      <c r="RKU10" s="493"/>
      <c r="RKV10" s="493"/>
      <c r="RKW10" s="493"/>
      <c r="RKX10" s="493"/>
      <c r="RKY10" s="493"/>
      <c r="RKZ10" s="493"/>
      <c r="RLA10" s="493"/>
      <c r="RLB10" s="493"/>
      <c r="RLC10" s="493"/>
      <c r="RLD10" s="493"/>
      <c r="RLE10" s="493"/>
      <c r="RLF10" s="493"/>
      <c r="RLG10" s="493"/>
      <c r="RLH10" s="493"/>
      <c r="RLI10" s="493"/>
      <c r="RLJ10" s="493"/>
      <c r="RLK10" s="493"/>
      <c r="RLL10" s="493"/>
      <c r="RLM10" s="493"/>
      <c r="RLN10" s="493"/>
      <c r="RLO10" s="493"/>
      <c r="RLP10" s="493"/>
      <c r="RLQ10" s="493"/>
      <c r="RLR10" s="493"/>
      <c r="RLS10" s="493"/>
      <c r="RLT10" s="493"/>
      <c r="RLU10" s="493"/>
      <c r="RLV10" s="493"/>
      <c r="RLW10" s="493"/>
      <c r="RLX10" s="493"/>
      <c r="RLY10" s="493"/>
      <c r="RLZ10" s="493"/>
      <c r="RMA10" s="493"/>
      <c r="RMB10" s="493"/>
      <c r="RMC10" s="493"/>
      <c r="RMD10" s="493"/>
      <c r="RME10" s="493"/>
      <c r="RMF10" s="493"/>
      <c r="RMG10" s="493"/>
      <c r="RMH10" s="493"/>
      <c r="RMI10" s="493"/>
      <c r="RMJ10" s="493"/>
      <c r="RMK10" s="493"/>
      <c r="RML10" s="493"/>
      <c r="RMM10" s="493"/>
      <c r="RMN10" s="493"/>
      <c r="RMO10" s="493"/>
      <c r="RMP10" s="493"/>
      <c r="RMQ10" s="493"/>
      <c r="RMR10" s="493"/>
      <c r="RMS10" s="493"/>
      <c r="RMT10" s="493"/>
      <c r="RMU10" s="493"/>
      <c r="RMV10" s="493"/>
      <c r="RMW10" s="493"/>
      <c r="RMX10" s="493"/>
      <c r="RMY10" s="493"/>
      <c r="RMZ10" s="493"/>
      <c r="RNA10" s="493"/>
      <c r="RNB10" s="493"/>
      <c r="RNC10" s="493"/>
      <c r="RND10" s="493"/>
      <c r="RNE10" s="493"/>
      <c r="RNF10" s="493"/>
      <c r="RNG10" s="493"/>
      <c r="RNH10" s="493"/>
      <c r="RNI10" s="493"/>
      <c r="RNJ10" s="493"/>
      <c r="RNK10" s="493"/>
      <c r="RNL10" s="493"/>
      <c r="RNM10" s="493"/>
      <c r="RNN10" s="493"/>
      <c r="RNO10" s="493"/>
      <c r="RNP10" s="493"/>
      <c r="RNQ10" s="493"/>
      <c r="RNR10" s="493"/>
      <c r="RNS10" s="493"/>
      <c r="RNT10" s="493"/>
      <c r="RNU10" s="493"/>
      <c r="RNV10" s="493"/>
      <c r="RNW10" s="493"/>
      <c r="RNX10" s="493"/>
      <c r="RNY10" s="493"/>
      <c r="RNZ10" s="493"/>
      <c r="ROA10" s="493"/>
      <c r="ROB10" s="493"/>
      <c r="ROC10" s="493"/>
      <c r="ROD10" s="493"/>
      <c r="ROE10" s="493"/>
      <c r="ROF10" s="493"/>
      <c r="ROG10" s="493"/>
      <c r="ROH10" s="493"/>
      <c r="ROI10" s="493"/>
      <c r="ROJ10" s="493"/>
      <c r="ROK10" s="493"/>
      <c r="ROL10" s="493"/>
      <c r="ROM10" s="493"/>
      <c r="RON10" s="493"/>
      <c r="ROO10" s="493"/>
      <c r="ROP10" s="493"/>
      <c r="ROQ10" s="493"/>
      <c r="ROR10" s="493"/>
      <c r="ROS10" s="493"/>
      <c r="ROT10" s="493"/>
      <c r="ROU10" s="493"/>
      <c r="ROV10" s="493"/>
      <c r="ROW10" s="493"/>
      <c r="ROX10" s="493"/>
      <c r="ROY10" s="493"/>
      <c r="ROZ10" s="493"/>
      <c r="RPA10" s="493"/>
      <c r="RPB10" s="493"/>
      <c r="RPC10" s="493"/>
      <c r="RPD10" s="493"/>
      <c r="RPE10" s="493"/>
      <c r="RPF10" s="493"/>
      <c r="RPG10" s="493"/>
      <c r="RPH10" s="493"/>
      <c r="RPI10" s="493"/>
      <c r="RPJ10" s="493"/>
      <c r="RPK10" s="493"/>
      <c r="RPL10" s="493"/>
      <c r="RPM10" s="493"/>
      <c r="RPN10" s="493"/>
      <c r="RPO10" s="493"/>
      <c r="RPP10" s="493"/>
      <c r="RPQ10" s="493"/>
      <c r="RPR10" s="493"/>
      <c r="RPS10" s="493"/>
      <c r="RPT10" s="493"/>
      <c r="RPU10" s="493"/>
      <c r="RPV10" s="493"/>
      <c r="RPW10" s="493"/>
      <c r="RPX10" s="493"/>
      <c r="RPY10" s="493"/>
      <c r="RPZ10" s="493"/>
      <c r="RQA10" s="493"/>
      <c r="RQB10" s="493"/>
      <c r="RQC10" s="493"/>
      <c r="RQD10" s="493"/>
      <c r="RQE10" s="493"/>
      <c r="RQF10" s="493"/>
      <c r="RQG10" s="493"/>
      <c r="RQH10" s="493"/>
      <c r="RQI10" s="493"/>
      <c r="RQJ10" s="493"/>
      <c r="RQK10" s="493"/>
      <c r="RQL10" s="493"/>
      <c r="RQM10" s="493"/>
      <c r="RQN10" s="493"/>
      <c r="RQO10" s="493"/>
      <c r="RQP10" s="493"/>
      <c r="RQQ10" s="493"/>
      <c r="RQR10" s="493"/>
      <c r="RQS10" s="493"/>
      <c r="RQT10" s="493"/>
      <c r="RQU10" s="493"/>
      <c r="RQV10" s="493"/>
      <c r="RQW10" s="493"/>
      <c r="RQX10" s="493"/>
      <c r="RQY10" s="493"/>
      <c r="RQZ10" s="493"/>
      <c r="RRA10" s="493"/>
      <c r="RRB10" s="493"/>
      <c r="RRC10" s="493"/>
      <c r="RRD10" s="493"/>
      <c r="RRE10" s="493"/>
      <c r="RRF10" s="493"/>
      <c r="RRG10" s="493"/>
      <c r="RRH10" s="493"/>
      <c r="RRI10" s="493"/>
      <c r="RRJ10" s="493"/>
      <c r="RRK10" s="493"/>
      <c r="RRL10" s="493"/>
      <c r="RRM10" s="493"/>
      <c r="RRN10" s="493"/>
      <c r="RRO10" s="493"/>
      <c r="RRP10" s="493"/>
      <c r="RRQ10" s="493"/>
      <c r="RRR10" s="493"/>
      <c r="RRS10" s="493"/>
      <c r="RRT10" s="493"/>
      <c r="RRU10" s="493"/>
      <c r="RRV10" s="493"/>
      <c r="RRW10" s="493"/>
      <c r="RRX10" s="493"/>
      <c r="RRY10" s="493"/>
      <c r="RRZ10" s="493"/>
      <c r="RSA10" s="493"/>
      <c r="RSB10" s="493"/>
      <c r="RSC10" s="493"/>
      <c r="RSD10" s="493"/>
      <c r="RSE10" s="493"/>
      <c r="RSF10" s="493"/>
      <c r="RSG10" s="493"/>
      <c r="RSH10" s="493"/>
      <c r="RSI10" s="493"/>
      <c r="RSJ10" s="493"/>
      <c r="RSK10" s="493"/>
      <c r="RSL10" s="493"/>
      <c r="RSM10" s="493"/>
      <c r="RSN10" s="493"/>
      <c r="RSO10" s="493"/>
      <c r="RSP10" s="493"/>
      <c r="RSQ10" s="493"/>
      <c r="RSR10" s="493"/>
      <c r="RSS10" s="493"/>
      <c r="RST10" s="493"/>
      <c r="RSU10" s="493"/>
      <c r="RSV10" s="493"/>
      <c r="RSW10" s="493"/>
      <c r="RSX10" s="493"/>
      <c r="RSY10" s="493"/>
      <c r="RSZ10" s="493"/>
      <c r="RTA10" s="493"/>
      <c r="RTB10" s="493"/>
      <c r="RTC10" s="493"/>
      <c r="RTD10" s="493"/>
      <c r="RTE10" s="493"/>
      <c r="RTF10" s="493"/>
      <c r="RTG10" s="493"/>
      <c r="RTH10" s="493"/>
      <c r="RTI10" s="493"/>
      <c r="RTJ10" s="493"/>
      <c r="RTK10" s="493"/>
      <c r="RTL10" s="493"/>
      <c r="RTM10" s="493"/>
      <c r="RTN10" s="493"/>
      <c r="RTO10" s="493"/>
      <c r="RTP10" s="493"/>
      <c r="RTQ10" s="493"/>
      <c r="RTR10" s="493"/>
      <c r="RTS10" s="493"/>
      <c r="RTT10" s="493"/>
      <c r="RTU10" s="493"/>
      <c r="RTV10" s="493"/>
      <c r="RTW10" s="493"/>
      <c r="RTX10" s="493"/>
      <c r="RTY10" s="493"/>
      <c r="RTZ10" s="493"/>
      <c r="RUA10" s="493"/>
      <c r="RUB10" s="493"/>
      <c r="RUC10" s="493"/>
      <c r="RUD10" s="493"/>
      <c r="RUE10" s="493"/>
      <c r="RUF10" s="493"/>
      <c r="RUG10" s="493"/>
      <c r="RUH10" s="493"/>
      <c r="RUI10" s="493"/>
      <c r="RUJ10" s="493"/>
      <c r="RUK10" s="493"/>
      <c r="RUL10" s="493"/>
      <c r="RUM10" s="493"/>
      <c r="RUN10" s="493"/>
      <c r="RUO10" s="493"/>
      <c r="RUP10" s="493"/>
      <c r="RUQ10" s="493"/>
      <c r="RUR10" s="493"/>
      <c r="RUS10" s="493"/>
      <c r="RUT10" s="493"/>
      <c r="RUU10" s="493"/>
      <c r="RUV10" s="493"/>
      <c r="RUW10" s="493"/>
      <c r="RUX10" s="493"/>
      <c r="RUY10" s="493"/>
      <c r="RUZ10" s="493"/>
      <c r="RVA10" s="493"/>
      <c r="RVB10" s="493"/>
      <c r="RVC10" s="493"/>
      <c r="RVD10" s="493"/>
      <c r="RVE10" s="493"/>
      <c r="RVF10" s="493"/>
      <c r="RVG10" s="493"/>
      <c r="RVH10" s="493"/>
      <c r="RVI10" s="493"/>
      <c r="RVJ10" s="493"/>
      <c r="RVK10" s="493"/>
      <c r="RVL10" s="493"/>
      <c r="RVM10" s="493"/>
      <c r="RVN10" s="493"/>
      <c r="RVO10" s="493"/>
      <c r="RVP10" s="493"/>
      <c r="RVQ10" s="493"/>
      <c r="RVR10" s="493"/>
      <c r="RVS10" s="493"/>
      <c r="RVT10" s="493"/>
      <c r="RVU10" s="493"/>
      <c r="RVV10" s="493"/>
      <c r="RVW10" s="493"/>
      <c r="RVX10" s="493"/>
      <c r="RVY10" s="493"/>
      <c r="RVZ10" s="493"/>
      <c r="RWA10" s="493"/>
      <c r="RWB10" s="493"/>
      <c r="RWC10" s="493"/>
      <c r="RWD10" s="493"/>
      <c r="RWE10" s="493"/>
      <c r="RWF10" s="493"/>
      <c r="RWG10" s="493"/>
      <c r="RWH10" s="493"/>
      <c r="RWI10" s="493"/>
      <c r="RWJ10" s="493"/>
      <c r="RWK10" s="493"/>
      <c r="RWL10" s="493"/>
      <c r="RWM10" s="493"/>
      <c r="RWN10" s="493"/>
      <c r="RWO10" s="493"/>
      <c r="RWP10" s="493"/>
      <c r="RWQ10" s="493"/>
      <c r="RWR10" s="493"/>
      <c r="RWS10" s="493"/>
      <c r="RWT10" s="493"/>
      <c r="RWU10" s="493"/>
      <c r="RWV10" s="493"/>
      <c r="RWW10" s="493"/>
      <c r="RWX10" s="493"/>
      <c r="RWY10" s="493"/>
      <c r="RWZ10" s="493"/>
      <c r="RXA10" s="493"/>
      <c r="RXB10" s="493"/>
      <c r="RXC10" s="493"/>
      <c r="RXD10" s="493"/>
      <c r="RXE10" s="493"/>
      <c r="RXF10" s="493"/>
      <c r="RXG10" s="493"/>
      <c r="RXH10" s="493"/>
      <c r="RXI10" s="493"/>
      <c r="RXJ10" s="493"/>
      <c r="RXK10" s="493"/>
      <c r="RXL10" s="493"/>
      <c r="RXM10" s="493"/>
      <c r="RXN10" s="493"/>
      <c r="RXO10" s="493"/>
      <c r="RXP10" s="493"/>
      <c r="RXQ10" s="493"/>
      <c r="RXR10" s="493"/>
      <c r="RXS10" s="493"/>
      <c r="RXT10" s="493"/>
      <c r="RXU10" s="493"/>
      <c r="RXV10" s="493"/>
      <c r="RXW10" s="493"/>
      <c r="RXX10" s="493"/>
      <c r="RXY10" s="493"/>
      <c r="RXZ10" s="493"/>
      <c r="RYA10" s="493"/>
      <c r="RYB10" s="493"/>
      <c r="RYC10" s="493"/>
      <c r="RYD10" s="493"/>
      <c r="RYE10" s="493"/>
      <c r="RYF10" s="493"/>
      <c r="RYG10" s="493"/>
      <c r="RYH10" s="493"/>
      <c r="RYI10" s="493"/>
      <c r="RYJ10" s="493"/>
      <c r="RYK10" s="493"/>
      <c r="RYL10" s="493"/>
      <c r="RYM10" s="493"/>
      <c r="RYN10" s="493"/>
      <c r="RYO10" s="493"/>
      <c r="RYP10" s="493"/>
      <c r="RYQ10" s="493"/>
      <c r="RYR10" s="493"/>
      <c r="RYS10" s="493"/>
      <c r="RYT10" s="493"/>
      <c r="RYU10" s="493"/>
      <c r="RYV10" s="493"/>
      <c r="RYW10" s="493"/>
      <c r="RYX10" s="493"/>
      <c r="RYY10" s="493"/>
      <c r="RYZ10" s="493"/>
      <c r="RZA10" s="493"/>
      <c r="RZB10" s="493"/>
      <c r="RZC10" s="493"/>
      <c r="RZD10" s="493"/>
      <c r="RZE10" s="493"/>
      <c r="RZF10" s="493"/>
      <c r="RZG10" s="493"/>
      <c r="RZH10" s="493"/>
      <c r="RZI10" s="493"/>
      <c r="RZJ10" s="493"/>
      <c r="RZK10" s="493"/>
      <c r="RZL10" s="493"/>
      <c r="RZM10" s="493"/>
      <c r="RZN10" s="493"/>
      <c r="RZO10" s="493"/>
      <c r="RZP10" s="493"/>
      <c r="RZQ10" s="493"/>
      <c r="RZR10" s="493"/>
      <c r="RZS10" s="493"/>
      <c r="RZT10" s="493"/>
      <c r="RZU10" s="493"/>
      <c r="RZV10" s="493"/>
      <c r="RZW10" s="493"/>
      <c r="RZX10" s="493"/>
      <c r="RZY10" s="493"/>
      <c r="RZZ10" s="493"/>
      <c r="SAA10" s="493"/>
      <c r="SAB10" s="493"/>
      <c r="SAC10" s="493"/>
      <c r="SAD10" s="493"/>
      <c r="SAE10" s="493"/>
      <c r="SAF10" s="493"/>
      <c r="SAG10" s="493"/>
      <c r="SAH10" s="493"/>
      <c r="SAI10" s="493"/>
      <c r="SAJ10" s="493"/>
      <c r="SAK10" s="493"/>
      <c r="SAL10" s="493"/>
      <c r="SAM10" s="493"/>
      <c r="SAN10" s="493"/>
      <c r="SAO10" s="493"/>
      <c r="SAP10" s="493"/>
      <c r="SAQ10" s="493"/>
      <c r="SAR10" s="493"/>
      <c r="SAS10" s="493"/>
      <c r="SAT10" s="493"/>
      <c r="SAU10" s="493"/>
      <c r="SAV10" s="493"/>
      <c r="SAW10" s="493"/>
      <c r="SAX10" s="493"/>
      <c r="SAY10" s="493"/>
      <c r="SAZ10" s="493"/>
      <c r="SBA10" s="493"/>
      <c r="SBB10" s="493"/>
      <c r="SBC10" s="493"/>
      <c r="SBD10" s="493"/>
      <c r="SBE10" s="493"/>
      <c r="SBF10" s="493"/>
      <c r="SBG10" s="493"/>
      <c r="SBH10" s="493"/>
      <c r="SBI10" s="493"/>
      <c r="SBJ10" s="493"/>
      <c r="SBK10" s="493"/>
      <c r="SBL10" s="493"/>
      <c r="SBM10" s="493"/>
      <c r="SBN10" s="493"/>
      <c r="SBO10" s="493"/>
      <c r="SBP10" s="493"/>
      <c r="SBQ10" s="493"/>
      <c r="SBR10" s="493"/>
      <c r="SBS10" s="493"/>
      <c r="SBT10" s="493"/>
      <c r="SBU10" s="493"/>
      <c r="SBV10" s="493"/>
      <c r="SBW10" s="493"/>
      <c r="SBX10" s="493"/>
      <c r="SBY10" s="493"/>
      <c r="SBZ10" s="493"/>
      <c r="SCA10" s="493"/>
      <c r="SCB10" s="493"/>
      <c r="SCC10" s="493"/>
      <c r="SCD10" s="493"/>
      <c r="SCE10" s="493"/>
      <c r="SCF10" s="493"/>
      <c r="SCG10" s="493"/>
      <c r="SCH10" s="493"/>
      <c r="SCI10" s="493"/>
      <c r="SCJ10" s="493"/>
      <c r="SCK10" s="493"/>
      <c r="SCL10" s="493"/>
      <c r="SCM10" s="493"/>
      <c r="SCN10" s="493"/>
      <c r="SCO10" s="493"/>
      <c r="SCP10" s="493"/>
      <c r="SCQ10" s="493"/>
      <c r="SCR10" s="493"/>
      <c r="SCS10" s="493"/>
      <c r="SCT10" s="493"/>
      <c r="SCU10" s="493"/>
      <c r="SCV10" s="493"/>
      <c r="SCW10" s="493"/>
      <c r="SCX10" s="493"/>
      <c r="SCY10" s="493"/>
      <c r="SCZ10" s="493"/>
      <c r="SDA10" s="493"/>
      <c r="SDB10" s="493"/>
      <c r="SDC10" s="493"/>
      <c r="SDD10" s="493"/>
      <c r="SDE10" s="493"/>
      <c r="SDF10" s="493"/>
      <c r="SDG10" s="493"/>
      <c r="SDH10" s="493"/>
      <c r="SDI10" s="493"/>
      <c r="SDJ10" s="493"/>
      <c r="SDK10" s="493"/>
      <c r="SDL10" s="493"/>
      <c r="SDM10" s="493"/>
      <c r="SDN10" s="493"/>
      <c r="SDO10" s="493"/>
      <c r="SDP10" s="493"/>
      <c r="SDQ10" s="493"/>
      <c r="SDR10" s="493"/>
      <c r="SDS10" s="493"/>
      <c r="SDT10" s="493"/>
      <c r="SDU10" s="493"/>
      <c r="SDV10" s="493"/>
      <c r="SDW10" s="493"/>
      <c r="SDX10" s="493"/>
      <c r="SDY10" s="493"/>
      <c r="SDZ10" s="493"/>
      <c r="SEA10" s="493"/>
      <c r="SEB10" s="493"/>
      <c r="SEC10" s="493"/>
      <c r="SED10" s="493"/>
      <c r="SEE10" s="493"/>
      <c r="SEF10" s="493"/>
      <c r="SEG10" s="493"/>
      <c r="SEH10" s="493"/>
      <c r="SEI10" s="493"/>
      <c r="SEJ10" s="493"/>
      <c r="SEK10" s="493"/>
      <c r="SEL10" s="493"/>
      <c r="SEM10" s="493"/>
      <c r="SEN10" s="493"/>
      <c r="SEO10" s="493"/>
      <c r="SEP10" s="493"/>
      <c r="SEQ10" s="493"/>
      <c r="SER10" s="493"/>
      <c r="SES10" s="493"/>
      <c r="SET10" s="493"/>
      <c r="SEU10" s="493"/>
      <c r="SEV10" s="493"/>
      <c r="SEW10" s="493"/>
      <c r="SEX10" s="493"/>
      <c r="SEY10" s="493"/>
      <c r="SEZ10" s="493"/>
      <c r="SFA10" s="493"/>
      <c r="SFB10" s="493"/>
      <c r="SFC10" s="493"/>
      <c r="SFD10" s="493"/>
      <c r="SFE10" s="493"/>
      <c r="SFF10" s="493"/>
      <c r="SFG10" s="493"/>
      <c r="SFH10" s="493"/>
      <c r="SFI10" s="493"/>
      <c r="SFJ10" s="493"/>
      <c r="SFK10" s="493"/>
      <c r="SFL10" s="493"/>
      <c r="SFM10" s="493"/>
      <c r="SFN10" s="493"/>
      <c r="SFO10" s="493"/>
      <c r="SFP10" s="493"/>
      <c r="SFQ10" s="493"/>
      <c r="SFR10" s="493"/>
      <c r="SFS10" s="493"/>
      <c r="SFT10" s="493"/>
      <c r="SFU10" s="493"/>
      <c r="SFV10" s="493"/>
      <c r="SFW10" s="493"/>
      <c r="SFX10" s="493"/>
      <c r="SFY10" s="493"/>
      <c r="SFZ10" s="493"/>
      <c r="SGA10" s="493"/>
      <c r="SGB10" s="493"/>
      <c r="SGC10" s="493"/>
      <c r="SGD10" s="493"/>
      <c r="SGE10" s="493"/>
      <c r="SGF10" s="493"/>
      <c r="SGG10" s="493"/>
      <c r="SGH10" s="493"/>
      <c r="SGI10" s="493"/>
      <c r="SGJ10" s="493"/>
      <c r="SGK10" s="493"/>
      <c r="SGL10" s="493"/>
      <c r="SGM10" s="493"/>
      <c r="SGN10" s="493"/>
      <c r="SGO10" s="493"/>
      <c r="SGP10" s="493"/>
      <c r="SGQ10" s="493"/>
      <c r="SGR10" s="493"/>
      <c r="SGS10" s="493"/>
      <c r="SGT10" s="493"/>
      <c r="SGU10" s="493"/>
      <c r="SGV10" s="493"/>
      <c r="SGW10" s="493"/>
      <c r="SGX10" s="493"/>
      <c r="SGY10" s="493"/>
      <c r="SGZ10" s="493"/>
      <c r="SHA10" s="493"/>
      <c r="SHB10" s="493"/>
      <c r="SHC10" s="493"/>
      <c r="SHD10" s="493"/>
      <c r="SHE10" s="493"/>
      <c r="SHF10" s="493"/>
      <c r="SHG10" s="493"/>
      <c r="SHH10" s="493"/>
      <c r="SHI10" s="493"/>
      <c r="SHJ10" s="493"/>
      <c r="SHK10" s="493"/>
      <c r="SHL10" s="493"/>
      <c r="SHM10" s="493"/>
      <c r="SHN10" s="493"/>
      <c r="SHO10" s="493"/>
      <c r="SHP10" s="493"/>
      <c r="SHQ10" s="493"/>
      <c r="SHR10" s="493"/>
      <c r="SHS10" s="493"/>
      <c r="SHT10" s="493"/>
      <c r="SHU10" s="493"/>
      <c r="SHV10" s="493"/>
      <c r="SHW10" s="493"/>
      <c r="SHX10" s="493"/>
      <c r="SHY10" s="493"/>
      <c r="SHZ10" s="493"/>
      <c r="SIA10" s="493"/>
      <c r="SIB10" s="493"/>
      <c r="SIC10" s="493"/>
      <c r="SID10" s="493"/>
      <c r="SIE10" s="493"/>
      <c r="SIF10" s="493"/>
      <c r="SIG10" s="493"/>
      <c r="SIH10" s="493"/>
      <c r="SII10" s="493"/>
      <c r="SIJ10" s="493"/>
      <c r="SIK10" s="493"/>
      <c r="SIL10" s="493"/>
      <c r="SIM10" s="493"/>
      <c r="SIN10" s="493"/>
      <c r="SIO10" s="493"/>
      <c r="SIP10" s="493"/>
      <c r="SIQ10" s="493"/>
      <c r="SIR10" s="493"/>
      <c r="SIS10" s="493"/>
      <c r="SIT10" s="493"/>
      <c r="SIU10" s="493"/>
      <c r="SIV10" s="493"/>
      <c r="SIW10" s="493"/>
      <c r="SIX10" s="493"/>
      <c r="SIY10" s="493"/>
      <c r="SIZ10" s="493"/>
      <c r="SJA10" s="493"/>
      <c r="SJB10" s="493"/>
      <c r="SJC10" s="493"/>
      <c r="SJD10" s="493"/>
      <c r="SJE10" s="493"/>
      <c r="SJF10" s="493"/>
      <c r="SJG10" s="493"/>
      <c r="SJH10" s="493"/>
      <c r="SJI10" s="493"/>
      <c r="SJJ10" s="493"/>
      <c r="SJK10" s="493"/>
      <c r="SJL10" s="493"/>
      <c r="SJM10" s="493"/>
      <c r="SJN10" s="493"/>
      <c r="SJO10" s="493"/>
      <c r="SJP10" s="493"/>
      <c r="SJQ10" s="493"/>
      <c r="SJR10" s="493"/>
      <c r="SJS10" s="493"/>
      <c r="SJT10" s="493"/>
      <c r="SJU10" s="493"/>
      <c r="SJV10" s="493"/>
      <c r="SJW10" s="493"/>
      <c r="SJX10" s="493"/>
      <c r="SJY10" s="493"/>
      <c r="SJZ10" s="493"/>
      <c r="SKA10" s="493"/>
      <c r="SKB10" s="493"/>
      <c r="SKC10" s="493"/>
      <c r="SKD10" s="493"/>
      <c r="SKE10" s="493"/>
      <c r="SKF10" s="493"/>
      <c r="SKG10" s="493"/>
      <c r="SKH10" s="493"/>
      <c r="SKI10" s="493"/>
      <c r="SKJ10" s="493"/>
      <c r="SKK10" s="493"/>
      <c r="SKL10" s="493"/>
      <c r="SKM10" s="493"/>
      <c r="SKN10" s="493"/>
      <c r="SKO10" s="493"/>
      <c r="SKP10" s="493"/>
      <c r="SKQ10" s="493"/>
      <c r="SKR10" s="493"/>
      <c r="SKS10" s="493"/>
      <c r="SKT10" s="493"/>
      <c r="SKU10" s="493"/>
      <c r="SKV10" s="493"/>
      <c r="SKW10" s="493"/>
      <c r="SKX10" s="493"/>
      <c r="SKY10" s="493"/>
      <c r="SKZ10" s="493"/>
      <c r="SLA10" s="493"/>
      <c r="SLB10" s="493"/>
      <c r="SLC10" s="493"/>
      <c r="SLD10" s="493"/>
      <c r="SLE10" s="493"/>
      <c r="SLF10" s="493"/>
      <c r="SLG10" s="493"/>
      <c r="SLH10" s="493"/>
      <c r="SLI10" s="493"/>
      <c r="SLJ10" s="493"/>
      <c r="SLK10" s="493"/>
      <c r="SLL10" s="493"/>
      <c r="SLM10" s="493"/>
      <c r="SLN10" s="493"/>
      <c r="SLO10" s="493"/>
      <c r="SLP10" s="493"/>
      <c r="SLQ10" s="493"/>
      <c r="SLR10" s="493"/>
      <c r="SLS10" s="493"/>
      <c r="SLT10" s="493"/>
      <c r="SLU10" s="493"/>
      <c r="SLV10" s="493"/>
      <c r="SLW10" s="493"/>
      <c r="SLX10" s="493"/>
      <c r="SLY10" s="493"/>
      <c r="SLZ10" s="493"/>
      <c r="SMA10" s="493"/>
      <c r="SMB10" s="493"/>
      <c r="SMC10" s="493"/>
      <c r="SMD10" s="493"/>
      <c r="SME10" s="493"/>
      <c r="SMF10" s="493"/>
      <c r="SMG10" s="493"/>
      <c r="SMH10" s="493"/>
      <c r="SMI10" s="493"/>
      <c r="SMJ10" s="493"/>
      <c r="SMK10" s="493"/>
      <c r="SML10" s="493"/>
      <c r="SMM10" s="493"/>
      <c r="SMN10" s="493"/>
      <c r="SMO10" s="493"/>
      <c r="SMP10" s="493"/>
      <c r="SMQ10" s="493"/>
      <c r="SMR10" s="493"/>
      <c r="SMS10" s="493"/>
      <c r="SMT10" s="493"/>
      <c r="SMU10" s="493"/>
      <c r="SMV10" s="493"/>
      <c r="SMW10" s="493"/>
      <c r="SMX10" s="493"/>
      <c r="SMY10" s="493"/>
      <c r="SMZ10" s="493"/>
      <c r="SNA10" s="493"/>
      <c r="SNB10" s="493"/>
      <c r="SNC10" s="493"/>
      <c r="SND10" s="493"/>
      <c r="SNE10" s="493"/>
      <c r="SNF10" s="493"/>
      <c r="SNG10" s="493"/>
      <c r="SNH10" s="493"/>
      <c r="SNI10" s="493"/>
      <c r="SNJ10" s="493"/>
      <c r="SNK10" s="493"/>
      <c r="SNL10" s="493"/>
      <c r="SNM10" s="493"/>
      <c r="SNN10" s="493"/>
      <c r="SNO10" s="493"/>
      <c r="SNP10" s="493"/>
      <c r="SNQ10" s="493"/>
      <c r="SNR10" s="493"/>
      <c r="SNS10" s="493"/>
      <c r="SNT10" s="493"/>
      <c r="SNU10" s="493"/>
      <c r="SNV10" s="493"/>
      <c r="SNW10" s="493"/>
      <c r="SNX10" s="493"/>
      <c r="SNY10" s="493"/>
      <c r="SNZ10" s="493"/>
      <c r="SOA10" s="493"/>
      <c r="SOB10" s="493"/>
      <c r="SOC10" s="493"/>
      <c r="SOD10" s="493"/>
      <c r="SOE10" s="493"/>
      <c r="SOF10" s="493"/>
      <c r="SOG10" s="493"/>
      <c r="SOH10" s="493"/>
      <c r="SOI10" s="493"/>
      <c r="SOJ10" s="493"/>
      <c r="SOK10" s="493"/>
      <c r="SOL10" s="493"/>
      <c r="SOM10" s="493"/>
      <c r="SON10" s="493"/>
      <c r="SOO10" s="493"/>
      <c r="SOP10" s="493"/>
      <c r="SOQ10" s="493"/>
      <c r="SOR10" s="493"/>
      <c r="SOS10" s="493"/>
      <c r="SOT10" s="493"/>
      <c r="SOU10" s="493"/>
      <c r="SOV10" s="493"/>
      <c r="SOW10" s="493"/>
      <c r="SOX10" s="493"/>
      <c r="SOY10" s="493"/>
      <c r="SOZ10" s="493"/>
      <c r="SPA10" s="493"/>
      <c r="SPB10" s="493"/>
      <c r="SPC10" s="493"/>
      <c r="SPD10" s="493"/>
      <c r="SPE10" s="493"/>
      <c r="SPF10" s="493"/>
      <c r="SPG10" s="493"/>
      <c r="SPH10" s="493"/>
      <c r="SPI10" s="493"/>
      <c r="SPJ10" s="493"/>
      <c r="SPK10" s="493"/>
      <c r="SPL10" s="493"/>
      <c r="SPM10" s="493"/>
      <c r="SPN10" s="493"/>
      <c r="SPO10" s="493"/>
      <c r="SPP10" s="493"/>
      <c r="SPQ10" s="493"/>
      <c r="SPR10" s="493"/>
      <c r="SPS10" s="493"/>
      <c r="SPT10" s="493"/>
      <c r="SPU10" s="493"/>
      <c r="SPV10" s="493"/>
      <c r="SPW10" s="493"/>
      <c r="SPX10" s="493"/>
      <c r="SPY10" s="493"/>
      <c r="SPZ10" s="493"/>
      <c r="SQA10" s="493"/>
      <c r="SQB10" s="493"/>
      <c r="SQC10" s="493"/>
      <c r="SQD10" s="493"/>
      <c r="SQE10" s="493"/>
      <c r="SQF10" s="493"/>
      <c r="SQG10" s="493"/>
      <c r="SQH10" s="493"/>
      <c r="SQI10" s="493"/>
      <c r="SQJ10" s="493"/>
      <c r="SQK10" s="493"/>
      <c r="SQL10" s="493"/>
      <c r="SQM10" s="493"/>
      <c r="SQN10" s="493"/>
      <c r="SQO10" s="493"/>
      <c r="SQP10" s="493"/>
      <c r="SQQ10" s="493"/>
      <c r="SQR10" s="493"/>
      <c r="SQS10" s="493"/>
      <c r="SQT10" s="493"/>
      <c r="SQU10" s="493"/>
      <c r="SQV10" s="493"/>
      <c r="SQW10" s="493"/>
      <c r="SQX10" s="493"/>
      <c r="SQY10" s="493"/>
      <c r="SQZ10" s="493"/>
      <c r="SRA10" s="493"/>
      <c r="SRB10" s="493"/>
      <c r="SRC10" s="493"/>
      <c r="SRD10" s="493"/>
      <c r="SRE10" s="493"/>
      <c r="SRF10" s="493"/>
      <c r="SRG10" s="493"/>
      <c r="SRH10" s="493"/>
      <c r="SRI10" s="493"/>
      <c r="SRJ10" s="493"/>
      <c r="SRK10" s="493"/>
      <c r="SRL10" s="493"/>
      <c r="SRM10" s="493"/>
      <c r="SRN10" s="493"/>
      <c r="SRO10" s="493"/>
      <c r="SRP10" s="493"/>
      <c r="SRQ10" s="493"/>
      <c r="SRR10" s="493"/>
      <c r="SRS10" s="493"/>
      <c r="SRT10" s="493"/>
      <c r="SRU10" s="493"/>
      <c r="SRV10" s="493"/>
      <c r="SRW10" s="493"/>
      <c r="SRX10" s="493"/>
      <c r="SRY10" s="493"/>
      <c r="SRZ10" s="493"/>
      <c r="SSA10" s="493"/>
      <c r="SSB10" s="493"/>
      <c r="SSC10" s="493"/>
      <c r="SSD10" s="493"/>
      <c r="SSE10" s="493"/>
      <c r="SSF10" s="493"/>
      <c r="SSG10" s="493"/>
      <c r="SSH10" s="493"/>
      <c r="SSI10" s="493"/>
      <c r="SSJ10" s="493"/>
      <c r="SSK10" s="493"/>
      <c r="SSL10" s="493"/>
      <c r="SSM10" s="493"/>
      <c r="SSN10" s="493"/>
      <c r="SSO10" s="493"/>
      <c r="SSP10" s="493"/>
      <c r="SSQ10" s="493"/>
      <c r="SSR10" s="493"/>
      <c r="SSS10" s="493"/>
      <c r="SST10" s="493"/>
      <c r="SSU10" s="493"/>
      <c r="SSV10" s="493"/>
      <c r="SSW10" s="493"/>
      <c r="SSX10" s="493"/>
      <c r="SSY10" s="493"/>
      <c r="SSZ10" s="493"/>
      <c r="STA10" s="493"/>
      <c r="STB10" s="493"/>
      <c r="STC10" s="493"/>
      <c r="STD10" s="493"/>
      <c r="STE10" s="493"/>
      <c r="STF10" s="493"/>
      <c r="STG10" s="493"/>
      <c r="STH10" s="493"/>
      <c r="STI10" s="493"/>
      <c r="STJ10" s="493"/>
      <c r="STK10" s="493"/>
      <c r="STL10" s="493"/>
      <c r="STM10" s="493"/>
      <c r="STN10" s="493"/>
      <c r="STO10" s="493"/>
      <c r="STP10" s="493"/>
      <c r="STQ10" s="493"/>
      <c r="STR10" s="493"/>
      <c r="STS10" s="493"/>
      <c r="STT10" s="493"/>
      <c r="STU10" s="493"/>
      <c r="STV10" s="493"/>
      <c r="STW10" s="493"/>
      <c r="STX10" s="493"/>
      <c r="STY10" s="493"/>
      <c r="STZ10" s="493"/>
      <c r="SUA10" s="493"/>
      <c r="SUB10" s="493"/>
      <c r="SUC10" s="493"/>
      <c r="SUD10" s="493"/>
      <c r="SUE10" s="493"/>
      <c r="SUF10" s="493"/>
      <c r="SUG10" s="493"/>
      <c r="SUH10" s="493"/>
      <c r="SUI10" s="493"/>
      <c r="SUJ10" s="493"/>
      <c r="SUK10" s="493"/>
      <c r="SUL10" s="493"/>
      <c r="SUM10" s="493"/>
      <c r="SUN10" s="493"/>
      <c r="SUO10" s="493"/>
      <c r="SUP10" s="493"/>
      <c r="SUQ10" s="493"/>
      <c r="SUR10" s="493"/>
      <c r="SUS10" s="493"/>
      <c r="SUT10" s="493"/>
      <c r="SUU10" s="493"/>
      <c r="SUV10" s="493"/>
      <c r="SUW10" s="493"/>
      <c r="SUX10" s="493"/>
      <c r="SUY10" s="493"/>
      <c r="SUZ10" s="493"/>
      <c r="SVA10" s="493"/>
      <c r="SVB10" s="493"/>
      <c r="SVC10" s="493"/>
      <c r="SVD10" s="493"/>
      <c r="SVE10" s="493"/>
      <c r="SVF10" s="493"/>
      <c r="SVG10" s="493"/>
      <c r="SVH10" s="493"/>
      <c r="SVI10" s="493"/>
      <c r="SVJ10" s="493"/>
      <c r="SVK10" s="493"/>
      <c r="SVL10" s="493"/>
      <c r="SVM10" s="493"/>
      <c r="SVN10" s="493"/>
      <c r="SVO10" s="493"/>
      <c r="SVP10" s="493"/>
      <c r="SVQ10" s="493"/>
      <c r="SVR10" s="493"/>
      <c r="SVS10" s="493"/>
      <c r="SVT10" s="493"/>
      <c r="SVU10" s="493"/>
      <c r="SVV10" s="493"/>
      <c r="SVW10" s="493"/>
      <c r="SVX10" s="493"/>
      <c r="SVY10" s="493"/>
      <c r="SVZ10" s="493"/>
      <c r="SWA10" s="493"/>
      <c r="SWB10" s="493"/>
      <c r="SWC10" s="493"/>
      <c r="SWD10" s="493"/>
      <c r="SWE10" s="493"/>
      <c r="SWF10" s="493"/>
      <c r="SWG10" s="493"/>
      <c r="SWH10" s="493"/>
      <c r="SWI10" s="493"/>
      <c r="SWJ10" s="493"/>
      <c r="SWK10" s="493"/>
      <c r="SWL10" s="493"/>
      <c r="SWM10" s="493"/>
      <c r="SWN10" s="493"/>
      <c r="SWO10" s="493"/>
      <c r="SWP10" s="493"/>
      <c r="SWQ10" s="493"/>
      <c r="SWR10" s="493"/>
      <c r="SWS10" s="493"/>
      <c r="SWT10" s="493"/>
      <c r="SWU10" s="493"/>
      <c r="SWV10" s="493"/>
      <c r="SWW10" s="493"/>
      <c r="SWX10" s="493"/>
      <c r="SWY10" s="493"/>
      <c r="SWZ10" s="493"/>
      <c r="SXA10" s="493"/>
      <c r="SXB10" s="493"/>
      <c r="SXC10" s="493"/>
      <c r="SXD10" s="493"/>
      <c r="SXE10" s="493"/>
      <c r="SXF10" s="493"/>
      <c r="SXG10" s="493"/>
      <c r="SXH10" s="493"/>
      <c r="SXI10" s="493"/>
      <c r="SXJ10" s="493"/>
      <c r="SXK10" s="493"/>
      <c r="SXL10" s="493"/>
      <c r="SXM10" s="493"/>
      <c r="SXN10" s="493"/>
      <c r="SXO10" s="493"/>
      <c r="SXP10" s="493"/>
      <c r="SXQ10" s="493"/>
      <c r="SXR10" s="493"/>
      <c r="SXS10" s="493"/>
      <c r="SXT10" s="493"/>
      <c r="SXU10" s="493"/>
      <c r="SXV10" s="493"/>
      <c r="SXW10" s="493"/>
      <c r="SXX10" s="493"/>
      <c r="SXY10" s="493"/>
      <c r="SXZ10" s="493"/>
      <c r="SYA10" s="493"/>
      <c r="SYB10" s="493"/>
      <c r="SYC10" s="493"/>
      <c r="SYD10" s="493"/>
      <c r="SYE10" s="493"/>
      <c r="SYF10" s="493"/>
      <c r="SYG10" s="493"/>
      <c r="SYH10" s="493"/>
      <c r="SYI10" s="493"/>
      <c r="SYJ10" s="493"/>
      <c r="SYK10" s="493"/>
      <c r="SYL10" s="493"/>
      <c r="SYM10" s="493"/>
      <c r="SYN10" s="493"/>
      <c r="SYO10" s="493"/>
      <c r="SYP10" s="493"/>
      <c r="SYQ10" s="493"/>
      <c r="SYR10" s="493"/>
      <c r="SYS10" s="493"/>
      <c r="SYT10" s="493"/>
      <c r="SYU10" s="493"/>
      <c r="SYV10" s="493"/>
      <c r="SYW10" s="493"/>
      <c r="SYX10" s="493"/>
      <c r="SYY10" s="493"/>
      <c r="SYZ10" s="493"/>
      <c r="SZA10" s="493"/>
      <c r="SZB10" s="493"/>
      <c r="SZC10" s="493"/>
      <c r="SZD10" s="493"/>
      <c r="SZE10" s="493"/>
      <c r="SZF10" s="493"/>
      <c r="SZG10" s="493"/>
      <c r="SZH10" s="493"/>
      <c r="SZI10" s="493"/>
      <c r="SZJ10" s="493"/>
      <c r="SZK10" s="493"/>
      <c r="SZL10" s="493"/>
      <c r="SZM10" s="493"/>
      <c r="SZN10" s="493"/>
      <c r="SZO10" s="493"/>
      <c r="SZP10" s="493"/>
      <c r="SZQ10" s="493"/>
      <c r="SZR10" s="493"/>
      <c r="SZS10" s="493"/>
      <c r="SZT10" s="493"/>
      <c r="SZU10" s="493"/>
      <c r="SZV10" s="493"/>
      <c r="SZW10" s="493"/>
      <c r="SZX10" s="493"/>
      <c r="SZY10" s="493"/>
      <c r="SZZ10" s="493"/>
      <c r="TAA10" s="493"/>
      <c r="TAB10" s="493"/>
      <c r="TAC10" s="493"/>
      <c r="TAD10" s="493"/>
      <c r="TAE10" s="493"/>
      <c r="TAF10" s="493"/>
      <c r="TAG10" s="493"/>
      <c r="TAH10" s="493"/>
      <c r="TAI10" s="493"/>
      <c r="TAJ10" s="493"/>
      <c r="TAK10" s="493"/>
      <c r="TAL10" s="493"/>
      <c r="TAM10" s="493"/>
      <c r="TAN10" s="493"/>
      <c r="TAO10" s="493"/>
      <c r="TAP10" s="493"/>
      <c r="TAQ10" s="493"/>
      <c r="TAR10" s="493"/>
      <c r="TAS10" s="493"/>
      <c r="TAT10" s="493"/>
      <c r="TAU10" s="493"/>
      <c r="TAV10" s="493"/>
      <c r="TAW10" s="493"/>
      <c r="TAX10" s="493"/>
      <c r="TAY10" s="493"/>
      <c r="TAZ10" s="493"/>
      <c r="TBA10" s="493"/>
      <c r="TBB10" s="493"/>
      <c r="TBC10" s="493"/>
      <c r="TBD10" s="493"/>
      <c r="TBE10" s="493"/>
      <c r="TBF10" s="493"/>
      <c r="TBG10" s="493"/>
      <c r="TBH10" s="493"/>
      <c r="TBI10" s="493"/>
      <c r="TBJ10" s="493"/>
      <c r="TBK10" s="493"/>
      <c r="TBL10" s="493"/>
      <c r="TBM10" s="493"/>
      <c r="TBN10" s="493"/>
      <c r="TBO10" s="493"/>
      <c r="TBP10" s="493"/>
      <c r="TBQ10" s="493"/>
      <c r="TBR10" s="493"/>
      <c r="TBS10" s="493"/>
      <c r="TBT10" s="493"/>
      <c r="TBU10" s="493"/>
      <c r="TBV10" s="493"/>
      <c r="TBW10" s="493"/>
      <c r="TBX10" s="493"/>
      <c r="TBY10" s="493"/>
      <c r="TBZ10" s="493"/>
      <c r="TCA10" s="493"/>
      <c r="TCB10" s="493"/>
      <c r="TCC10" s="493"/>
      <c r="TCD10" s="493"/>
      <c r="TCE10" s="493"/>
      <c r="TCF10" s="493"/>
      <c r="TCG10" s="493"/>
      <c r="TCH10" s="493"/>
      <c r="TCI10" s="493"/>
      <c r="TCJ10" s="493"/>
      <c r="TCK10" s="493"/>
      <c r="TCL10" s="493"/>
      <c r="TCM10" s="493"/>
      <c r="TCN10" s="493"/>
      <c r="TCO10" s="493"/>
      <c r="TCP10" s="493"/>
      <c r="TCQ10" s="493"/>
      <c r="TCR10" s="493"/>
      <c r="TCS10" s="493"/>
      <c r="TCT10" s="493"/>
      <c r="TCU10" s="493"/>
      <c r="TCV10" s="493"/>
      <c r="TCW10" s="493"/>
      <c r="TCX10" s="493"/>
      <c r="TCY10" s="493"/>
      <c r="TCZ10" s="493"/>
      <c r="TDA10" s="493"/>
      <c r="TDB10" s="493"/>
      <c r="TDC10" s="493"/>
      <c r="TDD10" s="493"/>
      <c r="TDE10" s="493"/>
      <c r="TDF10" s="493"/>
      <c r="TDG10" s="493"/>
      <c r="TDH10" s="493"/>
      <c r="TDI10" s="493"/>
      <c r="TDJ10" s="493"/>
      <c r="TDK10" s="493"/>
      <c r="TDL10" s="493"/>
      <c r="TDM10" s="493"/>
      <c r="TDN10" s="493"/>
      <c r="TDO10" s="493"/>
      <c r="TDP10" s="493"/>
      <c r="TDQ10" s="493"/>
      <c r="TDR10" s="493"/>
      <c r="TDS10" s="493"/>
      <c r="TDT10" s="493"/>
      <c r="TDU10" s="493"/>
      <c r="TDV10" s="493"/>
      <c r="TDW10" s="493"/>
      <c r="TDX10" s="493"/>
      <c r="TDY10" s="493"/>
      <c r="TDZ10" s="493"/>
      <c r="TEA10" s="493"/>
      <c r="TEB10" s="493"/>
      <c r="TEC10" s="493"/>
      <c r="TED10" s="493"/>
      <c r="TEE10" s="493"/>
      <c r="TEF10" s="493"/>
      <c r="TEG10" s="493"/>
      <c r="TEH10" s="493"/>
      <c r="TEI10" s="493"/>
      <c r="TEJ10" s="493"/>
      <c r="TEK10" s="493"/>
      <c r="TEL10" s="493"/>
      <c r="TEM10" s="493"/>
      <c r="TEN10" s="493"/>
      <c r="TEO10" s="493"/>
      <c r="TEP10" s="493"/>
      <c r="TEQ10" s="493"/>
      <c r="TER10" s="493"/>
      <c r="TES10" s="493"/>
      <c r="TET10" s="493"/>
      <c r="TEU10" s="493"/>
      <c r="TEV10" s="493"/>
      <c r="TEW10" s="493"/>
      <c r="TEX10" s="493"/>
      <c r="TEY10" s="493"/>
      <c r="TEZ10" s="493"/>
      <c r="TFA10" s="493"/>
      <c r="TFB10" s="493"/>
      <c r="TFC10" s="493"/>
      <c r="TFD10" s="493"/>
      <c r="TFE10" s="493"/>
      <c r="TFF10" s="493"/>
      <c r="TFG10" s="493"/>
      <c r="TFH10" s="493"/>
      <c r="TFI10" s="493"/>
      <c r="TFJ10" s="493"/>
      <c r="TFK10" s="493"/>
      <c r="TFL10" s="493"/>
      <c r="TFM10" s="493"/>
      <c r="TFN10" s="493"/>
      <c r="TFO10" s="493"/>
      <c r="TFP10" s="493"/>
      <c r="TFQ10" s="493"/>
      <c r="TFR10" s="493"/>
      <c r="TFS10" s="493"/>
      <c r="TFT10" s="493"/>
      <c r="TFU10" s="493"/>
      <c r="TFV10" s="493"/>
      <c r="TFW10" s="493"/>
      <c r="TFX10" s="493"/>
      <c r="TFY10" s="493"/>
      <c r="TFZ10" s="493"/>
      <c r="TGA10" s="493"/>
      <c r="TGB10" s="493"/>
      <c r="TGC10" s="493"/>
      <c r="TGD10" s="493"/>
      <c r="TGE10" s="493"/>
      <c r="TGF10" s="493"/>
      <c r="TGG10" s="493"/>
      <c r="TGH10" s="493"/>
      <c r="TGI10" s="493"/>
      <c r="TGJ10" s="493"/>
      <c r="TGK10" s="493"/>
      <c r="TGL10" s="493"/>
      <c r="TGM10" s="493"/>
      <c r="TGN10" s="493"/>
      <c r="TGO10" s="493"/>
      <c r="TGP10" s="493"/>
      <c r="TGQ10" s="493"/>
      <c r="TGR10" s="493"/>
      <c r="TGS10" s="493"/>
      <c r="TGT10" s="493"/>
      <c r="TGU10" s="493"/>
      <c r="TGV10" s="493"/>
      <c r="TGW10" s="493"/>
      <c r="TGX10" s="493"/>
      <c r="TGY10" s="493"/>
      <c r="TGZ10" s="493"/>
      <c r="THA10" s="493"/>
      <c r="THB10" s="493"/>
      <c r="THC10" s="493"/>
      <c r="THD10" s="493"/>
      <c r="THE10" s="493"/>
      <c r="THF10" s="493"/>
      <c r="THG10" s="493"/>
      <c r="THH10" s="493"/>
      <c r="THI10" s="493"/>
      <c r="THJ10" s="493"/>
      <c r="THK10" s="493"/>
      <c r="THL10" s="493"/>
      <c r="THM10" s="493"/>
      <c r="THN10" s="493"/>
      <c r="THO10" s="493"/>
      <c r="THP10" s="493"/>
      <c r="THQ10" s="493"/>
      <c r="THR10" s="493"/>
      <c r="THS10" s="493"/>
      <c r="THT10" s="493"/>
      <c r="THU10" s="493"/>
      <c r="THV10" s="493"/>
      <c r="THW10" s="493"/>
      <c r="THX10" s="493"/>
      <c r="THY10" s="493"/>
      <c r="THZ10" s="493"/>
      <c r="TIA10" s="493"/>
      <c r="TIB10" s="493"/>
      <c r="TIC10" s="493"/>
      <c r="TID10" s="493"/>
      <c r="TIE10" s="493"/>
      <c r="TIF10" s="493"/>
      <c r="TIG10" s="493"/>
      <c r="TIH10" s="493"/>
      <c r="TII10" s="493"/>
      <c r="TIJ10" s="493"/>
      <c r="TIK10" s="493"/>
      <c r="TIL10" s="493"/>
      <c r="TIM10" s="493"/>
      <c r="TIN10" s="493"/>
      <c r="TIO10" s="493"/>
      <c r="TIP10" s="493"/>
      <c r="TIQ10" s="493"/>
      <c r="TIR10" s="493"/>
      <c r="TIS10" s="493"/>
      <c r="TIT10" s="493"/>
      <c r="TIU10" s="493"/>
      <c r="TIV10" s="493"/>
      <c r="TIW10" s="493"/>
      <c r="TIX10" s="493"/>
      <c r="TIY10" s="493"/>
      <c r="TIZ10" s="493"/>
      <c r="TJA10" s="493"/>
      <c r="TJB10" s="493"/>
      <c r="TJC10" s="493"/>
      <c r="TJD10" s="493"/>
      <c r="TJE10" s="493"/>
      <c r="TJF10" s="493"/>
      <c r="TJG10" s="493"/>
      <c r="TJH10" s="493"/>
      <c r="TJI10" s="493"/>
      <c r="TJJ10" s="493"/>
      <c r="TJK10" s="493"/>
      <c r="TJL10" s="493"/>
      <c r="TJM10" s="493"/>
      <c r="TJN10" s="493"/>
      <c r="TJO10" s="493"/>
      <c r="TJP10" s="493"/>
      <c r="TJQ10" s="493"/>
      <c r="TJR10" s="493"/>
      <c r="TJS10" s="493"/>
      <c r="TJT10" s="493"/>
      <c r="TJU10" s="493"/>
      <c r="TJV10" s="493"/>
      <c r="TJW10" s="493"/>
      <c r="TJX10" s="493"/>
      <c r="TJY10" s="493"/>
      <c r="TJZ10" s="493"/>
      <c r="TKA10" s="493"/>
      <c r="TKB10" s="493"/>
      <c r="TKC10" s="493"/>
      <c r="TKD10" s="493"/>
      <c r="TKE10" s="493"/>
      <c r="TKF10" s="493"/>
      <c r="TKG10" s="493"/>
      <c r="TKH10" s="493"/>
      <c r="TKI10" s="493"/>
      <c r="TKJ10" s="493"/>
      <c r="TKK10" s="493"/>
      <c r="TKL10" s="493"/>
      <c r="TKM10" s="493"/>
      <c r="TKN10" s="493"/>
      <c r="TKO10" s="493"/>
      <c r="TKP10" s="493"/>
      <c r="TKQ10" s="493"/>
      <c r="TKR10" s="493"/>
      <c r="TKS10" s="493"/>
      <c r="TKT10" s="493"/>
      <c r="TKU10" s="493"/>
      <c r="TKV10" s="493"/>
      <c r="TKW10" s="493"/>
      <c r="TKX10" s="493"/>
      <c r="TKY10" s="493"/>
      <c r="TKZ10" s="493"/>
      <c r="TLA10" s="493"/>
      <c r="TLB10" s="493"/>
      <c r="TLC10" s="493"/>
      <c r="TLD10" s="493"/>
      <c r="TLE10" s="493"/>
      <c r="TLF10" s="493"/>
      <c r="TLG10" s="493"/>
      <c r="TLH10" s="493"/>
      <c r="TLI10" s="493"/>
      <c r="TLJ10" s="493"/>
      <c r="TLK10" s="493"/>
      <c r="TLL10" s="493"/>
      <c r="TLM10" s="493"/>
      <c r="TLN10" s="493"/>
      <c r="TLO10" s="493"/>
      <c r="TLP10" s="493"/>
      <c r="TLQ10" s="493"/>
      <c r="TLR10" s="493"/>
      <c r="TLS10" s="493"/>
      <c r="TLT10" s="493"/>
      <c r="TLU10" s="493"/>
      <c r="TLV10" s="493"/>
      <c r="TLW10" s="493"/>
      <c r="TLX10" s="493"/>
      <c r="TLY10" s="493"/>
      <c r="TLZ10" s="493"/>
      <c r="TMA10" s="493"/>
      <c r="TMB10" s="493"/>
      <c r="TMC10" s="493"/>
      <c r="TMD10" s="493"/>
      <c r="TME10" s="493"/>
      <c r="TMF10" s="493"/>
      <c r="TMG10" s="493"/>
      <c r="TMH10" s="493"/>
      <c r="TMI10" s="493"/>
      <c r="TMJ10" s="493"/>
      <c r="TMK10" s="493"/>
      <c r="TML10" s="493"/>
      <c r="TMM10" s="493"/>
      <c r="TMN10" s="493"/>
      <c r="TMO10" s="493"/>
      <c r="TMP10" s="493"/>
      <c r="TMQ10" s="493"/>
      <c r="TMR10" s="493"/>
      <c r="TMS10" s="493"/>
      <c r="TMT10" s="493"/>
      <c r="TMU10" s="493"/>
      <c r="TMV10" s="493"/>
      <c r="TMW10" s="493"/>
      <c r="TMX10" s="493"/>
      <c r="TMY10" s="493"/>
      <c r="TMZ10" s="493"/>
      <c r="TNA10" s="493"/>
      <c r="TNB10" s="493"/>
      <c r="TNC10" s="493"/>
      <c r="TND10" s="493"/>
      <c r="TNE10" s="493"/>
      <c r="TNF10" s="493"/>
      <c r="TNG10" s="493"/>
      <c r="TNH10" s="493"/>
      <c r="TNI10" s="493"/>
      <c r="TNJ10" s="493"/>
      <c r="TNK10" s="493"/>
      <c r="TNL10" s="493"/>
      <c r="TNM10" s="493"/>
      <c r="TNN10" s="493"/>
      <c r="TNO10" s="493"/>
      <c r="TNP10" s="493"/>
      <c r="TNQ10" s="493"/>
      <c r="TNR10" s="493"/>
      <c r="TNS10" s="493"/>
      <c r="TNT10" s="493"/>
      <c r="TNU10" s="493"/>
      <c r="TNV10" s="493"/>
      <c r="TNW10" s="493"/>
      <c r="TNX10" s="493"/>
      <c r="TNY10" s="493"/>
      <c r="TNZ10" s="493"/>
      <c r="TOA10" s="493"/>
      <c r="TOB10" s="493"/>
      <c r="TOC10" s="493"/>
      <c r="TOD10" s="493"/>
      <c r="TOE10" s="493"/>
      <c r="TOF10" s="493"/>
      <c r="TOG10" s="493"/>
      <c r="TOH10" s="493"/>
      <c r="TOI10" s="493"/>
      <c r="TOJ10" s="493"/>
      <c r="TOK10" s="493"/>
      <c r="TOL10" s="493"/>
      <c r="TOM10" s="493"/>
      <c r="TON10" s="493"/>
      <c r="TOO10" s="493"/>
      <c r="TOP10" s="493"/>
      <c r="TOQ10" s="493"/>
      <c r="TOR10" s="493"/>
      <c r="TOS10" s="493"/>
      <c r="TOT10" s="493"/>
      <c r="TOU10" s="493"/>
      <c r="TOV10" s="493"/>
      <c r="TOW10" s="493"/>
      <c r="TOX10" s="493"/>
      <c r="TOY10" s="493"/>
      <c r="TOZ10" s="493"/>
      <c r="TPA10" s="493"/>
      <c r="TPB10" s="493"/>
      <c r="TPC10" s="493"/>
      <c r="TPD10" s="493"/>
      <c r="TPE10" s="493"/>
      <c r="TPF10" s="493"/>
      <c r="TPG10" s="493"/>
      <c r="TPH10" s="493"/>
      <c r="TPI10" s="493"/>
      <c r="TPJ10" s="493"/>
      <c r="TPK10" s="493"/>
      <c r="TPL10" s="493"/>
      <c r="TPM10" s="493"/>
      <c r="TPN10" s="493"/>
      <c r="TPO10" s="493"/>
      <c r="TPP10" s="493"/>
      <c r="TPQ10" s="493"/>
      <c r="TPR10" s="493"/>
      <c r="TPS10" s="493"/>
      <c r="TPT10" s="493"/>
      <c r="TPU10" s="493"/>
      <c r="TPV10" s="493"/>
      <c r="TPW10" s="493"/>
      <c r="TPX10" s="493"/>
      <c r="TPY10" s="493"/>
      <c r="TPZ10" s="493"/>
      <c r="TQA10" s="493"/>
      <c r="TQB10" s="493"/>
      <c r="TQC10" s="493"/>
      <c r="TQD10" s="493"/>
      <c r="TQE10" s="493"/>
      <c r="TQF10" s="493"/>
      <c r="TQG10" s="493"/>
      <c r="TQH10" s="493"/>
      <c r="TQI10" s="493"/>
      <c r="TQJ10" s="493"/>
      <c r="TQK10" s="493"/>
      <c r="TQL10" s="493"/>
      <c r="TQM10" s="493"/>
      <c r="TQN10" s="493"/>
      <c r="TQO10" s="493"/>
      <c r="TQP10" s="493"/>
      <c r="TQQ10" s="493"/>
      <c r="TQR10" s="493"/>
      <c r="TQS10" s="493"/>
      <c r="TQT10" s="493"/>
      <c r="TQU10" s="493"/>
      <c r="TQV10" s="493"/>
      <c r="TQW10" s="493"/>
      <c r="TQX10" s="493"/>
      <c r="TQY10" s="493"/>
      <c r="TQZ10" s="493"/>
      <c r="TRA10" s="493"/>
      <c r="TRB10" s="493"/>
      <c r="TRC10" s="493"/>
      <c r="TRD10" s="493"/>
      <c r="TRE10" s="493"/>
      <c r="TRF10" s="493"/>
      <c r="TRG10" s="493"/>
      <c r="TRH10" s="493"/>
      <c r="TRI10" s="493"/>
      <c r="TRJ10" s="493"/>
      <c r="TRK10" s="493"/>
      <c r="TRL10" s="493"/>
      <c r="TRM10" s="493"/>
      <c r="TRN10" s="493"/>
      <c r="TRO10" s="493"/>
      <c r="TRP10" s="493"/>
      <c r="TRQ10" s="493"/>
      <c r="TRR10" s="493"/>
      <c r="TRS10" s="493"/>
      <c r="TRT10" s="493"/>
      <c r="TRU10" s="493"/>
      <c r="TRV10" s="493"/>
      <c r="TRW10" s="493"/>
      <c r="TRX10" s="493"/>
      <c r="TRY10" s="493"/>
      <c r="TRZ10" s="493"/>
      <c r="TSA10" s="493"/>
      <c r="TSB10" s="493"/>
      <c r="TSC10" s="493"/>
      <c r="TSD10" s="493"/>
      <c r="TSE10" s="493"/>
      <c r="TSF10" s="493"/>
      <c r="TSG10" s="493"/>
      <c r="TSH10" s="493"/>
      <c r="TSI10" s="493"/>
      <c r="TSJ10" s="493"/>
      <c r="TSK10" s="493"/>
      <c r="TSL10" s="493"/>
      <c r="TSM10" s="493"/>
      <c r="TSN10" s="493"/>
      <c r="TSO10" s="493"/>
      <c r="TSP10" s="493"/>
      <c r="TSQ10" s="493"/>
      <c r="TSR10" s="493"/>
      <c r="TSS10" s="493"/>
      <c r="TST10" s="493"/>
      <c r="TSU10" s="493"/>
      <c r="TSV10" s="493"/>
      <c r="TSW10" s="493"/>
      <c r="TSX10" s="493"/>
      <c r="TSY10" s="493"/>
      <c r="TSZ10" s="493"/>
      <c r="TTA10" s="493"/>
      <c r="TTB10" s="493"/>
      <c r="TTC10" s="493"/>
      <c r="TTD10" s="493"/>
      <c r="TTE10" s="493"/>
      <c r="TTF10" s="493"/>
      <c r="TTG10" s="493"/>
      <c r="TTH10" s="493"/>
      <c r="TTI10" s="493"/>
      <c r="TTJ10" s="493"/>
      <c r="TTK10" s="493"/>
      <c r="TTL10" s="493"/>
      <c r="TTM10" s="493"/>
      <c r="TTN10" s="493"/>
      <c r="TTO10" s="493"/>
      <c r="TTP10" s="493"/>
      <c r="TTQ10" s="493"/>
      <c r="TTR10" s="493"/>
      <c r="TTS10" s="493"/>
      <c r="TTT10" s="493"/>
      <c r="TTU10" s="493"/>
      <c r="TTV10" s="493"/>
      <c r="TTW10" s="493"/>
      <c r="TTX10" s="493"/>
      <c r="TTY10" s="493"/>
      <c r="TTZ10" s="493"/>
      <c r="TUA10" s="493"/>
      <c r="TUB10" s="493"/>
      <c r="TUC10" s="493"/>
      <c r="TUD10" s="493"/>
      <c r="TUE10" s="493"/>
      <c r="TUF10" s="493"/>
      <c r="TUG10" s="493"/>
      <c r="TUH10" s="493"/>
      <c r="TUI10" s="493"/>
      <c r="TUJ10" s="493"/>
      <c r="TUK10" s="493"/>
      <c r="TUL10" s="493"/>
      <c r="TUM10" s="493"/>
      <c r="TUN10" s="493"/>
      <c r="TUO10" s="493"/>
      <c r="TUP10" s="493"/>
      <c r="TUQ10" s="493"/>
      <c r="TUR10" s="493"/>
      <c r="TUS10" s="493"/>
      <c r="TUT10" s="493"/>
      <c r="TUU10" s="493"/>
      <c r="TUV10" s="493"/>
      <c r="TUW10" s="493"/>
      <c r="TUX10" s="493"/>
      <c r="TUY10" s="493"/>
      <c r="TUZ10" s="493"/>
      <c r="TVA10" s="493"/>
      <c r="TVB10" s="493"/>
      <c r="TVC10" s="493"/>
      <c r="TVD10" s="493"/>
      <c r="TVE10" s="493"/>
      <c r="TVF10" s="493"/>
      <c r="TVG10" s="493"/>
      <c r="TVH10" s="493"/>
      <c r="TVI10" s="493"/>
      <c r="TVJ10" s="493"/>
      <c r="TVK10" s="493"/>
      <c r="TVL10" s="493"/>
      <c r="TVM10" s="493"/>
      <c r="TVN10" s="493"/>
      <c r="TVO10" s="493"/>
      <c r="TVP10" s="493"/>
      <c r="TVQ10" s="493"/>
      <c r="TVR10" s="493"/>
      <c r="TVS10" s="493"/>
      <c r="TVT10" s="493"/>
      <c r="TVU10" s="493"/>
      <c r="TVV10" s="493"/>
      <c r="TVW10" s="493"/>
      <c r="TVX10" s="493"/>
      <c r="TVY10" s="493"/>
      <c r="TVZ10" s="493"/>
      <c r="TWA10" s="493"/>
      <c r="TWB10" s="493"/>
      <c r="TWC10" s="493"/>
      <c r="TWD10" s="493"/>
      <c r="TWE10" s="493"/>
      <c r="TWF10" s="493"/>
      <c r="TWG10" s="493"/>
      <c r="TWH10" s="493"/>
      <c r="TWI10" s="493"/>
      <c r="TWJ10" s="493"/>
      <c r="TWK10" s="493"/>
      <c r="TWL10" s="493"/>
      <c r="TWM10" s="493"/>
      <c r="TWN10" s="493"/>
      <c r="TWO10" s="493"/>
      <c r="TWP10" s="493"/>
      <c r="TWQ10" s="493"/>
      <c r="TWR10" s="493"/>
      <c r="TWS10" s="493"/>
      <c r="TWT10" s="493"/>
      <c r="TWU10" s="493"/>
      <c r="TWV10" s="493"/>
      <c r="TWW10" s="493"/>
      <c r="TWX10" s="493"/>
      <c r="TWY10" s="493"/>
      <c r="TWZ10" s="493"/>
      <c r="TXA10" s="493"/>
      <c r="TXB10" s="493"/>
      <c r="TXC10" s="493"/>
      <c r="TXD10" s="493"/>
      <c r="TXE10" s="493"/>
      <c r="TXF10" s="493"/>
      <c r="TXG10" s="493"/>
      <c r="TXH10" s="493"/>
      <c r="TXI10" s="493"/>
      <c r="TXJ10" s="493"/>
      <c r="TXK10" s="493"/>
      <c r="TXL10" s="493"/>
      <c r="TXM10" s="493"/>
      <c r="TXN10" s="493"/>
      <c r="TXO10" s="493"/>
      <c r="TXP10" s="493"/>
      <c r="TXQ10" s="493"/>
      <c r="TXR10" s="493"/>
      <c r="TXS10" s="493"/>
      <c r="TXT10" s="493"/>
      <c r="TXU10" s="493"/>
      <c r="TXV10" s="493"/>
      <c r="TXW10" s="493"/>
      <c r="TXX10" s="493"/>
      <c r="TXY10" s="493"/>
      <c r="TXZ10" s="493"/>
      <c r="TYA10" s="493"/>
      <c r="TYB10" s="493"/>
      <c r="TYC10" s="493"/>
      <c r="TYD10" s="493"/>
      <c r="TYE10" s="493"/>
      <c r="TYF10" s="493"/>
      <c r="TYG10" s="493"/>
      <c r="TYH10" s="493"/>
      <c r="TYI10" s="493"/>
      <c r="TYJ10" s="493"/>
      <c r="TYK10" s="493"/>
      <c r="TYL10" s="493"/>
      <c r="TYM10" s="493"/>
      <c r="TYN10" s="493"/>
      <c r="TYO10" s="493"/>
      <c r="TYP10" s="493"/>
      <c r="TYQ10" s="493"/>
      <c r="TYR10" s="493"/>
      <c r="TYS10" s="493"/>
      <c r="TYT10" s="493"/>
      <c r="TYU10" s="493"/>
      <c r="TYV10" s="493"/>
      <c r="TYW10" s="493"/>
      <c r="TYX10" s="493"/>
      <c r="TYY10" s="493"/>
      <c r="TYZ10" s="493"/>
      <c r="TZA10" s="493"/>
      <c r="TZB10" s="493"/>
      <c r="TZC10" s="493"/>
      <c r="TZD10" s="493"/>
      <c r="TZE10" s="493"/>
      <c r="TZF10" s="493"/>
      <c r="TZG10" s="493"/>
      <c r="TZH10" s="493"/>
      <c r="TZI10" s="493"/>
      <c r="TZJ10" s="493"/>
      <c r="TZK10" s="493"/>
      <c r="TZL10" s="493"/>
      <c r="TZM10" s="493"/>
      <c r="TZN10" s="493"/>
      <c r="TZO10" s="493"/>
      <c r="TZP10" s="493"/>
      <c r="TZQ10" s="493"/>
      <c r="TZR10" s="493"/>
      <c r="TZS10" s="493"/>
      <c r="TZT10" s="493"/>
      <c r="TZU10" s="493"/>
      <c r="TZV10" s="493"/>
      <c r="TZW10" s="493"/>
      <c r="TZX10" s="493"/>
      <c r="TZY10" s="493"/>
      <c r="TZZ10" s="493"/>
      <c r="UAA10" s="493"/>
      <c r="UAB10" s="493"/>
      <c r="UAC10" s="493"/>
      <c r="UAD10" s="493"/>
      <c r="UAE10" s="493"/>
      <c r="UAF10" s="493"/>
      <c r="UAG10" s="493"/>
      <c r="UAH10" s="493"/>
      <c r="UAI10" s="493"/>
      <c r="UAJ10" s="493"/>
      <c r="UAK10" s="493"/>
      <c r="UAL10" s="493"/>
      <c r="UAM10" s="493"/>
      <c r="UAN10" s="493"/>
      <c r="UAO10" s="493"/>
      <c r="UAP10" s="493"/>
      <c r="UAQ10" s="493"/>
      <c r="UAR10" s="493"/>
      <c r="UAS10" s="493"/>
      <c r="UAT10" s="493"/>
      <c r="UAU10" s="493"/>
      <c r="UAV10" s="493"/>
      <c r="UAW10" s="493"/>
      <c r="UAX10" s="493"/>
      <c r="UAY10" s="493"/>
      <c r="UAZ10" s="493"/>
      <c r="UBA10" s="493"/>
      <c r="UBB10" s="493"/>
      <c r="UBC10" s="493"/>
      <c r="UBD10" s="493"/>
      <c r="UBE10" s="493"/>
      <c r="UBF10" s="493"/>
      <c r="UBG10" s="493"/>
      <c r="UBH10" s="493"/>
      <c r="UBI10" s="493"/>
      <c r="UBJ10" s="493"/>
      <c r="UBK10" s="493"/>
      <c r="UBL10" s="493"/>
      <c r="UBM10" s="493"/>
      <c r="UBN10" s="493"/>
      <c r="UBO10" s="493"/>
      <c r="UBP10" s="493"/>
      <c r="UBQ10" s="493"/>
      <c r="UBR10" s="493"/>
      <c r="UBS10" s="493"/>
      <c r="UBT10" s="493"/>
      <c r="UBU10" s="493"/>
      <c r="UBV10" s="493"/>
      <c r="UBW10" s="493"/>
      <c r="UBX10" s="493"/>
      <c r="UBY10" s="493"/>
      <c r="UBZ10" s="493"/>
      <c r="UCA10" s="493"/>
      <c r="UCB10" s="493"/>
      <c r="UCC10" s="493"/>
      <c r="UCD10" s="493"/>
      <c r="UCE10" s="493"/>
      <c r="UCF10" s="493"/>
      <c r="UCG10" s="493"/>
      <c r="UCH10" s="493"/>
      <c r="UCI10" s="493"/>
      <c r="UCJ10" s="493"/>
      <c r="UCK10" s="493"/>
      <c r="UCL10" s="493"/>
      <c r="UCM10" s="493"/>
      <c r="UCN10" s="493"/>
      <c r="UCO10" s="493"/>
      <c r="UCP10" s="493"/>
      <c r="UCQ10" s="493"/>
      <c r="UCR10" s="493"/>
      <c r="UCS10" s="493"/>
      <c r="UCT10" s="493"/>
      <c r="UCU10" s="493"/>
      <c r="UCV10" s="493"/>
      <c r="UCW10" s="493"/>
      <c r="UCX10" s="493"/>
      <c r="UCY10" s="493"/>
      <c r="UCZ10" s="493"/>
      <c r="UDA10" s="493"/>
      <c r="UDB10" s="493"/>
      <c r="UDC10" s="493"/>
      <c r="UDD10" s="493"/>
      <c r="UDE10" s="493"/>
      <c r="UDF10" s="493"/>
      <c r="UDG10" s="493"/>
      <c r="UDH10" s="493"/>
      <c r="UDI10" s="493"/>
      <c r="UDJ10" s="493"/>
      <c r="UDK10" s="493"/>
      <c r="UDL10" s="493"/>
      <c r="UDM10" s="493"/>
      <c r="UDN10" s="493"/>
      <c r="UDO10" s="493"/>
      <c r="UDP10" s="493"/>
      <c r="UDQ10" s="493"/>
      <c r="UDR10" s="493"/>
      <c r="UDS10" s="493"/>
      <c r="UDT10" s="493"/>
      <c r="UDU10" s="493"/>
      <c r="UDV10" s="493"/>
      <c r="UDW10" s="493"/>
      <c r="UDX10" s="493"/>
      <c r="UDY10" s="493"/>
      <c r="UDZ10" s="493"/>
      <c r="UEA10" s="493"/>
      <c r="UEB10" s="493"/>
      <c r="UEC10" s="493"/>
      <c r="UED10" s="493"/>
      <c r="UEE10" s="493"/>
      <c r="UEF10" s="493"/>
      <c r="UEG10" s="493"/>
      <c r="UEH10" s="493"/>
      <c r="UEI10" s="493"/>
      <c r="UEJ10" s="493"/>
      <c r="UEK10" s="493"/>
      <c r="UEL10" s="493"/>
      <c r="UEM10" s="493"/>
      <c r="UEN10" s="493"/>
      <c r="UEO10" s="493"/>
      <c r="UEP10" s="493"/>
      <c r="UEQ10" s="493"/>
      <c r="UER10" s="493"/>
      <c r="UES10" s="493"/>
      <c r="UET10" s="493"/>
      <c r="UEU10" s="493"/>
      <c r="UEV10" s="493"/>
      <c r="UEW10" s="493"/>
      <c r="UEX10" s="493"/>
      <c r="UEY10" s="493"/>
      <c r="UEZ10" s="493"/>
      <c r="UFA10" s="493"/>
      <c r="UFB10" s="493"/>
      <c r="UFC10" s="493"/>
      <c r="UFD10" s="493"/>
      <c r="UFE10" s="493"/>
      <c r="UFF10" s="493"/>
      <c r="UFG10" s="493"/>
      <c r="UFH10" s="493"/>
      <c r="UFI10" s="493"/>
      <c r="UFJ10" s="493"/>
      <c r="UFK10" s="493"/>
      <c r="UFL10" s="493"/>
      <c r="UFM10" s="493"/>
      <c r="UFN10" s="493"/>
      <c r="UFO10" s="493"/>
      <c r="UFP10" s="493"/>
      <c r="UFQ10" s="493"/>
      <c r="UFR10" s="493"/>
      <c r="UFS10" s="493"/>
      <c r="UFT10" s="493"/>
      <c r="UFU10" s="493"/>
      <c r="UFV10" s="493"/>
      <c r="UFW10" s="493"/>
      <c r="UFX10" s="493"/>
      <c r="UFY10" s="493"/>
      <c r="UFZ10" s="493"/>
      <c r="UGA10" s="493"/>
      <c r="UGB10" s="493"/>
      <c r="UGC10" s="493"/>
      <c r="UGD10" s="493"/>
      <c r="UGE10" s="493"/>
      <c r="UGF10" s="493"/>
      <c r="UGG10" s="493"/>
      <c r="UGH10" s="493"/>
      <c r="UGI10" s="493"/>
      <c r="UGJ10" s="493"/>
      <c r="UGK10" s="493"/>
      <c r="UGL10" s="493"/>
      <c r="UGM10" s="493"/>
      <c r="UGN10" s="493"/>
      <c r="UGO10" s="493"/>
      <c r="UGP10" s="493"/>
      <c r="UGQ10" s="493"/>
      <c r="UGR10" s="493"/>
      <c r="UGS10" s="493"/>
      <c r="UGT10" s="493"/>
      <c r="UGU10" s="493"/>
      <c r="UGV10" s="493"/>
      <c r="UGW10" s="493"/>
      <c r="UGX10" s="493"/>
      <c r="UGY10" s="493"/>
      <c r="UGZ10" s="493"/>
      <c r="UHA10" s="493"/>
      <c r="UHB10" s="493"/>
      <c r="UHC10" s="493"/>
      <c r="UHD10" s="493"/>
      <c r="UHE10" s="493"/>
      <c r="UHF10" s="493"/>
      <c r="UHG10" s="493"/>
      <c r="UHH10" s="493"/>
      <c r="UHI10" s="493"/>
      <c r="UHJ10" s="493"/>
      <c r="UHK10" s="493"/>
      <c r="UHL10" s="493"/>
      <c r="UHM10" s="493"/>
      <c r="UHN10" s="493"/>
      <c r="UHO10" s="493"/>
      <c r="UHP10" s="493"/>
      <c r="UHQ10" s="493"/>
      <c r="UHR10" s="493"/>
      <c r="UHS10" s="493"/>
      <c r="UHT10" s="493"/>
      <c r="UHU10" s="493"/>
      <c r="UHV10" s="493"/>
      <c r="UHW10" s="493"/>
      <c r="UHX10" s="493"/>
      <c r="UHY10" s="493"/>
      <c r="UHZ10" s="493"/>
      <c r="UIA10" s="493"/>
      <c r="UIB10" s="493"/>
      <c r="UIC10" s="493"/>
      <c r="UID10" s="493"/>
      <c r="UIE10" s="493"/>
      <c r="UIF10" s="493"/>
      <c r="UIG10" s="493"/>
      <c r="UIH10" s="493"/>
      <c r="UII10" s="493"/>
      <c r="UIJ10" s="493"/>
      <c r="UIK10" s="493"/>
      <c r="UIL10" s="493"/>
      <c r="UIM10" s="493"/>
      <c r="UIN10" s="493"/>
      <c r="UIO10" s="493"/>
      <c r="UIP10" s="493"/>
      <c r="UIQ10" s="493"/>
      <c r="UIR10" s="493"/>
      <c r="UIS10" s="493"/>
      <c r="UIT10" s="493"/>
      <c r="UIU10" s="493"/>
      <c r="UIV10" s="493"/>
      <c r="UIW10" s="493"/>
      <c r="UIX10" s="493"/>
      <c r="UIY10" s="493"/>
      <c r="UIZ10" s="493"/>
      <c r="UJA10" s="493"/>
      <c r="UJB10" s="493"/>
      <c r="UJC10" s="493"/>
      <c r="UJD10" s="493"/>
      <c r="UJE10" s="493"/>
      <c r="UJF10" s="493"/>
      <c r="UJG10" s="493"/>
      <c r="UJH10" s="493"/>
      <c r="UJI10" s="493"/>
      <c r="UJJ10" s="493"/>
      <c r="UJK10" s="493"/>
      <c r="UJL10" s="493"/>
      <c r="UJM10" s="493"/>
      <c r="UJN10" s="493"/>
      <c r="UJO10" s="493"/>
      <c r="UJP10" s="493"/>
      <c r="UJQ10" s="493"/>
      <c r="UJR10" s="493"/>
      <c r="UJS10" s="493"/>
      <c r="UJT10" s="493"/>
      <c r="UJU10" s="493"/>
      <c r="UJV10" s="493"/>
      <c r="UJW10" s="493"/>
      <c r="UJX10" s="493"/>
      <c r="UJY10" s="493"/>
      <c r="UJZ10" s="493"/>
      <c r="UKA10" s="493"/>
      <c r="UKB10" s="493"/>
      <c r="UKC10" s="493"/>
      <c r="UKD10" s="493"/>
      <c r="UKE10" s="493"/>
      <c r="UKF10" s="493"/>
      <c r="UKG10" s="493"/>
      <c r="UKH10" s="493"/>
      <c r="UKI10" s="493"/>
      <c r="UKJ10" s="493"/>
      <c r="UKK10" s="493"/>
      <c r="UKL10" s="493"/>
      <c r="UKM10" s="493"/>
      <c r="UKN10" s="493"/>
      <c r="UKO10" s="493"/>
      <c r="UKP10" s="493"/>
      <c r="UKQ10" s="493"/>
      <c r="UKR10" s="493"/>
      <c r="UKS10" s="493"/>
      <c r="UKT10" s="493"/>
      <c r="UKU10" s="493"/>
      <c r="UKV10" s="493"/>
      <c r="UKW10" s="493"/>
      <c r="UKX10" s="493"/>
      <c r="UKY10" s="493"/>
      <c r="UKZ10" s="493"/>
      <c r="ULA10" s="493"/>
      <c r="ULB10" s="493"/>
      <c r="ULC10" s="493"/>
      <c r="ULD10" s="493"/>
      <c r="ULE10" s="493"/>
      <c r="ULF10" s="493"/>
      <c r="ULG10" s="493"/>
      <c r="ULH10" s="493"/>
      <c r="ULI10" s="493"/>
      <c r="ULJ10" s="493"/>
      <c r="ULK10" s="493"/>
      <c r="ULL10" s="493"/>
      <c r="ULM10" s="493"/>
      <c r="ULN10" s="493"/>
      <c r="ULO10" s="493"/>
      <c r="ULP10" s="493"/>
      <c r="ULQ10" s="493"/>
      <c r="ULR10" s="493"/>
      <c r="ULS10" s="493"/>
      <c r="ULT10" s="493"/>
      <c r="ULU10" s="493"/>
      <c r="ULV10" s="493"/>
      <c r="ULW10" s="493"/>
      <c r="ULX10" s="493"/>
      <c r="ULY10" s="493"/>
      <c r="ULZ10" s="493"/>
      <c r="UMA10" s="493"/>
      <c r="UMB10" s="493"/>
      <c r="UMC10" s="493"/>
      <c r="UMD10" s="493"/>
      <c r="UME10" s="493"/>
      <c r="UMF10" s="493"/>
      <c r="UMG10" s="493"/>
      <c r="UMH10" s="493"/>
      <c r="UMI10" s="493"/>
      <c r="UMJ10" s="493"/>
      <c r="UMK10" s="493"/>
      <c r="UML10" s="493"/>
      <c r="UMM10" s="493"/>
      <c r="UMN10" s="493"/>
      <c r="UMO10" s="493"/>
      <c r="UMP10" s="493"/>
      <c r="UMQ10" s="493"/>
      <c r="UMR10" s="493"/>
      <c r="UMS10" s="493"/>
      <c r="UMT10" s="493"/>
      <c r="UMU10" s="493"/>
      <c r="UMV10" s="493"/>
      <c r="UMW10" s="493"/>
      <c r="UMX10" s="493"/>
      <c r="UMY10" s="493"/>
      <c r="UMZ10" s="493"/>
      <c r="UNA10" s="493"/>
      <c r="UNB10" s="493"/>
      <c r="UNC10" s="493"/>
      <c r="UND10" s="493"/>
      <c r="UNE10" s="493"/>
      <c r="UNF10" s="493"/>
      <c r="UNG10" s="493"/>
      <c r="UNH10" s="493"/>
      <c r="UNI10" s="493"/>
      <c r="UNJ10" s="493"/>
      <c r="UNK10" s="493"/>
      <c r="UNL10" s="493"/>
      <c r="UNM10" s="493"/>
      <c r="UNN10" s="493"/>
      <c r="UNO10" s="493"/>
      <c r="UNP10" s="493"/>
      <c r="UNQ10" s="493"/>
      <c r="UNR10" s="493"/>
      <c r="UNS10" s="493"/>
      <c r="UNT10" s="493"/>
      <c r="UNU10" s="493"/>
      <c r="UNV10" s="493"/>
      <c r="UNW10" s="493"/>
      <c r="UNX10" s="493"/>
      <c r="UNY10" s="493"/>
      <c r="UNZ10" s="493"/>
      <c r="UOA10" s="493"/>
      <c r="UOB10" s="493"/>
      <c r="UOC10" s="493"/>
      <c r="UOD10" s="493"/>
      <c r="UOE10" s="493"/>
      <c r="UOF10" s="493"/>
      <c r="UOG10" s="493"/>
      <c r="UOH10" s="493"/>
      <c r="UOI10" s="493"/>
      <c r="UOJ10" s="493"/>
      <c r="UOK10" s="493"/>
      <c r="UOL10" s="493"/>
      <c r="UOM10" s="493"/>
      <c r="UON10" s="493"/>
      <c r="UOO10" s="493"/>
      <c r="UOP10" s="493"/>
      <c r="UOQ10" s="493"/>
      <c r="UOR10" s="493"/>
      <c r="UOS10" s="493"/>
      <c r="UOT10" s="493"/>
      <c r="UOU10" s="493"/>
      <c r="UOV10" s="493"/>
      <c r="UOW10" s="493"/>
      <c r="UOX10" s="493"/>
      <c r="UOY10" s="493"/>
      <c r="UOZ10" s="493"/>
      <c r="UPA10" s="493"/>
      <c r="UPB10" s="493"/>
      <c r="UPC10" s="493"/>
      <c r="UPD10" s="493"/>
      <c r="UPE10" s="493"/>
      <c r="UPF10" s="493"/>
      <c r="UPG10" s="493"/>
      <c r="UPH10" s="493"/>
      <c r="UPI10" s="493"/>
      <c r="UPJ10" s="493"/>
      <c r="UPK10" s="493"/>
      <c r="UPL10" s="493"/>
      <c r="UPM10" s="493"/>
      <c r="UPN10" s="493"/>
      <c r="UPO10" s="493"/>
      <c r="UPP10" s="493"/>
      <c r="UPQ10" s="493"/>
      <c r="UPR10" s="493"/>
      <c r="UPS10" s="493"/>
      <c r="UPT10" s="493"/>
      <c r="UPU10" s="493"/>
      <c r="UPV10" s="493"/>
      <c r="UPW10" s="493"/>
      <c r="UPX10" s="493"/>
      <c r="UPY10" s="493"/>
      <c r="UPZ10" s="493"/>
      <c r="UQA10" s="493"/>
      <c r="UQB10" s="493"/>
      <c r="UQC10" s="493"/>
      <c r="UQD10" s="493"/>
      <c r="UQE10" s="493"/>
      <c r="UQF10" s="493"/>
      <c r="UQG10" s="493"/>
      <c r="UQH10" s="493"/>
      <c r="UQI10" s="493"/>
      <c r="UQJ10" s="493"/>
      <c r="UQK10" s="493"/>
      <c r="UQL10" s="493"/>
      <c r="UQM10" s="493"/>
      <c r="UQN10" s="493"/>
      <c r="UQO10" s="493"/>
      <c r="UQP10" s="493"/>
      <c r="UQQ10" s="493"/>
      <c r="UQR10" s="493"/>
      <c r="UQS10" s="493"/>
      <c r="UQT10" s="493"/>
      <c r="UQU10" s="493"/>
      <c r="UQV10" s="493"/>
      <c r="UQW10" s="493"/>
      <c r="UQX10" s="493"/>
      <c r="UQY10" s="493"/>
      <c r="UQZ10" s="493"/>
      <c r="URA10" s="493"/>
      <c r="URB10" s="493"/>
      <c r="URC10" s="493"/>
      <c r="URD10" s="493"/>
      <c r="URE10" s="493"/>
      <c r="URF10" s="493"/>
      <c r="URG10" s="493"/>
      <c r="URH10" s="493"/>
      <c r="URI10" s="493"/>
      <c r="URJ10" s="493"/>
      <c r="URK10" s="493"/>
      <c r="URL10" s="493"/>
      <c r="URM10" s="493"/>
      <c r="URN10" s="493"/>
      <c r="URO10" s="493"/>
      <c r="URP10" s="493"/>
      <c r="URQ10" s="493"/>
      <c r="URR10" s="493"/>
      <c r="URS10" s="493"/>
      <c r="URT10" s="493"/>
      <c r="URU10" s="493"/>
      <c r="URV10" s="493"/>
      <c r="URW10" s="493"/>
      <c r="URX10" s="493"/>
      <c r="URY10" s="493"/>
      <c r="URZ10" s="493"/>
      <c r="USA10" s="493"/>
      <c r="USB10" s="493"/>
      <c r="USC10" s="493"/>
      <c r="USD10" s="493"/>
      <c r="USE10" s="493"/>
      <c r="USF10" s="493"/>
      <c r="USG10" s="493"/>
      <c r="USH10" s="493"/>
      <c r="USI10" s="493"/>
      <c r="USJ10" s="493"/>
      <c r="USK10" s="493"/>
      <c r="USL10" s="493"/>
      <c r="USM10" s="493"/>
      <c r="USN10" s="493"/>
      <c r="USO10" s="493"/>
      <c r="USP10" s="493"/>
      <c r="USQ10" s="493"/>
      <c r="USR10" s="493"/>
      <c r="USS10" s="493"/>
      <c r="UST10" s="493"/>
      <c r="USU10" s="493"/>
      <c r="USV10" s="493"/>
      <c r="USW10" s="493"/>
      <c r="USX10" s="493"/>
      <c r="USY10" s="493"/>
      <c r="USZ10" s="493"/>
      <c r="UTA10" s="493"/>
      <c r="UTB10" s="493"/>
      <c r="UTC10" s="493"/>
      <c r="UTD10" s="493"/>
      <c r="UTE10" s="493"/>
      <c r="UTF10" s="493"/>
      <c r="UTG10" s="493"/>
      <c r="UTH10" s="493"/>
      <c r="UTI10" s="493"/>
      <c r="UTJ10" s="493"/>
      <c r="UTK10" s="493"/>
      <c r="UTL10" s="493"/>
      <c r="UTM10" s="493"/>
      <c r="UTN10" s="493"/>
      <c r="UTO10" s="493"/>
      <c r="UTP10" s="493"/>
      <c r="UTQ10" s="493"/>
      <c r="UTR10" s="493"/>
      <c r="UTS10" s="493"/>
      <c r="UTT10" s="493"/>
      <c r="UTU10" s="493"/>
      <c r="UTV10" s="493"/>
      <c r="UTW10" s="493"/>
      <c r="UTX10" s="493"/>
      <c r="UTY10" s="493"/>
      <c r="UTZ10" s="493"/>
      <c r="UUA10" s="493"/>
      <c r="UUB10" s="493"/>
      <c r="UUC10" s="493"/>
      <c r="UUD10" s="493"/>
      <c r="UUE10" s="493"/>
      <c r="UUF10" s="493"/>
      <c r="UUG10" s="493"/>
      <c r="UUH10" s="493"/>
      <c r="UUI10" s="493"/>
      <c r="UUJ10" s="493"/>
      <c r="UUK10" s="493"/>
      <c r="UUL10" s="493"/>
      <c r="UUM10" s="493"/>
      <c r="UUN10" s="493"/>
      <c r="UUO10" s="493"/>
      <c r="UUP10" s="493"/>
      <c r="UUQ10" s="493"/>
      <c r="UUR10" s="493"/>
      <c r="UUS10" s="493"/>
      <c r="UUT10" s="493"/>
      <c r="UUU10" s="493"/>
      <c r="UUV10" s="493"/>
      <c r="UUW10" s="493"/>
      <c r="UUX10" s="493"/>
      <c r="UUY10" s="493"/>
      <c r="UUZ10" s="493"/>
      <c r="UVA10" s="493"/>
      <c r="UVB10" s="493"/>
      <c r="UVC10" s="493"/>
      <c r="UVD10" s="493"/>
      <c r="UVE10" s="493"/>
      <c r="UVF10" s="493"/>
      <c r="UVG10" s="493"/>
      <c r="UVH10" s="493"/>
      <c r="UVI10" s="493"/>
      <c r="UVJ10" s="493"/>
      <c r="UVK10" s="493"/>
      <c r="UVL10" s="493"/>
      <c r="UVM10" s="493"/>
      <c r="UVN10" s="493"/>
      <c r="UVO10" s="493"/>
      <c r="UVP10" s="493"/>
      <c r="UVQ10" s="493"/>
      <c r="UVR10" s="493"/>
      <c r="UVS10" s="493"/>
      <c r="UVT10" s="493"/>
      <c r="UVU10" s="493"/>
      <c r="UVV10" s="493"/>
      <c r="UVW10" s="493"/>
      <c r="UVX10" s="493"/>
      <c r="UVY10" s="493"/>
      <c r="UVZ10" s="493"/>
      <c r="UWA10" s="493"/>
      <c r="UWB10" s="493"/>
      <c r="UWC10" s="493"/>
      <c r="UWD10" s="493"/>
      <c r="UWE10" s="493"/>
      <c r="UWF10" s="493"/>
      <c r="UWG10" s="493"/>
      <c r="UWH10" s="493"/>
      <c r="UWI10" s="493"/>
      <c r="UWJ10" s="493"/>
      <c r="UWK10" s="493"/>
      <c r="UWL10" s="493"/>
      <c r="UWM10" s="493"/>
      <c r="UWN10" s="493"/>
      <c r="UWO10" s="493"/>
      <c r="UWP10" s="493"/>
      <c r="UWQ10" s="493"/>
      <c r="UWR10" s="493"/>
      <c r="UWS10" s="493"/>
      <c r="UWT10" s="493"/>
      <c r="UWU10" s="493"/>
      <c r="UWV10" s="493"/>
      <c r="UWW10" s="493"/>
      <c r="UWX10" s="493"/>
      <c r="UWY10" s="493"/>
      <c r="UWZ10" s="493"/>
      <c r="UXA10" s="493"/>
      <c r="UXB10" s="493"/>
      <c r="UXC10" s="493"/>
      <c r="UXD10" s="493"/>
      <c r="UXE10" s="493"/>
      <c r="UXF10" s="493"/>
      <c r="UXG10" s="493"/>
      <c r="UXH10" s="493"/>
      <c r="UXI10" s="493"/>
      <c r="UXJ10" s="493"/>
      <c r="UXK10" s="493"/>
      <c r="UXL10" s="493"/>
      <c r="UXM10" s="493"/>
      <c r="UXN10" s="493"/>
      <c r="UXO10" s="493"/>
      <c r="UXP10" s="493"/>
      <c r="UXQ10" s="493"/>
      <c r="UXR10" s="493"/>
      <c r="UXS10" s="493"/>
      <c r="UXT10" s="493"/>
      <c r="UXU10" s="493"/>
      <c r="UXV10" s="493"/>
      <c r="UXW10" s="493"/>
      <c r="UXX10" s="493"/>
      <c r="UXY10" s="493"/>
      <c r="UXZ10" s="493"/>
      <c r="UYA10" s="493"/>
      <c r="UYB10" s="493"/>
      <c r="UYC10" s="493"/>
      <c r="UYD10" s="493"/>
      <c r="UYE10" s="493"/>
      <c r="UYF10" s="493"/>
      <c r="UYG10" s="493"/>
      <c r="UYH10" s="493"/>
      <c r="UYI10" s="493"/>
      <c r="UYJ10" s="493"/>
      <c r="UYK10" s="493"/>
      <c r="UYL10" s="493"/>
      <c r="UYM10" s="493"/>
      <c r="UYN10" s="493"/>
      <c r="UYO10" s="493"/>
      <c r="UYP10" s="493"/>
      <c r="UYQ10" s="493"/>
      <c r="UYR10" s="493"/>
      <c r="UYS10" s="493"/>
      <c r="UYT10" s="493"/>
      <c r="UYU10" s="493"/>
      <c r="UYV10" s="493"/>
      <c r="UYW10" s="493"/>
      <c r="UYX10" s="493"/>
      <c r="UYY10" s="493"/>
      <c r="UYZ10" s="493"/>
      <c r="UZA10" s="493"/>
      <c r="UZB10" s="493"/>
      <c r="UZC10" s="493"/>
      <c r="UZD10" s="493"/>
      <c r="UZE10" s="493"/>
      <c r="UZF10" s="493"/>
      <c r="UZG10" s="493"/>
      <c r="UZH10" s="493"/>
      <c r="UZI10" s="493"/>
      <c r="UZJ10" s="493"/>
      <c r="UZK10" s="493"/>
      <c r="UZL10" s="493"/>
      <c r="UZM10" s="493"/>
      <c r="UZN10" s="493"/>
      <c r="UZO10" s="493"/>
      <c r="UZP10" s="493"/>
      <c r="UZQ10" s="493"/>
      <c r="UZR10" s="493"/>
      <c r="UZS10" s="493"/>
      <c r="UZT10" s="493"/>
      <c r="UZU10" s="493"/>
      <c r="UZV10" s="493"/>
      <c r="UZW10" s="493"/>
      <c r="UZX10" s="493"/>
      <c r="UZY10" s="493"/>
      <c r="UZZ10" s="493"/>
      <c r="VAA10" s="493"/>
      <c r="VAB10" s="493"/>
      <c r="VAC10" s="493"/>
      <c r="VAD10" s="493"/>
      <c r="VAE10" s="493"/>
      <c r="VAF10" s="493"/>
      <c r="VAG10" s="493"/>
      <c r="VAH10" s="493"/>
      <c r="VAI10" s="493"/>
      <c r="VAJ10" s="493"/>
      <c r="VAK10" s="493"/>
      <c r="VAL10" s="493"/>
      <c r="VAM10" s="493"/>
      <c r="VAN10" s="493"/>
      <c r="VAO10" s="493"/>
      <c r="VAP10" s="493"/>
      <c r="VAQ10" s="493"/>
      <c r="VAR10" s="493"/>
      <c r="VAS10" s="493"/>
      <c r="VAT10" s="493"/>
      <c r="VAU10" s="493"/>
      <c r="VAV10" s="493"/>
      <c r="VAW10" s="493"/>
      <c r="VAX10" s="493"/>
      <c r="VAY10" s="493"/>
      <c r="VAZ10" s="493"/>
      <c r="VBA10" s="493"/>
      <c r="VBB10" s="493"/>
      <c r="VBC10" s="493"/>
      <c r="VBD10" s="493"/>
      <c r="VBE10" s="493"/>
      <c r="VBF10" s="493"/>
      <c r="VBG10" s="493"/>
      <c r="VBH10" s="493"/>
      <c r="VBI10" s="493"/>
      <c r="VBJ10" s="493"/>
      <c r="VBK10" s="493"/>
      <c r="VBL10" s="493"/>
      <c r="VBM10" s="493"/>
      <c r="VBN10" s="493"/>
      <c r="VBO10" s="493"/>
      <c r="VBP10" s="493"/>
      <c r="VBQ10" s="493"/>
      <c r="VBR10" s="493"/>
      <c r="VBS10" s="493"/>
      <c r="VBT10" s="493"/>
      <c r="VBU10" s="493"/>
      <c r="VBV10" s="493"/>
      <c r="VBW10" s="493"/>
      <c r="VBX10" s="493"/>
      <c r="VBY10" s="493"/>
      <c r="VBZ10" s="493"/>
      <c r="VCA10" s="493"/>
      <c r="VCB10" s="493"/>
      <c r="VCC10" s="493"/>
      <c r="VCD10" s="493"/>
      <c r="VCE10" s="493"/>
      <c r="VCF10" s="493"/>
      <c r="VCG10" s="493"/>
      <c r="VCH10" s="493"/>
      <c r="VCI10" s="493"/>
      <c r="VCJ10" s="493"/>
      <c r="VCK10" s="493"/>
      <c r="VCL10" s="493"/>
      <c r="VCM10" s="493"/>
      <c r="VCN10" s="493"/>
      <c r="VCO10" s="493"/>
      <c r="VCP10" s="493"/>
      <c r="VCQ10" s="493"/>
      <c r="VCR10" s="493"/>
      <c r="VCS10" s="493"/>
      <c r="VCT10" s="493"/>
      <c r="VCU10" s="493"/>
      <c r="VCV10" s="493"/>
      <c r="VCW10" s="493"/>
      <c r="VCX10" s="493"/>
      <c r="VCY10" s="493"/>
      <c r="VCZ10" s="493"/>
      <c r="VDA10" s="493"/>
      <c r="VDB10" s="493"/>
      <c r="VDC10" s="493"/>
      <c r="VDD10" s="493"/>
      <c r="VDE10" s="493"/>
      <c r="VDF10" s="493"/>
      <c r="VDG10" s="493"/>
      <c r="VDH10" s="493"/>
      <c r="VDI10" s="493"/>
      <c r="VDJ10" s="493"/>
      <c r="VDK10" s="493"/>
      <c r="VDL10" s="493"/>
      <c r="VDM10" s="493"/>
      <c r="VDN10" s="493"/>
      <c r="VDO10" s="493"/>
      <c r="VDP10" s="493"/>
      <c r="VDQ10" s="493"/>
      <c r="VDR10" s="493"/>
      <c r="VDS10" s="493"/>
      <c r="VDT10" s="493"/>
      <c r="VDU10" s="493"/>
      <c r="VDV10" s="493"/>
      <c r="VDW10" s="493"/>
      <c r="VDX10" s="493"/>
      <c r="VDY10" s="493"/>
      <c r="VDZ10" s="493"/>
      <c r="VEA10" s="493"/>
      <c r="VEB10" s="493"/>
      <c r="VEC10" s="493"/>
      <c r="VED10" s="493"/>
      <c r="VEE10" s="493"/>
      <c r="VEF10" s="493"/>
      <c r="VEG10" s="493"/>
      <c r="VEH10" s="493"/>
      <c r="VEI10" s="493"/>
      <c r="VEJ10" s="493"/>
      <c r="VEK10" s="493"/>
      <c r="VEL10" s="493"/>
      <c r="VEM10" s="493"/>
      <c r="VEN10" s="493"/>
      <c r="VEO10" s="493"/>
      <c r="VEP10" s="493"/>
      <c r="VEQ10" s="493"/>
      <c r="VER10" s="493"/>
      <c r="VES10" s="493"/>
      <c r="VET10" s="493"/>
      <c r="VEU10" s="493"/>
      <c r="VEV10" s="493"/>
      <c r="VEW10" s="493"/>
      <c r="VEX10" s="493"/>
      <c r="VEY10" s="493"/>
      <c r="VEZ10" s="493"/>
      <c r="VFA10" s="493"/>
      <c r="VFB10" s="493"/>
      <c r="VFC10" s="493"/>
      <c r="VFD10" s="493"/>
      <c r="VFE10" s="493"/>
      <c r="VFF10" s="493"/>
      <c r="VFG10" s="493"/>
      <c r="VFH10" s="493"/>
      <c r="VFI10" s="493"/>
      <c r="VFJ10" s="493"/>
      <c r="VFK10" s="493"/>
      <c r="VFL10" s="493"/>
      <c r="VFM10" s="493"/>
      <c r="VFN10" s="493"/>
      <c r="VFO10" s="493"/>
      <c r="VFP10" s="493"/>
      <c r="VFQ10" s="493"/>
      <c r="VFR10" s="493"/>
      <c r="VFS10" s="493"/>
      <c r="VFT10" s="493"/>
      <c r="VFU10" s="493"/>
      <c r="VFV10" s="493"/>
      <c r="VFW10" s="493"/>
      <c r="VFX10" s="493"/>
      <c r="VFY10" s="493"/>
      <c r="VFZ10" s="493"/>
      <c r="VGA10" s="493"/>
      <c r="VGB10" s="493"/>
      <c r="VGC10" s="493"/>
      <c r="VGD10" s="493"/>
      <c r="VGE10" s="493"/>
      <c r="VGF10" s="493"/>
      <c r="VGG10" s="493"/>
      <c r="VGH10" s="493"/>
      <c r="VGI10" s="493"/>
      <c r="VGJ10" s="493"/>
      <c r="VGK10" s="493"/>
      <c r="VGL10" s="493"/>
      <c r="VGM10" s="493"/>
      <c r="VGN10" s="493"/>
      <c r="VGO10" s="493"/>
      <c r="VGP10" s="493"/>
      <c r="VGQ10" s="493"/>
      <c r="VGR10" s="493"/>
      <c r="VGS10" s="493"/>
      <c r="VGT10" s="493"/>
      <c r="VGU10" s="493"/>
      <c r="VGV10" s="493"/>
      <c r="VGW10" s="493"/>
      <c r="VGX10" s="493"/>
      <c r="VGY10" s="493"/>
      <c r="VGZ10" s="493"/>
      <c r="VHA10" s="493"/>
      <c r="VHB10" s="493"/>
      <c r="VHC10" s="493"/>
      <c r="VHD10" s="493"/>
      <c r="VHE10" s="493"/>
      <c r="VHF10" s="493"/>
      <c r="VHG10" s="493"/>
      <c r="VHH10" s="493"/>
      <c r="VHI10" s="493"/>
      <c r="VHJ10" s="493"/>
      <c r="VHK10" s="493"/>
      <c r="VHL10" s="493"/>
      <c r="VHM10" s="493"/>
      <c r="VHN10" s="493"/>
      <c r="VHO10" s="493"/>
      <c r="VHP10" s="493"/>
      <c r="VHQ10" s="493"/>
      <c r="VHR10" s="493"/>
      <c r="VHS10" s="493"/>
      <c r="VHT10" s="493"/>
      <c r="VHU10" s="493"/>
      <c r="VHV10" s="493"/>
      <c r="VHW10" s="493"/>
      <c r="VHX10" s="493"/>
      <c r="VHY10" s="493"/>
      <c r="VHZ10" s="493"/>
      <c r="VIA10" s="493"/>
      <c r="VIB10" s="493"/>
      <c r="VIC10" s="493"/>
      <c r="VID10" s="493"/>
      <c r="VIE10" s="493"/>
      <c r="VIF10" s="493"/>
      <c r="VIG10" s="493"/>
      <c r="VIH10" s="493"/>
      <c r="VII10" s="493"/>
      <c r="VIJ10" s="493"/>
      <c r="VIK10" s="493"/>
      <c r="VIL10" s="493"/>
      <c r="VIM10" s="493"/>
      <c r="VIN10" s="493"/>
      <c r="VIO10" s="493"/>
      <c r="VIP10" s="493"/>
      <c r="VIQ10" s="493"/>
      <c r="VIR10" s="493"/>
      <c r="VIS10" s="493"/>
      <c r="VIT10" s="493"/>
      <c r="VIU10" s="493"/>
      <c r="VIV10" s="493"/>
      <c r="VIW10" s="493"/>
      <c r="VIX10" s="493"/>
      <c r="VIY10" s="493"/>
      <c r="VIZ10" s="493"/>
      <c r="VJA10" s="493"/>
      <c r="VJB10" s="493"/>
      <c r="VJC10" s="493"/>
      <c r="VJD10" s="493"/>
      <c r="VJE10" s="493"/>
      <c r="VJF10" s="493"/>
      <c r="VJG10" s="493"/>
      <c r="VJH10" s="493"/>
      <c r="VJI10" s="493"/>
      <c r="VJJ10" s="493"/>
      <c r="VJK10" s="493"/>
      <c r="VJL10" s="493"/>
      <c r="VJM10" s="493"/>
      <c r="VJN10" s="493"/>
      <c r="VJO10" s="493"/>
      <c r="VJP10" s="493"/>
      <c r="VJQ10" s="493"/>
      <c r="VJR10" s="493"/>
      <c r="VJS10" s="493"/>
      <c r="VJT10" s="493"/>
      <c r="VJU10" s="493"/>
      <c r="VJV10" s="493"/>
      <c r="VJW10" s="493"/>
      <c r="VJX10" s="493"/>
      <c r="VJY10" s="493"/>
      <c r="VJZ10" s="493"/>
      <c r="VKA10" s="493"/>
      <c r="VKB10" s="493"/>
      <c r="VKC10" s="493"/>
      <c r="VKD10" s="493"/>
      <c r="VKE10" s="493"/>
      <c r="VKF10" s="493"/>
      <c r="VKG10" s="493"/>
      <c r="VKH10" s="493"/>
      <c r="VKI10" s="493"/>
      <c r="VKJ10" s="493"/>
      <c r="VKK10" s="493"/>
      <c r="VKL10" s="493"/>
      <c r="VKM10" s="493"/>
      <c r="VKN10" s="493"/>
      <c r="VKO10" s="493"/>
      <c r="VKP10" s="493"/>
      <c r="VKQ10" s="493"/>
      <c r="VKR10" s="493"/>
      <c r="VKS10" s="493"/>
      <c r="VKT10" s="493"/>
      <c r="VKU10" s="493"/>
      <c r="VKV10" s="493"/>
      <c r="VKW10" s="493"/>
      <c r="VKX10" s="493"/>
      <c r="VKY10" s="493"/>
      <c r="VKZ10" s="493"/>
      <c r="VLA10" s="493"/>
      <c r="VLB10" s="493"/>
      <c r="VLC10" s="493"/>
      <c r="VLD10" s="493"/>
      <c r="VLE10" s="493"/>
      <c r="VLF10" s="493"/>
      <c r="VLG10" s="493"/>
      <c r="VLH10" s="493"/>
      <c r="VLI10" s="493"/>
      <c r="VLJ10" s="493"/>
      <c r="VLK10" s="493"/>
      <c r="VLL10" s="493"/>
      <c r="VLM10" s="493"/>
      <c r="VLN10" s="493"/>
      <c r="VLO10" s="493"/>
      <c r="VLP10" s="493"/>
      <c r="VLQ10" s="493"/>
      <c r="VLR10" s="493"/>
      <c r="VLS10" s="493"/>
      <c r="VLT10" s="493"/>
      <c r="VLU10" s="493"/>
      <c r="VLV10" s="493"/>
      <c r="VLW10" s="493"/>
      <c r="VLX10" s="493"/>
      <c r="VLY10" s="493"/>
      <c r="VLZ10" s="493"/>
      <c r="VMA10" s="493"/>
      <c r="VMB10" s="493"/>
      <c r="VMC10" s="493"/>
      <c r="VMD10" s="493"/>
      <c r="VME10" s="493"/>
      <c r="VMF10" s="493"/>
      <c r="VMG10" s="493"/>
      <c r="VMH10" s="493"/>
      <c r="VMI10" s="493"/>
      <c r="VMJ10" s="493"/>
      <c r="VMK10" s="493"/>
      <c r="VML10" s="493"/>
      <c r="VMM10" s="493"/>
      <c r="VMN10" s="493"/>
      <c r="VMO10" s="493"/>
      <c r="VMP10" s="493"/>
      <c r="VMQ10" s="493"/>
      <c r="VMR10" s="493"/>
      <c r="VMS10" s="493"/>
      <c r="VMT10" s="493"/>
      <c r="VMU10" s="493"/>
      <c r="VMV10" s="493"/>
      <c r="VMW10" s="493"/>
      <c r="VMX10" s="493"/>
      <c r="VMY10" s="493"/>
      <c r="VMZ10" s="493"/>
      <c r="VNA10" s="493"/>
      <c r="VNB10" s="493"/>
      <c r="VNC10" s="493"/>
      <c r="VND10" s="493"/>
      <c r="VNE10" s="493"/>
      <c r="VNF10" s="493"/>
      <c r="VNG10" s="493"/>
      <c r="VNH10" s="493"/>
      <c r="VNI10" s="493"/>
      <c r="VNJ10" s="493"/>
      <c r="VNK10" s="493"/>
      <c r="VNL10" s="493"/>
      <c r="VNM10" s="493"/>
      <c r="VNN10" s="493"/>
      <c r="VNO10" s="493"/>
      <c r="VNP10" s="493"/>
      <c r="VNQ10" s="493"/>
      <c r="VNR10" s="493"/>
      <c r="VNS10" s="493"/>
      <c r="VNT10" s="493"/>
      <c r="VNU10" s="493"/>
      <c r="VNV10" s="493"/>
      <c r="VNW10" s="493"/>
      <c r="VNX10" s="493"/>
      <c r="VNY10" s="493"/>
      <c r="VNZ10" s="493"/>
      <c r="VOA10" s="493"/>
      <c r="VOB10" s="493"/>
      <c r="VOC10" s="493"/>
      <c r="VOD10" s="493"/>
      <c r="VOE10" s="493"/>
      <c r="VOF10" s="493"/>
      <c r="VOG10" s="493"/>
      <c r="VOH10" s="493"/>
      <c r="VOI10" s="493"/>
      <c r="VOJ10" s="493"/>
      <c r="VOK10" s="493"/>
      <c r="VOL10" s="493"/>
      <c r="VOM10" s="493"/>
      <c r="VON10" s="493"/>
      <c r="VOO10" s="493"/>
      <c r="VOP10" s="493"/>
      <c r="VOQ10" s="493"/>
      <c r="VOR10" s="493"/>
      <c r="VOS10" s="493"/>
      <c r="VOT10" s="493"/>
      <c r="VOU10" s="493"/>
      <c r="VOV10" s="493"/>
      <c r="VOW10" s="493"/>
      <c r="VOX10" s="493"/>
      <c r="VOY10" s="493"/>
      <c r="VOZ10" s="493"/>
      <c r="VPA10" s="493"/>
      <c r="VPB10" s="493"/>
      <c r="VPC10" s="493"/>
      <c r="VPD10" s="493"/>
      <c r="VPE10" s="493"/>
      <c r="VPF10" s="493"/>
      <c r="VPG10" s="493"/>
      <c r="VPH10" s="493"/>
      <c r="VPI10" s="493"/>
      <c r="VPJ10" s="493"/>
      <c r="VPK10" s="493"/>
      <c r="VPL10" s="493"/>
      <c r="VPM10" s="493"/>
      <c r="VPN10" s="493"/>
      <c r="VPO10" s="493"/>
      <c r="VPP10" s="493"/>
      <c r="VPQ10" s="493"/>
      <c r="VPR10" s="493"/>
      <c r="VPS10" s="493"/>
      <c r="VPT10" s="493"/>
      <c r="VPU10" s="493"/>
      <c r="VPV10" s="493"/>
      <c r="VPW10" s="493"/>
      <c r="VPX10" s="493"/>
      <c r="VPY10" s="493"/>
      <c r="VPZ10" s="493"/>
      <c r="VQA10" s="493"/>
      <c r="VQB10" s="493"/>
      <c r="VQC10" s="493"/>
      <c r="VQD10" s="493"/>
      <c r="VQE10" s="493"/>
      <c r="VQF10" s="493"/>
      <c r="VQG10" s="493"/>
      <c r="VQH10" s="493"/>
      <c r="VQI10" s="493"/>
      <c r="VQJ10" s="493"/>
      <c r="VQK10" s="493"/>
      <c r="VQL10" s="493"/>
      <c r="VQM10" s="493"/>
      <c r="VQN10" s="493"/>
      <c r="VQO10" s="493"/>
      <c r="VQP10" s="493"/>
      <c r="VQQ10" s="493"/>
      <c r="VQR10" s="493"/>
      <c r="VQS10" s="493"/>
      <c r="VQT10" s="493"/>
      <c r="VQU10" s="493"/>
      <c r="VQV10" s="493"/>
      <c r="VQW10" s="493"/>
      <c r="VQX10" s="493"/>
      <c r="VQY10" s="493"/>
      <c r="VQZ10" s="493"/>
      <c r="VRA10" s="493"/>
      <c r="VRB10" s="493"/>
      <c r="VRC10" s="493"/>
      <c r="VRD10" s="493"/>
      <c r="VRE10" s="493"/>
      <c r="VRF10" s="493"/>
      <c r="VRG10" s="493"/>
      <c r="VRH10" s="493"/>
      <c r="VRI10" s="493"/>
      <c r="VRJ10" s="493"/>
      <c r="VRK10" s="493"/>
      <c r="VRL10" s="493"/>
      <c r="VRM10" s="493"/>
      <c r="VRN10" s="493"/>
      <c r="VRO10" s="493"/>
      <c r="VRP10" s="493"/>
      <c r="VRQ10" s="493"/>
      <c r="VRR10" s="493"/>
      <c r="VRS10" s="493"/>
      <c r="VRT10" s="493"/>
      <c r="VRU10" s="493"/>
      <c r="VRV10" s="493"/>
      <c r="VRW10" s="493"/>
      <c r="VRX10" s="493"/>
      <c r="VRY10" s="493"/>
      <c r="VRZ10" s="493"/>
      <c r="VSA10" s="493"/>
      <c r="VSB10" s="493"/>
      <c r="VSC10" s="493"/>
      <c r="VSD10" s="493"/>
      <c r="VSE10" s="493"/>
      <c r="VSF10" s="493"/>
      <c r="VSG10" s="493"/>
      <c r="VSH10" s="493"/>
      <c r="VSI10" s="493"/>
      <c r="VSJ10" s="493"/>
      <c r="VSK10" s="493"/>
      <c r="VSL10" s="493"/>
      <c r="VSM10" s="493"/>
      <c r="VSN10" s="493"/>
      <c r="VSO10" s="493"/>
      <c r="VSP10" s="493"/>
      <c r="VSQ10" s="493"/>
      <c r="VSR10" s="493"/>
      <c r="VSS10" s="493"/>
      <c r="VST10" s="493"/>
      <c r="VSU10" s="493"/>
      <c r="VSV10" s="493"/>
      <c r="VSW10" s="493"/>
      <c r="VSX10" s="493"/>
      <c r="VSY10" s="493"/>
      <c r="VSZ10" s="493"/>
      <c r="VTA10" s="493"/>
      <c r="VTB10" s="493"/>
      <c r="VTC10" s="493"/>
      <c r="VTD10" s="493"/>
      <c r="VTE10" s="493"/>
      <c r="VTF10" s="493"/>
      <c r="VTG10" s="493"/>
      <c r="VTH10" s="493"/>
      <c r="VTI10" s="493"/>
      <c r="VTJ10" s="493"/>
      <c r="VTK10" s="493"/>
      <c r="VTL10" s="493"/>
      <c r="VTM10" s="493"/>
      <c r="VTN10" s="493"/>
      <c r="VTO10" s="493"/>
      <c r="VTP10" s="493"/>
      <c r="VTQ10" s="493"/>
      <c r="VTR10" s="493"/>
      <c r="VTS10" s="493"/>
      <c r="VTT10" s="493"/>
      <c r="VTU10" s="493"/>
      <c r="VTV10" s="493"/>
      <c r="VTW10" s="493"/>
      <c r="VTX10" s="493"/>
      <c r="VTY10" s="493"/>
      <c r="VTZ10" s="493"/>
      <c r="VUA10" s="493"/>
      <c r="VUB10" s="493"/>
      <c r="VUC10" s="493"/>
      <c r="VUD10" s="493"/>
      <c r="VUE10" s="493"/>
      <c r="VUF10" s="493"/>
      <c r="VUG10" s="493"/>
      <c r="VUH10" s="493"/>
      <c r="VUI10" s="493"/>
      <c r="VUJ10" s="493"/>
      <c r="VUK10" s="493"/>
      <c r="VUL10" s="493"/>
      <c r="VUM10" s="493"/>
      <c r="VUN10" s="493"/>
      <c r="VUO10" s="493"/>
      <c r="VUP10" s="493"/>
      <c r="VUQ10" s="493"/>
      <c r="VUR10" s="493"/>
      <c r="VUS10" s="493"/>
      <c r="VUT10" s="493"/>
      <c r="VUU10" s="493"/>
      <c r="VUV10" s="493"/>
      <c r="VUW10" s="493"/>
      <c r="VUX10" s="493"/>
      <c r="VUY10" s="493"/>
      <c r="VUZ10" s="493"/>
      <c r="VVA10" s="493"/>
      <c r="VVB10" s="493"/>
      <c r="VVC10" s="493"/>
      <c r="VVD10" s="493"/>
      <c r="VVE10" s="493"/>
      <c r="VVF10" s="493"/>
      <c r="VVG10" s="493"/>
      <c r="VVH10" s="493"/>
      <c r="VVI10" s="493"/>
      <c r="VVJ10" s="493"/>
      <c r="VVK10" s="493"/>
      <c r="VVL10" s="493"/>
      <c r="VVM10" s="493"/>
      <c r="VVN10" s="493"/>
      <c r="VVO10" s="493"/>
      <c r="VVP10" s="493"/>
      <c r="VVQ10" s="493"/>
      <c r="VVR10" s="493"/>
      <c r="VVS10" s="493"/>
      <c r="VVT10" s="493"/>
      <c r="VVU10" s="493"/>
      <c r="VVV10" s="493"/>
      <c r="VVW10" s="493"/>
      <c r="VVX10" s="493"/>
      <c r="VVY10" s="493"/>
      <c r="VVZ10" s="493"/>
      <c r="VWA10" s="493"/>
      <c r="VWB10" s="493"/>
      <c r="VWC10" s="493"/>
      <c r="VWD10" s="493"/>
      <c r="VWE10" s="493"/>
      <c r="VWF10" s="493"/>
      <c r="VWG10" s="493"/>
      <c r="VWH10" s="493"/>
      <c r="VWI10" s="493"/>
      <c r="VWJ10" s="493"/>
      <c r="VWK10" s="493"/>
      <c r="VWL10" s="493"/>
      <c r="VWM10" s="493"/>
      <c r="VWN10" s="493"/>
      <c r="VWO10" s="493"/>
      <c r="VWP10" s="493"/>
      <c r="VWQ10" s="493"/>
      <c r="VWR10" s="493"/>
      <c r="VWS10" s="493"/>
      <c r="VWT10" s="493"/>
      <c r="VWU10" s="493"/>
      <c r="VWV10" s="493"/>
      <c r="VWW10" s="493"/>
      <c r="VWX10" s="493"/>
      <c r="VWY10" s="493"/>
      <c r="VWZ10" s="493"/>
      <c r="VXA10" s="493"/>
      <c r="VXB10" s="493"/>
      <c r="VXC10" s="493"/>
      <c r="VXD10" s="493"/>
      <c r="VXE10" s="493"/>
      <c r="VXF10" s="493"/>
      <c r="VXG10" s="493"/>
      <c r="VXH10" s="493"/>
      <c r="VXI10" s="493"/>
      <c r="VXJ10" s="493"/>
      <c r="VXK10" s="493"/>
      <c r="VXL10" s="493"/>
      <c r="VXM10" s="493"/>
      <c r="VXN10" s="493"/>
      <c r="VXO10" s="493"/>
      <c r="VXP10" s="493"/>
      <c r="VXQ10" s="493"/>
      <c r="VXR10" s="493"/>
      <c r="VXS10" s="493"/>
      <c r="VXT10" s="493"/>
      <c r="VXU10" s="493"/>
      <c r="VXV10" s="493"/>
      <c r="VXW10" s="493"/>
      <c r="VXX10" s="493"/>
      <c r="VXY10" s="493"/>
      <c r="VXZ10" s="493"/>
      <c r="VYA10" s="493"/>
      <c r="VYB10" s="493"/>
      <c r="VYC10" s="493"/>
      <c r="VYD10" s="493"/>
      <c r="VYE10" s="493"/>
      <c r="VYF10" s="493"/>
      <c r="VYG10" s="493"/>
      <c r="VYH10" s="493"/>
      <c r="VYI10" s="493"/>
      <c r="VYJ10" s="493"/>
      <c r="VYK10" s="493"/>
      <c r="VYL10" s="493"/>
      <c r="VYM10" s="493"/>
      <c r="VYN10" s="493"/>
      <c r="VYO10" s="493"/>
      <c r="VYP10" s="493"/>
      <c r="VYQ10" s="493"/>
      <c r="VYR10" s="493"/>
      <c r="VYS10" s="493"/>
      <c r="VYT10" s="493"/>
      <c r="VYU10" s="493"/>
      <c r="VYV10" s="493"/>
      <c r="VYW10" s="493"/>
      <c r="VYX10" s="493"/>
      <c r="VYY10" s="493"/>
      <c r="VYZ10" s="493"/>
      <c r="VZA10" s="493"/>
      <c r="VZB10" s="493"/>
      <c r="VZC10" s="493"/>
      <c r="VZD10" s="493"/>
      <c r="VZE10" s="493"/>
      <c r="VZF10" s="493"/>
      <c r="VZG10" s="493"/>
      <c r="VZH10" s="493"/>
      <c r="VZI10" s="493"/>
      <c r="VZJ10" s="493"/>
      <c r="VZK10" s="493"/>
      <c r="VZL10" s="493"/>
      <c r="VZM10" s="493"/>
      <c r="VZN10" s="493"/>
      <c r="VZO10" s="493"/>
      <c r="VZP10" s="493"/>
      <c r="VZQ10" s="493"/>
      <c r="VZR10" s="493"/>
      <c r="VZS10" s="493"/>
      <c r="VZT10" s="493"/>
      <c r="VZU10" s="493"/>
      <c r="VZV10" s="493"/>
      <c r="VZW10" s="493"/>
      <c r="VZX10" s="493"/>
      <c r="VZY10" s="493"/>
      <c r="VZZ10" s="493"/>
      <c r="WAA10" s="493"/>
      <c r="WAB10" s="493"/>
      <c r="WAC10" s="493"/>
      <c r="WAD10" s="493"/>
      <c r="WAE10" s="493"/>
      <c r="WAF10" s="493"/>
      <c r="WAG10" s="493"/>
      <c r="WAH10" s="493"/>
      <c r="WAI10" s="493"/>
      <c r="WAJ10" s="493"/>
      <c r="WAK10" s="493"/>
      <c r="WAL10" s="493"/>
      <c r="WAM10" s="493"/>
      <c r="WAN10" s="493"/>
      <c r="WAO10" s="493"/>
      <c r="WAP10" s="493"/>
      <c r="WAQ10" s="493"/>
      <c r="WAR10" s="493"/>
      <c r="WAS10" s="493"/>
      <c r="WAT10" s="493"/>
      <c r="WAU10" s="493"/>
      <c r="WAV10" s="493"/>
      <c r="WAW10" s="493"/>
      <c r="WAX10" s="493"/>
      <c r="WAY10" s="493"/>
      <c r="WAZ10" s="493"/>
      <c r="WBA10" s="493"/>
      <c r="WBB10" s="493"/>
      <c r="WBC10" s="493"/>
      <c r="WBD10" s="493"/>
      <c r="WBE10" s="493"/>
      <c r="WBF10" s="493"/>
      <c r="WBG10" s="493"/>
      <c r="WBH10" s="493"/>
      <c r="WBI10" s="493"/>
      <c r="WBJ10" s="493"/>
      <c r="WBK10" s="493"/>
      <c r="WBL10" s="493"/>
      <c r="WBM10" s="493"/>
      <c r="WBN10" s="493"/>
      <c r="WBO10" s="493"/>
      <c r="WBP10" s="493"/>
      <c r="WBQ10" s="493"/>
      <c r="WBR10" s="493"/>
      <c r="WBS10" s="493"/>
      <c r="WBT10" s="493"/>
      <c r="WBU10" s="493"/>
      <c r="WBV10" s="493"/>
      <c r="WBW10" s="493"/>
      <c r="WBX10" s="493"/>
      <c r="WBY10" s="493"/>
      <c r="WBZ10" s="493"/>
      <c r="WCA10" s="493"/>
      <c r="WCB10" s="493"/>
      <c r="WCC10" s="493"/>
      <c r="WCD10" s="493"/>
      <c r="WCE10" s="493"/>
      <c r="WCF10" s="493"/>
      <c r="WCG10" s="493"/>
      <c r="WCH10" s="493"/>
      <c r="WCI10" s="493"/>
      <c r="WCJ10" s="493"/>
      <c r="WCK10" s="493"/>
      <c r="WCL10" s="493"/>
      <c r="WCM10" s="493"/>
      <c r="WCN10" s="493"/>
      <c r="WCO10" s="493"/>
      <c r="WCP10" s="493"/>
      <c r="WCQ10" s="493"/>
      <c r="WCR10" s="493"/>
      <c r="WCS10" s="493"/>
      <c r="WCT10" s="493"/>
      <c r="WCU10" s="493"/>
      <c r="WCV10" s="493"/>
      <c r="WCW10" s="493"/>
      <c r="WCX10" s="493"/>
      <c r="WCY10" s="493"/>
      <c r="WCZ10" s="493"/>
      <c r="WDA10" s="493"/>
      <c r="WDB10" s="493"/>
      <c r="WDC10" s="493"/>
      <c r="WDD10" s="493"/>
      <c r="WDE10" s="493"/>
      <c r="WDF10" s="493"/>
      <c r="WDG10" s="493"/>
      <c r="WDH10" s="493"/>
      <c r="WDI10" s="493"/>
      <c r="WDJ10" s="493"/>
      <c r="WDK10" s="493"/>
      <c r="WDL10" s="493"/>
      <c r="WDM10" s="493"/>
      <c r="WDN10" s="493"/>
      <c r="WDO10" s="493"/>
      <c r="WDP10" s="493"/>
      <c r="WDQ10" s="493"/>
      <c r="WDR10" s="493"/>
      <c r="WDS10" s="493"/>
      <c r="WDT10" s="493"/>
      <c r="WDU10" s="493"/>
      <c r="WDV10" s="493"/>
      <c r="WDW10" s="493"/>
      <c r="WDX10" s="493"/>
      <c r="WDY10" s="493"/>
      <c r="WDZ10" s="493"/>
      <c r="WEA10" s="493"/>
      <c r="WEB10" s="493"/>
      <c r="WEC10" s="493"/>
      <c r="WED10" s="493"/>
      <c r="WEE10" s="493"/>
      <c r="WEF10" s="493"/>
      <c r="WEG10" s="493"/>
      <c r="WEH10" s="493"/>
      <c r="WEI10" s="493"/>
      <c r="WEJ10" s="493"/>
      <c r="WEK10" s="493"/>
      <c r="WEL10" s="493"/>
      <c r="WEM10" s="493"/>
      <c r="WEN10" s="493"/>
      <c r="WEO10" s="493"/>
      <c r="WEP10" s="493"/>
      <c r="WEQ10" s="493"/>
      <c r="WER10" s="493"/>
      <c r="WES10" s="493"/>
      <c r="WET10" s="493"/>
      <c r="WEU10" s="493"/>
      <c r="WEV10" s="493"/>
      <c r="WEW10" s="493"/>
      <c r="WEX10" s="493"/>
      <c r="WEY10" s="493"/>
      <c r="WEZ10" s="493"/>
      <c r="WFA10" s="493"/>
      <c r="WFB10" s="493"/>
      <c r="WFC10" s="493"/>
      <c r="WFD10" s="493"/>
      <c r="WFE10" s="493"/>
      <c r="WFF10" s="493"/>
      <c r="WFG10" s="493"/>
      <c r="WFH10" s="493"/>
      <c r="WFI10" s="493"/>
      <c r="WFJ10" s="493"/>
      <c r="WFK10" s="493"/>
      <c r="WFL10" s="493"/>
      <c r="WFM10" s="493"/>
      <c r="WFN10" s="493"/>
      <c r="WFO10" s="493"/>
      <c r="WFP10" s="493"/>
      <c r="WFQ10" s="493"/>
      <c r="WFR10" s="493"/>
      <c r="WFS10" s="493"/>
      <c r="WFT10" s="493"/>
      <c r="WFU10" s="493"/>
      <c r="WFV10" s="493"/>
      <c r="WFW10" s="493"/>
      <c r="WFX10" s="493"/>
      <c r="WFY10" s="493"/>
      <c r="WFZ10" s="493"/>
      <c r="WGA10" s="493"/>
      <c r="WGB10" s="493"/>
      <c r="WGC10" s="493"/>
      <c r="WGD10" s="493"/>
      <c r="WGE10" s="493"/>
      <c r="WGF10" s="493"/>
      <c r="WGG10" s="493"/>
      <c r="WGH10" s="493"/>
      <c r="WGI10" s="493"/>
      <c r="WGJ10" s="493"/>
      <c r="WGK10" s="493"/>
      <c r="WGL10" s="493"/>
      <c r="WGM10" s="493"/>
      <c r="WGN10" s="493"/>
      <c r="WGO10" s="493"/>
      <c r="WGP10" s="493"/>
      <c r="WGQ10" s="493"/>
      <c r="WGR10" s="493"/>
      <c r="WGS10" s="493"/>
      <c r="WGT10" s="493"/>
      <c r="WGU10" s="493"/>
      <c r="WGV10" s="493"/>
      <c r="WGW10" s="493"/>
      <c r="WGX10" s="493"/>
      <c r="WGY10" s="493"/>
      <c r="WGZ10" s="493"/>
      <c r="WHA10" s="493"/>
      <c r="WHB10" s="493"/>
      <c r="WHC10" s="493"/>
      <c r="WHD10" s="493"/>
      <c r="WHE10" s="493"/>
      <c r="WHF10" s="493"/>
      <c r="WHG10" s="493"/>
      <c r="WHH10" s="493"/>
      <c r="WHI10" s="493"/>
      <c r="WHJ10" s="493"/>
      <c r="WHK10" s="493"/>
      <c r="WHL10" s="493"/>
      <c r="WHM10" s="493"/>
      <c r="WHN10" s="493"/>
      <c r="WHO10" s="493"/>
      <c r="WHP10" s="493"/>
      <c r="WHQ10" s="493"/>
      <c r="WHR10" s="493"/>
      <c r="WHS10" s="493"/>
      <c r="WHT10" s="493"/>
      <c r="WHU10" s="493"/>
      <c r="WHV10" s="493"/>
      <c r="WHW10" s="493"/>
      <c r="WHX10" s="493"/>
      <c r="WHY10" s="493"/>
      <c r="WHZ10" s="493"/>
      <c r="WIA10" s="493"/>
      <c r="WIB10" s="493"/>
      <c r="WIC10" s="493"/>
      <c r="WID10" s="493"/>
      <c r="WIE10" s="493"/>
      <c r="WIF10" s="493"/>
      <c r="WIG10" s="493"/>
      <c r="WIH10" s="493"/>
      <c r="WII10" s="493"/>
      <c r="WIJ10" s="493"/>
      <c r="WIK10" s="493"/>
      <c r="WIL10" s="493"/>
      <c r="WIM10" s="493"/>
      <c r="WIN10" s="493"/>
      <c r="WIO10" s="493"/>
      <c r="WIP10" s="493"/>
      <c r="WIQ10" s="493"/>
      <c r="WIR10" s="493"/>
      <c r="WIS10" s="493"/>
      <c r="WIT10" s="493"/>
      <c r="WIU10" s="493"/>
      <c r="WIV10" s="493"/>
      <c r="WIW10" s="493"/>
      <c r="WIX10" s="493"/>
      <c r="WIY10" s="493"/>
      <c r="WIZ10" s="493"/>
      <c r="WJA10" s="493"/>
      <c r="WJB10" s="493"/>
      <c r="WJC10" s="493"/>
      <c r="WJD10" s="493"/>
      <c r="WJE10" s="493"/>
      <c r="WJF10" s="493"/>
      <c r="WJG10" s="493"/>
      <c r="WJH10" s="493"/>
      <c r="WJI10" s="493"/>
      <c r="WJJ10" s="493"/>
      <c r="WJK10" s="493"/>
      <c r="WJL10" s="493"/>
      <c r="WJM10" s="493"/>
      <c r="WJN10" s="493"/>
      <c r="WJO10" s="493"/>
      <c r="WJP10" s="493"/>
      <c r="WJQ10" s="493"/>
      <c r="WJR10" s="493"/>
      <c r="WJS10" s="493"/>
      <c r="WJT10" s="493"/>
      <c r="WJU10" s="493"/>
      <c r="WJV10" s="493"/>
      <c r="WJW10" s="493"/>
      <c r="WJX10" s="493"/>
      <c r="WJY10" s="493"/>
      <c r="WJZ10" s="493"/>
      <c r="WKA10" s="493"/>
      <c r="WKB10" s="493"/>
      <c r="WKC10" s="493"/>
      <c r="WKD10" s="493"/>
      <c r="WKE10" s="493"/>
      <c r="WKF10" s="493"/>
      <c r="WKG10" s="493"/>
      <c r="WKH10" s="493"/>
      <c r="WKI10" s="493"/>
      <c r="WKJ10" s="493"/>
      <c r="WKK10" s="493"/>
      <c r="WKL10" s="493"/>
      <c r="WKM10" s="493"/>
      <c r="WKN10" s="493"/>
      <c r="WKO10" s="493"/>
      <c r="WKP10" s="493"/>
      <c r="WKQ10" s="493"/>
      <c r="WKR10" s="493"/>
      <c r="WKS10" s="493"/>
      <c r="WKT10" s="493"/>
      <c r="WKU10" s="493"/>
      <c r="WKV10" s="493"/>
      <c r="WKW10" s="493"/>
      <c r="WKX10" s="493"/>
      <c r="WKY10" s="493"/>
      <c r="WKZ10" s="493"/>
      <c r="WLA10" s="493"/>
      <c r="WLB10" s="493"/>
      <c r="WLC10" s="493"/>
      <c r="WLD10" s="493"/>
      <c r="WLE10" s="493"/>
      <c r="WLF10" s="493"/>
      <c r="WLG10" s="493"/>
      <c r="WLH10" s="493"/>
      <c r="WLI10" s="493"/>
      <c r="WLJ10" s="493"/>
      <c r="WLK10" s="493"/>
      <c r="WLL10" s="493"/>
      <c r="WLM10" s="493"/>
      <c r="WLN10" s="493"/>
      <c r="WLO10" s="493"/>
      <c r="WLP10" s="493"/>
      <c r="WLQ10" s="493"/>
      <c r="WLR10" s="493"/>
      <c r="WLS10" s="493"/>
      <c r="WLT10" s="493"/>
      <c r="WLU10" s="493"/>
      <c r="WLV10" s="493"/>
      <c r="WLW10" s="493"/>
      <c r="WLX10" s="493"/>
      <c r="WLY10" s="493"/>
      <c r="WLZ10" s="493"/>
      <c r="WMA10" s="493"/>
      <c r="WMB10" s="493"/>
      <c r="WMC10" s="493"/>
      <c r="WMD10" s="493"/>
      <c r="WME10" s="493"/>
      <c r="WMF10" s="493"/>
      <c r="WMG10" s="493"/>
      <c r="WMH10" s="493"/>
      <c r="WMI10" s="493"/>
      <c r="WMJ10" s="493"/>
      <c r="WMK10" s="493"/>
      <c r="WML10" s="493"/>
      <c r="WMM10" s="493"/>
      <c r="WMN10" s="493"/>
      <c r="WMO10" s="493"/>
      <c r="WMP10" s="493"/>
      <c r="WMQ10" s="493"/>
      <c r="WMR10" s="493"/>
      <c r="WMS10" s="493"/>
      <c r="WMT10" s="493"/>
      <c r="WMU10" s="493"/>
      <c r="WMV10" s="493"/>
      <c r="WMW10" s="493"/>
      <c r="WMX10" s="493"/>
      <c r="WMY10" s="493"/>
      <c r="WMZ10" s="493"/>
      <c r="WNA10" s="493"/>
      <c r="WNB10" s="493"/>
      <c r="WNC10" s="493"/>
      <c r="WND10" s="493"/>
      <c r="WNE10" s="493"/>
      <c r="WNF10" s="493"/>
      <c r="WNG10" s="493"/>
      <c r="WNH10" s="493"/>
      <c r="WNI10" s="493"/>
      <c r="WNJ10" s="493"/>
      <c r="WNK10" s="493"/>
      <c r="WNL10" s="493"/>
      <c r="WNM10" s="493"/>
      <c r="WNN10" s="493"/>
      <c r="WNO10" s="493"/>
      <c r="WNP10" s="493"/>
      <c r="WNQ10" s="493"/>
      <c r="WNR10" s="493"/>
      <c r="WNS10" s="493"/>
      <c r="WNT10" s="493"/>
      <c r="WNU10" s="493"/>
      <c r="WNV10" s="493"/>
      <c r="WNW10" s="493"/>
      <c r="WNX10" s="493"/>
      <c r="WNY10" s="493"/>
      <c r="WNZ10" s="493"/>
      <c r="WOA10" s="493"/>
      <c r="WOB10" s="493"/>
      <c r="WOC10" s="493"/>
      <c r="WOD10" s="493"/>
      <c r="WOE10" s="493"/>
      <c r="WOF10" s="493"/>
      <c r="WOG10" s="493"/>
      <c r="WOH10" s="493"/>
      <c r="WOI10" s="493"/>
      <c r="WOJ10" s="493"/>
      <c r="WOK10" s="493"/>
      <c r="WOL10" s="493"/>
      <c r="WOM10" s="493"/>
      <c r="WON10" s="493"/>
      <c r="WOO10" s="493"/>
      <c r="WOP10" s="493"/>
      <c r="WOQ10" s="493"/>
      <c r="WOR10" s="493"/>
      <c r="WOS10" s="493"/>
      <c r="WOT10" s="493"/>
      <c r="WOU10" s="493"/>
      <c r="WOV10" s="493"/>
      <c r="WOW10" s="493"/>
      <c r="WOX10" s="493"/>
      <c r="WOY10" s="493"/>
      <c r="WOZ10" s="493"/>
      <c r="WPA10" s="493"/>
      <c r="WPB10" s="493"/>
      <c r="WPC10" s="493"/>
      <c r="WPD10" s="493"/>
      <c r="WPE10" s="493"/>
      <c r="WPF10" s="493"/>
      <c r="WPG10" s="493"/>
      <c r="WPH10" s="493"/>
      <c r="WPI10" s="493"/>
      <c r="WPJ10" s="493"/>
      <c r="WPK10" s="493"/>
      <c r="WPL10" s="493"/>
      <c r="WPM10" s="493"/>
      <c r="WPN10" s="493"/>
      <c r="WPO10" s="493"/>
      <c r="WPP10" s="493"/>
      <c r="WPQ10" s="493"/>
      <c r="WPR10" s="493"/>
      <c r="WPS10" s="493"/>
      <c r="WPT10" s="493"/>
      <c r="WPU10" s="493"/>
      <c r="WPV10" s="493"/>
      <c r="WPW10" s="493"/>
      <c r="WPX10" s="493"/>
      <c r="WPY10" s="493"/>
      <c r="WPZ10" s="493"/>
      <c r="WQA10" s="493"/>
      <c r="WQB10" s="493"/>
      <c r="WQC10" s="493"/>
      <c r="WQD10" s="493"/>
      <c r="WQE10" s="493"/>
      <c r="WQF10" s="493"/>
      <c r="WQG10" s="493"/>
      <c r="WQH10" s="493"/>
      <c r="WQI10" s="493"/>
      <c r="WQJ10" s="493"/>
      <c r="WQK10" s="493"/>
      <c r="WQL10" s="493"/>
      <c r="WQM10" s="493"/>
      <c r="WQN10" s="493"/>
      <c r="WQO10" s="493"/>
      <c r="WQP10" s="493"/>
      <c r="WQQ10" s="493"/>
      <c r="WQR10" s="493"/>
      <c r="WQS10" s="493"/>
      <c r="WQT10" s="493"/>
      <c r="WQU10" s="493"/>
      <c r="WQV10" s="493"/>
      <c r="WQW10" s="493"/>
      <c r="WQX10" s="493"/>
      <c r="WQY10" s="493"/>
      <c r="WQZ10" s="493"/>
      <c r="WRA10" s="493"/>
      <c r="WRB10" s="493"/>
      <c r="WRC10" s="493"/>
      <c r="WRD10" s="493"/>
      <c r="WRE10" s="493"/>
      <c r="WRF10" s="493"/>
      <c r="WRG10" s="493"/>
      <c r="WRH10" s="493"/>
      <c r="WRI10" s="493"/>
      <c r="WRJ10" s="493"/>
      <c r="WRK10" s="493"/>
      <c r="WRL10" s="493"/>
      <c r="WRM10" s="493"/>
      <c r="WRN10" s="493"/>
      <c r="WRO10" s="493"/>
      <c r="WRP10" s="493"/>
      <c r="WRQ10" s="493"/>
      <c r="WRR10" s="493"/>
      <c r="WRS10" s="493"/>
      <c r="WRT10" s="493"/>
      <c r="WRU10" s="493"/>
      <c r="WRV10" s="493"/>
      <c r="WRW10" s="493"/>
      <c r="WRX10" s="493"/>
      <c r="WRY10" s="493"/>
      <c r="WRZ10" s="493"/>
      <c r="WSA10" s="493"/>
      <c r="WSB10" s="493"/>
      <c r="WSC10" s="493"/>
      <c r="WSD10" s="493"/>
      <c r="WSE10" s="493"/>
      <c r="WSF10" s="493"/>
      <c r="WSG10" s="493"/>
      <c r="WSH10" s="493"/>
      <c r="WSI10" s="493"/>
      <c r="WSJ10" s="493"/>
      <c r="WSK10" s="493"/>
      <c r="WSL10" s="493"/>
      <c r="WSM10" s="493"/>
      <c r="WSN10" s="493"/>
      <c r="WSO10" s="493"/>
      <c r="WSP10" s="493"/>
      <c r="WSQ10" s="493"/>
      <c r="WSR10" s="493"/>
      <c r="WSS10" s="493"/>
      <c r="WST10" s="493"/>
      <c r="WSU10" s="493"/>
      <c r="WSV10" s="493"/>
      <c r="WSW10" s="493"/>
      <c r="WSX10" s="493"/>
      <c r="WSY10" s="493"/>
      <c r="WSZ10" s="493"/>
      <c r="WTA10" s="493"/>
      <c r="WTB10" s="493"/>
      <c r="WTC10" s="493"/>
      <c r="WTD10" s="493"/>
      <c r="WTE10" s="493"/>
      <c r="WTF10" s="493"/>
      <c r="WTG10" s="493"/>
      <c r="WTH10" s="493"/>
      <c r="WTI10" s="493"/>
      <c r="WTJ10" s="493"/>
      <c r="WTK10" s="493"/>
      <c r="WTL10" s="493"/>
      <c r="WTM10" s="493"/>
      <c r="WTN10" s="493"/>
      <c r="WTO10" s="493"/>
      <c r="WTP10" s="493"/>
      <c r="WTQ10" s="493"/>
      <c r="WTR10" s="493"/>
      <c r="WTS10" s="493"/>
      <c r="WTT10" s="493"/>
      <c r="WTU10" s="493"/>
      <c r="WTV10" s="493"/>
      <c r="WTW10" s="493"/>
      <c r="WTX10" s="493"/>
      <c r="WTY10" s="493"/>
      <c r="WTZ10" s="493"/>
      <c r="WUA10" s="493"/>
      <c r="WUB10" s="493"/>
      <c r="WUC10" s="493"/>
      <c r="WUD10" s="493"/>
      <c r="WUE10" s="493"/>
      <c r="WUF10" s="493"/>
      <c r="WUG10" s="493"/>
      <c r="WUH10" s="493"/>
      <c r="WUI10" s="493"/>
      <c r="WUJ10" s="493"/>
      <c r="WUK10" s="493"/>
      <c r="WUL10" s="493"/>
      <c r="WUM10" s="493"/>
      <c r="WUN10" s="493"/>
      <c r="WUO10" s="493"/>
      <c r="WUP10" s="493"/>
      <c r="WUQ10" s="493"/>
      <c r="WUR10" s="493"/>
      <c r="WUS10" s="493"/>
      <c r="WUT10" s="493"/>
      <c r="WUU10" s="493"/>
      <c r="WUV10" s="493"/>
      <c r="WUW10" s="493"/>
      <c r="WUX10" s="493"/>
      <c r="WUY10" s="493"/>
      <c r="WUZ10" s="493"/>
      <c r="WVA10" s="493"/>
      <c r="WVB10" s="493"/>
      <c r="WVC10" s="493"/>
      <c r="WVD10" s="493"/>
      <c r="WVE10" s="493"/>
      <c r="WVF10" s="493"/>
      <c r="WVG10" s="493"/>
      <c r="WVH10" s="493"/>
      <c r="WVI10" s="493"/>
      <c r="WVJ10" s="493"/>
      <c r="WVK10" s="493"/>
      <c r="WVL10" s="493"/>
      <c r="WVM10" s="493"/>
      <c r="WVN10" s="493"/>
      <c r="WVO10" s="493"/>
      <c r="WVP10" s="493"/>
      <c r="WVQ10" s="493"/>
      <c r="WVR10" s="493"/>
      <c r="WVS10" s="493"/>
      <c r="WVT10" s="493"/>
      <c r="WVU10" s="493"/>
      <c r="WVV10" s="493"/>
      <c r="WVW10" s="493"/>
      <c r="WVX10" s="493"/>
      <c r="WVY10" s="493"/>
      <c r="WVZ10" s="493"/>
      <c r="WWA10" s="493"/>
      <c r="WWB10" s="493"/>
      <c r="WWC10" s="493"/>
      <c r="WWD10" s="493"/>
      <c r="WWE10" s="493"/>
      <c r="WWF10" s="493"/>
      <c r="WWG10" s="493"/>
      <c r="WWH10" s="493"/>
      <c r="WWI10" s="493"/>
      <c r="WWJ10" s="493"/>
      <c r="WWK10" s="493"/>
      <c r="WWL10" s="493"/>
      <c r="WWM10" s="493"/>
      <c r="WWN10" s="493"/>
      <c r="WWO10" s="493"/>
      <c r="WWP10" s="493"/>
      <c r="WWQ10" s="493"/>
      <c r="WWR10" s="493"/>
      <c r="WWS10" s="493"/>
      <c r="WWT10" s="493"/>
      <c r="WWU10" s="493"/>
      <c r="WWV10" s="493"/>
      <c r="WWW10" s="493"/>
      <c r="WWX10" s="493"/>
      <c r="WWY10" s="493"/>
      <c r="WWZ10" s="493"/>
      <c r="WXA10" s="493"/>
      <c r="WXB10" s="493"/>
      <c r="WXC10" s="493"/>
      <c r="WXD10" s="493"/>
      <c r="WXE10" s="493"/>
      <c r="WXF10" s="493"/>
      <c r="WXG10" s="493"/>
      <c r="WXH10" s="493"/>
      <c r="WXI10" s="493"/>
      <c r="WXJ10" s="493"/>
      <c r="WXK10" s="493"/>
      <c r="WXL10" s="493"/>
      <c r="WXM10" s="493"/>
      <c r="WXN10" s="493"/>
      <c r="WXO10" s="493"/>
      <c r="WXP10" s="493"/>
      <c r="WXQ10" s="493"/>
      <c r="WXR10" s="493"/>
      <c r="WXS10" s="493"/>
      <c r="WXT10" s="493"/>
      <c r="WXU10" s="493"/>
      <c r="WXV10" s="493"/>
      <c r="WXW10" s="493"/>
      <c r="WXX10" s="493"/>
      <c r="WXY10" s="493"/>
      <c r="WXZ10" s="493"/>
      <c r="WYA10" s="493"/>
      <c r="WYB10" s="493"/>
      <c r="WYC10" s="493"/>
      <c r="WYD10" s="493"/>
      <c r="WYE10" s="493"/>
      <c r="WYF10" s="493"/>
      <c r="WYG10" s="493"/>
      <c r="WYH10" s="493"/>
      <c r="WYI10" s="493"/>
      <c r="WYJ10" s="493"/>
      <c r="WYK10" s="493"/>
      <c r="WYL10" s="493"/>
      <c r="WYM10" s="493"/>
      <c r="WYN10" s="493"/>
      <c r="WYO10" s="493"/>
      <c r="WYP10" s="493"/>
      <c r="WYQ10" s="493"/>
      <c r="WYR10" s="493"/>
      <c r="WYS10" s="493"/>
      <c r="WYT10" s="493"/>
      <c r="WYU10" s="493"/>
      <c r="WYV10" s="493"/>
      <c r="WYW10" s="493"/>
      <c r="WYX10" s="493"/>
      <c r="WYY10" s="493"/>
      <c r="WYZ10" s="493"/>
      <c r="WZA10" s="493"/>
      <c r="WZB10" s="493"/>
      <c r="WZC10" s="493"/>
      <c r="WZD10" s="493"/>
      <c r="WZE10" s="493"/>
      <c r="WZF10" s="493"/>
      <c r="WZG10" s="493"/>
      <c r="WZH10" s="493"/>
      <c r="WZI10" s="493"/>
      <c r="WZJ10" s="493"/>
      <c r="WZK10" s="493"/>
      <c r="WZL10" s="493"/>
      <c r="WZM10" s="493"/>
      <c r="WZN10" s="493"/>
      <c r="WZO10" s="493"/>
      <c r="WZP10" s="493"/>
      <c r="WZQ10" s="493"/>
      <c r="WZR10" s="493"/>
      <c r="WZS10" s="493"/>
      <c r="WZT10" s="493"/>
      <c r="WZU10" s="493"/>
      <c r="WZV10" s="493"/>
      <c r="WZW10" s="493"/>
      <c r="WZX10" s="493"/>
      <c r="WZY10" s="493"/>
      <c r="WZZ10" s="493"/>
      <c r="XAA10" s="493"/>
      <c r="XAB10" s="493"/>
      <c r="XAC10" s="493"/>
      <c r="XAD10" s="493"/>
      <c r="XAE10" s="493"/>
      <c r="XAF10" s="493"/>
      <c r="XAG10" s="493"/>
      <c r="XAH10" s="493"/>
      <c r="XAI10" s="493"/>
      <c r="XAJ10" s="493"/>
      <c r="XAK10" s="493"/>
      <c r="XAL10" s="493"/>
      <c r="XAM10" s="493"/>
      <c r="XAN10" s="493"/>
      <c r="XAO10" s="493"/>
      <c r="XAP10" s="493"/>
      <c r="XAQ10" s="493"/>
      <c r="XAR10" s="493"/>
      <c r="XAS10" s="493"/>
      <c r="XAT10" s="493"/>
      <c r="XAU10" s="493"/>
      <c r="XAV10" s="493"/>
      <c r="XAW10" s="493"/>
      <c r="XAX10" s="493"/>
      <c r="XAY10" s="493"/>
      <c r="XAZ10" s="493"/>
      <c r="XBA10" s="493"/>
      <c r="XBB10" s="493"/>
      <c r="XBC10" s="493"/>
      <c r="XBD10" s="493"/>
      <c r="XBE10" s="493"/>
      <c r="XBF10" s="493"/>
      <c r="XBG10" s="493"/>
      <c r="XBH10" s="493"/>
      <c r="XBI10" s="493"/>
      <c r="XBJ10" s="493"/>
      <c r="XBK10" s="493"/>
      <c r="XBL10" s="493"/>
      <c r="XBM10" s="493"/>
      <c r="XBN10" s="493"/>
      <c r="XBO10" s="493"/>
      <c r="XBP10" s="493"/>
      <c r="XBQ10" s="493"/>
      <c r="XBR10" s="493"/>
      <c r="XBS10" s="493"/>
      <c r="XBT10" s="493"/>
      <c r="XBU10" s="493"/>
      <c r="XBV10" s="493"/>
      <c r="XBW10" s="493"/>
      <c r="XBX10" s="493"/>
      <c r="XBY10" s="493"/>
      <c r="XBZ10" s="493"/>
      <c r="XCA10" s="493"/>
      <c r="XCB10" s="493"/>
      <c r="XCC10" s="493"/>
      <c r="XCD10" s="493"/>
      <c r="XCE10" s="493"/>
      <c r="XCF10" s="493"/>
      <c r="XCG10" s="493"/>
      <c r="XCH10" s="493"/>
      <c r="XCI10" s="493"/>
      <c r="XCJ10" s="493"/>
      <c r="XCK10" s="493"/>
      <c r="XCL10" s="493"/>
      <c r="XCM10" s="493"/>
      <c r="XCN10" s="493"/>
      <c r="XCO10" s="493"/>
      <c r="XCP10" s="493"/>
      <c r="XCQ10" s="493"/>
      <c r="XCR10" s="493"/>
      <c r="XCS10" s="493"/>
      <c r="XCT10" s="493"/>
      <c r="XCU10" s="493"/>
      <c r="XCV10" s="493"/>
      <c r="XCW10" s="493"/>
      <c r="XCX10" s="493"/>
      <c r="XCY10" s="493"/>
      <c r="XCZ10" s="493"/>
      <c r="XDA10" s="493"/>
      <c r="XDB10" s="493"/>
      <c r="XDC10" s="493"/>
      <c r="XDD10" s="493"/>
      <c r="XDE10" s="493"/>
      <c r="XDF10" s="493"/>
      <c r="XDG10" s="493"/>
      <c r="XDH10" s="493"/>
      <c r="XDI10" s="493"/>
      <c r="XDJ10" s="493"/>
      <c r="XDK10" s="493"/>
      <c r="XDL10" s="493"/>
      <c r="XDM10" s="493"/>
      <c r="XDN10" s="493"/>
      <c r="XDO10" s="493"/>
      <c r="XDP10" s="493"/>
      <c r="XDQ10" s="493"/>
      <c r="XDR10" s="493"/>
      <c r="XDS10" s="493"/>
      <c r="XDT10" s="493"/>
      <c r="XDU10" s="493"/>
      <c r="XDV10" s="493"/>
      <c r="XDW10" s="493"/>
      <c r="XDX10" s="493"/>
      <c r="XDY10" s="493"/>
      <c r="XDZ10" s="493"/>
      <c r="XEA10" s="493"/>
      <c r="XEB10" s="493"/>
      <c r="XEC10" s="493"/>
      <c r="XED10" s="493"/>
      <c r="XEE10" s="493"/>
      <c r="XEF10" s="493"/>
      <c r="XEG10" s="493"/>
      <c r="XEH10" s="493"/>
      <c r="XEI10" s="493"/>
      <c r="XEJ10" s="493"/>
      <c r="XEK10" s="493"/>
      <c r="XEL10" s="493"/>
      <c r="XEM10" s="493"/>
      <c r="XEN10" s="493"/>
      <c r="XEO10" s="493"/>
      <c r="XEP10" s="493"/>
      <c r="XEQ10" s="493"/>
      <c r="XER10" s="493"/>
      <c r="XES10" s="493"/>
      <c r="XET10" s="493"/>
      <c r="XEU10" s="493"/>
      <c r="XEV10" s="493"/>
      <c r="XEW10" s="493"/>
      <c r="XEX10" s="493"/>
      <c r="XEY10" s="493"/>
      <c r="XEZ10" s="493"/>
      <c r="XFA10" s="493"/>
      <c r="XFB10" s="493"/>
      <c r="XFC10" s="493"/>
      <c r="XFD10" s="493"/>
    </row>
    <row r="11" spans="1:16384">
      <c r="A11" s="531" t="s">
        <v>2733</v>
      </c>
      <c r="B11" s="532"/>
      <c r="C11" s="542" t="s">
        <v>4817</v>
      </c>
      <c r="D11" s="534" t="s">
        <v>90</v>
      </c>
      <c r="E11" s="535" t="s">
        <v>4828</v>
      </c>
      <c r="F11" s="543"/>
      <c r="G11" s="544"/>
      <c r="H11" s="545"/>
      <c r="I11" s="545"/>
      <c r="J11" s="546"/>
      <c r="K11" s="2973"/>
      <c r="L11" s="547"/>
      <c r="M11" s="361"/>
      <c r="N11" s="547"/>
      <c r="O11" s="537">
        <f>'3-A. CI Sub-Annex'!P7</f>
        <v>13204.952000000001</v>
      </c>
      <c r="P11" s="91"/>
      <c r="Q11" s="362"/>
      <c r="R11" s="363">
        <f>'3-A. CI Sub-Annex'!S7</f>
        <v>0</v>
      </c>
      <c r="S11" s="514"/>
    </row>
    <row r="12" spans="1:16384">
      <c r="A12" s="531" t="s">
        <v>2734</v>
      </c>
      <c r="B12" s="532"/>
      <c r="C12" s="542" t="s">
        <v>4820</v>
      </c>
      <c r="D12" s="534" t="s">
        <v>90</v>
      </c>
      <c r="E12" s="535" t="s">
        <v>4370</v>
      </c>
      <c r="F12" s="543"/>
      <c r="G12" s="544"/>
      <c r="H12" s="545"/>
      <c r="I12" s="545"/>
      <c r="J12" s="546"/>
      <c r="K12" s="2973"/>
      <c r="L12" s="547"/>
      <c r="M12" s="361"/>
      <c r="N12" s="547"/>
      <c r="O12" s="537">
        <f>'3-A. CI Sub-Annex'!P12</f>
        <v>4810</v>
      </c>
      <c r="P12" s="91"/>
      <c r="Q12" s="362"/>
      <c r="R12" s="363">
        <f>'3-A. CI Sub-Annex'!S12</f>
        <v>0</v>
      </c>
      <c r="S12" s="514"/>
    </row>
    <row r="13" spans="1:16384">
      <c r="A13" s="531" t="s">
        <v>2735</v>
      </c>
      <c r="B13" s="532"/>
      <c r="C13" s="542" t="s">
        <v>4821</v>
      </c>
      <c r="D13" s="534" t="s">
        <v>90</v>
      </c>
      <c r="E13" s="535" t="s">
        <v>4829</v>
      </c>
      <c r="F13" s="543"/>
      <c r="G13" s="544"/>
      <c r="H13" s="545"/>
      <c r="I13" s="545"/>
      <c r="J13" s="546"/>
      <c r="K13" s="2973"/>
      <c r="L13" s="547"/>
      <c r="M13" s="361"/>
      <c r="N13" s="547"/>
      <c r="O13" s="537">
        <f>'3-A. CI Sub-Annex'!P20</f>
        <v>8949.6311999999998</v>
      </c>
      <c r="P13" s="91"/>
      <c r="Q13" s="362"/>
      <c r="R13" s="363">
        <f>'3-A. CI Sub-Annex'!S20</f>
        <v>0</v>
      </c>
      <c r="S13" s="514"/>
    </row>
    <row r="14" spans="1:16384">
      <c r="A14" s="531" t="s">
        <v>2736</v>
      </c>
      <c r="B14" s="532"/>
      <c r="C14" s="542" t="s">
        <v>2730</v>
      </c>
      <c r="D14" s="534" t="s">
        <v>90</v>
      </c>
      <c r="E14" s="535" t="s">
        <v>4830</v>
      </c>
      <c r="F14" s="543"/>
      <c r="G14" s="544"/>
      <c r="H14" s="545"/>
      <c r="I14" s="545"/>
      <c r="J14" s="543"/>
      <c r="K14" s="2973"/>
      <c r="L14" s="547"/>
      <c r="M14" s="361"/>
      <c r="N14" s="547"/>
      <c r="O14" s="537">
        <f>'3-A. CI Sub-Annex'!P23</f>
        <v>1811.569</v>
      </c>
      <c r="P14" s="157"/>
      <c r="Q14" s="362"/>
      <c r="R14" s="364">
        <f>'3-A. CI Sub-Annex'!S23</f>
        <v>0</v>
      </c>
      <c r="S14" s="514"/>
    </row>
    <row r="15" spans="1:16384">
      <c r="A15" s="531" t="s">
        <v>2737</v>
      </c>
      <c r="B15" s="532"/>
      <c r="C15" s="542" t="s">
        <v>2731</v>
      </c>
      <c r="D15" s="534" t="s">
        <v>90</v>
      </c>
      <c r="E15" s="535" t="s">
        <v>4831</v>
      </c>
      <c r="F15" s="543"/>
      <c r="G15" s="544"/>
      <c r="H15" s="545"/>
      <c r="I15" s="545"/>
      <c r="J15" s="543"/>
      <c r="K15" s="2973"/>
      <c r="L15" s="547"/>
      <c r="M15" s="361"/>
      <c r="N15" s="547"/>
      <c r="O15" s="537">
        <f>'3-A. CI Sub-Annex'!P33</f>
        <v>56.112000000000002</v>
      </c>
      <c r="P15" s="157"/>
      <c r="Q15" s="362"/>
      <c r="R15" s="364">
        <f>'3-A. CI Sub-Annex'!S33</f>
        <v>0</v>
      </c>
      <c r="S15" s="514"/>
    </row>
    <row r="16" spans="1:16384">
      <c r="A16" s="531" t="s">
        <v>2738</v>
      </c>
      <c r="B16" s="532"/>
      <c r="C16" s="542" t="s">
        <v>2970</v>
      </c>
      <c r="D16" s="548" t="s">
        <v>70</v>
      </c>
      <c r="E16" s="535" t="s">
        <v>2669</v>
      </c>
      <c r="F16" s="543"/>
      <c r="G16" s="544"/>
      <c r="H16" s="545"/>
      <c r="I16" s="545"/>
      <c r="J16" s="543"/>
      <c r="K16" s="2973"/>
      <c r="L16" s="547"/>
      <c r="M16" s="361"/>
      <c r="N16" s="547"/>
      <c r="O16" s="537">
        <f>'3-A. CI Sub-Annex'!P36</f>
        <v>0</v>
      </c>
      <c r="P16" s="157"/>
      <c r="Q16" s="362"/>
      <c r="R16" s="364">
        <f>'3-A. CI Sub-Annex'!S36</f>
        <v>0</v>
      </c>
      <c r="S16" s="514"/>
    </row>
    <row r="17" spans="1:16384">
      <c r="A17" s="531" t="s">
        <v>167</v>
      </c>
      <c r="B17" s="532" t="s">
        <v>206</v>
      </c>
      <c r="C17" s="533" t="s">
        <v>4861</v>
      </c>
      <c r="D17" s="534" t="s">
        <v>90</v>
      </c>
      <c r="E17" s="535" t="s">
        <v>2671</v>
      </c>
      <c r="F17" s="379"/>
      <c r="G17" s="379"/>
      <c r="H17" s="379"/>
      <c r="I17" s="379"/>
      <c r="J17" s="379"/>
      <c r="K17" s="608"/>
      <c r="L17" s="547"/>
      <c r="M17" s="361"/>
      <c r="N17" s="547"/>
      <c r="O17" s="539">
        <f>'3-A. CI Sub-Annex'!P37</f>
        <v>31.870500000000003</v>
      </c>
      <c r="P17" s="157"/>
      <c r="Q17" s="362"/>
      <c r="R17" s="365">
        <f>'3-A. CI Sub-Annex'!S37</f>
        <v>0</v>
      </c>
      <c r="S17" s="514"/>
    </row>
    <row r="18" spans="1:16384" s="541" customFormat="1">
      <c r="A18" s="531" t="s">
        <v>170</v>
      </c>
      <c r="B18" s="532"/>
      <c r="C18" s="533" t="s">
        <v>4874</v>
      </c>
      <c r="D18" s="549" t="s">
        <v>4358</v>
      </c>
      <c r="E18" s="535"/>
      <c r="F18" s="379"/>
      <c r="G18" s="379"/>
      <c r="H18" s="379"/>
      <c r="I18" s="379"/>
      <c r="J18" s="379"/>
      <c r="K18" s="608"/>
      <c r="L18" s="379"/>
      <c r="M18" s="537"/>
      <c r="N18" s="538"/>
      <c r="O18" s="539">
        <f>SUM(O19:O21)</f>
        <v>3685.2314999999999</v>
      </c>
      <c r="P18" s="157"/>
      <c r="Q18" s="362"/>
      <c r="R18" s="380">
        <f>SUM(R19:R21)</f>
        <v>0</v>
      </c>
      <c r="S18" s="514"/>
      <c r="T18" s="493"/>
      <c r="U18" s="493"/>
      <c r="V18" s="493"/>
      <c r="W18" s="493"/>
      <c r="X18" s="493"/>
      <c r="Y18" s="493"/>
      <c r="Z18" s="493"/>
      <c r="AA18" s="493"/>
      <c r="AB18" s="493"/>
      <c r="AC18" s="493"/>
      <c r="AD18" s="493"/>
      <c r="AE18" s="493"/>
      <c r="AF18" s="493"/>
      <c r="AG18" s="493"/>
      <c r="AH18" s="493"/>
      <c r="AI18" s="493"/>
      <c r="AJ18" s="493"/>
      <c r="AK18" s="493"/>
      <c r="AL18" s="493"/>
      <c r="AM18" s="493"/>
      <c r="AN18" s="493"/>
      <c r="AO18" s="493"/>
      <c r="AP18" s="493"/>
      <c r="AQ18" s="493"/>
      <c r="AR18" s="493"/>
      <c r="AS18" s="493"/>
      <c r="AT18" s="493"/>
      <c r="AU18" s="493"/>
      <c r="AV18" s="493"/>
      <c r="AW18" s="493"/>
      <c r="AX18" s="493"/>
      <c r="AY18" s="493"/>
      <c r="AZ18" s="493"/>
      <c r="BA18" s="493"/>
      <c r="BB18" s="493"/>
      <c r="BC18" s="493"/>
      <c r="BD18" s="493"/>
      <c r="BE18" s="493"/>
      <c r="BF18" s="493"/>
      <c r="BG18" s="493"/>
      <c r="BH18" s="493"/>
      <c r="BI18" s="493"/>
      <c r="BJ18" s="493"/>
      <c r="BK18" s="493"/>
      <c r="BL18" s="493"/>
      <c r="BM18" s="493"/>
      <c r="BN18" s="493"/>
      <c r="BO18" s="493"/>
      <c r="BP18" s="493"/>
      <c r="BQ18" s="493"/>
      <c r="BR18" s="493"/>
      <c r="BS18" s="493"/>
      <c r="BT18" s="493"/>
      <c r="BU18" s="493"/>
      <c r="BV18" s="493"/>
      <c r="BW18" s="493"/>
      <c r="BX18" s="493"/>
      <c r="BY18" s="493"/>
      <c r="BZ18" s="493"/>
      <c r="CA18" s="493"/>
      <c r="CB18" s="493"/>
      <c r="CC18" s="493"/>
      <c r="CD18" s="493"/>
      <c r="CE18" s="493"/>
      <c r="CF18" s="493"/>
      <c r="CG18" s="493"/>
      <c r="CH18" s="493"/>
      <c r="CI18" s="493"/>
      <c r="CJ18" s="493"/>
      <c r="CK18" s="493"/>
      <c r="CL18" s="493"/>
      <c r="CM18" s="493"/>
      <c r="CN18" s="493"/>
      <c r="CO18" s="493"/>
      <c r="CP18" s="493"/>
      <c r="CQ18" s="493"/>
      <c r="CR18" s="493"/>
      <c r="CS18" s="493"/>
      <c r="CT18" s="493"/>
      <c r="CU18" s="493"/>
      <c r="CV18" s="493"/>
      <c r="CW18" s="493"/>
      <c r="CX18" s="493"/>
      <c r="CY18" s="493"/>
      <c r="CZ18" s="493"/>
      <c r="DA18" s="493"/>
      <c r="DB18" s="493"/>
      <c r="DC18" s="493"/>
      <c r="DD18" s="493"/>
      <c r="DE18" s="493"/>
      <c r="DF18" s="493"/>
      <c r="DG18" s="493"/>
      <c r="DH18" s="493"/>
      <c r="DI18" s="493"/>
      <c r="DJ18" s="493"/>
      <c r="DK18" s="493"/>
      <c r="DL18" s="493"/>
      <c r="DM18" s="493"/>
      <c r="DN18" s="493"/>
      <c r="DO18" s="493"/>
      <c r="DP18" s="493"/>
      <c r="DQ18" s="493"/>
      <c r="DR18" s="493"/>
      <c r="DS18" s="493"/>
      <c r="DT18" s="493"/>
      <c r="DU18" s="493"/>
      <c r="DV18" s="493"/>
      <c r="DW18" s="493"/>
      <c r="DX18" s="493"/>
      <c r="DY18" s="493"/>
      <c r="DZ18" s="493"/>
      <c r="EA18" s="493"/>
      <c r="EB18" s="493"/>
      <c r="EC18" s="493"/>
      <c r="ED18" s="493"/>
      <c r="EE18" s="493"/>
      <c r="EF18" s="493"/>
      <c r="EG18" s="493"/>
      <c r="EH18" s="493"/>
      <c r="EI18" s="493"/>
      <c r="EJ18" s="493"/>
      <c r="EK18" s="493"/>
      <c r="EL18" s="493"/>
      <c r="EM18" s="493"/>
      <c r="EN18" s="493"/>
      <c r="EO18" s="493"/>
      <c r="EP18" s="493"/>
      <c r="EQ18" s="493"/>
      <c r="ER18" s="493"/>
      <c r="ES18" s="493"/>
      <c r="ET18" s="493"/>
      <c r="EU18" s="493"/>
      <c r="EV18" s="493"/>
      <c r="EW18" s="493"/>
      <c r="EX18" s="493"/>
      <c r="EY18" s="493"/>
      <c r="EZ18" s="493"/>
      <c r="FA18" s="493"/>
      <c r="FB18" s="493"/>
      <c r="FC18" s="493"/>
      <c r="FD18" s="493"/>
      <c r="FE18" s="493"/>
      <c r="FF18" s="493"/>
      <c r="FG18" s="493"/>
      <c r="FH18" s="493"/>
      <c r="FI18" s="493"/>
      <c r="FJ18" s="493"/>
      <c r="FK18" s="493"/>
      <c r="FL18" s="493"/>
      <c r="FM18" s="493"/>
      <c r="FN18" s="493"/>
      <c r="FO18" s="493"/>
      <c r="FP18" s="493"/>
      <c r="FQ18" s="493"/>
      <c r="FR18" s="493"/>
      <c r="FS18" s="493"/>
      <c r="FT18" s="493"/>
      <c r="FU18" s="493"/>
      <c r="FV18" s="493"/>
      <c r="FW18" s="493"/>
      <c r="FX18" s="493"/>
      <c r="FY18" s="493"/>
      <c r="FZ18" s="493"/>
      <c r="GA18" s="493"/>
      <c r="GB18" s="493"/>
      <c r="GC18" s="493"/>
      <c r="GD18" s="493"/>
      <c r="GE18" s="493"/>
      <c r="GF18" s="493"/>
      <c r="GG18" s="493"/>
      <c r="GH18" s="493"/>
      <c r="GI18" s="493"/>
      <c r="GJ18" s="493"/>
      <c r="GK18" s="493"/>
      <c r="GL18" s="493"/>
      <c r="GM18" s="493"/>
      <c r="GN18" s="493"/>
      <c r="GO18" s="493"/>
      <c r="GP18" s="493"/>
      <c r="GQ18" s="493"/>
      <c r="GR18" s="493"/>
      <c r="GS18" s="493"/>
      <c r="GT18" s="493"/>
      <c r="GU18" s="493"/>
      <c r="GV18" s="493"/>
      <c r="GW18" s="493"/>
      <c r="GX18" s="493"/>
      <c r="GY18" s="493"/>
      <c r="GZ18" s="493"/>
      <c r="HA18" s="493"/>
      <c r="HB18" s="493"/>
      <c r="HC18" s="493"/>
      <c r="HD18" s="493"/>
      <c r="HE18" s="493"/>
      <c r="HF18" s="493"/>
      <c r="HG18" s="493"/>
      <c r="HH18" s="493"/>
      <c r="HI18" s="493"/>
      <c r="HJ18" s="493"/>
      <c r="HK18" s="493"/>
      <c r="HL18" s="493"/>
      <c r="HM18" s="493"/>
      <c r="HN18" s="493"/>
      <c r="HO18" s="493"/>
      <c r="HP18" s="493"/>
      <c r="HQ18" s="493"/>
      <c r="HR18" s="493"/>
      <c r="HS18" s="493"/>
      <c r="HT18" s="493"/>
      <c r="HU18" s="493"/>
      <c r="HV18" s="493"/>
      <c r="HW18" s="493"/>
      <c r="HX18" s="493"/>
      <c r="HY18" s="493"/>
      <c r="HZ18" s="493"/>
      <c r="IA18" s="493"/>
      <c r="IB18" s="493"/>
      <c r="IC18" s="493"/>
      <c r="ID18" s="493"/>
      <c r="IE18" s="493"/>
      <c r="IF18" s="493"/>
      <c r="IG18" s="493"/>
      <c r="IH18" s="493"/>
      <c r="II18" s="493"/>
      <c r="IJ18" s="493"/>
      <c r="IK18" s="493"/>
      <c r="IL18" s="493"/>
      <c r="IM18" s="493"/>
      <c r="IN18" s="493"/>
      <c r="IO18" s="493"/>
      <c r="IP18" s="493"/>
      <c r="IQ18" s="493"/>
      <c r="IR18" s="493"/>
      <c r="IS18" s="493"/>
      <c r="IT18" s="493"/>
      <c r="IU18" s="493"/>
      <c r="IV18" s="493"/>
      <c r="IW18" s="493"/>
      <c r="IX18" s="493"/>
      <c r="IY18" s="493"/>
      <c r="IZ18" s="493"/>
      <c r="JA18" s="493"/>
      <c r="JB18" s="493"/>
      <c r="JC18" s="493"/>
      <c r="JD18" s="493"/>
      <c r="JE18" s="493"/>
      <c r="JF18" s="493"/>
      <c r="JG18" s="493"/>
      <c r="JH18" s="493"/>
      <c r="JI18" s="493"/>
      <c r="JJ18" s="493"/>
      <c r="JK18" s="493"/>
      <c r="JL18" s="493"/>
      <c r="JM18" s="493"/>
      <c r="JN18" s="493"/>
      <c r="JO18" s="493"/>
      <c r="JP18" s="493"/>
      <c r="JQ18" s="493"/>
      <c r="JR18" s="493"/>
      <c r="JS18" s="493"/>
      <c r="JT18" s="493"/>
      <c r="JU18" s="493"/>
      <c r="JV18" s="493"/>
      <c r="JW18" s="493"/>
      <c r="JX18" s="493"/>
      <c r="JY18" s="493"/>
      <c r="JZ18" s="493"/>
      <c r="KA18" s="493"/>
      <c r="KB18" s="493"/>
      <c r="KC18" s="493"/>
      <c r="KD18" s="493"/>
      <c r="KE18" s="493"/>
      <c r="KF18" s="493"/>
      <c r="KG18" s="493"/>
      <c r="KH18" s="493"/>
      <c r="KI18" s="493"/>
      <c r="KJ18" s="493"/>
      <c r="KK18" s="493"/>
      <c r="KL18" s="493"/>
      <c r="KM18" s="493"/>
      <c r="KN18" s="493"/>
      <c r="KO18" s="493"/>
      <c r="KP18" s="493"/>
      <c r="KQ18" s="493"/>
      <c r="KR18" s="493"/>
      <c r="KS18" s="493"/>
      <c r="KT18" s="493"/>
      <c r="KU18" s="493"/>
      <c r="KV18" s="493"/>
      <c r="KW18" s="493"/>
      <c r="KX18" s="493"/>
      <c r="KY18" s="493"/>
      <c r="KZ18" s="493"/>
      <c r="LA18" s="493"/>
      <c r="LB18" s="493"/>
      <c r="LC18" s="493"/>
      <c r="LD18" s="493"/>
      <c r="LE18" s="493"/>
      <c r="LF18" s="493"/>
      <c r="LG18" s="493"/>
      <c r="LH18" s="493"/>
      <c r="LI18" s="493"/>
      <c r="LJ18" s="493"/>
      <c r="LK18" s="493"/>
      <c r="LL18" s="493"/>
      <c r="LM18" s="493"/>
      <c r="LN18" s="493"/>
      <c r="LO18" s="493"/>
      <c r="LP18" s="493"/>
      <c r="LQ18" s="493"/>
      <c r="LR18" s="493"/>
      <c r="LS18" s="493"/>
      <c r="LT18" s="493"/>
      <c r="LU18" s="493"/>
      <c r="LV18" s="493"/>
      <c r="LW18" s="493"/>
      <c r="LX18" s="493"/>
      <c r="LY18" s="493"/>
      <c r="LZ18" s="493"/>
      <c r="MA18" s="493"/>
      <c r="MB18" s="493"/>
      <c r="MC18" s="493"/>
      <c r="MD18" s="493"/>
      <c r="ME18" s="493"/>
      <c r="MF18" s="493"/>
      <c r="MG18" s="493"/>
      <c r="MH18" s="493"/>
      <c r="MI18" s="493"/>
      <c r="MJ18" s="493"/>
      <c r="MK18" s="493"/>
      <c r="ML18" s="493"/>
      <c r="MM18" s="493"/>
      <c r="MN18" s="493"/>
      <c r="MO18" s="493"/>
      <c r="MP18" s="493"/>
      <c r="MQ18" s="493"/>
      <c r="MR18" s="493"/>
      <c r="MS18" s="493"/>
      <c r="MT18" s="493"/>
      <c r="MU18" s="493"/>
      <c r="MV18" s="493"/>
      <c r="MW18" s="493"/>
      <c r="MX18" s="493"/>
      <c r="MY18" s="493"/>
      <c r="MZ18" s="493"/>
      <c r="NA18" s="493"/>
      <c r="NB18" s="493"/>
      <c r="NC18" s="493"/>
      <c r="ND18" s="493"/>
      <c r="NE18" s="493"/>
      <c r="NF18" s="493"/>
      <c r="NG18" s="493"/>
      <c r="NH18" s="493"/>
      <c r="NI18" s="493"/>
      <c r="NJ18" s="493"/>
      <c r="NK18" s="493"/>
      <c r="NL18" s="493"/>
      <c r="NM18" s="493"/>
      <c r="NN18" s="493"/>
      <c r="NO18" s="493"/>
      <c r="NP18" s="493"/>
      <c r="NQ18" s="493"/>
      <c r="NR18" s="493"/>
      <c r="NS18" s="493"/>
      <c r="NT18" s="493"/>
      <c r="NU18" s="493"/>
      <c r="NV18" s="493"/>
      <c r="NW18" s="493"/>
      <c r="NX18" s="493"/>
      <c r="NY18" s="493"/>
      <c r="NZ18" s="493"/>
      <c r="OA18" s="493"/>
      <c r="OB18" s="493"/>
      <c r="OC18" s="493"/>
      <c r="OD18" s="493"/>
      <c r="OE18" s="493"/>
      <c r="OF18" s="493"/>
      <c r="OG18" s="493"/>
      <c r="OH18" s="493"/>
      <c r="OI18" s="493"/>
      <c r="OJ18" s="493"/>
      <c r="OK18" s="493"/>
      <c r="OL18" s="493"/>
      <c r="OM18" s="493"/>
      <c r="ON18" s="493"/>
      <c r="OO18" s="493"/>
      <c r="OP18" s="493"/>
      <c r="OQ18" s="493"/>
      <c r="OR18" s="493"/>
      <c r="OS18" s="493"/>
      <c r="OT18" s="493"/>
      <c r="OU18" s="493"/>
      <c r="OV18" s="493"/>
      <c r="OW18" s="493"/>
      <c r="OX18" s="493"/>
      <c r="OY18" s="493"/>
      <c r="OZ18" s="493"/>
      <c r="PA18" s="493"/>
      <c r="PB18" s="493"/>
      <c r="PC18" s="493"/>
      <c r="PD18" s="493"/>
      <c r="PE18" s="493"/>
      <c r="PF18" s="493"/>
      <c r="PG18" s="493"/>
      <c r="PH18" s="493"/>
      <c r="PI18" s="493"/>
      <c r="PJ18" s="493"/>
      <c r="PK18" s="493"/>
      <c r="PL18" s="493"/>
      <c r="PM18" s="493"/>
      <c r="PN18" s="493"/>
      <c r="PO18" s="493"/>
      <c r="PP18" s="493"/>
      <c r="PQ18" s="493"/>
      <c r="PR18" s="493"/>
      <c r="PS18" s="493"/>
      <c r="PT18" s="493"/>
      <c r="PU18" s="493"/>
      <c r="PV18" s="493"/>
      <c r="PW18" s="493"/>
      <c r="PX18" s="493"/>
      <c r="PY18" s="493"/>
      <c r="PZ18" s="493"/>
      <c r="QA18" s="493"/>
      <c r="QB18" s="493"/>
      <c r="QC18" s="493"/>
      <c r="QD18" s="493"/>
      <c r="QE18" s="493"/>
      <c r="QF18" s="493"/>
      <c r="QG18" s="493"/>
      <c r="QH18" s="493"/>
      <c r="QI18" s="493"/>
      <c r="QJ18" s="493"/>
      <c r="QK18" s="493"/>
      <c r="QL18" s="493"/>
      <c r="QM18" s="493"/>
      <c r="QN18" s="493"/>
      <c r="QO18" s="493"/>
      <c r="QP18" s="493"/>
      <c r="QQ18" s="493"/>
      <c r="QR18" s="493"/>
      <c r="QS18" s="493"/>
      <c r="QT18" s="493"/>
      <c r="QU18" s="493"/>
      <c r="QV18" s="493"/>
      <c r="QW18" s="493"/>
      <c r="QX18" s="493"/>
      <c r="QY18" s="493"/>
      <c r="QZ18" s="493"/>
      <c r="RA18" s="493"/>
      <c r="RB18" s="493"/>
      <c r="RC18" s="493"/>
      <c r="RD18" s="493"/>
      <c r="RE18" s="493"/>
      <c r="RF18" s="493"/>
      <c r="RG18" s="493"/>
      <c r="RH18" s="493"/>
      <c r="RI18" s="493"/>
      <c r="RJ18" s="493"/>
      <c r="RK18" s="493"/>
      <c r="RL18" s="493"/>
      <c r="RM18" s="493"/>
      <c r="RN18" s="493"/>
      <c r="RO18" s="493"/>
      <c r="RP18" s="493"/>
      <c r="RQ18" s="493"/>
      <c r="RR18" s="493"/>
      <c r="RS18" s="493"/>
      <c r="RT18" s="493"/>
      <c r="RU18" s="493"/>
      <c r="RV18" s="493"/>
      <c r="RW18" s="493"/>
      <c r="RX18" s="493"/>
      <c r="RY18" s="493"/>
      <c r="RZ18" s="493"/>
      <c r="SA18" s="493"/>
      <c r="SB18" s="493"/>
      <c r="SC18" s="493"/>
      <c r="SD18" s="493"/>
      <c r="SE18" s="493"/>
      <c r="SF18" s="493"/>
      <c r="SG18" s="493"/>
      <c r="SH18" s="493"/>
      <c r="SI18" s="493"/>
      <c r="SJ18" s="493"/>
      <c r="SK18" s="493"/>
      <c r="SL18" s="493"/>
      <c r="SM18" s="493"/>
      <c r="SN18" s="493"/>
      <c r="SO18" s="493"/>
      <c r="SP18" s="493"/>
      <c r="SQ18" s="493"/>
      <c r="SR18" s="493"/>
      <c r="SS18" s="493"/>
      <c r="ST18" s="493"/>
      <c r="SU18" s="493"/>
      <c r="SV18" s="493"/>
      <c r="SW18" s="493"/>
      <c r="SX18" s="493"/>
      <c r="SY18" s="493"/>
      <c r="SZ18" s="493"/>
      <c r="TA18" s="493"/>
      <c r="TB18" s="493"/>
      <c r="TC18" s="493"/>
      <c r="TD18" s="493"/>
      <c r="TE18" s="493"/>
      <c r="TF18" s="493"/>
      <c r="TG18" s="493"/>
      <c r="TH18" s="493"/>
      <c r="TI18" s="493"/>
      <c r="TJ18" s="493"/>
      <c r="TK18" s="493"/>
      <c r="TL18" s="493"/>
      <c r="TM18" s="493"/>
      <c r="TN18" s="493"/>
      <c r="TO18" s="493"/>
      <c r="TP18" s="493"/>
      <c r="TQ18" s="493"/>
      <c r="TR18" s="493"/>
      <c r="TS18" s="493"/>
      <c r="TT18" s="493"/>
      <c r="TU18" s="493"/>
      <c r="TV18" s="493"/>
      <c r="TW18" s="493"/>
      <c r="TX18" s="493"/>
      <c r="TY18" s="493"/>
      <c r="TZ18" s="493"/>
      <c r="UA18" s="493"/>
      <c r="UB18" s="493"/>
      <c r="UC18" s="493"/>
      <c r="UD18" s="493"/>
      <c r="UE18" s="493"/>
      <c r="UF18" s="493"/>
      <c r="UG18" s="493"/>
      <c r="UH18" s="493"/>
      <c r="UI18" s="493"/>
      <c r="UJ18" s="493"/>
      <c r="UK18" s="493"/>
      <c r="UL18" s="493"/>
      <c r="UM18" s="493"/>
      <c r="UN18" s="493"/>
      <c r="UO18" s="493"/>
      <c r="UP18" s="493"/>
      <c r="UQ18" s="493"/>
      <c r="UR18" s="493"/>
      <c r="US18" s="493"/>
      <c r="UT18" s="493"/>
      <c r="UU18" s="493"/>
      <c r="UV18" s="493"/>
      <c r="UW18" s="493"/>
      <c r="UX18" s="493"/>
      <c r="UY18" s="493"/>
      <c r="UZ18" s="493"/>
      <c r="VA18" s="493"/>
      <c r="VB18" s="493"/>
      <c r="VC18" s="493"/>
      <c r="VD18" s="493"/>
      <c r="VE18" s="493"/>
      <c r="VF18" s="493"/>
      <c r="VG18" s="493"/>
      <c r="VH18" s="493"/>
      <c r="VI18" s="493"/>
      <c r="VJ18" s="493"/>
      <c r="VK18" s="493"/>
      <c r="VL18" s="493"/>
      <c r="VM18" s="493"/>
      <c r="VN18" s="493"/>
      <c r="VO18" s="493"/>
      <c r="VP18" s="493"/>
      <c r="VQ18" s="493"/>
      <c r="VR18" s="493"/>
      <c r="VS18" s="493"/>
      <c r="VT18" s="493"/>
      <c r="VU18" s="493"/>
      <c r="VV18" s="493"/>
      <c r="VW18" s="493"/>
      <c r="VX18" s="493"/>
      <c r="VY18" s="493"/>
      <c r="VZ18" s="493"/>
      <c r="WA18" s="493"/>
      <c r="WB18" s="493"/>
      <c r="WC18" s="493"/>
      <c r="WD18" s="493"/>
      <c r="WE18" s="493"/>
      <c r="WF18" s="493"/>
      <c r="WG18" s="493"/>
      <c r="WH18" s="493"/>
      <c r="WI18" s="493"/>
      <c r="WJ18" s="493"/>
      <c r="WK18" s="493"/>
      <c r="WL18" s="493"/>
      <c r="WM18" s="493"/>
      <c r="WN18" s="493"/>
      <c r="WO18" s="493"/>
      <c r="WP18" s="493"/>
      <c r="WQ18" s="493"/>
      <c r="WR18" s="493"/>
      <c r="WS18" s="493"/>
      <c r="WT18" s="493"/>
      <c r="WU18" s="493"/>
      <c r="WV18" s="493"/>
      <c r="WW18" s="493"/>
      <c r="WX18" s="493"/>
      <c r="WY18" s="493"/>
      <c r="WZ18" s="493"/>
      <c r="XA18" s="493"/>
      <c r="XB18" s="493"/>
      <c r="XC18" s="493"/>
      <c r="XD18" s="493"/>
      <c r="XE18" s="493"/>
      <c r="XF18" s="493"/>
      <c r="XG18" s="493"/>
      <c r="XH18" s="493"/>
      <c r="XI18" s="493"/>
      <c r="XJ18" s="493"/>
      <c r="XK18" s="493"/>
      <c r="XL18" s="493"/>
      <c r="XM18" s="493"/>
      <c r="XN18" s="493"/>
      <c r="XO18" s="493"/>
      <c r="XP18" s="493"/>
      <c r="XQ18" s="493"/>
      <c r="XR18" s="493"/>
      <c r="XS18" s="493"/>
      <c r="XT18" s="493"/>
      <c r="XU18" s="493"/>
      <c r="XV18" s="493"/>
      <c r="XW18" s="493"/>
      <c r="XX18" s="493"/>
      <c r="XY18" s="493"/>
      <c r="XZ18" s="493"/>
      <c r="YA18" s="493"/>
      <c r="YB18" s="493"/>
      <c r="YC18" s="493"/>
      <c r="YD18" s="493"/>
      <c r="YE18" s="493"/>
      <c r="YF18" s="493"/>
      <c r="YG18" s="493"/>
      <c r="YH18" s="493"/>
      <c r="YI18" s="493"/>
      <c r="YJ18" s="493"/>
      <c r="YK18" s="493"/>
      <c r="YL18" s="493"/>
      <c r="YM18" s="493"/>
      <c r="YN18" s="493"/>
      <c r="YO18" s="493"/>
      <c r="YP18" s="493"/>
      <c r="YQ18" s="493"/>
      <c r="YR18" s="493"/>
      <c r="YS18" s="493"/>
      <c r="YT18" s="493"/>
      <c r="YU18" s="493"/>
      <c r="YV18" s="493"/>
      <c r="YW18" s="493"/>
      <c r="YX18" s="493"/>
      <c r="YY18" s="493"/>
      <c r="YZ18" s="493"/>
      <c r="ZA18" s="493"/>
      <c r="ZB18" s="493"/>
      <c r="ZC18" s="493"/>
      <c r="ZD18" s="493"/>
      <c r="ZE18" s="493"/>
      <c r="ZF18" s="493"/>
      <c r="ZG18" s="493"/>
      <c r="ZH18" s="493"/>
      <c r="ZI18" s="493"/>
      <c r="ZJ18" s="493"/>
      <c r="ZK18" s="493"/>
      <c r="ZL18" s="493"/>
      <c r="ZM18" s="493"/>
      <c r="ZN18" s="493"/>
      <c r="ZO18" s="493"/>
      <c r="ZP18" s="493"/>
      <c r="ZQ18" s="493"/>
      <c r="ZR18" s="493"/>
      <c r="ZS18" s="493"/>
      <c r="ZT18" s="493"/>
      <c r="ZU18" s="493"/>
      <c r="ZV18" s="493"/>
      <c r="ZW18" s="493"/>
      <c r="ZX18" s="493"/>
      <c r="ZY18" s="493"/>
      <c r="ZZ18" s="493"/>
      <c r="AAA18" s="493"/>
      <c r="AAB18" s="493"/>
      <c r="AAC18" s="493"/>
      <c r="AAD18" s="493"/>
      <c r="AAE18" s="493"/>
      <c r="AAF18" s="493"/>
      <c r="AAG18" s="493"/>
      <c r="AAH18" s="493"/>
      <c r="AAI18" s="493"/>
      <c r="AAJ18" s="493"/>
      <c r="AAK18" s="493"/>
      <c r="AAL18" s="493"/>
      <c r="AAM18" s="493"/>
      <c r="AAN18" s="493"/>
      <c r="AAO18" s="493"/>
      <c r="AAP18" s="493"/>
      <c r="AAQ18" s="493"/>
      <c r="AAR18" s="493"/>
      <c r="AAS18" s="493"/>
      <c r="AAT18" s="493"/>
      <c r="AAU18" s="493"/>
      <c r="AAV18" s="493"/>
      <c r="AAW18" s="493"/>
      <c r="AAX18" s="493"/>
      <c r="AAY18" s="493"/>
      <c r="AAZ18" s="493"/>
      <c r="ABA18" s="493"/>
      <c r="ABB18" s="493"/>
      <c r="ABC18" s="493"/>
      <c r="ABD18" s="493"/>
      <c r="ABE18" s="493"/>
      <c r="ABF18" s="493"/>
      <c r="ABG18" s="493"/>
      <c r="ABH18" s="493"/>
      <c r="ABI18" s="493"/>
      <c r="ABJ18" s="493"/>
      <c r="ABK18" s="493"/>
      <c r="ABL18" s="493"/>
      <c r="ABM18" s="493"/>
      <c r="ABN18" s="493"/>
      <c r="ABO18" s="493"/>
      <c r="ABP18" s="493"/>
      <c r="ABQ18" s="493"/>
      <c r="ABR18" s="493"/>
      <c r="ABS18" s="493"/>
      <c r="ABT18" s="493"/>
      <c r="ABU18" s="493"/>
      <c r="ABV18" s="493"/>
      <c r="ABW18" s="493"/>
      <c r="ABX18" s="493"/>
      <c r="ABY18" s="493"/>
      <c r="ABZ18" s="493"/>
      <c r="ACA18" s="493"/>
      <c r="ACB18" s="493"/>
      <c r="ACC18" s="493"/>
      <c r="ACD18" s="493"/>
      <c r="ACE18" s="493"/>
      <c r="ACF18" s="493"/>
      <c r="ACG18" s="493"/>
      <c r="ACH18" s="493"/>
      <c r="ACI18" s="493"/>
      <c r="ACJ18" s="493"/>
      <c r="ACK18" s="493"/>
      <c r="ACL18" s="493"/>
      <c r="ACM18" s="493"/>
      <c r="ACN18" s="493"/>
      <c r="ACO18" s="493"/>
      <c r="ACP18" s="493"/>
      <c r="ACQ18" s="493"/>
      <c r="ACR18" s="493"/>
      <c r="ACS18" s="493"/>
      <c r="ACT18" s="493"/>
      <c r="ACU18" s="493"/>
      <c r="ACV18" s="493"/>
      <c r="ACW18" s="493"/>
      <c r="ACX18" s="493"/>
      <c r="ACY18" s="493"/>
      <c r="ACZ18" s="493"/>
      <c r="ADA18" s="493"/>
      <c r="ADB18" s="493"/>
      <c r="ADC18" s="493"/>
      <c r="ADD18" s="493"/>
      <c r="ADE18" s="493"/>
      <c r="ADF18" s="493"/>
      <c r="ADG18" s="493"/>
      <c r="ADH18" s="493"/>
      <c r="ADI18" s="493"/>
      <c r="ADJ18" s="493"/>
      <c r="ADK18" s="493"/>
      <c r="ADL18" s="493"/>
      <c r="ADM18" s="493"/>
      <c r="ADN18" s="493"/>
      <c r="ADO18" s="493"/>
      <c r="ADP18" s="493"/>
      <c r="ADQ18" s="493"/>
      <c r="ADR18" s="493"/>
      <c r="ADS18" s="493"/>
      <c r="ADT18" s="493"/>
      <c r="ADU18" s="493"/>
      <c r="ADV18" s="493"/>
      <c r="ADW18" s="493"/>
      <c r="ADX18" s="493"/>
      <c r="ADY18" s="493"/>
      <c r="ADZ18" s="493"/>
      <c r="AEA18" s="493"/>
      <c r="AEB18" s="493"/>
      <c r="AEC18" s="493"/>
      <c r="AED18" s="493"/>
      <c r="AEE18" s="493"/>
      <c r="AEF18" s="493"/>
      <c r="AEG18" s="493"/>
      <c r="AEH18" s="493"/>
      <c r="AEI18" s="493"/>
      <c r="AEJ18" s="493"/>
      <c r="AEK18" s="493"/>
      <c r="AEL18" s="493"/>
      <c r="AEM18" s="493"/>
      <c r="AEN18" s="493"/>
      <c r="AEO18" s="493"/>
      <c r="AEP18" s="493"/>
      <c r="AEQ18" s="493"/>
      <c r="AER18" s="493"/>
      <c r="AES18" s="493"/>
      <c r="AET18" s="493"/>
      <c r="AEU18" s="493"/>
      <c r="AEV18" s="493"/>
      <c r="AEW18" s="493"/>
      <c r="AEX18" s="493"/>
      <c r="AEY18" s="493"/>
      <c r="AEZ18" s="493"/>
      <c r="AFA18" s="493"/>
      <c r="AFB18" s="493"/>
      <c r="AFC18" s="493"/>
      <c r="AFD18" s="493"/>
      <c r="AFE18" s="493"/>
      <c r="AFF18" s="493"/>
      <c r="AFG18" s="493"/>
      <c r="AFH18" s="493"/>
      <c r="AFI18" s="493"/>
      <c r="AFJ18" s="493"/>
      <c r="AFK18" s="493"/>
      <c r="AFL18" s="493"/>
      <c r="AFM18" s="493"/>
      <c r="AFN18" s="493"/>
      <c r="AFO18" s="493"/>
      <c r="AFP18" s="493"/>
      <c r="AFQ18" s="493"/>
      <c r="AFR18" s="493"/>
      <c r="AFS18" s="493"/>
      <c r="AFT18" s="493"/>
      <c r="AFU18" s="493"/>
      <c r="AFV18" s="493"/>
      <c r="AFW18" s="493"/>
      <c r="AFX18" s="493"/>
      <c r="AFY18" s="493"/>
      <c r="AFZ18" s="493"/>
      <c r="AGA18" s="493"/>
      <c r="AGB18" s="493"/>
      <c r="AGC18" s="493"/>
      <c r="AGD18" s="493"/>
      <c r="AGE18" s="493"/>
      <c r="AGF18" s="493"/>
      <c r="AGG18" s="493"/>
      <c r="AGH18" s="493"/>
      <c r="AGI18" s="493"/>
      <c r="AGJ18" s="493"/>
      <c r="AGK18" s="493"/>
      <c r="AGL18" s="493"/>
      <c r="AGM18" s="493"/>
      <c r="AGN18" s="493"/>
      <c r="AGO18" s="493"/>
      <c r="AGP18" s="493"/>
      <c r="AGQ18" s="493"/>
      <c r="AGR18" s="493"/>
      <c r="AGS18" s="493"/>
      <c r="AGT18" s="493"/>
      <c r="AGU18" s="493"/>
      <c r="AGV18" s="493"/>
      <c r="AGW18" s="493"/>
      <c r="AGX18" s="493"/>
      <c r="AGY18" s="493"/>
      <c r="AGZ18" s="493"/>
      <c r="AHA18" s="493"/>
      <c r="AHB18" s="493"/>
      <c r="AHC18" s="493"/>
      <c r="AHD18" s="493"/>
      <c r="AHE18" s="493"/>
      <c r="AHF18" s="493"/>
      <c r="AHG18" s="493"/>
      <c r="AHH18" s="493"/>
      <c r="AHI18" s="493"/>
      <c r="AHJ18" s="493"/>
      <c r="AHK18" s="493"/>
      <c r="AHL18" s="493"/>
      <c r="AHM18" s="493"/>
      <c r="AHN18" s="493"/>
      <c r="AHO18" s="493"/>
      <c r="AHP18" s="493"/>
      <c r="AHQ18" s="493"/>
      <c r="AHR18" s="493"/>
      <c r="AHS18" s="493"/>
      <c r="AHT18" s="493"/>
      <c r="AHU18" s="493"/>
      <c r="AHV18" s="493"/>
      <c r="AHW18" s="493"/>
      <c r="AHX18" s="493"/>
      <c r="AHY18" s="493"/>
      <c r="AHZ18" s="493"/>
      <c r="AIA18" s="493"/>
      <c r="AIB18" s="493"/>
      <c r="AIC18" s="493"/>
      <c r="AID18" s="493"/>
      <c r="AIE18" s="493"/>
      <c r="AIF18" s="493"/>
      <c r="AIG18" s="493"/>
      <c r="AIH18" s="493"/>
      <c r="AII18" s="493"/>
      <c r="AIJ18" s="493"/>
      <c r="AIK18" s="493"/>
      <c r="AIL18" s="493"/>
      <c r="AIM18" s="493"/>
      <c r="AIN18" s="493"/>
      <c r="AIO18" s="493"/>
      <c r="AIP18" s="493"/>
      <c r="AIQ18" s="493"/>
      <c r="AIR18" s="493"/>
      <c r="AIS18" s="493"/>
      <c r="AIT18" s="493"/>
      <c r="AIU18" s="493"/>
      <c r="AIV18" s="493"/>
      <c r="AIW18" s="493"/>
      <c r="AIX18" s="493"/>
      <c r="AIY18" s="493"/>
      <c r="AIZ18" s="493"/>
      <c r="AJA18" s="493"/>
      <c r="AJB18" s="493"/>
      <c r="AJC18" s="493"/>
      <c r="AJD18" s="493"/>
      <c r="AJE18" s="493"/>
      <c r="AJF18" s="493"/>
      <c r="AJG18" s="493"/>
      <c r="AJH18" s="493"/>
      <c r="AJI18" s="493"/>
      <c r="AJJ18" s="493"/>
      <c r="AJK18" s="493"/>
      <c r="AJL18" s="493"/>
      <c r="AJM18" s="493"/>
      <c r="AJN18" s="493"/>
      <c r="AJO18" s="493"/>
      <c r="AJP18" s="493"/>
      <c r="AJQ18" s="493"/>
      <c r="AJR18" s="493"/>
      <c r="AJS18" s="493"/>
      <c r="AJT18" s="493"/>
      <c r="AJU18" s="493"/>
      <c r="AJV18" s="493"/>
      <c r="AJW18" s="493"/>
      <c r="AJX18" s="493"/>
      <c r="AJY18" s="493"/>
      <c r="AJZ18" s="493"/>
      <c r="AKA18" s="493"/>
      <c r="AKB18" s="493"/>
      <c r="AKC18" s="493"/>
      <c r="AKD18" s="493"/>
      <c r="AKE18" s="493"/>
      <c r="AKF18" s="493"/>
      <c r="AKG18" s="493"/>
      <c r="AKH18" s="493"/>
      <c r="AKI18" s="493"/>
      <c r="AKJ18" s="493"/>
      <c r="AKK18" s="493"/>
      <c r="AKL18" s="493"/>
      <c r="AKM18" s="493"/>
      <c r="AKN18" s="493"/>
      <c r="AKO18" s="493"/>
      <c r="AKP18" s="493"/>
      <c r="AKQ18" s="493"/>
      <c r="AKR18" s="493"/>
      <c r="AKS18" s="493"/>
      <c r="AKT18" s="493"/>
      <c r="AKU18" s="493"/>
      <c r="AKV18" s="493"/>
      <c r="AKW18" s="493"/>
      <c r="AKX18" s="493"/>
      <c r="AKY18" s="493"/>
      <c r="AKZ18" s="493"/>
      <c r="ALA18" s="493"/>
      <c r="ALB18" s="493"/>
      <c r="ALC18" s="493"/>
      <c r="ALD18" s="493"/>
      <c r="ALE18" s="493"/>
      <c r="ALF18" s="493"/>
      <c r="ALG18" s="493"/>
      <c r="ALH18" s="493"/>
      <c r="ALI18" s="493"/>
      <c r="ALJ18" s="493"/>
      <c r="ALK18" s="493"/>
      <c r="ALL18" s="493"/>
      <c r="ALM18" s="493"/>
      <c r="ALN18" s="493"/>
      <c r="ALO18" s="493"/>
      <c r="ALP18" s="493"/>
      <c r="ALQ18" s="493"/>
      <c r="ALR18" s="493"/>
      <c r="ALS18" s="493"/>
      <c r="ALT18" s="493"/>
      <c r="ALU18" s="493"/>
      <c r="ALV18" s="493"/>
      <c r="ALW18" s="493"/>
      <c r="ALX18" s="493"/>
      <c r="ALY18" s="493"/>
      <c r="ALZ18" s="493"/>
      <c r="AMA18" s="493"/>
      <c r="AMB18" s="493"/>
      <c r="AMC18" s="493"/>
      <c r="AMD18" s="493"/>
      <c r="AME18" s="493"/>
      <c r="AMF18" s="493"/>
      <c r="AMG18" s="493"/>
      <c r="AMH18" s="493"/>
      <c r="AMI18" s="493"/>
      <c r="AMJ18" s="493"/>
      <c r="AMK18" s="493"/>
      <c r="AML18" s="493"/>
      <c r="AMM18" s="493"/>
      <c r="AMN18" s="493"/>
      <c r="AMO18" s="493"/>
      <c r="AMP18" s="493"/>
      <c r="AMQ18" s="493"/>
      <c r="AMR18" s="493"/>
      <c r="AMS18" s="493"/>
      <c r="AMT18" s="493"/>
      <c r="AMU18" s="493"/>
      <c r="AMV18" s="493"/>
      <c r="AMW18" s="493"/>
      <c r="AMX18" s="493"/>
      <c r="AMY18" s="493"/>
      <c r="AMZ18" s="493"/>
      <c r="ANA18" s="493"/>
      <c r="ANB18" s="493"/>
      <c r="ANC18" s="493"/>
      <c r="AND18" s="493"/>
      <c r="ANE18" s="493"/>
      <c r="ANF18" s="493"/>
      <c r="ANG18" s="493"/>
      <c r="ANH18" s="493"/>
      <c r="ANI18" s="493"/>
      <c r="ANJ18" s="493"/>
      <c r="ANK18" s="493"/>
      <c r="ANL18" s="493"/>
      <c r="ANM18" s="493"/>
      <c r="ANN18" s="493"/>
      <c r="ANO18" s="493"/>
      <c r="ANP18" s="493"/>
      <c r="ANQ18" s="493"/>
      <c r="ANR18" s="493"/>
      <c r="ANS18" s="493"/>
      <c r="ANT18" s="493"/>
      <c r="ANU18" s="493"/>
      <c r="ANV18" s="493"/>
      <c r="ANW18" s="493"/>
      <c r="ANX18" s="493"/>
      <c r="ANY18" s="493"/>
      <c r="ANZ18" s="493"/>
      <c r="AOA18" s="493"/>
      <c r="AOB18" s="493"/>
      <c r="AOC18" s="493"/>
      <c r="AOD18" s="493"/>
      <c r="AOE18" s="493"/>
      <c r="AOF18" s="493"/>
      <c r="AOG18" s="493"/>
      <c r="AOH18" s="493"/>
      <c r="AOI18" s="493"/>
      <c r="AOJ18" s="493"/>
      <c r="AOK18" s="493"/>
      <c r="AOL18" s="493"/>
      <c r="AOM18" s="493"/>
      <c r="AON18" s="493"/>
      <c r="AOO18" s="493"/>
      <c r="AOP18" s="493"/>
      <c r="AOQ18" s="493"/>
      <c r="AOR18" s="493"/>
      <c r="AOS18" s="493"/>
      <c r="AOT18" s="493"/>
      <c r="AOU18" s="493"/>
      <c r="AOV18" s="493"/>
      <c r="AOW18" s="493"/>
      <c r="AOX18" s="493"/>
      <c r="AOY18" s="493"/>
      <c r="AOZ18" s="493"/>
      <c r="APA18" s="493"/>
      <c r="APB18" s="493"/>
      <c r="APC18" s="493"/>
      <c r="APD18" s="493"/>
      <c r="APE18" s="493"/>
      <c r="APF18" s="493"/>
      <c r="APG18" s="493"/>
      <c r="APH18" s="493"/>
      <c r="API18" s="493"/>
      <c r="APJ18" s="493"/>
      <c r="APK18" s="493"/>
      <c r="APL18" s="493"/>
      <c r="APM18" s="493"/>
      <c r="APN18" s="493"/>
      <c r="APO18" s="493"/>
      <c r="APP18" s="493"/>
      <c r="APQ18" s="493"/>
      <c r="APR18" s="493"/>
      <c r="APS18" s="493"/>
      <c r="APT18" s="493"/>
      <c r="APU18" s="493"/>
      <c r="APV18" s="493"/>
      <c r="APW18" s="493"/>
      <c r="APX18" s="493"/>
      <c r="APY18" s="493"/>
      <c r="APZ18" s="493"/>
      <c r="AQA18" s="493"/>
      <c r="AQB18" s="493"/>
      <c r="AQC18" s="493"/>
      <c r="AQD18" s="493"/>
      <c r="AQE18" s="493"/>
      <c r="AQF18" s="493"/>
      <c r="AQG18" s="493"/>
      <c r="AQH18" s="493"/>
      <c r="AQI18" s="493"/>
      <c r="AQJ18" s="493"/>
      <c r="AQK18" s="493"/>
      <c r="AQL18" s="493"/>
      <c r="AQM18" s="493"/>
      <c r="AQN18" s="493"/>
      <c r="AQO18" s="493"/>
      <c r="AQP18" s="493"/>
      <c r="AQQ18" s="493"/>
      <c r="AQR18" s="493"/>
      <c r="AQS18" s="493"/>
      <c r="AQT18" s="493"/>
      <c r="AQU18" s="493"/>
      <c r="AQV18" s="493"/>
      <c r="AQW18" s="493"/>
      <c r="AQX18" s="493"/>
      <c r="AQY18" s="493"/>
      <c r="AQZ18" s="493"/>
      <c r="ARA18" s="493"/>
      <c r="ARB18" s="493"/>
      <c r="ARC18" s="493"/>
      <c r="ARD18" s="493"/>
      <c r="ARE18" s="493"/>
      <c r="ARF18" s="493"/>
      <c r="ARG18" s="493"/>
      <c r="ARH18" s="493"/>
      <c r="ARI18" s="493"/>
      <c r="ARJ18" s="493"/>
      <c r="ARK18" s="493"/>
      <c r="ARL18" s="493"/>
      <c r="ARM18" s="493"/>
      <c r="ARN18" s="493"/>
      <c r="ARO18" s="493"/>
      <c r="ARP18" s="493"/>
      <c r="ARQ18" s="493"/>
      <c r="ARR18" s="493"/>
      <c r="ARS18" s="493"/>
      <c r="ART18" s="493"/>
      <c r="ARU18" s="493"/>
      <c r="ARV18" s="493"/>
      <c r="ARW18" s="493"/>
      <c r="ARX18" s="493"/>
      <c r="ARY18" s="493"/>
      <c r="ARZ18" s="493"/>
      <c r="ASA18" s="493"/>
      <c r="ASB18" s="493"/>
      <c r="ASC18" s="493"/>
      <c r="ASD18" s="493"/>
      <c r="ASE18" s="493"/>
      <c r="ASF18" s="493"/>
      <c r="ASG18" s="493"/>
      <c r="ASH18" s="493"/>
      <c r="ASI18" s="493"/>
      <c r="ASJ18" s="493"/>
      <c r="ASK18" s="493"/>
      <c r="ASL18" s="493"/>
      <c r="ASM18" s="493"/>
      <c r="ASN18" s="493"/>
      <c r="ASO18" s="493"/>
      <c r="ASP18" s="493"/>
      <c r="ASQ18" s="493"/>
      <c r="ASR18" s="493"/>
      <c r="ASS18" s="493"/>
      <c r="AST18" s="493"/>
      <c r="ASU18" s="493"/>
      <c r="ASV18" s="493"/>
      <c r="ASW18" s="493"/>
      <c r="ASX18" s="493"/>
      <c r="ASY18" s="493"/>
      <c r="ASZ18" s="493"/>
      <c r="ATA18" s="493"/>
      <c r="ATB18" s="493"/>
      <c r="ATC18" s="493"/>
      <c r="ATD18" s="493"/>
      <c r="ATE18" s="493"/>
      <c r="ATF18" s="493"/>
      <c r="ATG18" s="493"/>
      <c r="ATH18" s="493"/>
      <c r="ATI18" s="493"/>
      <c r="ATJ18" s="493"/>
      <c r="ATK18" s="493"/>
      <c r="ATL18" s="493"/>
      <c r="ATM18" s="493"/>
      <c r="ATN18" s="493"/>
      <c r="ATO18" s="493"/>
      <c r="ATP18" s="493"/>
      <c r="ATQ18" s="493"/>
      <c r="ATR18" s="493"/>
      <c r="ATS18" s="493"/>
      <c r="ATT18" s="493"/>
      <c r="ATU18" s="493"/>
      <c r="ATV18" s="493"/>
      <c r="ATW18" s="493"/>
      <c r="ATX18" s="493"/>
      <c r="ATY18" s="493"/>
      <c r="ATZ18" s="493"/>
      <c r="AUA18" s="493"/>
      <c r="AUB18" s="493"/>
      <c r="AUC18" s="493"/>
      <c r="AUD18" s="493"/>
      <c r="AUE18" s="493"/>
      <c r="AUF18" s="493"/>
      <c r="AUG18" s="493"/>
      <c r="AUH18" s="493"/>
      <c r="AUI18" s="493"/>
      <c r="AUJ18" s="493"/>
      <c r="AUK18" s="493"/>
      <c r="AUL18" s="493"/>
      <c r="AUM18" s="493"/>
      <c r="AUN18" s="493"/>
      <c r="AUO18" s="493"/>
      <c r="AUP18" s="493"/>
      <c r="AUQ18" s="493"/>
      <c r="AUR18" s="493"/>
      <c r="AUS18" s="493"/>
      <c r="AUT18" s="493"/>
      <c r="AUU18" s="493"/>
      <c r="AUV18" s="493"/>
      <c r="AUW18" s="493"/>
      <c r="AUX18" s="493"/>
      <c r="AUY18" s="493"/>
      <c r="AUZ18" s="493"/>
      <c r="AVA18" s="493"/>
      <c r="AVB18" s="493"/>
      <c r="AVC18" s="493"/>
      <c r="AVD18" s="493"/>
      <c r="AVE18" s="493"/>
      <c r="AVF18" s="493"/>
      <c r="AVG18" s="493"/>
      <c r="AVH18" s="493"/>
      <c r="AVI18" s="493"/>
      <c r="AVJ18" s="493"/>
      <c r="AVK18" s="493"/>
      <c r="AVL18" s="493"/>
      <c r="AVM18" s="493"/>
      <c r="AVN18" s="493"/>
      <c r="AVO18" s="493"/>
      <c r="AVP18" s="493"/>
      <c r="AVQ18" s="493"/>
      <c r="AVR18" s="493"/>
      <c r="AVS18" s="493"/>
      <c r="AVT18" s="493"/>
      <c r="AVU18" s="493"/>
      <c r="AVV18" s="493"/>
      <c r="AVW18" s="493"/>
      <c r="AVX18" s="493"/>
      <c r="AVY18" s="493"/>
      <c r="AVZ18" s="493"/>
      <c r="AWA18" s="493"/>
      <c r="AWB18" s="493"/>
      <c r="AWC18" s="493"/>
      <c r="AWD18" s="493"/>
      <c r="AWE18" s="493"/>
      <c r="AWF18" s="493"/>
      <c r="AWG18" s="493"/>
      <c r="AWH18" s="493"/>
      <c r="AWI18" s="493"/>
      <c r="AWJ18" s="493"/>
      <c r="AWK18" s="493"/>
      <c r="AWL18" s="493"/>
      <c r="AWM18" s="493"/>
      <c r="AWN18" s="493"/>
      <c r="AWO18" s="493"/>
      <c r="AWP18" s="493"/>
      <c r="AWQ18" s="493"/>
      <c r="AWR18" s="493"/>
      <c r="AWS18" s="493"/>
      <c r="AWT18" s="493"/>
      <c r="AWU18" s="493"/>
      <c r="AWV18" s="493"/>
      <c r="AWW18" s="493"/>
      <c r="AWX18" s="493"/>
      <c r="AWY18" s="493"/>
      <c r="AWZ18" s="493"/>
      <c r="AXA18" s="493"/>
      <c r="AXB18" s="493"/>
      <c r="AXC18" s="493"/>
      <c r="AXD18" s="493"/>
      <c r="AXE18" s="493"/>
      <c r="AXF18" s="493"/>
      <c r="AXG18" s="493"/>
      <c r="AXH18" s="493"/>
      <c r="AXI18" s="493"/>
      <c r="AXJ18" s="493"/>
      <c r="AXK18" s="493"/>
      <c r="AXL18" s="493"/>
      <c r="AXM18" s="493"/>
      <c r="AXN18" s="493"/>
      <c r="AXO18" s="493"/>
      <c r="AXP18" s="493"/>
      <c r="AXQ18" s="493"/>
      <c r="AXR18" s="493"/>
      <c r="AXS18" s="493"/>
      <c r="AXT18" s="493"/>
      <c r="AXU18" s="493"/>
      <c r="AXV18" s="493"/>
      <c r="AXW18" s="493"/>
      <c r="AXX18" s="493"/>
      <c r="AXY18" s="493"/>
      <c r="AXZ18" s="493"/>
      <c r="AYA18" s="493"/>
      <c r="AYB18" s="493"/>
      <c r="AYC18" s="493"/>
      <c r="AYD18" s="493"/>
      <c r="AYE18" s="493"/>
      <c r="AYF18" s="493"/>
      <c r="AYG18" s="493"/>
      <c r="AYH18" s="493"/>
      <c r="AYI18" s="493"/>
      <c r="AYJ18" s="493"/>
      <c r="AYK18" s="493"/>
      <c r="AYL18" s="493"/>
      <c r="AYM18" s="493"/>
      <c r="AYN18" s="493"/>
      <c r="AYO18" s="493"/>
      <c r="AYP18" s="493"/>
      <c r="AYQ18" s="493"/>
      <c r="AYR18" s="493"/>
      <c r="AYS18" s="493"/>
      <c r="AYT18" s="493"/>
      <c r="AYU18" s="493"/>
      <c r="AYV18" s="493"/>
      <c r="AYW18" s="493"/>
      <c r="AYX18" s="493"/>
      <c r="AYY18" s="493"/>
      <c r="AYZ18" s="493"/>
      <c r="AZA18" s="493"/>
      <c r="AZB18" s="493"/>
      <c r="AZC18" s="493"/>
      <c r="AZD18" s="493"/>
      <c r="AZE18" s="493"/>
      <c r="AZF18" s="493"/>
      <c r="AZG18" s="493"/>
      <c r="AZH18" s="493"/>
      <c r="AZI18" s="493"/>
      <c r="AZJ18" s="493"/>
      <c r="AZK18" s="493"/>
      <c r="AZL18" s="493"/>
      <c r="AZM18" s="493"/>
      <c r="AZN18" s="493"/>
      <c r="AZO18" s="493"/>
      <c r="AZP18" s="493"/>
      <c r="AZQ18" s="493"/>
      <c r="AZR18" s="493"/>
      <c r="AZS18" s="493"/>
      <c r="AZT18" s="493"/>
      <c r="AZU18" s="493"/>
      <c r="AZV18" s="493"/>
      <c r="AZW18" s="493"/>
      <c r="AZX18" s="493"/>
      <c r="AZY18" s="493"/>
      <c r="AZZ18" s="493"/>
      <c r="BAA18" s="493"/>
      <c r="BAB18" s="493"/>
      <c r="BAC18" s="493"/>
      <c r="BAD18" s="493"/>
      <c r="BAE18" s="493"/>
      <c r="BAF18" s="493"/>
      <c r="BAG18" s="493"/>
      <c r="BAH18" s="493"/>
      <c r="BAI18" s="493"/>
      <c r="BAJ18" s="493"/>
      <c r="BAK18" s="493"/>
      <c r="BAL18" s="493"/>
      <c r="BAM18" s="493"/>
      <c r="BAN18" s="493"/>
      <c r="BAO18" s="493"/>
      <c r="BAP18" s="493"/>
      <c r="BAQ18" s="493"/>
      <c r="BAR18" s="493"/>
      <c r="BAS18" s="493"/>
      <c r="BAT18" s="493"/>
      <c r="BAU18" s="493"/>
      <c r="BAV18" s="493"/>
      <c r="BAW18" s="493"/>
      <c r="BAX18" s="493"/>
      <c r="BAY18" s="493"/>
      <c r="BAZ18" s="493"/>
      <c r="BBA18" s="493"/>
      <c r="BBB18" s="493"/>
      <c r="BBC18" s="493"/>
      <c r="BBD18" s="493"/>
      <c r="BBE18" s="493"/>
      <c r="BBF18" s="493"/>
      <c r="BBG18" s="493"/>
      <c r="BBH18" s="493"/>
      <c r="BBI18" s="493"/>
      <c r="BBJ18" s="493"/>
      <c r="BBK18" s="493"/>
      <c r="BBL18" s="493"/>
      <c r="BBM18" s="493"/>
      <c r="BBN18" s="493"/>
      <c r="BBO18" s="493"/>
      <c r="BBP18" s="493"/>
      <c r="BBQ18" s="493"/>
      <c r="BBR18" s="493"/>
      <c r="BBS18" s="493"/>
      <c r="BBT18" s="493"/>
      <c r="BBU18" s="493"/>
      <c r="BBV18" s="493"/>
      <c r="BBW18" s="493"/>
      <c r="BBX18" s="493"/>
      <c r="BBY18" s="493"/>
      <c r="BBZ18" s="493"/>
      <c r="BCA18" s="493"/>
      <c r="BCB18" s="493"/>
      <c r="BCC18" s="493"/>
      <c r="BCD18" s="493"/>
      <c r="BCE18" s="493"/>
      <c r="BCF18" s="493"/>
      <c r="BCG18" s="493"/>
      <c r="BCH18" s="493"/>
      <c r="BCI18" s="493"/>
      <c r="BCJ18" s="493"/>
      <c r="BCK18" s="493"/>
      <c r="BCL18" s="493"/>
      <c r="BCM18" s="493"/>
      <c r="BCN18" s="493"/>
      <c r="BCO18" s="493"/>
      <c r="BCP18" s="493"/>
      <c r="BCQ18" s="493"/>
      <c r="BCR18" s="493"/>
      <c r="BCS18" s="493"/>
      <c r="BCT18" s="493"/>
      <c r="BCU18" s="493"/>
      <c r="BCV18" s="493"/>
      <c r="BCW18" s="493"/>
      <c r="BCX18" s="493"/>
      <c r="BCY18" s="493"/>
      <c r="BCZ18" s="493"/>
      <c r="BDA18" s="493"/>
      <c r="BDB18" s="493"/>
      <c r="BDC18" s="493"/>
      <c r="BDD18" s="493"/>
      <c r="BDE18" s="493"/>
      <c r="BDF18" s="493"/>
      <c r="BDG18" s="493"/>
      <c r="BDH18" s="493"/>
      <c r="BDI18" s="493"/>
      <c r="BDJ18" s="493"/>
      <c r="BDK18" s="493"/>
      <c r="BDL18" s="493"/>
      <c r="BDM18" s="493"/>
      <c r="BDN18" s="493"/>
      <c r="BDO18" s="493"/>
      <c r="BDP18" s="493"/>
      <c r="BDQ18" s="493"/>
      <c r="BDR18" s="493"/>
      <c r="BDS18" s="493"/>
      <c r="BDT18" s="493"/>
      <c r="BDU18" s="493"/>
      <c r="BDV18" s="493"/>
      <c r="BDW18" s="493"/>
      <c r="BDX18" s="493"/>
      <c r="BDY18" s="493"/>
      <c r="BDZ18" s="493"/>
      <c r="BEA18" s="493"/>
      <c r="BEB18" s="493"/>
      <c r="BEC18" s="493"/>
      <c r="BED18" s="493"/>
      <c r="BEE18" s="493"/>
      <c r="BEF18" s="493"/>
      <c r="BEG18" s="493"/>
      <c r="BEH18" s="493"/>
      <c r="BEI18" s="493"/>
      <c r="BEJ18" s="493"/>
      <c r="BEK18" s="493"/>
      <c r="BEL18" s="493"/>
      <c r="BEM18" s="493"/>
      <c r="BEN18" s="493"/>
      <c r="BEO18" s="493"/>
      <c r="BEP18" s="493"/>
      <c r="BEQ18" s="493"/>
      <c r="BER18" s="493"/>
      <c r="BES18" s="493"/>
      <c r="BET18" s="493"/>
      <c r="BEU18" s="493"/>
      <c r="BEV18" s="493"/>
      <c r="BEW18" s="493"/>
      <c r="BEX18" s="493"/>
      <c r="BEY18" s="493"/>
      <c r="BEZ18" s="493"/>
      <c r="BFA18" s="493"/>
      <c r="BFB18" s="493"/>
      <c r="BFC18" s="493"/>
      <c r="BFD18" s="493"/>
      <c r="BFE18" s="493"/>
      <c r="BFF18" s="493"/>
      <c r="BFG18" s="493"/>
      <c r="BFH18" s="493"/>
      <c r="BFI18" s="493"/>
      <c r="BFJ18" s="493"/>
      <c r="BFK18" s="493"/>
      <c r="BFL18" s="493"/>
      <c r="BFM18" s="493"/>
      <c r="BFN18" s="493"/>
      <c r="BFO18" s="493"/>
      <c r="BFP18" s="493"/>
      <c r="BFQ18" s="493"/>
      <c r="BFR18" s="493"/>
      <c r="BFS18" s="493"/>
      <c r="BFT18" s="493"/>
      <c r="BFU18" s="493"/>
      <c r="BFV18" s="493"/>
      <c r="BFW18" s="493"/>
      <c r="BFX18" s="493"/>
      <c r="BFY18" s="493"/>
      <c r="BFZ18" s="493"/>
      <c r="BGA18" s="493"/>
      <c r="BGB18" s="493"/>
      <c r="BGC18" s="493"/>
      <c r="BGD18" s="493"/>
      <c r="BGE18" s="493"/>
      <c r="BGF18" s="493"/>
      <c r="BGG18" s="493"/>
      <c r="BGH18" s="493"/>
      <c r="BGI18" s="493"/>
      <c r="BGJ18" s="493"/>
      <c r="BGK18" s="493"/>
      <c r="BGL18" s="493"/>
      <c r="BGM18" s="493"/>
      <c r="BGN18" s="493"/>
      <c r="BGO18" s="493"/>
      <c r="BGP18" s="493"/>
      <c r="BGQ18" s="493"/>
      <c r="BGR18" s="493"/>
      <c r="BGS18" s="493"/>
      <c r="BGT18" s="493"/>
      <c r="BGU18" s="493"/>
      <c r="BGV18" s="493"/>
      <c r="BGW18" s="493"/>
      <c r="BGX18" s="493"/>
      <c r="BGY18" s="493"/>
      <c r="BGZ18" s="493"/>
      <c r="BHA18" s="493"/>
      <c r="BHB18" s="493"/>
      <c r="BHC18" s="493"/>
      <c r="BHD18" s="493"/>
      <c r="BHE18" s="493"/>
      <c r="BHF18" s="493"/>
      <c r="BHG18" s="493"/>
      <c r="BHH18" s="493"/>
      <c r="BHI18" s="493"/>
      <c r="BHJ18" s="493"/>
      <c r="BHK18" s="493"/>
      <c r="BHL18" s="493"/>
      <c r="BHM18" s="493"/>
      <c r="BHN18" s="493"/>
      <c r="BHO18" s="493"/>
      <c r="BHP18" s="493"/>
      <c r="BHQ18" s="493"/>
      <c r="BHR18" s="493"/>
      <c r="BHS18" s="493"/>
      <c r="BHT18" s="493"/>
      <c r="BHU18" s="493"/>
      <c r="BHV18" s="493"/>
      <c r="BHW18" s="493"/>
      <c r="BHX18" s="493"/>
      <c r="BHY18" s="493"/>
      <c r="BHZ18" s="493"/>
      <c r="BIA18" s="493"/>
      <c r="BIB18" s="493"/>
      <c r="BIC18" s="493"/>
      <c r="BID18" s="493"/>
      <c r="BIE18" s="493"/>
      <c r="BIF18" s="493"/>
      <c r="BIG18" s="493"/>
      <c r="BIH18" s="493"/>
      <c r="BII18" s="493"/>
      <c r="BIJ18" s="493"/>
      <c r="BIK18" s="493"/>
      <c r="BIL18" s="493"/>
      <c r="BIM18" s="493"/>
      <c r="BIN18" s="493"/>
      <c r="BIO18" s="493"/>
      <c r="BIP18" s="493"/>
      <c r="BIQ18" s="493"/>
      <c r="BIR18" s="493"/>
      <c r="BIS18" s="493"/>
      <c r="BIT18" s="493"/>
      <c r="BIU18" s="493"/>
      <c r="BIV18" s="493"/>
      <c r="BIW18" s="493"/>
      <c r="BIX18" s="493"/>
      <c r="BIY18" s="493"/>
      <c r="BIZ18" s="493"/>
      <c r="BJA18" s="493"/>
      <c r="BJB18" s="493"/>
      <c r="BJC18" s="493"/>
      <c r="BJD18" s="493"/>
      <c r="BJE18" s="493"/>
      <c r="BJF18" s="493"/>
      <c r="BJG18" s="493"/>
      <c r="BJH18" s="493"/>
      <c r="BJI18" s="493"/>
      <c r="BJJ18" s="493"/>
      <c r="BJK18" s="493"/>
      <c r="BJL18" s="493"/>
      <c r="BJM18" s="493"/>
      <c r="BJN18" s="493"/>
      <c r="BJO18" s="493"/>
      <c r="BJP18" s="493"/>
      <c r="BJQ18" s="493"/>
      <c r="BJR18" s="493"/>
      <c r="BJS18" s="493"/>
      <c r="BJT18" s="493"/>
      <c r="BJU18" s="493"/>
      <c r="BJV18" s="493"/>
      <c r="BJW18" s="493"/>
      <c r="BJX18" s="493"/>
      <c r="BJY18" s="493"/>
      <c r="BJZ18" s="493"/>
      <c r="BKA18" s="493"/>
      <c r="BKB18" s="493"/>
      <c r="BKC18" s="493"/>
      <c r="BKD18" s="493"/>
      <c r="BKE18" s="493"/>
      <c r="BKF18" s="493"/>
      <c r="BKG18" s="493"/>
      <c r="BKH18" s="493"/>
      <c r="BKI18" s="493"/>
      <c r="BKJ18" s="493"/>
      <c r="BKK18" s="493"/>
      <c r="BKL18" s="493"/>
      <c r="BKM18" s="493"/>
      <c r="BKN18" s="493"/>
      <c r="BKO18" s="493"/>
      <c r="BKP18" s="493"/>
      <c r="BKQ18" s="493"/>
      <c r="BKR18" s="493"/>
      <c r="BKS18" s="493"/>
      <c r="BKT18" s="493"/>
      <c r="BKU18" s="493"/>
      <c r="BKV18" s="493"/>
      <c r="BKW18" s="493"/>
      <c r="BKX18" s="493"/>
      <c r="BKY18" s="493"/>
      <c r="BKZ18" s="493"/>
      <c r="BLA18" s="493"/>
      <c r="BLB18" s="493"/>
      <c r="BLC18" s="493"/>
      <c r="BLD18" s="493"/>
      <c r="BLE18" s="493"/>
      <c r="BLF18" s="493"/>
      <c r="BLG18" s="493"/>
      <c r="BLH18" s="493"/>
      <c r="BLI18" s="493"/>
      <c r="BLJ18" s="493"/>
      <c r="BLK18" s="493"/>
      <c r="BLL18" s="493"/>
      <c r="BLM18" s="493"/>
      <c r="BLN18" s="493"/>
      <c r="BLO18" s="493"/>
      <c r="BLP18" s="493"/>
      <c r="BLQ18" s="493"/>
      <c r="BLR18" s="493"/>
      <c r="BLS18" s="493"/>
      <c r="BLT18" s="493"/>
      <c r="BLU18" s="493"/>
      <c r="BLV18" s="493"/>
      <c r="BLW18" s="493"/>
      <c r="BLX18" s="493"/>
      <c r="BLY18" s="493"/>
      <c r="BLZ18" s="493"/>
      <c r="BMA18" s="493"/>
      <c r="BMB18" s="493"/>
      <c r="BMC18" s="493"/>
      <c r="BMD18" s="493"/>
      <c r="BME18" s="493"/>
      <c r="BMF18" s="493"/>
      <c r="BMG18" s="493"/>
      <c r="BMH18" s="493"/>
      <c r="BMI18" s="493"/>
      <c r="BMJ18" s="493"/>
      <c r="BMK18" s="493"/>
      <c r="BML18" s="493"/>
      <c r="BMM18" s="493"/>
      <c r="BMN18" s="493"/>
      <c r="BMO18" s="493"/>
      <c r="BMP18" s="493"/>
      <c r="BMQ18" s="493"/>
      <c r="BMR18" s="493"/>
      <c r="BMS18" s="493"/>
      <c r="BMT18" s="493"/>
      <c r="BMU18" s="493"/>
      <c r="BMV18" s="493"/>
      <c r="BMW18" s="493"/>
      <c r="BMX18" s="493"/>
      <c r="BMY18" s="493"/>
      <c r="BMZ18" s="493"/>
      <c r="BNA18" s="493"/>
      <c r="BNB18" s="493"/>
      <c r="BNC18" s="493"/>
      <c r="BND18" s="493"/>
      <c r="BNE18" s="493"/>
      <c r="BNF18" s="493"/>
      <c r="BNG18" s="493"/>
      <c r="BNH18" s="493"/>
      <c r="BNI18" s="493"/>
      <c r="BNJ18" s="493"/>
      <c r="BNK18" s="493"/>
      <c r="BNL18" s="493"/>
      <c r="BNM18" s="493"/>
      <c r="BNN18" s="493"/>
      <c r="BNO18" s="493"/>
      <c r="BNP18" s="493"/>
      <c r="BNQ18" s="493"/>
      <c r="BNR18" s="493"/>
      <c r="BNS18" s="493"/>
      <c r="BNT18" s="493"/>
      <c r="BNU18" s="493"/>
      <c r="BNV18" s="493"/>
      <c r="BNW18" s="493"/>
      <c r="BNX18" s="493"/>
      <c r="BNY18" s="493"/>
      <c r="BNZ18" s="493"/>
      <c r="BOA18" s="493"/>
      <c r="BOB18" s="493"/>
      <c r="BOC18" s="493"/>
      <c r="BOD18" s="493"/>
      <c r="BOE18" s="493"/>
      <c r="BOF18" s="493"/>
      <c r="BOG18" s="493"/>
      <c r="BOH18" s="493"/>
      <c r="BOI18" s="493"/>
      <c r="BOJ18" s="493"/>
      <c r="BOK18" s="493"/>
      <c r="BOL18" s="493"/>
      <c r="BOM18" s="493"/>
      <c r="BON18" s="493"/>
      <c r="BOO18" s="493"/>
      <c r="BOP18" s="493"/>
      <c r="BOQ18" s="493"/>
      <c r="BOR18" s="493"/>
      <c r="BOS18" s="493"/>
      <c r="BOT18" s="493"/>
      <c r="BOU18" s="493"/>
      <c r="BOV18" s="493"/>
      <c r="BOW18" s="493"/>
      <c r="BOX18" s="493"/>
      <c r="BOY18" s="493"/>
      <c r="BOZ18" s="493"/>
      <c r="BPA18" s="493"/>
      <c r="BPB18" s="493"/>
      <c r="BPC18" s="493"/>
      <c r="BPD18" s="493"/>
      <c r="BPE18" s="493"/>
      <c r="BPF18" s="493"/>
      <c r="BPG18" s="493"/>
      <c r="BPH18" s="493"/>
      <c r="BPI18" s="493"/>
      <c r="BPJ18" s="493"/>
      <c r="BPK18" s="493"/>
      <c r="BPL18" s="493"/>
      <c r="BPM18" s="493"/>
      <c r="BPN18" s="493"/>
      <c r="BPO18" s="493"/>
      <c r="BPP18" s="493"/>
      <c r="BPQ18" s="493"/>
      <c r="BPR18" s="493"/>
      <c r="BPS18" s="493"/>
      <c r="BPT18" s="493"/>
      <c r="BPU18" s="493"/>
      <c r="BPV18" s="493"/>
      <c r="BPW18" s="493"/>
      <c r="BPX18" s="493"/>
      <c r="BPY18" s="493"/>
      <c r="BPZ18" s="493"/>
      <c r="BQA18" s="493"/>
      <c r="BQB18" s="493"/>
      <c r="BQC18" s="493"/>
      <c r="BQD18" s="493"/>
      <c r="BQE18" s="493"/>
      <c r="BQF18" s="493"/>
      <c r="BQG18" s="493"/>
      <c r="BQH18" s="493"/>
      <c r="BQI18" s="493"/>
      <c r="BQJ18" s="493"/>
      <c r="BQK18" s="493"/>
      <c r="BQL18" s="493"/>
      <c r="BQM18" s="493"/>
      <c r="BQN18" s="493"/>
      <c r="BQO18" s="493"/>
      <c r="BQP18" s="493"/>
      <c r="BQQ18" s="493"/>
      <c r="BQR18" s="493"/>
      <c r="BQS18" s="493"/>
      <c r="BQT18" s="493"/>
      <c r="BQU18" s="493"/>
      <c r="BQV18" s="493"/>
      <c r="BQW18" s="493"/>
      <c r="BQX18" s="493"/>
      <c r="BQY18" s="493"/>
      <c r="BQZ18" s="493"/>
      <c r="BRA18" s="493"/>
      <c r="BRB18" s="493"/>
      <c r="BRC18" s="493"/>
      <c r="BRD18" s="493"/>
      <c r="BRE18" s="493"/>
      <c r="BRF18" s="493"/>
      <c r="BRG18" s="493"/>
      <c r="BRH18" s="493"/>
      <c r="BRI18" s="493"/>
      <c r="BRJ18" s="493"/>
      <c r="BRK18" s="493"/>
      <c r="BRL18" s="493"/>
      <c r="BRM18" s="493"/>
      <c r="BRN18" s="493"/>
      <c r="BRO18" s="493"/>
      <c r="BRP18" s="493"/>
      <c r="BRQ18" s="493"/>
      <c r="BRR18" s="493"/>
      <c r="BRS18" s="493"/>
      <c r="BRT18" s="493"/>
      <c r="BRU18" s="493"/>
      <c r="BRV18" s="493"/>
      <c r="BRW18" s="493"/>
      <c r="BRX18" s="493"/>
      <c r="BRY18" s="493"/>
      <c r="BRZ18" s="493"/>
      <c r="BSA18" s="493"/>
      <c r="BSB18" s="493"/>
      <c r="BSC18" s="493"/>
      <c r="BSD18" s="493"/>
      <c r="BSE18" s="493"/>
      <c r="BSF18" s="493"/>
      <c r="BSG18" s="493"/>
      <c r="BSH18" s="493"/>
      <c r="BSI18" s="493"/>
      <c r="BSJ18" s="493"/>
      <c r="BSK18" s="493"/>
      <c r="BSL18" s="493"/>
      <c r="BSM18" s="493"/>
      <c r="BSN18" s="493"/>
      <c r="BSO18" s="493"/>
      <c r="BSP18" s="493"/>
      <c r="BSQ18" s="493"/>
      <c r="BSR18" s="493"/>
      <c r="BSS18" s="493"/>
      <c r="BST18" s="493"/>
      <c r="BSU18" s="493"/>
      <c r="BSV18" s="493"/>
      <c r="BSW18" s="493"/>
      <c r="BSX18" s="493"/>
      <c r="BSY18" s="493"/>
      <c r="BSZ18" s="493"/>
      <c r="BTA18" s="493"/>
      <c r="BTB18" s="493"/>
      <c r="BTC18" s="493"/>
      <c r="BTD18" s="493"/>
      <c r="BTE18" s="493"/>
      <c r="BTF18" s="493"/>
      <c r="BTG18" s="493"/>
      <c r="BTH18" s="493"/>
      <c r="BTI18" s="493"/>
      <c r="BTJ18" s="493"/>
      <c r="BTK18" s="493"/>
      <c r="BTL18" s="493"/>
      <c r="BTM18" s="493"/>
      <c r="BTN18" s="493"/>
      <c r="BTO18" s="493"/>
      <c r="BTP18" s="493"/>
      <c r="BTQ18" s="493"/>
      <c r="BTR18" s="493"/>
      <c r="BTS18" s="493"/>
      <c r="BTT18" s="493"/>
      <c r="BTU18" s="493"/>
      <c r="BTV18" s="493"/>
      <c r="BTW18" s="493"/>
      <c r="BTX18" s="493"/>
      <c r="BTY18" s="493"/>
      <c r="BTZ18" s="493"/>
      <c r="BUA18" s="493"/>
      <c r="BUB18" s="493"/>
      <c r="BUC18" s="493"/>
      <c r="BUD18" s="493"/>
      <c r="BUE18" s="493"/>
      <c r="BUF18" s="493"/>
      <c r="BUG18" s="493"/>
      <c r="BUH18" s="493"/>
      <c r="BUI18" s="493"/>
      <c r="BUJ18" s="493"/>
      <c r="BUK18" s="493"/>
      <c r="BUL18" s="493"/>
      <c r="BUM18" s="493"/>
      <c r="BUN18" s="493"/>
      <c r="BUO18" s="493"/>
      <c r="BUP18" s="493"/>
      <c r="BUQ18" s="493"/>
      <c r="BUR18" s="493"/>
      <c r="BUS18" s="493"/>
      <c r="BUT18" s="493"/>
      <c r="BUU18" s="493"/>
      <c r="BUV18" s="493"/>
      <c r="BUW18" s="493"/>
      <c r="BUX18" s="493"/>
      <c r="BUY18" s="493"/>
      <c r="BUZ18" s="493"/>
      <c r="BVA18" s="493"/>
      <c r="BVB18" s="493"/>
      <c r="BVC18" s="493"/>
      <c r="BVD18" s="493"/>
      <c r="BVE18" s="493"/>
      <c r="BVF18" s="493"/>
      <c r="BVG18" s="493"/>
      <c r="BVH18" s="493"/>
      <c r="BVI18" s="493"/>
      <c r="BVJ18" s="493"/>
      <c r="BVK18" s="493"/>
      <c r="BVL18" s="493"/>
      <c r="BVM18" s="493"/>
      <c r="BVN18" s="493"/>
      <c r="BVO18" s="493"/>
      <c r="BVP18" s="493"/>
      <c r="BVQ18" s="493"/>
      <c r="BVR18" s="493"/>
      <c r="BVS18" s="493"/>
      <c r="BVT18" s="493"/>
      <c r="BVU18" s="493"/>
      <c r="BVV18" s="493"/>
      <c r="BVW18" s="493"/>
      <c r="BVX18" s="493"/>
      <c r="BVY18" s="493"/>
      <c r="BVZ18" s="493"/>
      <c r="BWA18" s="493"/>
      <c r="BWB18" s="493"/>
      <c r="BWC18" s="493"/>
      <c r="BWD18" s="493"/>
      <c r="BWE18" s="493"/>
      <c r="BWF18" s="493"/>
      <c r="BWG18" s="493"/>
      <c r="BWH18" s="493"/>
      <c r="BWI18" s="493"/>
      <c r="BWJ18" s="493"/>
      <c r="BWK18" s="493"/>
      <c r="BWL18" s="493"/>
      <c r="BWM18" s="493"/>
      <c r="BWN18" s="493"/>
      <c r="BWO18" s="493"/>
      <c r="BWP18" s="493"/>
      <c r="BWQ18" s="493"/>
      <c r="BWR18" s="493"/>
      <c r="BWS18" s="493"/>
      <c r="BWT18" s="493"/>
      <c r="BWU18" s="493"/>
      <c r="BWV18" s="493"/>
      <c r="BWW18" s="493"/>
      <c r="BWX18" s="493"/>
      <c r="BWY18" s="493"/>
      <c r="BWZ18" s="493"/>
      <c r="BXA18" s="493"/>
      <c r="BXB18" s="493"/>
      <c r="BXC18" s="493"/>
      <c r="BXD18" s="493"/>
      <c r="BXE18" s="493"/>
      <c r="BXF18" s="493"/>
      <c r="BXG18" s="493"/>
      <c r="BXH18" s="493"/>
      <c r="BXI18" s="493"/>
      <c r="BXJ18" s="493"/>
      <c r="BXK18" s="493"/>
      <c r="BXL18" s="493"/>
      <c r="BXM18" s="493"/>
      <c r="BXN18" s="493"/>
      <c r="BXO18" s="493"/>
      <c r="BXP18" s="493"/>
      <c r="BXQ18" s="493"/>
      <c r="BXR18" s="493"/>
      <c r="BXS18" s="493"/>
      <c r="BXT18" s="493"/>
      <c r="BXU18" s="493"/>
      <c r="BXV18" s="493"/>
      <c r="BXW18" s="493"/>
      <c r="BXX18" s="493"/>
      <c r="BXY18" s="493"/>
      <c r="BXZ18" s="493"/>
      <c r="BYA18" s="493"/>
      <c r="BYB18" s="493"/>
      <c r="BYC18" s="493"/>
      <c r="BYD18" s="493"/>
      <c r="BYE18" s="493"/>
      <c r="BYF18" s="493"/>
      <c r="BYG18" s="493"/>
      <c r="BYH18" s="493"/>
      <c r="BYI18" s="493"/>
      <c r="BYJ18" s="493"/>
      <c r="BYK18" s="493"/>
      <c r="BYL18" s="493"/>
      <c r="BYM18" s="493"/>
      <c r="BYN18" s="493"/>
      <c r="BYO18" s="493"/>
      <c r="BYP18" s="493"/>
      <c r="BYQ18" s="493"/>
      <c r="BYR18" s="493"/>
      <c r="BYS18" s="493"/>
      <c r="BYT18" s="493"/>
      <c r="BYU18" s="493"/>
      <c r="BYV18" s="493"/>
      <c r="BYW18" s="493"/>
      <c r="BYX18" s="493"/>
      <c r="BYY18" s="493"/>
      <c r="BYZ18" s="493"/>
      <c r="BZA18" s="493"/>
      <c r="BZB18" s="493"/>
      <c r="BZC18" s="493"/>
      <c r="BZD18" s="493"/>
      <c r="BZE18" s="493"/>
      <c r="BZF18" s="493"/>
      <c r="BZG18" s="493"/>
      <c r="BZH18" s="493"/>
      <c r="BZI18" s="493"/>
      <c r="BZJ18" s="493"/>
      <c r="BZK18" s="493"/>
      <c r="BZL18" s="493"/>
      <c r="BZM18" s="493"/>
      <c r="BZN18" s="493"/>
      <c r="BZO18" s="493"/>
      <c r="BZP18" s="493"/>
      <c r="BZQ18" s="493"/>
      <c r="BZR18" s="493"/>
      <c r="BZS18" s="493"/>
      <c r="BZT18" s="493"/>
      <c r="BZU18" s="493"/>
      <c r="BZV18" s="493"/>
      <c r="BZW18" s="493"/>
      <c r="BZX18" s="493"/>
      <c r="BZY18" s="493"/>
      <c r="BZZ18" s="493"/>
      <c r="CAA18" s="493"/>
      <c r="CAB18" s="493"/>
      <c r="CAC18" s="493"/>
      <c r="CAD18" s="493"/>
      <c r="CAE18" s="493"/>
      <c r="CAF18" s="493"/>
      <c r="CAG18" s="493"/>
      <c r="CAH18" s="493"/>
      <c r="CAI18" s="493"/>
      <c r="CAJ18" s="493"/>
      <c r="CAK18" s="493"/>
      <c r="CAL18" s="493"/>
      <c r="CAM18" s="493"/>
      <c r="CAN18" s="493"/>
      <c r="CAO18" s="493"/>
      <c r="CAP18" s="493"/>
      <c r="CAQ18" s="493"/>
      <c r="CAR18" s="493"/>
      <c r="CAS18" s="493"/>
      <c r="CAT18" s="493"/>
      <c r="CAU18" s="493"/>
      <c r="CAV18" s="493"/>
      <c r="CAW18" s="493"/>
      <c r="CAX18" s="493"/>
      <c r="CAY18" s="493"/>
      <c r="CAZ18" s="493"/>
      <c r="CBA18" s="493"/>
      <c r="CBB18" s="493"/>
      <c r="CBC18" s="493"/>
      <c r="CBD18" s="493"/>
      <c r="CBE18" s="493"/>
      <c r="CBF18" s="493"/>
      <c r="CBG18" s="493"/>
      <c r="CBH18" s="493"/>
      <c r="CBI18" s="493"/>
      <c r="CBJ18" s="493"/>
      <c r="CBK18" s="493"/>
      <c r="CBL18" s="493"/>
      <c r="CBM18" s="493"/>
      <c r="CBN18" s="493"/>
      <c r="CBO18" s="493"/>
      <c r="CBP18" s="493"/>
      <c r="CBQ18" s="493"/>
      <c r="CBR18" s="493"/>
      <c r="CBS18" s="493"/>
      <c r="CBT18" s="493"/>
      <c r="CBU18" s="493"/>
      <c r="CBV18" s="493"/>
      <c r="CBW18" s="493"/>
      <c r="CBX18" s="493"/>
      <c r="CBY18" s="493"/>
      <c r="CBZ18" s="493"/>
      <c r="CCA18" s="493"/>
      <c r="CCB18" s="493"/>
      <c r="CCC18" s="493"/>
      <c r="CCD18" s="493"/>
      <c r="CCE18" s="493"/>
      <c r="CCF18" s="493"/>
      <c r="CCG18" s="493"/>
      <c r="CCH18" s="493"/>
      <c r="CCI18" s="493"/>
      <c r="CCJ18" s="493"/>
      <c r="CCK18" s="493"/>
      <c r="CCL18" s="493"/>
      <c r="CCM18" s="493"/>
      <c r="CCN18" s="493"/>
      <c r="CCO18" s="493"/>
      <c r="CCP18" s="493"/>
      <c r="CCQ18" s="493"/>
      <c r="CCR18" s="493"/>
      <c r="CCS18" s="493"/>
      <c r="CCT18" s="493"/>
      <c r="CCU18" s="493"/>
      <c r="CCV18" s="493"/>
      <c r="CCW18" s="493"/>
      <c r="CCX18" s="493"/>
      <c r="CCY18" s="493"/>
      <c r="CCZ18" s="493"/>
      <c r="CDA18" s="493"/>
      <c r="CDB18" s="493"/>
      <c r="CDC18" s="493"/>
      <c r="CDD18" s="493"/>
      <c r="CDE18" s="493"/>
      <c r="CDF18" s="493"/>
      <c r="CDG18" s="493"/>
      <c r="CDH18" s="493"/>
      <c r="CDI18" s="493"/>
      <c r="CDJ18" s="493"/>
      <c r="CDK18" s="493"/>
      <c r="CDL18" s="493"/>
      <c r="CDM18" s="493"/>
      <c r="CDN18" s="493"/>
      <c r="CDO18" s="493"/>
      <c r="CDP18" s="493"/>
      <c r="CDQ18" s="493"/>
      <c r="CDR18" s="493"/>
      <c r="CDS18" s="493"/>
      <c r="CDT18" s="493"/>
      <c r="CDU18" s="493"/>
      <c r="CDV18" s="493"/>
      <c r="CDW18" s="493"/>
      <c r="CDX18" s="493"/>
      <c r="CDY18" s="493"/>
      <c r="CDZ18" s="493"/>
      <c r="CEA18" s="493"/>
      <c r="CEB18" s="493"/>
      <c r="CEC18" s="493"/>
      <c r="CED18" s="493"/>
      <c r="CEE18" s="493"/>
      <c r="CEF18" s="493"/>
      <c r="CEG18" s="493"/>
      <c r="CEH18" s="493"/>
      <c r="CEI18" s="493"/>
      <c r="CEJ18" s="493"/>
      <c r="CEK18" s="493"/>
      <c r="CEL18" s="493"/>
      <c r="CEM18" s="493"/>
      <c r="CEN18" s="493"/>
      <c r="CEO18" s="493"/>
      <c r="CEP18" s="493"/>
      <c r="CEQ18" s="493"/>
      <c r="CER18" s="493"/>
      <c r="CES18" s="493"/>
      <c r="CET18" s="493"/>
      <c r="CEU18" s="493"/>
      <c r="CEV18" s="493"/>
      <c r="CEW18" s="493"/>
      <c r="CEX18" s="493"/>
      <c r="CEY18" s="493"/>
      <c r="CEZ18" s="493"/>
      <c r="CFA18" s="493"/>
      <c r="CFB18" s="493"/>
      <c r="CFC18" s="493"/>
      <c r="CFD18" s="493"/>
      <c r="CFE18" s="493"/>
      <c r="CFF18" s="493"/>
      <c r="CFG18" s="493"/>
      <c r="CFH18" s="493"/>
      <c r="CFI18" s="493"/>
      <c r="CFJ18" s="493"/>
      <c r="CFK18" s="493"/>
      <c r="CFL18" s="493"/>
      <c r="CFM18" s="493"/>
      <c r="CFN18" s="493"/>
      <c r="CFO18" s="493"/>
      <c r="CFP18" s="493"/>
      <c r="CFQ18" s="493"/>
      <c r="CFR18" s="493"/>
      <c r="CFS18" s="493"/>
      <c r="CFT18" s="493"/>
      <c r="CFU18" s="493"/>
      <c r="CFV18" s="493"/>
      <c r="CFW18" s="493"/>
      <c r="CFX18" s="493"/>
      <c r="CFY18" s="493"/>
      <c r="CFZ18" s="493"/>
      <c r="CGA18" s="493"/>
      <c r="CGB18" s="493"/>
      <c r="CGC18" s="493"/>
      <c r="CGD18" s="493"/>
      <c r="CGE18" s="493"/>
      <c r="CGF18" s="493"/>
      <c r="CGG18" s="493"/>
      <c r="CGH18" s="493"/>
      <c r="CGI18" s="493"/>
      <c r="CGJ18" s="493"/>
      <c r="CGK18" s="493"/>
      <c r="CGL18" s="493"/>
      <c r="CGM18" s="493"/>
      <c r="CGN18" s="493"/>
      <c r="CGO18" s="493"/>
      <c r="CGP18" s="493"/>
      <c r="CGQ18" s="493"/>
      <c r="CGR18" s="493"/>
      <c r="CGS18" s="493"/>
      <c r="CGT18" s="493"/>
      <c r="CGU18" s="493"/>
      <c r="CGV18" s="493"/>
      <c r="CGW18" s="493"/>
      <c r="CGX18" s="493"/>
      <c r="CGY18" s="493"/>
      <c r="CGZ18" s="493"/>
      <c r="CHA18" s="493"/>
      <c r="CHB18" s="493"/>
      <c r="CHC18" s="493"/>
      <c r="CHD18" s="493"/>
      <c r="CHE18" s="493"/>
      <c r="CHF18" s="493"/>
      <c r="CHG18" s="493"/>
      <c r="CHH18" s="493"/>
      <c r="CHI18" s="493"/>
      <c r="CHJ18" s="493"/>
      <c r="CHK18" s="493"/>
      <c r="CHL18" s="493"/>
      <c r="CHM18" s="493"/>
      <c r="CHN18" s="493"/>
      <c r="CHO18" s="493"/>
      <c r="CHP18" s="493"/>
      <c r="CHQ18" s="493"/>
      <c r="CHR18" s="493"/>
      <c r="CHS18" s="493"/>
      <c r="CHT18" s="493"/>
      <c r="CHU18" s="493"/>
      <c r="CHV18" s="493"/>
      <c r="CHW18" s="493"/>
      <c r="CHX18" s="493"/>
      <c r="CHY18" s="493"/>
      <c r="CHZ18" s="493"/>
      <c r="CIA18" s="493"/>
      <c r="CIB18" s="493"/>
      <c r="CIC18" s="493"/>
      <c r="CID18" s="493"/>
      <c r="CIE18" s="493"/>
      <c r="CIF18" s="493"/>
      <c r="CIG18" s="493"/>
      <c r="CIH18" s="493"/>
      <c r="CII18" s="493"/>
      <c r="CIJ18" s="493"/>
      <c r="CIK18" s="493"/>
      <c r="CIL18" s="493"/>
      <c r="CIM18" s="493"/>
      <c r="CIN18" s="493"/>
      <c r="CIO18" s="493"/>
      <c r="CIP18" s="493"/>
      <c r="CIQ18" s="493"/>
      <c r="CIR18" s="493"/>
      <c r="CIS18" s="493"/>
      <c r="CIT18" s="493"/>
      <c r="CIU18" s="493"/>
      <c r="CIV18" s="493"/>
      <c r="CIW18" s="493"/>
      <c r="CIX18" s="493"/>
      <c r="CIY18" s="493"/>
      <c r="CIZ18" s="493"/>
      <c r="CJA18" s="493"/>
      <c r="CJB18" s="493"/>
      <c r="CJC18" s="493"/>
      <c r="CJD18" s="493"/>
      <c r="CJE18" s="493"/>
      <c r="CJF18" s="493"/>
      <c r="CJG18" s="493"/>
      <c r="CJH18" s="493"/>
      <c r="CJI18" s="493"/>
      <c r="CJJ18" s="493"/>
      <c r="CJK18" s="493"/>
      <c r="CJL18" s="493"/>
      <c r="CJM18" s="493"/>
      <c r="CJN18" s="493"/>
      <c r="CJO18" s="493"/>
      <c r="CJP18" s="493"/>
      <c r="CJQ18" s="493"/>
      <c r="CJR18" s="493"/>
      <c r="CJS18" s="493"/>
      <c r="CJT18" s="493"/>
      <c r="CJU18" s="493"/>
      <c r="CJV18" s="493"/>
      <c r="CJW18" s="493"/>
      <c r="CJX18" s="493"/>
      <c r="CJY18" s="493"/>
      <c r="CJZ18" s="493"/>
      <c r="CKA18" s="493"/>
      <c r="CKB18" s="493"/>
      <c r="CKC18" s="493"/>
      <c r="CKD18" s="493"/>
      <c r="CKE18" s="493"/>
      <c r="CKF18" s="493"/>
      <c r="CKG18" s="493"/>
      <c r="CKH18" s="493"/>
      <c r="CKI18" s="493"/>
      <c r="CKJ18" s="493"/>
      <c r="CKK18" s="493"/>
      <c r="CKL18" s="493"/>
      <c r="CKM18" s="493"/>
      <c r="CKN18" s="493"/>
      <c r="CKO18" s="493"/>
      <c r="CKP18" s="493"/>
      <c r="CKQ18" s="493"/>
      <c r="CKR18" s="493"/>
      <c r="CKS18" s="493"/>
      <c r="CKT18" s="493"/>
      <c r="CKU18" s="493"/>
      <c r="CKV18" s="493"/>
      <c r="CKW18" s="493"/>
      <c r="CKX18" s="493"/>
      <c r="CKY18" s="493"/>
      <c r="CKZ18" s="493"/>
      <c r="CLA18" s="493"/>
      <c r="CLB18" s="493"/>
      <c r="CLC18" s="493"/>
      <c r="CLD18" s="493"/>
      <c r="CLE18" s="493"/>
      <c r="CLF18" s="493"/>
      <c r="CLG18" s="493"/>
      <c r="CLH18" s="493"/>
      <c r="CLI18" s="493"/>
      <c r="CLJ18" s="493"/>
      <c r="CLK18" s="493"/>
      <c r="CLL18" s="493"/>
      <c r="CLM18" s="493"/>
      <c r="CLN18" s="493"/>
      <c r="CLO18" s="493"/>
      <c r="CLP18" s="493"/>
      <c r="CLQ18" s="493"/>
      <c r="CLR18" s="493"/>
      <c r="CLS18" s="493"/>
      <c r="CLT18" s="493"/>
      <c r="CLU18" s="493"/>
      <c r="CLV18" s="493"/>
      <c r="CLW18" s="493"/>
      <c r="CLX18" s="493"/>
      <c r="CLY18" s="493"/>
      <c r="CLZ18" s="493"/>
      <c r="CMA18" s="493"/>
      <c r="CMB18" s="493"/>
      <c r="CMC18" s="493"/>
      <c r="CMD18" s="493"/>
      <c r="CME18" s="493"/>
      <c r="CMF18" s="493"/>
      <c r="CMG18" s="493"/>
      <c r="CMH18" s="493"/>
      <c r="CMI18" s="493"/>
      <c r="CMJ18" s="493"/>
      <c r="CMK18" s="493"/>
      <c r="CML18" s="493"/>
      <c r="CMM18" s="493"/>
      <c r="CMN18" s="493"/>
      <c r="CMO18" s="493"/>
      <c r="CMP18" s="493"/>
      <c r="CMQ18" s="493"/>
      <c r="CMR18" s="493"/>
      <c r="CMS18" s="493"/>
      <c r="CMT18" s="493"/>
      <c r="CMU18" s="493"/>
      <c r="CMV18" s="493"/>
      <c r="CMW18" s="493"/>
      <c r="CMX18" s="493"/>
      <c r="CMY18" s="493"/>
      <c r="CMZ18" s="493"/>
      <c r="CNA18" s="493"/>
      <c r="CNB18" s="493"/>
      <c r="CNC18" s="493"/>
      <c r="CND18" s="493"/>
      <c r="CNE18" s="493"/>
      <c r="CNF18" s="493"/>
      <c r="CNG18" s="493"/>
      <c r="CNH18" s="493"/>
      <c r="CNI18" s="493"/>
      <c r="CNJ18" s="493"/>
      <c r="CNK18" s="493"/>
      <c r="CNL18" s="493"/>
      <c r="CNM18" s="493"/>
      <c r="CNN18" s="493"/>
      <c r="CNO18" s="493"/>
      <c r="CNP18" s="493"/>
      <c r="CNQ18" s="493"/>
      <c r="CNR18" s="493"/>
      <c r="CNS18" s="493"/>
      <c r="CNT18" s="493"/>
      <c r="CNU18" s="493"/>
      <c r="CNV18" s="493"/>
      <c r="CNW18" s="493"/>
      <c r="CNX18" s="493"/>
      <c r="CNY18" s="493"/>
      <c r="CNZ18" s="493"/>
      <c r="COA18" s="493"/>
      <c r="COB18" s="493"/>
      <c r="COC18" s="493"/>
      <c r="COD18" s="493"/>
      <c r="COE18" s="493"/>
      <c r="COF18" s="493"/>
      <c r="COG18" s="493"/>
      <c r="COH18" s="493"/>
      <c r="COI18" s="493"/>
      <c r="COJ18" s="493"/>
      <c r="COK18" s="493"/>
      <c r="COL18" s="493"/>
      <c r="COM18" s="493"/>
      <c r="CON18" s="493"/>
      <c r="COO18" s="493"/>
      <c r="COP18" s="493"/>
      <c r="COQ18" s="493"/>
      <c r="COR18" s="493"/>
      <c r="COS18" s="493"/>
      <c r="COT18" s="493"/>
      <c r="COU18" s="493"/>
      <c r="COV18" s="493"/>
      <c r="COW18" s="493"/>
      <c r="COX18" s="493"/>
      <c r="COY18" s="493"/>
      <c r="COZ18" s="493"/>
      <c r="CPA18" s="493"/>
      <c r="CPB18" s="493"/>
      <c r="CPC18" s="493"/>
      <c r="CPD18" s="493"/>
      <c r="CPE18" s="493"/>
      <c r="CPF18" s="493"/>
      <c r="CPG18" s="493"/>
      <c r="CPH18" s="493"/>
      <c r="CPI18" s="493"/>
      <c r="CPJ18" s="493"/>
      <c r="CPK18" s="493"/>
      <c r="CPL18" s="493"/>
      <c r="CPM18" s="493"/>
      <c r="CPN18" s="493"/>
      <c r="CPO18" s="493"/>
      <c r="CPP18" s="493"/>
      <c r="CPQ18" s="493"/>
      <c r="CPR18" s="493"/>
      <c r="CPS18" s="493"/>
      <c r="CPT18" s="493"/>
      <c r="CPU18" s="493"/>
      <c r="CPV18" s="493"/>
      <c r="CPW18" s="493"/>
      <c r="CPX18" s="493"/>
      <c r="CPY18" s="493"/>
      <c r="CPZ18" s="493"/>
      <c r="CQA18" s="493"/>
      <c r="CQB18" s="493"/>
      <c r="CQC18" s="493"/>
      <c r="CQD18" s="493"/>
      <c r="CQE18" s="493"/>
      <c r="CQF18" s="493"/>
      <c r="CQG18" s="493"/>
      <c r="CQH18" s="493"/>
      <c r="CQI18" s="493"/>
      <c r="CQJ18" s="493"/>
      <c r="CQK18" s="493"/>
      <c r="CQL18" s="493"/>
      <c r="CQM18" s="493"/>
      <c r="CQN18" s="493"/>
      <c r="CQO18" s="493"/>
      <c r="CQP18" s="493"/>
      <c r="CQQ18" s="493"/>
      <c r="CQR18" s="493"/>
      <c r="CQS18" s="493"/>
      <c r="CQT18" s="493"/>
      <c r="CQU18" s="493"/>
      <c r="CQV18" s="493"/>
      <c r="CQW18" s="493"/>
      <c r="CQX18" s="493"/>
      <c r="CQY18" s="493"/>
      <c r="CQZ18" s="493"/>
      <c r="CRA18" s="493"/>
      <c r="CRB18" s="493"/>
      <c r="CRC18" s="493"/>
      <c r="CRD18" s="493"/>
      <c r="CRE18" s="493"/>
      <c r="CRF18" s="493"/>
      <c r="CRG18" s="493"/>
      <c r="CRH18" s="493"/>
      <c r="CRI18" s="493"/>
      <c r="CRJ18" s="493"/>
      <c r="CRK18" s="493"/>
      <c r="CRL18" s="493"/>
      <c r="CRM18" s="493"/>
      <c r="CRN18" s="493"/>
      <c r="CRO18" s="493"/>
      <c r="CRP18" s="493"/>
      <c r="CRQ18" s="493"/>
      <c r="CRR18" s="493"/>
      <c r="CRS18" s="493"/>
      <c r="CRT18" s="493"/>
      <c r="CRU18" s="493"/>
      <c r="CRV18" s="493"/>
      <c r="CRW18" s="493"/>
      <c r="CRX18" s="493"/>
      <c r="CRY18" s="493"/>
      <c r="CRZ18" s="493"/>
      <c r="CSA18" s="493"/>
      <c r="CSB18" s="493"/>
      <c r="CSC18" s="493"/>
      <c r="CSD18" s="493"/>
      <c r="CSE18" s="493"/>
      <c r="CSF18" s="493"/>
      <c r="CSG18" s="493"/>
      <c r="CSH18" s="493"/>
      <c r="CSI18" s="493"/>
      <c r="CSJ18" s="493"/>
      <c r="CSK18" s="493"/>
      <c r="CSL18" s="493"/>
      <c r="CSM18" s="493"/>
      <c r="CSN18" s="493"/>
      <c r="CSO18" s="493"/>
      <c r="CSP18" s="493"/>
      <c r="CSQ18" s="493"/>
      <c r="CSR18" s="493"/>
      <c r="CSS18" s="493"/>
      <c r="CST18" s="493"/>
      <c r="CSU18" s="493"/>
      <c r="CSV18" s="493"/>
      <c r="CSW18" s="493"/>
      <c r="CSX18" s="493"/>
      <c r="CSY18" s="493"/>
      <c r="CSZ18" s="493"/>
      <c r="CTA18" s="493"/>
      <c r="CTB18" s="493"/>
      <c r="CTC18" s="493"/>
      <c r="CTD18" s="493"/>
      <c r="CTE18" s="493"/>
      <c r="CTF18" s="493"/>
      <c r="CTG18" s="493"/>
      <c r="CTH18" s="493"/>
      <c r="CTI18" s="493"/>
      <c r="CTJ18" s="493"/>
      <c r="CTK18" s="493"/>
      <c r="CTL18" s="493"/>
      <c r="CTM18" s="493"/>
      <c r="CTN18" s="493"/>
      <c r="CTO18" s="493"/>
      <c r="CTP18" s="493"/>
      <c r="CTQ18" s="493"/>
      <c r="CTR18" s="493"/>
      <c r="CTS18" s="493"/>
      <c r="CTT18" s="493"/>
      <c r="CTU18" s="493"/>
      <c r="CTV18" s="493"/>
      <c r="CTW18" s="493"/>
      <c r="CTX18" s="493"/>
      <c r="CTY18" s="493"/>
      <c r="CTZ18" s="493"/>
      <c r="CUA18" s="493"/>
      <c r="CUB18" s="493"/>
      <c r="CUC18" s="493"/>
      <c r="CUD18" s="493"/>
      <c r="CUE18" s="493"/>
      <c r="CUF18" s="493"/>
      <c r="CUG18" s="493"/>
      <c r="CUH18" s="493"/>
      <c r="CUI18" s="493"/>
      <c r="CUJ18" s="493"/>
      <c r="CUK18" s="493"/>
      <c r="CUL18" s="493"/>
      <c r="CUM18" s="493"/>
      <c r="CUN18" s="493"/>
      <c r="CUO18" s="493"/>
      <c r="CUP18" s="493"/>
      <c r="CUQ18" s="493"/>
      <c r="CUR18" s="493"/>
      <c r="CUS18" s="493"/>
      <c r="CUT18" s="493"/>
      <c r="CUU18" s="493"/>
      <c r="CUV18" s="493"/>
      <c r="CUW18" s="493"/>
      <c r="CUX18" s="493"/>
      <c r="CUY18" s="493"/>
      <c r="CUZ18" s="493"/>
      <c r="CVA18" s="493"/>
      <c r="CVB18" s="493"/>
      <c r="CVC18" s="493"/>
      <c r="CVD18" s="493"/>
      <c r="CVE18" s="493"/>
      <c r="CVF18" s="493"/>
      <c r="CVG18" s="493"/>
      <c r="CVH18" s="493"/>
      <c r="CVI18" s="493"/>
      <c r="CVJ18" s="493"/>
      <c r="CVK18" s="493"/>
      <c r="CVL18" s="493"/>
      <c r="CVM18" s="493"/>
      <c r="CVN18" s="493"/>
      <c r="CVO18" s="493"/>
      <c r="CVP18" s="493"/>
      <c r="CVQ18" s="493"/>
      <c r="CVR18" s="493"/>
      <c r="CVS18" s="493"/>
      <c r="CVT18" s="493"/>
      <c r="CVU18" s="493"/>
      <c r="CVV18" s="493"/>
      <c r="CVW18" s="493"/>
      <c r="CVX18" s="493"/>
      <c r="CVY18" s="493"/>
      <c r="CVZ18" s="493"/>
      <c r="CWA18" s="493"/>
      <c r="CWB18" s="493"/>
      <c r="CWC18" s="493"/>
      <c r="CWD18" s="493"/>
      <c r="CWE18" s="493"/>
      <c r="CWF18" s="493"/>
      <c r="CWG18" s="493"/>
      <c r="CWH18" s="493"/>
      <c r="CWI18" s="493"/>
      <c r="CWJ18" s="493"/>
      <c r="CWK18" s="493"/>
      <c r="CWL18" s="493"/>
      <c r="CWM18" s="493"/>
      <c r="CWN18" s="493"/>
      <c r="CWO18" s="493"/>
      <c r="CWP18" s="493"/>
      <c r="CWQ18" s="493"/>
      <c r="CWR18" s="493"/>
      <c r="CWS18" s="493"/>
      <c r="CWT18" s="493"/>
      <c r="CWU18" s="493"/>
      <c r="CWV18" s="493"/>
      <c r="CWW18" s="493"/>
      <c r="CWX18" s="493"/>
      <c r="CWY18" s="493"/>
      <c r="CWZ18" s="493"/>
      <c r="CXA18" s="493"/>
      <c r="CXB18" s="493"/>
      <c r="CXC18" s="493"/>
      <c r="CXD18" s="493"/>
      <c r="CXE18" s="493"/>
      <c r="CXF18" s="493"/>
      <c r="CXG18" s="493"/>
      <c r="CXH18" s="493"/>
      <c r="CXI18" s="493"/>
      <c r="CXJ18" s="493"/>
      <c r="CXK18" s="493"/>
      <c r="CXL18" s="493"/>
      <c r="CXM18" s="493"/>
      <c r="CXN18" s="493"/>
      <c r="CXO18" s="493"/>
      <c r="CXP18" s="493"/>
      <c r="CXQ18" s="493"/>
      <c r="CXR18" s="493"/>
      <c r="CXS18" s="493"/>
      <c r="CXT18" s="493"/>
      <c r="CXU18" s="493"/>
      <c r="CXV18" s="493"/>
      <c r="CXW18" s="493"/>
      <c r="CXX18" s="493"/>
      <c r="CXY18" s="493"/>
      <c r="CXZ18" s="493"/>
      <c r="CYA18" s="493"/>
      <c r="CYB18" s="493"/>
      <c r="CYC18" s="493"/>
      <c r="CYD18" s="493"/>
      <c r="CYE18" s="493"/>
      <c r="CYF18" s="493"/>
      <c r="CYG18" s="493"/>
      <c r="CYH18" s="493"/>
      <c r="CYI18" s="493"/>
      <c r="CYJ18" s="493"/>
      <c r="CYK18" s="493"/>
      <c r="CYL18" s="493"/>
      <c r="CYM18" s="493"/>
      <c r="CYN18" s="493"/>
      <c r="CYO18" s="493"/>
      <c r="CYP18" s="493"/>
      <c r="CYQ18" s="493"/>
      <c r="CYR18" s="493"/>
      <c r="CYS18" s="493"/>
      <c r="CYT18" s="493"/>
      <c r="CYU18" s="493"/>
      <c r="CYV18" s="493"/>
      <c r="CYW18" s="493"/>
      <c r="CYX18" s="493"/>
      <c r="CYY18" s="493"/>
      <c r="CYZ18" s="493"/>
      <c r="CZA18" s="493"/>
      <c r="CZB18" s="493"/>
      <c r="CZC18" s="493"/>
      <c r="CZD18" s="493"/>
      <c r="CZE18" s="493"/>
      <c r="CZF18" s="493"/>
      <c r="CZG18" s="493"/>
      <c r="CZH18" s="493"/>
      <c r="CZI18" s="493"/>
      <c r="CZJ18" s="493"/>
      <c r="CZK18" s="493"/>
      <c r="CZL18" s="493"/>
      <c r="CZM18" s="493"/>
      <c r="CZN18" s="493"/>
      <c r="CZO18" s="493"/>
      <c r="CZP18" s="493"/>
      <c r="CZQ18" s="493"/>
      <c r="CZR18" s="493"/>
      <c r="CZS18" s="493"/>
      <c r="CZT18" s="493"/>
      <c r="CZU18" s="493"/>
      <c r="CZV18" s="493"/>
      <c r="CZW18" s="493"/>
      <c r="CZX18" s="493"/>
      <c r="CZY18" s="493"/>
      <c r="CZZ18" s="493"/>
      <c r="DAA18" s="493"/>
      <c r="DAB18" s="493"/>
      <c r="DAC18" s="493"/>
      <c r="DAD18" s="493"/>
      <c r="DAE18" s="493"/>
      <c r="DAF18" s="493"/>
      <c r="DAG18" s="493"/>
      <c r="DAH18" s="493"/>
      <c r="DAI18" s="493"/>
      <c r="DAJ18" s="493"/>
      <c r="DAK18" s="493"/>
      <c r="DAL18" s="493"/>
      <c r="DAM18" s="493"/>
      <c r="DAN18" s="493"/>
      <c r="DAO18" s="493"/>
      <c r="DAP18" s="493"/>
      <c r="DAQ18" s="493"/>
      <c r="DAR18" s="493"/>
      <c r="DAS18" s="493"/>
      <c r="DAT18" s="493"/>
      <c r="DAU18" s="493"/>
      <c r="DAV18" s="493"/>
      <c r="DAW18" s="493"/>
      <c r="DAX18" s="493"/>
      <c r="DAY18" s="493"/>
      <c r="DAZ18" s="493"/>
      <c r="DBA18" s="493"/>
      <c r="DBB18" s="493"/>
      <c r="DBC18" s="493"/>
      <c r="DBD18" s="493"/>
      <c r="DBE18" s="493"/>
      <c r="DBF18" s="493"/>
      <c r="DBG18" s="493"/>
      <c r="DBH18" s="493"/>
      <c r="DBI18" s="493"/>
      <c r="DBJ18" s="493"/>
      <c r="DBK18" s="493"/>
      <c r="DBL18" s="493"/>
      <c r="DBM18" s="493"/>
      <c r="DBN18" s="493"/>
      <c r="DBO18" s="493"/>
      <c r="DBP18" s="493"/>
      <c r="DBQ18" s="493"/>
      <c r="DBR18" s="493"/>
      <c r="DBS18" s="493"/>
      <c r="DBT18" s="493"/>
      <c r="DBU18" s="493"/>
      <c r="DBV18" s="493"/>
      <c r="DBW18" s="493"/>
      <c r="DBX18" s="493"/>
      <c r="DBY18" s="493"/>
      <c r="DBZ18" s="493"/>
      <c r="DCA18" s="493"/>
      <c r="DCB18" s="493"/>
      <c r="DCC18" s="493"/>
      <c r="DCD18" s="493"/>
      <c r="DCE18" s="493"/>
      <c r="DCF18" s="493"/>
      <c r="DCG18" s="493"/>
      <c r="DCH18" s="493"/>
      <c r="DCI18" s="493"/>
      <c r="DCJ18" s="493"/>
      <c r="DCK18" s="493"/>
      <c r="DCL18" s="493"/>
      <c r="DCM18" s="493"/>
      <c r="DCN18" s="493"/>
      <c r="DCO18" s="493"/>
      <c r="DCP18" s="493"/>
      <c r="DCQ18" s="493"/>
      <c r="DCR18" s="493"/>
      <c r="DCS18" s="493"/>
      <c r="DCT18" s="493"/>
      <c r="DCU18" s="493"/>
      <c r="DCV18" s="493"/>
      <c r="DCW18" s="493"/>
      <c r="DCX18" s="493"/>
      <c r="DCY18" s="493"/>
      <c r="DCZ18" s="493"/>
      <c r="DDA18" s="493"/>
      <c r="DDB18" s="493"/>
      <c r="DDC18" s="493"/>
      <c r="DDD18" s="493"/>
      <c r="DDE18" s="493"/>
      <c r="DDF18" s="493"/>
      <c r="DDG18" s="493"/>
      <c r="DDH18" s="493"/>
      <c r="DDI18" s="493"/>
      <c r="DDJ18" s="493"/>
      <c r="DDK18" s="493"/>
      <c r="DDL18" s="493"/>
      <c r="DDM18" s="493"/>
      <c r="DDN18" s="493"/>
      <c r="DDO18" s="493"/>
      <c r="DDP18" s="493"/>
      <c r="DDQ18" s="493"/>
      <c r="DDR18" s="493"/>
      <c r="DDS18" s="493"/>
      <c r="DDT18" s="493"/>
      <c r="DDU18" s="493"/>
      <c r="DDV18" s="493"/>
      <c r="DDW18" s="493"/>
      <c r="DDX18" s="493"/>
      <c r="DDY18" s="493"/>
      <c r="DDZ18" s="493"/>
      <c r="DEA18" s="493"/>
      <c r="DEB18" s="493"/>
      <c r="DEC18" s="493"/>
      <c r="DED18" s="493"/>
      <c r="DEE18" s="493"/>
      <c r="DEF18" s="493"/>
      <c r="DEG18" s="493"/>
      <c r="DEH18" s="493"/>
      <c r="DEI18" s="493"/>
      <c r="DEJ18" s="493"/>
      <c r="DEK18" s="493"/>
      <c r="DEL18" s="493"/>
      <c r="DEM18" s="493"/>
      <c r="DEN18" s="493"/>
      <c r="DEO18" s="493"/>
      <c r="DEP18" s="493"/>
      <c r="DEQ18" s="493"/>
      <c r="DER18" s="493"/>
      <c r="DES18" s="493"/>
      <c r="DET18" s="493"/>
      <c r="DEU18" s="493"/>
      <c r="DEV18" s="493"/>
      <c r="DEW18" s="493"/>
      <c r="DEX18" s="493"/>
      <c r="DEY18" s="493"/>
      <c r="DEZ18" s="493"/>
      <c r="DFA18" s="493"/>
      <c r="DFB18" s="493"/>
      <c r="DFC18" s="493"/>
      <c r="DFD18" s="493"/>
      <c r="DFE18" s="493"/>
      <c r="DFF18" s="493"/>
      <c r="DFG18" s="493"/>
      <c r="DFH18" s="493"/>
      <c r="DFI18" s="493"/>
      <c r="DFJ18" s="493"/>
      <c r="DFK18" s="493"/>
      <c r="DFL18" s="493"/>
      <c r="DFM18" s="493"/>
      <c r="DFN18" s="493"/>
      <c r="DFO18" s="493"/>
      <c r="DFP18" s="493"/>
      <c r="DFQ18" s="493"/>
      <c r="DFR18" s="493"/>
      <c r="DFS18" s="493"/>
      <c r="DFT18" s="493"/>
      <c r="DFU18" s="493"/>
      <c r="DFV18" s="493"/>
      <c r="DFW18" s="493"/>
      <c r="DFX18" s="493"/>
      <c r="DFY18" s="493"/>
      <c r="DFZ18" s="493"/>
      <c r="DGA18" s="493"/>
      <c r="DGB18" s="493"/>
      <c r="DGC18" s="493"/>
      <c r="DGD18" s="493"/>
      <c r="DGE18" s="493"/>
      <c r="DGF18" s="493"/>
      <c r="DGG18" s="493"/>
      <c r="DGH18" s="493"/>
      <c r="DGI18" s="493"/>
      <c r="DGJ18" s="493"/>
      <c r="DGK18" s="493"/>
      <c r="DGL18" s="493"/>
      <c r="DGM18" s="493"/>
      <c r="DGN18" s="493"/>
      <c r="DGO18" s="493"/>
      <c r="DGP18" s="493"/>
      <c r="DGQ18" s="493"/>
      <c r="DGR18" s="493"/>
      <c r="DGS18" s="493"/>
      <c r="DGT18" s="493"/>
      <c r="DGU18" s="493"/>
      <c r="DGV18" s="493"/>
      <c r="DGW18" s="493"/>
      <c r="DGX18" s="493"/>
      <c r="DGY18" s="493"/>
      <c r="DGZ18" s="493"/>
      <c r="DHA18" s="493"/>
      <c r="DHB18" s="493"/>
      <c r="DHC18" s="493"/>
      <c r="DHD18" s="493"/>
      <c r="DHE18" s="493"/>
      <c r="DHF18" s="493"/>
      <c r="DHG18" s="493"/>
      <c r="DHH18" s="493"/>
      <c r="DHI18" s="493"/>
      <c r="DHJ18" s="493"/>
      <c r="DHK18" s="493"/>
      <c r="DHL18" s="493"/>
      <c r="DHM18" s="493"/>
      <c r="DHN18" s="493"/>
      <c r="DHO18" s="493"/>
      <c r="DHP18" s="493"/>
      <c r="DHQ18" s="493"/>
      <c r="DHR18" s="493"/>
      <c r="DHS18" s="493"/>
      <c r="DHT18" s="493"/>
      <c r="DHU18" s="493"/>
      <c r="DHV18" s="493"/>
      <c r="DHW18" s="493"/>
      <c r="DHX18" s="493"/>
      <c r="DHY18" s="493"/>
      <c r="DHZ18" s="493"/>
      <c r="DIA18" s="493"/>
      <c r="DIB18" s="493"/>
      <c r="DIC18" s="493"/>
      <c r="DID18" s="493"/>
      <c r="DIE18" s="493"/>
      <c r="DIF18" s="493"/>
      <c r="DIG18" s="493"/>
      <c r="DIH18" s="493"/>
      <c r="DII18" s="493"/>
      <c r="DIJ18" s="493"/>
      <c r="DIK18" s="493"/>
      <c r="DIL18" s="493"/>
      <c r="DIM18" s="493"/>
      <c r="DIN18" s="493"/>
      <c r="DIO18" s="493"/>
      <c r="DIP18" s="493"/>
      <c r="DIQ18" s="493"/>
      <c r="DIR18" s="493"/>
      <c r="DIS18" s="493"/>
      <c r="DIT18" s="493"/>
      <c r="DIU18" s="493"/>
      <c r="DIV18" s="493"/>
      <c r="DIW18" s="493"/>
      <c r="DIX18" s="493"/>
      <c r="DIY18" s="493"/>
      <c r="DIZ18" s="493"/>
      <c r="DJA18" s="493"/>
      <c r="DJB18" s="493"/>
      <c r="DJC18" s="493"/>
      <c r="DJD18" s="493"/>
      <c r="DJE18" s="493"/>
      <c r="DJF18" s="493"/>
      <c r="DJG18" s="493"/>
      <c r="DJH18" s="493"/>
      <c r="DJI18" s="493"/>
      <c r="DJJ18" s="493"/>
      <c r="DJK18" s="493"/>
      <c r="DJL18" s="493"/>
      <c r="DJM18" s="493"/>
      <c r="DJN18" s="493"/>
      <c r="DJO18" s="493"/>
      <c r="DJP18" s="493"/>
      <c r="DJQ18" s="493"/>
      <c r="DJR18" s="493"/>
      <c r="DJS18" s="493"/>
      <c r="DJT18" s="493"/>
      <c r="DJU18" s="493"/>
      <c r="DJV18" s="493"/>
      <c r="DJW18" s="493"/>
      <c r="DJX18" s="493"/>
      <c r="DJY18" s="493"/>
      <c r="DJZ18" s="493"/>
      <c r="DKA18" s="493"/>
      <c r="DKB18" s="493"/>
      <c r="DKC18" s="493"/>
      <c r="DKD18" s="493"/>
      <c r="DKE18" s="493"/>
      <c r="DKF18" s="493"/>
      <c r="DKG18" s="493"/>
      <c r="DKH18" s="493"/>
      <c r="DKI18" s="493"/>
      <c r="DKJ18" s="493"/>
      <c r="DKK18" s="493"/>
      <c r="DKL18" s="493"/>
      <c r="DKM18" s="493"/>
      <c r="DKN18" s="493"/>
      <c r="DKO18" s="493"/>
      <c r="DKP18" s="493"/>
      <c r="DKQ18" s="493"/>
      <c r="DKR18" s="493"/>
      <c r="DKS18" s="493"/>
      <c r="DKT18" s="493"/>
      <c r="DKU18" s="493"/>
      <c r="DKV18" s="493"/>
      <c r="DKW18" s="493"/>
      <c r="DKX18" s="493"/>
      <c r="DKY18" s="493"/>
      <c r="DKZ18" s="493"/>
      <c r="DLA18" s="493"/>
      <c r="DLB18" s="493"/>
      <c r="DLC18" s="493"/>
      <c r="DLD18" s="493"/>
      <c r="DLE18" s="493"/>
      <c r="DLF18" s="493"/>
      <c r="DLG18" s="493"/>
      <c r="DLH18" s="493"/>
      <c r="DLI18" s="493"/>
      <c r="DLJ18" s="493"/>
      <c r="DLK18" s="493"/>
      <c r="DLL18" s="493"/>
      <c r="DLM18" s="493"/>
      <c r="DLN18" s="493"/>
      <c r="DLO18" s="493"/>
      <c r="DLP18" s="493"/>
      <c r="DLQ18" s="493"/>
      <c r="DLR18" s="493"/>
      <c r="DLS18" s="493"/>
      <c r="DLT18" s="493"/>
      <c r="DLU18" s="493"/>
      <c r="DLV18" s="493"/>
      <c r="DLW18" s="493"/>
      <c r="DLX18" s="493"/>
      <c r="DLY18" s="493"/>
      <c r="DLZ18" s="493"/>
      <c r="DMA18" s="493"/>
      <c r="DMB18" s="493"/>
      <c r="DMC18" s="493"/>
      <c r="DMD18" s="493"/>
      <c r="DME18" s="493"/>
      <c r="DMF18" s="493"/>
      <c r="DMG18" s="493"/>
      <c r="DMH18" s="493"/>
      <c r="DMI18" s="493"/>
      <c r="DMJ18" s="493"/>
      <c r="DMK18" s="493"/>
      <c r="DML18" s="493"/>
      <c r="DMM18" s="493"/>
      <c r="DMN18" s="493"/>
      <c r="DMO18" s="493"/>
      <c r="DMP18" s="493"/>
      <c r="DMQ18" s="493"/>
      <c r="DMR18" s="493"/>
      <c r="DMS18" s="493"/>
      <c r="DMT18" s="493"/>
      <c r="DMU18" s="493"/>
      <c r="DMV18" s="493"/>
      <c r="DMW18" s="493"/>
      <c r="DMX18" s="493"/>
      <c r="DMY18" s="493"/>
      <c r="DMZ18" s="493"/>
      <c r="DNA18" s="493"/>
      <c r="DNB18" s="493"/>
      <c r="DNC18" s="493"/>
      <c r="DND18" s="493"/>
      <c r="DNE18" s="493"/>
      <c r="DNF18" s="493"/>
      <c r="DNG18" s="493"/>
      <c r="DNH18" s="493"/>
      <c r="DNI18" s="493"/>
      <c r="DNJ18" s="493"/>
      <c r="DNK18" s="493"/>
      <c r="DNL18" s="493"/>
      <c r="DNM18" s="493"/>
      <c r="DNN18" s="493"/>
      <c r="DNO18" s="493"/>
      <c r="DNP18" s="493"/>
      <c r="DNQ18" s="493"/>
      <c r="DNR18" s="493"/>
      <c r="DNS18" s="493"/>
      <c r="DNT18" s="493"/>
      <c r="DNU18" s="493"/>
      <c r="DNV18" s="493"/>
      <c r="DNW18" s="493"/>
      <c r="DNX18" s="493"/>
      <c r="DNY18" s="493"/>
      <c r="DNZ18" s="493"/>
      <c r="DOA18" s="493"/>
      <c r="DOB18" s="493"/>
      <c r="DOC18" s="493"/>
      <c r="DOD18" s="493"/>
      <c r="DOE18" s="493"/>
      <c r="DOF18" s="493"/>
      <c r="DOG18" s="493"/>
      <c r="DOH18" s="493"/>
      <c r="DOI18" s="493"/>
      <c r="DOJ18" s="493"/>
      <c r="DOK18" s="493"/>
      <c r="DOL18" s="493"/>
      <c r="DOM18" s="493"/>
      <c r="DON18" s="493"/>
      <c r="DOO18" s="493"/>
      <c r="DOP18" s="493"/>
      <c r="DOQ18" s="493"/>
      <c r="DOR18" s="493"/>
      <c r="DOS18" s="493"/>
      <c r="DOT18" s="493"/>
      <c r="DOU18" s="493"/>
      <c r="DOV18" s="493"/>
      <c r="DOW18" s="493"/>
      <c r="DOX18" s="493"/>
      <c r="DOY18" s="493"/>
      <c r="DOZ18" s="493"/>
      <c r="DPA18" s="493"/>
      <c r="DPB18" s="493"/>
      <c r="DPC18" s="493"/>
      <c r="DPD18" s="493"/>
      <c r="DPE18" s="493"/>
      <c r="DPF18" s="493"/>
      <c r="DPG18" s="493"/>
      <c r="DPH18" s="493"/>
      <c r="DPI18" s="493"/>
      <c r="DPJ18" s="493"/>
      <c r="DPK18" s="493"/>
      <c r="DPL18" s="493"/>
      <c r="DPM18" s="493"/>
      <c r="DPN18" s="493"/>
      <c r="DPO18" s="493"/>
      <c r="DPP18" s="493"/>
      <c r="DPQ18" s="493"/>
      <c r="DPR18" s="493"/>
      <c r="DPS18" s="493"/>
      <c r="DPT18" s="493"/>
      <c r="DPU18" s="493"/>
      <c r="DPV18" s="493"/>
      <c r="DPW18" s="493"/>
      <c r="DPX18" s="493"/>
      <c r="DPY18" s="493"/>
      <c r="DPZ18" s="493"/>
      <c r="DQA18" s="493"/>
      <c r="DQB18" s="493"/>
      <c r="DQC18" s="493"/>
      <c r="DQD18" s="493"/>
      <c r="DQE18" s="493"/>
      <c r="DQF18" s="493"/>
      <c r="DQG18" s="493"/>
      <c r="DQH18" s="493"/>
      <c r="DQI18" s="493"/>
      <c r="DQJ18" s="493"/>
      <c r="DQK18" s="493"/>
      <c r="DQL18" s="493"/>
      <c r="DQM18" s="493"/>
      <c r="DQN18" s="493"/>
      <c r="DQO18" s="493"/>
      <c r="DQP18" s="493"/>
      <c r="DQQ18" s="493"/>
      <c r="DQR18" s="493"/>
      <c r="DQS18" s="493"/>
      <c r="DQT18" s="493"/>
      <c r="DQU18" s="493"/>
      <c r="DQV18" s="493"/>
      <c r="DQW18" s="493"/>
      <c r="DQX18" s="493"/>
      <c r="DQY18" s="493"/>
      <c r="DQZ18" s="493"/>
      <c r="DRA18" s="493"/>
      <c r="DRB18" s="493"/>
      <c r="DRC18" s="493"/>
      <c r="DRD18" s="493"/>
      <c r="DRE18" s="493"/>
      <c r="DRF18" s="493"/>
      <c r="DRG18" s="493"/>
      <c r="DRH18" s="493"/>
      <c r="DRI18" s="493"/>
      <c r="DRJ18" s="493"/>
      <c r="DRK18" s="493"/>
      <c r="DRL18" s="493"/>
      <c r="DRM18" s="493"/>
      <c r="DRN18" s="493"/>
      <c r="DRO18" s="493"/>
      <c r="DRP18" s="493"/>
      <c r="DRQ18" s="493"/>
      <c r="DRR18" s="493"/>
      <c r="DRS18" s="493"/>
      <c r="DRT18" s="493"/>
      <c r="DRU18" s="493"/>
      <c r="DRV18" s="493"/>
      <c r="DRW18" s="493"/>
      <c r="DRX18" s="493"/>
      <c r="DRY18" s="493"/>
      <c r="DRZ18" s="493"/>
      <c r="DSA18" s="493"/>
      <c r="DSB18" s="493"/>
      <c r="DSC18" s="493"/>
      <c r="DSD18" s="493"/>
      <c r="DSE18" s="493"/>
      <c r="DSF18" s="493"/>
      <c r="DSG18" s="493"/>
      <c r="DSH18" s="493"/>
      <c r="DSI18" s="493"/>
      <c r="DSJ18" s="493"/>
      <c r="DSK18" s="493"/>
      <c r="DSL18" s="493"/>
      <c r="DSM18" s="493"/>
      <c r="DSN18" s="493"/>
      <c r="DSO18" s="493"/>
      <c r="DSP18" s="493"/>
      <c r="DSQ18" s="493"/>
      <c r="DSR18" s="493"/>
      <c r="DSS18" s="493"/>
      <c r="DST18" s="493"/>
      <c r="DSU18" s="493"/>
      <c r="DSV18" s="493"/>
      <c r="DSW18" s="493"/>
      <c r="DSX18" s="493"/>
      <c r="DSY18" s="493"/>
      <c r="DSZ18" s="493"/>
      <c r="DTA18" s="493"/>
      <c r="DTB18" s="493"/>
      <c r="DTC18" s="493"/>
      <c r="DTD18" s="493"/>
      <c r="DTE18" s="493"/>
      <c r="DTF18" s="493"/>
      <c r="DTG18" s="493"/>
      <c r="DTH18" s="493"/>
      <c r="DTI18" s="493"/>
      <c r="DTJ18" s="493"/>
      <c r="DTK18" s="493"/>
      <c r="DTL18" s="493"/>
      <c r="DTM18" s="493"/>
      <c r="DTN18" s="493"/>
      <c r="DTO18" s="493"/>
      <c r="DTP18" s="493"/>
      <c r="DTQ18" s="493"/>
      <c r="DTR18" s="493"/>
      <c r="DTS18" s="493"/>
      <c r="DTT18" s="493"/>
      <c r="DTU18" s="493"/>
      <c r="DTV18" s="493"/>
      <c r="DTW18" s="493"/>
      <c r="DTX18" s="493"/>
      <c r="DTY18" s="493"/>
      <c r="DTZ18" s="493"/>
      <c r="DUA18" s="493"/>
      <c r="DUB18" s="493"/>
      <c r="DUC18" s="493"/>
      <c r="DUD18" s="493"/>
      <c r="DUE18" s="493"/>
      <c r="DUF18" s="493"/>
      <c r="DUG18" s="493"/>
      <c r="DUH18" s="493"/>
      <c r="DUI18" s="493"/>
      <c r="DUJ18" s="493"/>
      <c r="DUK18" s="493"/>
      <c r="DUL18" s="493"/>
      <c r="DUM18" s="493"/>
      <c r="DUN18" s="493"/>
      <c r="DUO18" s="493"/>
      <c r="DUP18" s="493"/>
      <c r="DUQ18" s="493"/>
      <c r="DUR18" s="493"/>
      <c r="DUS18" s="493"/>
      <c r="DUT18" s="493"/>
      <c r="DUU18" s="493"/>
      <c r="DUV18" s="493"/>
      <c r="DUW18" s="493"/>
      <c r="DUX18" s="493"/>
      <c r="DUY18" s="493"/>
      <c r="DUZ18" s="493"/>
      <c r="DVA18" s="493"/>
      <c r="DVB18" s="493"/>
      <c r="DVC18" s="493"/>
      <c r="DVD18" s="493"/>
      <c r="DVE18" s="493"/>
      <c r="DVF18" s="493"/>
      <c r="DVG18" s="493"/>
      <c r="DVH18" s="493"/>
      <c r="DVI18" s="493"/>
      <c r="DVJ18" s="493"/>
      <c r="DVK18" s="493"/>
      <c r="DVL18" s="493"/>
      <c r="DVM18" s="493"/>
      <c r="DVN18" s="493"/>
      <c r="DVO18" s="493"/>
      <c r="DVP18" s="493"/>
      <c r="DVQ18" s="493"/>
      <c r="DVR18" s="493"/>
      <c r="DVS18" s="493"/>
      <c r="DVT18" s="493"/>
      <c r="DVU18" s="493"/>
      <c r="DVV18" s="493"/>
      <c r="DVW18" s="493"/>
      <c r="DVX18" s="493"/>
      <c r="DVY18" s="493"/>
      <c r="DVZ18" s="493"/>
      <c r="DWA18" s="493"/>
      <c r="DWB18" s="493"/>
      <c r="DWC18" s="493"/>
      <c r="DWD18" s="493"/>
      <c r="DWE18" s="493"/>
      <c r="DWF18" s="493"/>
      <c r="DWG18" s="493"/>
      <c r="DWH18" s="493"/>
      <c r="DWI18" s="493"/>
      <c r="DWJ18" s="493"/>
      <c r="DWK18" s="493"/>
      <c r="DWL18" s="493"/>
      <c r="DWM18" s="493"/>
      <c r="DWN18" s="493"/>
      <c r="DWO18" s="493"/>
      <c r="DWP18" s="493"/>
      <c r="DWQ18" s="493"/>
      <c r="DWR18" s="493"/>
      <c r="DWS18" s="493"/>
      <c r="DWT18" s="493"/>
      <c r="DWU18" s="493"/>
      <c r="DWV18" s="493"/>
      <c r="DWW18" s="493"/>
      <c r="DWX18" s="493"/>
      <c r="DWY18" s="493"/>
      <c r="DWZ18" s="493"/>
      <c r="DXA18" s="493"/>
      <c r="DXB18" s="493"/>
      <c r="DXC18" s="493"/>
      <c r="DXD18" s="493"/>
      <c r="DXE18" s="493"/>
      <c r="DXF18" s="493"/>
      <c r="DXG18" s="493"/>
      <c r="DXH18" s="493"/>
      <c r="DXI18" s="493"/>
      <c r="DXJ18" s="493"/>
      <c r="DXK18" s="493"/>
      <c r="DXL18" s="493"/>
      <c r="DXM18" s="493"/>
      <c r="DXN18" s="493"/>
      <c r="DXO18" s="493"/>
      <c r="DXP18" s="493"/>
      <c r="DXQ18" s="493"/>
      <c r="DXR18" s="493"/>
      <c r="DXS18" s="493"/>
      <c r="DXT18" s="493"/>
      <c r="DXU18" s="493"/>
      <c r="DXV18" s="493"/>
      <c r="DXW18" s="493"/>
      <c r="DXX18" s="493"/>
      <c r="DXY18" s="493"/>
      <c r="DXZ18" s="493"/>
      <c r="DYA18" s="493"/>
      <c r="DYB18" s="493"/>
      <c r="DYC18" s="493"/>
      <c r="DYD18" s="493"/>
      <c r="DYE18" s="493"/>
      <c r="DYF18" s="493"/>
      <c r="DYG18" s="493"/>
      <c r="DYH18" s="493"/>
      <c r="DYI18" s="493"/>
      <c r="DYJ18" s="493"/>
      <c r="DYK18" s="493"/>
      <c r="DYL18" s="493"/>
      <c r="DYM18" s="493"/>
      <c r="DYN18" s="493"/>
      <c r="DYO18" s="493"/>
      <c r="DYP18" s="493"/>
      <c r="DYQ18" s="493"/>
      <c r="DYR18" s="493"/>
      <c r="DYS18" s="493"/>
      <c r="DYT18" s="493"/>
      <c r="DYU18" s="493"/>
      <c r="DYV18" s="493"/>
      <c r="DYW18" s="493"/>
      <c r="DYX18" s="493"/>
      <c r="DYY18" s="493"/>
      <c r="DYZ18" s="493"/>
      <c r="DZA18" s="493"/>
      <c r="DZB18" s="493"/>
      <c r="DZC18" s="493"/>
      <c r="DZD18" s="493"/>
      <c r="DZE18" s="493"/>
      <c r="DZF18" s="493"/>
      <c r="DZG18" s="493"/>
      <c r="DZH18" s="493"/>
      <c r="DZI18" s="493"/>
      <c r="DZJ18" s="493"/>
      <c r="DZK18" s="493"/>
      <c r="DZL18" s="493"/>
      <c r="DZM18" s="493"/>
      <c r="DZN18" s="493"/>
      <c r="DZO18" s="493"/>
      <c r="DZP18" s="493"/>
      <c r="DZQ18" s="493"/>
      <c r="DZR18" s="493"/>
      <c r="DZS18" s="493"/>
      <c r="DZT18" s="493"/>
      <c r="DZU18" s="493"/>
      <c r="DZV18" s="493"/>
      <c r="DZW18" s="493"/>
      <c r="DZX18" s="493"/>
      <c r="DZY18" s="493"/>
      <c r="DZZ18" s="493"/>
      <c r="EAA18" s="493"/>
      <c r="EAB18" s="493"/>
      <c r="EAC18" s="493"/>
      <c r="EAD18" s="493"/>
      <c r="EAE18" s="493"/>
      <c r="EAF18" s="493"/>
      <c r="EAG18" s="493"/>
      <c r="EAH18" s="493"/>
      <c r="EAI18" s="493"/>
      <c r="EAJ18" s="493"/>
      <c r="EAK18" s="493"/>
      <c r="EAL18" s="493"/>
      <c r="EAM18" s="493"/>
      <c r="EAN18" s="493"/>
      <c r="EAO18" s="493"/>
      <c r="EAP18" s="493"/>
      <c r="EAQ18" s="493"/>
      <c r="EAR18" s="493"/>
      <c r="EAS18" s="493"/>
      <c r="EAT18" s="493"/>
      <c r="EAU18" s="493"/>
      <c r="EAV18" s="493"/>
      <c r="EAW18" s="493"/>
      <c r="EAX18" s="493"/>
      <c r="EAY18" s="493"/>
      <c r="EAZ18" s="493"/>
      <c r="EBA18" s="493"/>
      <c r="EBB18" s="493"/>
      <c r="EBC18" s="493"/>
      <c r="EBD18" s="493"/>
      <c r="EBE18" s="493"/>
      <c r="EBF18" s="493"/>
      <c r="EBG18" s="493"/>
      <c r="EBH18" s="493"/>
      <c r="EBI18" s="493"/>
      <c r="EBJ18" s="493"/>
      <c r="EBK18" s="493"/>
      <c r="EBL18" s="493"/>
      <c r="EBM18" s="493"/>
      <c r="EBN18" s="493"/>
      <c r="EBO18" s="493"/>
      <c r="EBP18" s="493"/>
      <c r="EBQ18" s="493"/>
      <c r="EBR18" s="493"/>
      <c r="EBS18" s="493"/>
      <c r="EBT18" s="493"/>
      <c r="EBU18" s="493"/>
      <c r="EBV18" s="493"/>
      <c r="EBW18" s="493"/>
      <c r="EBX18" s="493"/>
      <c r="EBY18" s="493"/>
      <c r="EBZ18" s="493"/>
      <c r="ECA18" s="493"/>
      <c r="ECB18" s="493"/>
      <c r="ECC18" s="493"/>
      <c r="ECD18" s="493"/>
      <c r="ECE18" s="493"/>
      <c r="ECF18" s="493"/>
      <c r="ECG18" s="493"/>
      <c r="ECH18" s="493"/>
      <c r="ECI18" s="493"/>
      <c r="ECJ18" s="493"/>
      <c r="ECK18" s="493"/>
      <c r="ECL18" s="493"/>
      <c r="ECM18" s="493"/>
      <c r="ECN18" s="493"/>
      <c r="ECO18" s="493"/>
      <c r="ECP18" s="493"/>
      <c r="ECQ18" s="493"/>
      <c r="ECR18" s="493"/>
      <c r="ECS18" s="493"/>
      <c r="ECT18" s="493"/>
      <c r="ECU18" s="493"/>
      <c r="ECV18" s="493"/>
      <c r="ECW18" s="493"/>
      <c r="ECX18" s="493"/>
      <c r="ECY18" s="493"/>
      <c r="ECZ18" s="493"/>
      <c r="EDA18" s="493"/>
      <c r="EDB18" s="493"/>
      <c r="EDC18" s="493"/>
      <c r="EDD18" s="493"/>
      <c r="EDE18" s="493"/>
      <c r="EDF18" s="493"/>
      <c r="EDG18" s="493"/>
      <c r="EDH18" s="493"/>
      <c r="EDI18" s="493"/>
      <c r="EDJ18" s="493"/>
      <c r="EDK18" s="493"/>
      <c r="EDL18" s="493"/>
      <c r="EDM18" s="493"/>
      <c r="EDN18" s="493"/>
      <c r="EDO18" s="493"/>
      <c r="EDP18" s="493"/>
      <c r="EDQ18" s="493"/>
      <c r="EDR18" s="493"/>
      <c r="EDS18" s="493"/>
      <c r="EDT18" s="493"/>
      <c r="EDU18" s="493"/>
      <c r="EDV18" s="493"/>
      <c r="EDW18" s="493"/>
      <c r="EDX18" s="493"/>
      <c r="EDY18" s="493"/>
      <c r="EDZ18" s="493"/>
      <c r="EEA18" s="493"/>
      <c r="EEB18" s="493"/>
      <c r="EEC18" s="493"/>
      <c r="EED18" s="493"/>
      <c r="EEE18" s="493"/>
      <c r="EEF18" s="493"/>
      <c r="EEG18" s="493"/>
      <c r="EEH18" s="493"/>
      <c r="EEI18" s="493"/>
      <c r="EEJ18" s="493"/>
      <c r="EEK18" s="493"/>
      <c r="EEL18" s="493"/>
      <c r="EEM18" s="493"/>
      <c r="EEN18" s="493"/>
      <c r="EEO18" s="493"/>
      <c r="EEP18" s="493"/>
      <c r="EEQ18" s="493"/>
      <c r="EER18" s="493"/>
      <c r="EES18" s="493"/>
      <c r="EET18" s="493"/>
      <c r="EEU18" s="493"/>
      <c r="EEV18" s="493"/>
      <c r="EEW18" s="493"/>
      <c r="EEX18" s="493"/>
      <c r="EEY18" s="493"/>
      <c r="EEZ18" s="493"/>
      <c r="EFA18" s="493"/>
      <c r="EFB18" s="493"/>
      <c r="EFC18" s="493"/>
      <c r="EFD18" s="493"/>
      <c r="EFE18" s="493"/>
      <c r="EFF18" s="493"/>
      <c r="EFG18" s="493"/>
      <c r="EFH18" s="493"/>
      <c r="EFI18" s="493"/>
      <c r="EFJ18" s="493"/>
      <c r="EFK18" s="493"/>
      <c r="EFL18" s="493"/>
      <c r="EFM18" s="493"/>
      <c r="EFN18" s="493"/>
      <c r="EFO18" s="493"/>
      <c r="EFP18" s="493"/>
      <c r="EFQ18" s="493"/>
      <c r="EFR18" s="493"/>
      <c r="EFS18" s="493"/>
      <c r="EFT18" s="493"/>
      <c r="EFU18" s="493"/>
      <c r="EFV18" s="493"/>
      <c r="EFW18" s="493"/>
      <c r="EFX18" s="493"/>
      <c r="EFY18" s="493"/>
      <c r="EFZ18" s="493"/>
      <c r="EGA18" s="493"/>
      <c r="EGB18" s="493"/>
      <c r="EGC18" s="493"/>
      <c r="EGD18" s="493"/>
      <c r="EGE18" s="493"/>
      <c r="EGF18" s="493"/>
      <c r="EGG18" s="493"/>
      <c r="EGH18" s="493"/>
      <c r="EGI18" s="493"/>
      <c r="EGJ18" s="493"/>
      <c r="EGK18" s="493"/>
      <c r="EGL18" s="493"/>
      <c r="EGM18" s="493"/>
      <c r="EGN18" s="493"/>
      <c r="EGO18" s="493"/>
      <c r="EGP18" s="493"/>
      <c r="EGQ18" s="493"/>
      <c r="EGR18" s="493"/>
      <c r="EGS18" s="493"/>
      <c r="EGT18" s="493"/>
      <c r="EGU18" s="493"/>
      <c r="EGV18" s="493"/>
      <c r="EGW18" s="493"/>
      <c r="EGX18" s="493"/>
      <c r="EGY18" s="493"/>
      <c r="EGZ18" s="493"/>
      <c r="EHA18" s="493"/>
      <c r="EHB18" s="493"/>
      <c r="EHC18" s="493"/>
      <c r="EHD18" s="493"/>
      <c r="EHE18" s="493"/>
      <c r="EHF18" s="493"/>
      <c r="EHG18" s="493"/>
      <c r="EHH18" s="493"/>
      <c r="EHI18" s="493"/>
      <c r="EHJ18" s="493"/>
      <c r="EHK18" s="493"/>
      <c r="EHL18" s="493"/>
      <c r="EHM18" s="493"/>
      <c r="EHN18" s="493"/>
      <c r="EHO18" s="493"/>
      <c r="EHP18" s="493"/>
      <c r="EHQ18" s="493"/>
      <c r="EHR18" s="493"/>
      <c r="EHS18" s="493"/>
      <c r="EHT18" s="493"/>
      <c r="EHU18" s="493"/>
      <c r="EHV18" s="493"/>
      <c r="EHW18" s="493"/>
      <c r="EHX18" s="493"/>
      <c r="EHY18" s="493"/>
      <c r="EHZ18" s="493"/>
      <c r="EIA18" s="493"/>
      <c r="EIB18" s="493"/>
      <c r="EIC18" s="493"/>
      <c r="EID18" s="493"/>
      <c r="EIE18" s="493"/>
      <c r="EIF18" s="493"/>
      <c r="EIG18" s="493"/>
      <c r="EIH18" s="493"/>
      <c r="EII18" s="493"/>
      <c r="EIJ18" s="493"/>
      <c r="EIK18" s="493"/>
      <c r="EIL18" s="493"/>
      <c r="EIM18" s="493"/>
      <c r="EIN18" s="493"/>
      <c r="EIO18" s="493"/>
      <c r="EIP18" s="493"/>
      <c r="EIQ18" s="493"/>
      <c r="EIR18" s="493"/>
      <c r="EIS18" s="493"/>
      <c r="EIT18" s="493"/>
      <c r="EIU18" s="493"/>
      <c r="EIV18" s="493"/>
      <c r="EIW18" s="493"/>
      <c r="EIX18" s="493"/>
      <c r="EIY18" s="493"/>
      <c r="EIZ18" s="493"/>
      <c r="EJA18" s="493"/>
      <c r="EJB18" s="493"/>
      <c r="EJC18" s="493"/>
      <c r="EJD18" s="493"/>
      <c r="EJE18" s="493"/>
      <c r="EJF18" s="493"/>
      <c r="EJG18" s="493"/>
      <c r="EJH18" s="493"/>
      <c r="EJI18" s="493"/>
      <c r="EJJ18" s="493"/>
      <c r="EJK18" s="493"/>
      <c r="EJL18" s="493"/>
      <c r="EJM18" s="493"/>
      <c r="EJN18" s="493"/>
      <c r="EJO18" s="493"/>
      <c r="EJP18" s="493"/>
      <c r="EJQ18" s="493"/>
      <c r="EJR18" s="493"/>
      <c r="EJS18" s="493"/>
      <c r="EJT18" s="493"/>
      <c r="EJU18" s="493"/>
      <c r="EJV18" s="493"/>
      <c r="EJW18" s="493"/>
      <c r="EJX18" s="493"/>
      <c r="EJY18" s="493"/>
      <c r="EJZ18" s="493"/>
      <c r="EKA18" s="493"/>
      <c r="EKB18" s="493"/>
      <c r="EKC18" s="493"/>
      <c r="EKD18" s="493"/>
      <c r="EKE18" s="493"/>
      <c r="EKF18" s="493"/>
      <c r="EKG18" s="493"/>
      <c r="EKH18" s="493"/>
      <c r="EKI18" s="493"/>
      <c r="EKJ18" s="493"/>
      <c r="EKK18" s="493"/>
      <c r="EKL18" s="493"/>
      <c r="EKM18" s="493"/>
      <c r="EKN18" s="493"/>
      <c r="EKO18" s="493"/>
      <c r="EKP18" s="493"/>
      <c r="EKQ18" s="493"/>
      <c r="EKR18" s="493"/>
      <c r="EKS18" s="493"/>
      <c r="EKT18" s="493"/>
      <c r="EKU18" s="493"/>
      <c r="EKV18" s="493"/>
      <c r="EKW18" s="493"/>
      <c r="EKX18" s="493"/>
      <c r="EKY18" s="493"/>
      <c r="EKZ18" s="493"/>
      <c r="ELA18" s="493"/>
      <c r="ELB18" s="493"/>
      <c r="ELC18" s="493"/>
      <c r="ELD18" s="493"/>
      <c r="ELE18" s="493"/>
      <c r="ELF18" s="493"/>
      <c r="ELG18" s="493"/>
      <c r="ELH18" s="493"/>
      <c r="ELI18" s="493"/>
      <c r="ELJ18" s="493"/>
      <c r="ELK18" s="493"/>
      <c r="ELL18" s="493"/>
      <c r="ELM18" s="493"/>
      <c r="ELN18" s="493"/>
      <c r="ELO18" s="493"/>
      <c r="ELP18" s="493"/>
      <c r="ELQ18" s="493"/>
      <c r="ELR18" s="493"/>
      <c r="ELS18" s="493"/>
      <c r="ELT18" s="493"/>
      <c r="ELU18" s="493"/>
      <c r="ELV18" s="493"/>
      <c r="ELW18" s="493"/>
      <c r="ELX18" s="493"/>
      <c r="ELY18" s="493"/>
      <c r="ELZ18" s="493"/>
      <c r="EMA18" s="493"/>
      <c r="EMB18" s="493"/>
      <c r="EMC18" s="493"/>
      <c r="EMD18" s="493"/>
      <c r="EME18" s="493"/>
      <c r="EMF18" s="493"/>
      <c r="EMG18" s="493"/>
      <c r="EMH18" s="493"/>
      <c r="EMI18" s="493"/>
      <c r="EMJ18" s="493"/>
      <c r="EMK18" s="493"/>
      <c r="EML18" s="493"/>
      <c r="EMM18" s="493"/>
      <c r="EMN18" s="493"/>
      <c r="EMO18" s="493"/>
      <c r="EMP18" s="493"/>
      <c r="EMQ18" s="493"/>
      <c r="EMR18" s="493"/>
      <c r="EMS18" s="493"/>
      <c r="EMT18" s="493"/>
      <c r="EMU18" s="493"/>
      <c r="EMV18" s="493"/>
      <c r="EMW18" s="493"/>
      <c r="EMX18" s="493"/>
      <c r="EMY18" s="493"/>
      <c r="EMZ18" s="493"/>
      <c r="ENA18" s="493"/>
      <c r="ENB18" s="493"/>
      <c r="ENC18" s="493"/>
      <c r="END18" s="493"/>
      <c r="ENE18" s="493"/>
      <c r="ENF18" s="493"/>
      <c r="ENG18" s="493"/>
      <c r="ENH18" s="493"/>
      <c r="ENI18" s="493"/>
      <c r="ENJ18" s="493"/>
      <c r="ENK18" s="493"/>
      <c r="ENL18" s="493"/>
      <c r="ENM18" s="493"/>
      <c r="ENN18" s="493"/>
      <c r="ENO18" s="493"/>
      <c r="ENP18" s="493"/>
      <c r="ENQ18" s="493"/>
      <c r="ENR18" s="493"/>
      <c r="ENS18" s="493"/>
      <c r="ENT18" s="493"/>
      <c r="ENU18" s="493"/>
      <c r="ENV18" s="493"/>
      <c r="ENW18" s="493"/>
      <c r="ENX18" s="493"/>
      <c r="ENY18" s="493"/>
      <c r="ENZ18" s="493"/>
      <c r="EOA18" s="493"/>
      <c r="EOB18" s="493"/>
      <c r="EOC18" s="493"/>
      <c r="EOD18" s="493"/>
      <c r="EOE18" s="493"/>
      <c r="EOF18" s="493"/>
      <c r="EOG18" s="493"/>
      <c r="EOH18" s="493"/>
      <c r="EOI18" s="493"/>
      <c r="EOJ18" s="493"/>
      <c r="EOK18" s="493"/>
      <c r="EOL18" s="493"/>
      <c r="EOM18" s="493"/>
      <c r="EON18" s="493"/>
      <c r="EOO18" s="493"/>
      <c r="EOP18" s="493"/>
      <c r="EOQ18" s="493"/>
      <c r="EOR18" s="493"/>
      <c r="EOS18" s="493"/>
      <c r="EOT18" s="493"/>
      <c r="EOU18" s="493"/>
      <c r="EOV18" s="493"/>
      <c r="EOW18" s="493"/>
      <c r="EOX18" s="493"/>
      <c r="EOY18" s="493"/>
      <c r="EOZ18" s="493"/>
      <c r="EPA18" s="493"/>
      <c r="EPB18" s="493"/>
      <c r="EPC18" s="493"/>
      <c r="EPD18" s="493"/>
      <c r="EPE18" s="493"/>
      <c r="EPF18" s="493"/>
      <c r="EPG18" s="493"/>
      <c r="EPH18" s="493"/>
      <c r="EPI18" s="493"/>
      <c r="EPJ18" s="493"/>
      <c r="EPK18" s="493"/>
      <c r="EPL18" s="493"/>
      <c r="EPM18" s="493"/>
      <c r="EPN18" s="493"/>
      <c r="EPO18" s="493"/>
      <c r="EPP18" s="493"/>
      <c r="EPQ18" s="493"/>
      <c r="EPR18" s="493"/>
      <c r="EPS18" s="493"/>
      <c r="EPT18" s="493"/>
      <c r="EPU18" s="493"/>
      <c r="EPV18" s="493"/>
      <c r="EPW18" s="493"/>
      <c r="EPX18" s="493"/>
      <c r="EPY18" s="493"/>
      <c r="EPZ18" s="493"/>
      <c r="EQA18" s="493"/>
      <c r="EQB18" s="493"/>
      <c r="EQC18" s="493"/>
      <c r="EQD18" s="493"/>
      <c r="EQE18" s="493"/>
      <c r="EQF18" s="493"/>
      <c r="EQG18" s="493"/>
      <c r="EQH18" s="493"/>
      <c r="EQI18" s="493"/>
      <c r="EQJ18" s="493"/>
      <c r="EQK18" s="493"/>
      <c r="EQL18" s="493"/>
      <c r="EQM18" s="493"/>
      <c r="EQN18" s="493"/>
      <c r="EQO18" s="493"/>
      <c r="EQP18" s="493"/>
      <c r="EQQ18" s="493"/>
      <c r="EQR18" s="493"/>
      <c r="EQS18" s="493"/>
      <c r="EQT18" s="493"/>
      <c r="EQU18" s="493"/>
      <c r="EQV18" s="493"/>
      <c r="EQW18" s="493"/>
      <c r="EQX18" s="493"/>
      <c r="EQY18" s="493"/>
      <c r="EQZ18" s="493"/>
      <c r="ERA18" s="493"/>
      <c r="ERB18" s="493"/>
      <c r="ERC18" s="493"/>
      <c r="ERD18" s="493"/>
      <c r="ERE18" s="493"/>
      <c r="ERF18" s="493"/>
      <c r="ERG18" s="493"/>
      <c r="ERH18" s="493"/>
      <c r="ERI18" s="493"/>
      <c r="ERJ18" s="493"/>
      <c r="ERK18" s="493"/>
      <c r="ERL18" s="493"/>
      <c r="ERM18" s="493"/>
      <c r="ERN18" s="493"/>
      <c r="ERO18" s="493"/>
      <c r="ERP18" s="493"/>
      <c r="ERQ18" s="493"/>
      <c r="ERR18" s="493"/>
      <c r="ERS18" s="493"/>
      <c r="ERT18" s="493"/>
      <c r="ERU18" s="493"/>
      <c r="ERV18" s="493"/>
      <c r="ERW18" s="493"/>
      <c r="ERX18" s="493"/>
      <c r="ERY18" s="493"/>
      <c r="ERZ18" s="493"/>
      <c r="ESA18" s="493"/>
      <c r="ESB18" s="493"/>
      <c r="ESC18" s="493"/>
      <c r="ESD18" s="493"/>
      <c r="ESE18" s="493"/>
      <c r="ESF18" s="493"/>
      <c r="ESG18" s="493"/>
      <c r="ESH18" s="493"/>
      <c r="ESI18" s="493"/>
      <c r="ESJ18" s="493"/>
      <c r="ESK18" s="493"/>
      <c r="ESL18" s="493"/>
      <c r="ESM18" s="493"/>
      <c r="ESN18" s="493"/>
      <c r="ESO18" s="493"/>
      <c r="ESP18" s="493"/>
      <c r="ESQ18" s="493"/>
      <c r="ESR18" s="493"/>
      <c r="ESS18" s="493"/>
      <c r="EST18" s="493"/>
      <c r="ESU18" s="493"/>
      <c r="ESV18" s="493"/>
      <c r="ESW18" s="493"/>
      <c r="ESX18" s="493"/>
      <c r="ESY18" s="493"/>
      <c r="ESZ18" s="493"/>
      <c r="ETA18" s="493"/>
      <c r="ETB18" s="493"/>
      <c r="ETC18" s="493"/>
      <c r="ETD18" s="493"/>
      <c r="ETE18" s="493"/>
      <c r="ETF18" s="493"/>
      <c r="ETG18" s="493"/>
      <c r="ETH18" s="493"/>
      <c r="ETI18" s="493"/>
      <c r="ETJ18" s="493"/>
      <c r="ETK18" s="493"/>
      <c r="ETL18" s="493"/>
      <c r="ETM18" s="493"/>
      <c r="ETN18" s="493"/>
      <c r="ETO18" s="493"/>
      <c r="ETP18" s="493"/>
      <c r="ETQ18" s="493"/>
      <c r="ETR18" s="493"/>
      <c r="ETS18" s="493"/>
      <c r="ETT18" s="493"/>
      <c r="ETU18" s="493"/>
      <c r="ETV18" s="493"/>
      <c r="ETW18" s="493"/>
      <c r="ETX18" s="493"/>
      <c r="ETY18" s="493"/>
      <c r="ETZ18" s="493"/>
      <c r="EUA18" s="493"/>
      <c r="EUB18" s="493"/>
      <c r="EUC18" s="493"/>
      <c r="EUD18" s="493"/>
      <c r="EUE18" s="493"/>
      <c r="EUF18" s="493"/>
      <c r="EUG18" s="493"/>
      <c r="EUH18" s="493"/>
      <c r="EUI18" s="493"/>
      <c r="EUJ18" s="493"/>
      <c r="EUK18" s="493"/>
      <c r="EUL18" s="493"/>
      <c r="EUM18" s="493"/>
      <c r="EUN18" s="493"/>
      <c r="EUO18" s="493"/>
      <c r="EUP18" s="493"/>
      <c r="EUQ18" s="493"/>
      <c r="EUR18" s="493"/>
      <c r="EUS18" s="493"/>
      <c r="EUT18" s="493"/>
      <c r="EUU18" s="493"/>
      <c r="EUV18" s="493"/>
      <c r="EUW18" s="493"/>
      <c r="EUX18" s="493"/>
      <c r="EUY18" s="493"/>
      <c r="EUZ18" s="493"/>
      <c r="EVA18" s="493"/>
      <c r="EVB18" s="493"/>
      <c r="EVC18" s="493"/>
      <c r="EVD18" s="493"/>
      <c r="EVE18" s="493"/>
      <c r="EVF18" s="493"/>
      <c r="EVG18" s="493"/>
      <c r="EVH18" s="493"/>
      <c r="EVI18" s="493"/>
      <c r="EVJ18" s="493"/>
      <c r="EVK18" s="493"/>
      <c r="EVL18" s="493"/>
      <c r="EVM18" s="493"/>
      <c r="EVN18" s="493"/>
      <c r="EVO18" s="493"/>
      <c r="EVP18" s="493"/>
      <c r="EVQ18" s="493"/>
      <c r="EVR18" s="493"/>
      <c r="EVS18" s="493"/>
      <c r="EVT18" s="493"/>
      <c r="EVU18" s="493"/>
      <c r="EVV18" s="493"/>
      <c r="EVW18" s="493"/>
      <c r="EVX18" s="493"/>
      <c r="EVY18" s="493"/>
      <c r="EVZ18" s="493"/>
      <c r="EWA18" s="493"/>
      <c r="EWB18" s="493"/>
      <c r="EWC18" s="493"/>
      <c r="EWD18" s="493"/>
      <c r="EWE18" s="493"/>
      <c r="EWF18" s="493"/>
      <c r="EWG18" s="493"/>
      <c r="EWH18" s="493"/>
      <c r="EWI18" s="493"/>
      <c r="EWJ18" s="493"/>
      <c r="EWK18" s="493"/>
      <c r="EWL18" s="493"/>
      <c r="EWM18" s="493"/>
      <c r="EWN18" s="493"/>
      <c r="EWO18" s="493"/>
      <c r="EWP18" s="493"/>
      <c r="EWQ18" s="493"/>
      <c r="EWR18" s="493"/>
      <c r="EWS18" s="493"/>
      <c r="EWT18" s="493"/>
      <c r="EWU18" s="493"/>
      <c r="EWV18" s="493"/>
      <c r="EWW18" s="493"/>
      <c r="EWX18" s="493"/>
      <c r="EWY18" s="493"/>
      <c r="EWZ18" s="493"/>
      <c r="EXA18" s="493"/>
      <c r="EXB18" s="493"/>
      <c r="EXC18" s="493"/>
      <c r="EXD18" s="493"/>
      <c r="EXE18" s="493"/>
      <c r="EXF18" s="493"/>
      <c r="EXG18" s="493"/>
      <c r="EXH18" s="493"/>
      <c r="EXI18" s="493"/>
      <c r="EXJ18" s="493"/>
      <c r="EXK18" s="493"/>
      <c r="EXL18" s="493"/>
      <c r="EXM18" s="493"/>
      <c r="EXN18" s="493"/>
      <c r="EXO18" s="493"/>
      <c r="EXP18" s="493"/>
      <c r="EXQ18" s="493"/>
      <c r="EXR18" s="493"/>
      <c r="EXS18" s="493"/>
      <c r="EXT18" s="493"/>
      <c r="EXU18" s="493"/>
      <c r="EXV18" s="493"/>
      <c r="EXW18" s="493"/>
      <c r="EXX18" s="493"/>
      <c r="EXY18" s="493"/>
      <c r="EXZ18" s="493"/>
      <c r="EYA18" s="493"/>
      <c r="EYB18" s="493"/>
      <c r="EYC18" s="493"/>
      <c r="EYD18" s="493"/>
      <c r="EYE18" s="493"/>
      <c r="EYF18" s="493"/>
      <c r="EYG18" s="493"/>
      <c r="EYH18" s="493"/>
      <c r="EYI18" s="493"/>
      <c r="EYJ18" s="493"/>
      <c r="EYK18" s="493"/>
      <c r="EYL18" s="493"/>
      <c r="EYM18" s="493"/>
      <c r="EYN18" s="493"/>
      <c r="EYO18" s="493"/>
      <c r="EYP18" s="493"/>
      <c r="EYQ18" s="493"/>
      <c r="EYR18" s="493"/>
      <c r="EYS18" s="493"/>
      <c r="EYT18" s="493"/>
      <c r="EYU18" s="493"/>
      <c r="EYV18" s="493"/>
      <c r="EYW18" s="493"/>
      <c r="EYX18" s="493"/>
      <c r="EYY18" s="493"/>
      <c r="EYZ18" s="493"/>
      <c r="EZA18" s="493"/>
      <c r="EZB18" s="493"/>
      <c r="EZC18" s="493"/>
      <c r="EZD18" s="493"/>
      <c r="EZE18" s="493"/>
      <c r="EZF18" s="493"/>
      <c r="EZG18" s="493"/>
      <c r="EZH18" s="493"/>
      <c r="EZI18" s="493"/>
      <c r="EZJ18" s="493"/>
      <c r="EZK18" s="493"/>
      <c r="EZL18" s="493"/>
      <c r="EZM18" s="493"/>
      <c r="EZN18" s="493"/>
      <c r="EZO18" s="493"/>
      <c r="EZP18" s="493"/>
      <c r="EZQ18" s="493"/>
      <c r="EZR18" s="493"/>
      <c r="EZS18" s="493"/>
      <c r="EZT18" s="493"/>
      <c r="EZU18" s="493"/>
      <c r="EZV18" s="493"/>
      <c r="EZW18" s="493"/>
      <c r="EZX18" s="493"/>
      <c r="EZY18" s="493"/>
      <c r="EZZ18" s="493"/>
      <c r="FAA18" s="493"/>
      <c r="FAB18" s="493"/>
      <c r="FAC18" s="493"/>
      <c r="FAD18" s="493"/>
      <c r="FAE18" s="493"/>
      <c r="FAF18" s="493"/>
      <c r="FAG18" s="493"/>
      <c r="FAH18" s="493"/>
      <c r="FAI18" s="493"/>
      <c r="FAJ18" s="493"/>
      <c r="FAK18" s="493"/>
      <c r="FAL18" s="493"/>
      <c r="FAM18" s="493"/>
      <c r="FAN18" s="493"/>
      <c r="FAO18" s="493"/>
      <c r="FAP18" s="493"/>
      <c r="FAQ18" s="493"/>
      <c r="FAR18" s="493"/>
      <c r="FAS18" s="493"/>
      <c r="FAT18" s="493"/>
      <c r="FAU18" s="493"/>
      <c r="FAV18" s="493"/>
      <c r="FAW18" s="493"/>
      <c r="FAX18" s="493"/>
      <c r="FAY18" s="493"/>
      <c r="FAZ18" s="493"/>
      <c r="FBA18" s="493"/>
      <c r="FBB18" s="493"/>
      <c r="FBC18" s="493"/>
      <c r="FBD18" s="493"/>
      <c r="FBE18" s="493"/>
      <c r="FBF18" s="493"/>
      <c r="FBG18" s="493"/>
      <c r="FBH18" s="493"/>
      <c r="FBI18" s="493"/>
      <c r="FBJ18" s="493"/>
      <c r="FBK18" s="493"/>
      <c r="FBL18" s="493"/>
      <c r="FBM18" s="493"/>
      <c r="FBN18" s="493"/>
      <c r="FBO18" s="493"/>
      <c r="FBP18" s="493"/>
      <c r="FBQ18" s="493"/>
      <c r="FBR18" s="493"/>
      <c r="FBS18" s="493"/>
      <c r="FBT18" s="493"/>
      <c r="FBU18" s="493"/>
      <c r="FBV18" s="493"/>
      <c r="FBW18" s="493"/>
      <c r="FBX18" s="493"/>
      <c r="FBY18" s="493"/>
      <c r="FBZ18" s="493"/>
      <c r="FCA18" s="493"/>
      <c r="FCB18" s="493"/>
      <c r="FCC18" s="493"/>
      <c r="FCD18" s="493"/>
      <c r="FCE18" s="493"/>
      <c r="FCF18" s="493"/>
      <c r="FCG18" s="493"/>
      <c r="FCH18" s="493"/>
      <c r="FCI18" s="493"/>
      <c r="FCJ18" s="493"/>
      <c r="FCK18" s="493"/>
      <c r="FCL18" s="493"/>
      <c r="FCM18" s="493"/>
      <c r="FCN18" s="493"/>
      <c r="FCO18" s="493"/>
      <c r="FCP18" s="493"/>
      <c r="FCQ18" s="493"/>
      <c r="FCR18" s="493"/>
      <c r="FCS18" s="493"/>
      <c r="FCT18" s="493"/>
      <c r="FCU18" s="493"/>
      <c r="FCV18" s="493"/>
      <c r="FCW18" s="493"/>
      <c r="FCX18" s="493"/>
      <c r="FCY18" s="493"/>
      <c r="FCZ18" s="493"/>
      <c r="FDA18" s="493"/>
      <c r="FDB18" s="493"/>
      <c r="FDC18" s="493"/>
      <c r="FDD18" s="493"/>
      <c r="FDE18" s="493"/>
      <c r="FDF18" s="493"/>
      <c r="FDG18" s="493"/>
      <c r="FDH18" s="493"/>
      <c r="FDI18" s="493"/>
      <c r="FDJ18" s="493"/>
      <c r="FDK18" s="493"/>
      <c r="FDL18" s="493"/>
      <c r="FDM18" s="493"/>
      <c r="FDN18" s="493"/>
      <c r="FDO18" s="493"/>
      <c r="FDP18" s="493"/>
      <c r="FDQ18" s="493"/>
      <c r="FDR18" s="493"/>
      <c r="FDS18" s="493"/>
      <c r="FDT18" s="493"/>
      <c r="FDU18" s="493"/>
      <c r="FDV18" s="493"/>
      <c r="FDW18" s="493"/>
      <c r="FDX18" s="493"/>
      <c r="FDY18" s="493"/>
      <c r="FDZ18" s="493"/>
      <c r="FEA18" s="493"/>
      <c r="FEB18" s="493"/>
      <c r="FEC18" s="493"/>
      <c r="FED18" s="493"/>
      <c r="FEE18" s="493"/>
      <c r="FEF18" s="493"/>
      <c r="FEG18" s="493"/>
      <c r="FEH18" s="493"/>
      <c r="FEI18" s="493"/>
      <c r="FEJ18" s="493"/>
      <c r="FEK18" s="493"/>
      <c r="FEL18" s="493"/>
      <c r="FEM18" s="493"/>
      <c r="FEN18" s="493"/>
      <c r="FEO18" s="493"/>
      <c r="FEP18" s="493"/>
      <c r="FEQ18" s="493"/>
      <c r="FER18" s="493"/>
      <c r="FES18" s="493"/>
      <c r="FET18" s="493"/>
      <c r="FEU18" s="493"/>
      <c r="FEV18" s="493"/>
      <c r="FEW18" s="493"/>
      <c r="FEX18" s="493"/>
      <c r="FEY18" s="493"/>
      <c r="FEZ18" s="493"/>
      <c r="FFA18" s="493"/>
      <c r="FFB18" s="493"/>
      <c r="FFC18" s="493"/>
      <c r="FFD18" s="493"/>
      <c r="FFE18" s="493"/>
      <c r="FFF18" s="493"/>
      <c r="FFG18" s="493"/>
      <c r="FFH18" s="493"/>
      <c r="FFI18" s="493"/>
      <c r="FFJ18" s="493"/>
      <c r="FFK18" s="493"/>
      <c r="FFL18" s="493"/>
      <c r="FFM18" s="493"/>
      <c r="FFN18" s="493"/>
      <c r="FFO18" s="493"/>
      <c r="FFP18" s="493"/>
      <c r="FFQ18" s="493"/>
      <c r="FFR18" s="493"/>
      <c r="FFS18" s="493"/>
      <c r="FFT18" s="493"/>
      <c r="FFU18" s="493"/>
      <c r="FFV18" s="493"/>
      <c r="FFW18" s="493"/>
      <c r="FFX18" s="493"/>
      <c r="FFY18" s="493"/>
      <c r="FFZ18" s="493"/>
      <c r="FGA18" s="493"/>
      <c r="FGB18" s="493"/>
      <c r="FGC18" s="493"/>
      <c r="FGD18" s="493"/>
      <c r="FGE18" s="493"/>
      <c r="FGF18" s="493"/>
      <c r="FGG18" s="493"/>
      <c r="FGH18" s="493"/>
      <c r="FGI18" s="493"/>
      <c r="FGJ18" s="493"/>
      <c r="FGK18" s="493"/>
      <c r="FGL18" s="493"/>
      <c r="FGM18" s="493"/>
      <c r="FGN18" s="493"/>
      <c r="FGO18" s="493"/>
      <c r="FGP18" s="493"/>
      <c r="FGQ18" s="493"/>
      <c r="FGR18" s="493"/>
      <c r="FGS18" s="493"/>
      <c r="FGT18" s="493"/>
      <c r="FGU18" s="493"/>
      <c r="FGV18" s="493"/>
      <c r="FGW18" s="493"/>
      <c r="FGX18" s="493"/>
      <c r="FGY18" s="493"/>
      <c r="FGZ18" s="493"/>
      <c r="FHA18" s="493"/>
      <c r="FHB18" s="493"/>
      <c r="FHC18" s="493"/>
      <c r="FHD18" s="493"/>
      <c r="FHE18" s="493"/>
      <c r="FHF18" s="493"/>
      <c r="FHG18" s="493"/>
      <c r="FHH18" s="493"/>
      <c r="FHI18" s="493"/>
      <c r="FHJ18" s="493"/>
      <c r="FHK18" s="493"/>
      <c r="FHL18" s="493"/>
      <c r="FHM18" s="493"/>
      <c r="FHN18" s="493"/>
      <c r="FHO18" s="493"/>
      <c r="FHP18" s="493"/>
      <c r="FHQ18" s="493"/>
      <c r="FHR18" s="493"/>
      <c r="FHS18" s="493"/>
      <c r="FHT18" s="493"/>
      <c r="FHU18" s="493"/>
      <c r="FHV18" s="493"/>
      <c r="FHW18" s="493"/>
      <c r="FHX18" s="493"/>
      <c r="FHY18" s="493"/>
      <c r="FHZ18" s="493"/>
      <c r="FIA18" s="493"/>
      <c r="FIB18" s="493"/>
      <c r="FIC18" s="493"/>
      <c r="FID18" s="493"/>
      <c r="FIE18" s="493"/>
      <c r="FIF18" s="493"/>
      <c r="FIG18" s="493"/>
      <c r="FIH18" s="493"/>
      <c r="FII18" s="493"/>
      <c r="FIJ18" s="493"/>
      <c r="FIK18" s="493"/>
      <c r="FIL18" s="493"/>
      <c r="FIM18" s="493"/>
      <c r="FIN18" s="493"/>
      <c r="FIO18" s="493"/>
      <c r="FIP18" s="493"/>
      <c r="FIQ18" s="493"/>
      <c r="FIR18" s="493"/>
      <c r="FIS18" s="493"/>
      <c r="FIT18" s="493"/>
      <c r="FIU18" s="493"/>
      <c r="FIV18" s="493"/>
      <c r="FIW18" s="493"/>
      <c r="FIX18" s="493"/>
      <c r="FIY18" s="493"/>
      <c r="FIZ18" s="493"/>
      <c r="FJA18" s="493"/>
      <c r="FJB18" s="493"/>
      <c r="FJC18" s="493"/>
      <c r="FJD18" s="493"/>
      <c r="FJE18" s="493"/>
      <c r="FJF18" s="493"/>
      <c r="FJG18" s="493"/>
      <c r="FJH18" s="493"/>
      <c r="FJI18" s="493"/>
      <c r="FJJ18" s="493"/>
      <c r="FJK18" s="493"/>
      <c r="FJL18" s="493"/>
      <c r="FJM18" s="493"/>
      <c r="FJN18" s="493"/>
      <c r="FJO18" s="493"/>
      <c r="FJP18" s="493"/>
      <c r="FJQ18" s="493"/>
      <c r="FJR18" s="493"/>
      <c r="FJS18" s="493"/>
      <c r="FJT18" s="493"/>
      <c r="FJU18" s="493"/>
      <c r="FJV18" s="493"/>
      <c r="FJW18" s="493"/>
      <c r="FJX18" s="493"/>
      <c r="FJY18" s="493"/>
      <c r="FJZ18" s="493"/>
      <c r="FKA18" s="493"/>
      <c r="FKB18" s="493"/>
      <c r="FKC18" s="493"/>
      <c r="FKD18" s="493"/>
      <c r="FKE18" s="493"/>
      <c r="FKF18" s="493"/>
      <c r="FKG18" s="493"/>
      <c r="FKH18" s="493"/>
      <c r="FKI18" s="493"/>
      <c r="FKJ18" s="493"/>
      <c r="FKK18" s="493"/>
      <c r="FKL18" s="493"/>
      <c r="FKM18" s="493"/>
      <c r="FKN18" s="493"/>
      <c r="FKO18" s="493"/>
      <c r="FKP18" s="493"/>
      <c r="FKQ18" s="493"/>
      <c r="FKR18" s="493"/>
      <c r="FKS18" s="493"/>
      <c r="FKT18" s="493"/>
      <c r="FKU18" s="493"/>
      <c r="FKV18" s="493"/>
      <c r="FKW18" s="493"/>
      <c r="FKX18" s="493"/>
      <c r="FKY18" s="493"/>
      <c r="FKZ18" s="493"/>
      <c r="FLA18" s="493"/>
      <c r="FLB18" s="493"/>
      <c r="FLC18" s="493"/>
      <c r="FLD18" s="493"/>
      <c r="FLE18" s="493"/>
      <c r="FLF18" s="493"/>
      <c r="FLG18" s="493"/>
      <c r="FLH18" s="493"/>
      <c r="FLI18" s="493"/>
      <c r="FLJ18" s="493"/>
      <c r="FLK18" s="493"/>
      <c r="FLL18" s="493"/>
      <c r="FLM18" s="493"/>
      <c r="FLN18" s="493"/>
      <c r="FLO18" s="493"/>
      <c r="FLP18" s="493"/>
      <c r="FLQ18" s="493"/>
      <c r="FLR18" s="493"/>
      <c r="FLS18" s="493"/>
      <c r="FLT18" s="493"/>
      <c r="FLU18" s="493"/>
      <c r="FLV18" s="493"/>
      <c r="FLW18" s="493"/>
      <c r="FLX18" s="493"/>
      <c r="FLY18" s="493"/>
      <c r="FLZ18" s="493"/>
      <c r="FMA18" s="493"/>
      <c r="FMB18" s="493"/>
      <c r="FMC18" s="493"/>
      <c r="FMD18" s="493"/>
      <c r="FME18" s="493"/>
      <c r="FMF18" s="493"/>
      <c r="FMG18" s="493"/>
      <c r="FMH18" s="493"/>
      <c r="FMI18" s="493"/>
      <c r="FMJ18" s="493"/>
      <c r="FMK18" s="493"/>
      <c r="FML18" s="493"/>
      <c r="FMM18" s="493"/>
      <c r="FMN18" s="493"/>
      <c r="FMO18" s="493"/>
      <c r="FMP18" s="493"/>
      <c r="FMQ18" s="493"/>
      <c r="FMR18" s="493"/>
      <c r="FMS18" s="493"/>
      <c r="FMT18" s="493"/>
      <c r="FMU18" s="493"/>
      <c r="FMV18" s="493"/>
      <c r="FMW18" s="493"/>
      <c r="FMX18" s="493"/>
      <c r="FMY18" s="493"/>
      <c r="FMZ18" s="493"/>
      <c r="FNA18" s="493"/>
      <c r="FNB18" s="493"/>
      <c r="FNC18" s="493"/>
      <c r="FND18" s="493"/>
      <c r="FNE18" s="493"/>
      <c r="FNF18" s="493"/>
      <c r="FNG18" s="493"/>
      <c r="FNH18" s="493"/>
      <c r="FNI18" s="493"/>
      <c r="FNJ18" s="493"/>
      <c r="FNK18" s="493"/>
      <c r="FNL18" s="493"/>
      <c r="FNM18" s="493"/>
      <c r="FNN18" s="493"/>
      <c r="FNO18" s="493"/>
      <c r="FNP18" s="493"/>
      <c r="FNQ18" s="493"/>
      <c r="FNR18" s="493"/>
      <c r="FNS18" s="493"/>
      <c r="FNT18" s="493"/>
      <c r="FNU18" s="493"/>
      <c r="FNV18" s="493"/>
      <c r="FNW18" s="493"/>
      <c r="FNX18" s="493"/>
      <c r="FNY18" s="493"/>
      <c r="FNZ18" s="493"/>
      <c r="FOA18" s="493"/>
      <c r="FOB18" s="493"/>
      <c r="FOC18" s="493"/>
      <c r="FOD18" s="493"/>
      <c r="FOE18" s="493"/>
      <c r="FOF18" s="493"/>
      <c r="FOG18" s="493"/>
      <c r="FOH18" s="493"/>
      <c r="FOI18" s="493"/>
      <c r="FOJ18" s="493"/>
      <c r="FOK18" s="493"/>
      <c r="FOL18" s="493"/>
      <c r="FOM18" s="493"/>
      <c r="FON18" s="493"/>
      <c r="FOO18" s="493"/>
      <c r="FOP18" s="493"/>
      <c r="FOQ18" s="493"/>
      <c r="FOR18" s="493"/>
      <c r="FOS18" s="493"/>
      <c r="FOT18" s="493"/>
      <c r="FOU18" s="493"/>
      <c r="FOV18" s="493"/>
      <c r="FOW18" s="493"/>
      <c r="FOX18" s="493"/>
      <c r="FOY18" s="493"/>
      <c r="FOZ18" s="493"/>
      <c r="FPA18" s="493"/>
      <c r="FPB18" s="493"/>
      <c r="FPC18" s="493"/>
      <c r="FPD18" s="493"/>
      <c r="FPE18" s="493"/>
      <c r="FPF18" s="493"/>
      <c r="FPG18" s="493"/>
      <c r="FPH18" s="493"/>
      <c r="FPI18" s="493"/>
      <c r="FPJ18" s="493"/>
      <c r="FPK18" s="493"/>
      <c r="FPL18" s="493"/>
      <c r="FPM18" s="493"/>
      <c r="FPN18" s="493"/>
      <c r="FPO18" s="493"/>
      <c r="FPP18" s="493"/>
      <c r="FPQ18" s="493"/>
      <c r="FPR18" s="493"/>
      <c r="FPS18" s="493"/>
      <c r="FPT18" s="493"/>
      <c r="FPU18" s="493"/>
      <c r="FPV18" s="493"/>
      <c r="FPW18" s="493"/>
      <c r="FPX18" s="493"/>
      <c r="FPY18" s="493"/>
      <c r="FPZ18" s="493"/>
      <c r="FQA18" s="493"/>
      <c r="FQB18" s="493"/>
      <c r="FQC18" s="493"/>
      <c r="FQD18" s="493"/>
      <c r="FQE18" s="493"/>
      <c r="FQF18" s="493"/>
      <c r="FQG18" s="493"/>
      <c r="FQH18" s="493"/>
      <c r="FQI18" s="493"/>
      <c r="FQJ18" s="493"/>
      <c r="FQK18" s="493"/>
      <c r="FQL18" s="493"/>
      <c r="FQM18" s="493"/>
      <c r="FQN18" s="493"/>
      <c r="FQO18" s="493"/>
      <c r="FQP18" s="493"/>
      <c r="FQQ18" s="493"/>
      <c r="FQR18" s="493"/>
      <c r="FQS18" s="493"/>
      <c r="FQT18" s="493"/>
      <c r="FQU18" s="493"/>
      <c r="FQV18" s="493"/>
      <c r="FQW18" s="493"/>
      <c r="FQX18" s="493"/>
      <c r="FQY18" s="493"/>
      <c r="FQZ18" s="493"/>
      <c r="FRA18" s="493"/>
      <c r="FRB18" s="493"/>
      <c r="FRC18" s="493"/>
      <c r="FRD18" s="493"/>
      <c r="FRE18" s="493"/>
      <c r="FRF18" s="493"/>
      <c r="FRG18" s="493"/>
      <c r="FRH18" s="493"/>
      <c r="FRI18" s="493"/>
      <c r="FRJ18" s="493"/>
      <c r="FRK18" s="493"/>
      <c r="FRL18" s="493"/>
      <c r="FRM18" s="493"/>
      <c r="FRN18" s="493"/>
      <c r="FRO18" s="493"/>
      <c r="FRP18" s="493"/>
      <c r="FRQ18" s="493"/>
      <c r="FRR18" s="493"/>
      <c r="FRS18" s="493"/>
      <c r="FRT18" s="493"/>
      <c r="FRU18" s="493"/>
      <c r="FRV18" s="493"/>
      <c r="FRW18" s="493"/>
      <c r="FRX18" s="493"/>
      <c r="FRY18" s="493"/>
      <c r="FRZ18" s="493"/>
      <c r="FSA18" s="493"/>
      <c r="FSB18" s="493"/>
      <c r="FSC18" s="493"/>
      <c r="FSD18" s="493"/>
      <c r="FSE18" s="493"/>
      <c r="FSF18" s="493"/>
      <c r="FSG18" s="493"/>
      <c r="FSH18" s="493"/>
      <c r="FSI18" s="493"/>
      <c r="FSJ18" s="493"/>
      <c r="FSK18" s="493"/>
      <c r="FSL18" s="493"/>
      <c r="FSM18" s="493"/>
      <c r="FSN18" s="493"/>
      <c r="FSO18" s="493"/>
      <c r="FSP18" s="493"/>
      <c r="FSQ18" s="493"/>
      <c r="FSR18" s="493"/>
      <c r="FSS18" s="493"/>
      <c r="FST18" s="493"/>
      <c r="FSU18" s="493"/>
      <c r="FSV18" s="493"/>
      <c r="FSW18" s="493"/>
      <c r="FSX18" s="493"/>
      <c r="FSY18" s="493"/>
      <c r="FSZ18" s="493"/>
      <c r="FTA18" s="493"/>
      <c r="FTB18" s="493"/>
      <c r="FTC18" s="493"/>
      <c r="FTD18" s="493"/>
      <c r="FTE18" s="493"/>
      <c r="FTF18" s="493"/>
      <c r="FTG18" s="493"/>
      <c r="FTH18" s="493"/>
      <c r="FTI18" s="493"/>
      <c r="FTJ18" s="493"/>
      <c r="FTK18" s="493"/>
      <c r="FTL18" s="493"/>
      <c r="FTM18" s="493"/>
      <c r="FTN18" s="493"/>
      <c r="FTO18" s="493"/>
      <c r="FTP18" s="493"/>
      <c r="FTQ18" s="493"/>
      <c r="FTR18" s="493"/>
      <c r="FTS18" s="493"/>
      <c r="FTT18" s="493"/>
      <c r="FTU18" s="493"/>
      <c r="FTV18" s="493"/>
      <c r="FTW18" s="493"/>
      <c r="FTX18" s="493"/>
      <c r="FTY18" s="493"/>
      <c r="FTZ18" s="493"/>
      <c r="FUA18" s="493"/>
      <c r="FUB18" s="493"/>
      <c r="FUC18" s="493"/>
      <c r="FUD18" s="493"/>
      <c r="FUE18" s="493"/>
      <c r="FUF18" s="493"/>
      <c r="FUG18" s="493"/>
      <c r="FUH18" s="493"/>
      <c r="FUI18" s="493"/>
      <c r="FUJ18" s="493"/>
      <c r="FUK18" s="493"/>
      <c r="FUL18" s="493"/>
      <c r="FUM18" s="493"/>
      <c r="FUN18" s="493"/>
      <c r="FUO18" s="493"/>
      <c r="FUP18" s="493"/>
      <c r="FUQ18" s="493"/>
      <c r="FUR18" s="493"/>
      <c r="FUS18" s="493"/>
      <c r="FUT18" s="493"/>
      <c r="FUU18" s="493"/>
      <c r="FUV18" s="493"/>
      <c r="FUW18" s="493"/>
      <c r="FUX18" s="493"/>
      <c r="FUY18" s="493"/>
      <c r="FUZ18" s="493"/>
      <c r="FVA18" s="493"/>
      <c r="FVB18" s="493"/>
      <c r="FVC18" s="493"/>
      <c r="FVD18" s="493"/>
      <c r="FVE18" s="493"/>
      <c r="FVF18" s="493"/>
      <c r="FVG18" s="493"/>
      <c r="FVH18" s="493"/>
      <c r="FVI18" s="493"/>
      <c r="FVJ18" s="493"/>
      <c r="FVK18" s="493"/>
      <c r="FVL18" s="493"/>
      <c r="FVM18" s="493"/>
      <c r="FVN18" s="493"/>
      <c r="FVO18" s="493"/>
      <c r="FVP18" s="493"/>
      <c r="FVQ18" s="493"/>
      <c r="FVR18" s="493"/>
      <c r="FVS18" s="493"/>
      <c r="FVT18" s="493"/>
      <c r="FVU18" s="493"/>
      <c r="FVV18" s="493"/>
      <c r="FVW18" s="493"/>
      <c r="FVX18" s="493"/>
      <c r="FVY18" s="493"/>
      <c r="FVZ18" s="493"/>
      <c r="FWA18" s="493"/>
      <c r="FWB18" s="493"/>
      <c r="FWC18" s="493"/>
      <c r="FWD18" s="493"/>
      <c r="FWE18" s="493"/>
      <c r="FWF18" s="493"/>
      <c r="FWG18" s="493"/>
      <c r="FWH18" s="493"/>
      <c r="FWI18" s="493"/>
      <c r="FWJ18" s="493"/>
      <c r="FWK18" s="493"/>
      <c r="FWL18" s="493"/>
      <c r="FWM18" s="493"/>
      <c r="FWN18" s="493"/>
      <c r="FWO18" s="493"/>
      <c r="FWP18" s="493"/>
      <c r="FWQ18" s="493"/>
      <c r="FWR18" s="493"/>
      <c r="FWS18" s="493"/>
      <c r="FWT18" s="493"/>
      <c r="FWU18" s="493"/>
      <c r="FWV18" s="493"/>
      <c r="FWW18" s="493"/>
      <c r="FWX18" s="493"/>
      <c r="FWY18" s="493"/>
      <c r="FWZ18" s="493"/>
      <c r="FXA18" s="493"/>
      <c r="FXB18" s="493"/>
      <c r="FXC18" s="493"/>
      <c r="FXD18" s="493"/>
      <c r="FXE18" s="493"/>
      <c r="FXF18" s="493"/>
      <c r="FXG18" s="493"/>
      <c r="FXH18" s="493"/>
      <c r="FXI18" s="493"/>
      <c r="FXJ18" s="493"/>
      <c r="FXK18" s="493"/>
      <c r="FXL18" s="493"/>
      <c r="FXM18" s="493"/>
      <c r="FXN18" s="493"/>
      <c r="FXO18" s="493"/>
      <c r="FXP18" s="493"/>
      <c r="FXQ18" s="493"/>
      <c r="FXR18" s="493"/>
      <c r="FXS18" s="493"/>
      <c r="FXT18" s="493"/>
      <c r="FXU18" s="493"/>
      <c r="FXV18" s="493"/>
      <c r="FXW18" s="493"/>
      <c r="FXX18" s="493"/>
      <c r="FXY18" s="493"/>
      <c r="FXZ18" s="493"/>
      <c r="FYA18" s="493"/>
      <c r="FYB18" s="493"/>
      <c r="FYC18" s="493"/>
      <c r="FYD18" s="493"/>
      <c r="FYE18" s="493"/>
      <c r="FYF18" s="493"/>
      <c r="FYG18" s="493"/>
      <c r="FYH18" s="493"/>
      <c r="FYI18" s="493"/>
      <c r="FYJ18" s="493"/>
      <c r="FYK18" s="493"/>
      <c r="FYL18" s="493"/>
      <c r="FYM18" s="493"/>
      <c r="FYN18" s="493"/>
      <c r="FYO18" s="493"/>
      <c r="FYP18" s="493"/>
      <c r="FYQ18" s="493"/>
      <c r="FYR18" s="493"/>
      <c r="FYS18" s="493"/>
      <c r="FYT18" s="493"/>
      <c r="FYU18" s="493"/>
      <c r="FYV18" s="493"/>
      <c r="FYW18" s="493"/>
      <c r="FYX18" s="493"/>
      <c r="FYY18" s="493"/>
      <c r="FYZ18" s="493"/>
      <c r="FZA18" s="493"/>
      <c r="FZB18" s="493"/>
      <c r="FZC18" s="493"/>
      <c r="FZD18" s="493"/>
      <c r="FZE18" s="493"/>
      <c r="FZF18" s="493"/>
      <c r="FZG18" s="493"/>
      <c r="FZH18" s="493"/>
      <c r="FZI18" s="493"/>
      <c r="FZJ18" s="493"/>
      <c r="FZK18" s="493"/>
      <c r="FZL18" s="493"/>
      <c r="FZM18" s="493"/>
      <c r="FZN18" s="493"/>
      <c r="FZO18" s="493"/>
      <c r="FZP18" s="493"/>
      <c r="FZQ18" s="493"/>
      <c r="FZR18" s="493"/>
      <c r="FZS18" s="493"/>
      <c r="FZT18" s="493"/>
      <c r="FZU18" s="493"/>
      <c r="FZV18" s="493"/>
      <c r="FZW18" s="493"/>
      <c r="FZX18" s="493"/>
      <c r="FZY18" s="493"/>
      <c r="FZZ18" s="493"/>
      <c r="GAA18" s="493"/>
      <c r="GAB18" s="493"/>
      <c r="GAC18" s="493"/>
      <c r="GAD18" s="493"/>
      <c r="GAE18" s="493"/>
      <c r="GAF18" s="493"/>
      <c r="GAG18" s="493"/>
      <c r="GAH18" s="493"/>
      <c r="GAI18" s="493"/>
      <c r="GAJ18" s="493"/>
      <c r="GAK18" s="493"/>
      <c r="GAL18" s="493"/>
      <c r="GAM18" s="493"/>
      <c r="GAN18" s="493"/>
      <c r="GAO18" s="493"/>
      <c r="GAP18" s="493"/>
      <c r="GAQ18" s="493"/>
      <c r="GAR18" s="493"/>
      <c r="GAS18" s="493"/>
      <c r="GAT18" s="493"/>
      <c r="GAU18" s="493"/>
      <c r="GAV18" s="493"/>
      <c r="GAW18" s="493"/>
      <c r="GAX18" s="493"/>
      <c r="GAY18" s="493"/>
      <c r="GAZ18" s="493"/>
      <c r="GBA18" s="493"/>
      <c r="GBB18" s="493"/>
      <c r="GBC18" s="493"/>
      <c r="GBD18" s="493"/>
      <c r="GBE18" s="493"/>
      <c r="GBF18" s="493"/>
      <c r="GBG18" s="493"/>
      <c r="GBH18" s="493"/>
      <c r="GBI18" s="493"/>
      <c r="GBJ18" s="493"/>
      <c r="GBK18" s="493"/>
      <c r="GBL18" s="493"/>
      <c r="GBM18" s="493"/>
      <c r="GBN18" s="493"/>
      <c r="GBO18" s="493"/>
      <c r="GBP18" s="493"/>
      <c r="GBQ18" s="493"/>
      <c r="GBR18" s="493"/>
      <c r="GBS18" s="493"/>
      <c r="GBT18" s="493"/>
      <c r="GBU18" s="493"/>
      <c r="GBV18" s="493"/>
      <c r="GBW18" s="493"/>
      <c r="GBX18" s="493"/>
      <c r="GBY18" s="493"/>
      <c r="GBZ18" s="493"/>
      <c r="GCA18" s="493"/>
      <c r="GCB18" s="493"/>
      <c r="GCC18" s="493"/>
      <c r="GCD18" s="493"/>
      <c r="GCE18" s="493"/>
      <c r="GCF18" s="493"/>
      <c r="GCG18" s="493"/>
      <c r="GCH18" s="493"/>
      <c r="GCI18" s="493"/>
      <c r="GCJ18" s="493"/>
      <c r="GCK18" s="493"/>
      <c r="GCL18" s="493"/>
      <c r="GCM18" s="493"/>
      <c r="GCN18" s="493"/>
      <c r="GCO18" s="493"/>
      <c r="GCP18" s="493"/>
      <c r="GCQ18" s="493"/>
      <c r="GCR18" s="493"/>
      <c r="GCS18" s="493"/>
      <c r="GCT18" s="493"/>
      <c r="GCU18" s="493"/>
      <c r="GCV18" s="493"/>
      <c r="GCW18" s="493"/>
      <c r="GCX18" s="493"/>
      <c r="GCY18" s="493"/>
      <c r="GCZ18" s="493"/>
      <c r="GDA18" s="493"/>
      <c r="GDB18" s="493"/>
      <c r="GDC18" s="493"/>
      <c r="GDD18" s="493"/>
      <c r="GDE18" s="493"/>
      <c r="GDF18" s="493"/>
      <c r="GDG18" s="493"/>
      <c r="GDH18" s="493"/>
      <c r="GDI18" s="493"/>
      <c r="GDJ18" s="493"/>
      <c r="GDK18" s="493"/>
      <c r="GDL18" s="493"/>
      <c r="GDM18" s="493"/>
      <c r="GDN18" s="493"/>
      <c r="GDO18" s="493"/>
      <c r="GDP18" s="493"/>
      <c r="GDQ18" s="493"/>
      <c r="GDR18" s="493"/>
      <c r="GDS18" s="493"/>
      <c r="GDT18" s="493"/>
      <c r="GDU18" s="493"/>
      <c r="GDV18" s="493"/>
      <c r="GDW18" s="493"/>
      <c r="GDX18" s="493"/>
      <c r="GDY18" s="493"/>
      <c r="GDZ18" s="493"/>
      <c r="GEA18" s="493"/>
      <c r="GEB18" s="493"/>
      <c r="GEC18" s="493"/>
      <c r="GED18" s="493"/>
      <c r="GEE18" s="493"/>
      <c r="GEF18" s="493"/>
      <c r="GEG18" s="493"/>
      <c r="GEH18" s="493"/>
      <c r="GEI18" s="493"/>
      <c r="GEJ18" s="493"/>
      <c r="GEK18" s="493"/>
      <c r="GEL18" s="493"/>
      <c r="GEM18" s="493"/>
      <c r="GEN18" s="493"/>
      <c r="GEO18" s="493"/>
      <c r="GEP18" s="493"/>
      <c r="GEQ18" s="493"/>
      <c r="GER18" s="493"/>
      <c r="GES18" s="493"/>
      <c r="GET18" s="493"/>
      <c r="GEU18" s="493"/>
      <c r="GEV18" s="493"/>
      <c r="GEW18" s="493"/>
      <c r="GEX18" s="493"/>
      <c r="GEY18" s="493"/>
      <c r="GEZ18" s="493"/>
      <c r="GFA18" s="493"/>
      <c r="GFB18" s="493"/>
      <c r="GFC18" s="493"/>
      <c r="GFD18" s="493"/>
      <c r="GFE18" s="493"/>
      <c r="GFF18" s="493"/>
      <c r="GFG18" s="493"/>
      <c r="GFH18" s="493"/>
      <c r="GFI18" s="493"/>
      <c r="GFJ18" s="493"/>
      <c r="GFK18" s="493"/>
      <c r="GFL18" s="493"/>
      <c r="GFM18" s="493"/>
      <c r="GFN18" s="493"/>
      <c r="GFO18" s="493"/>
      <c r="GFP18" s="493"/>
      <c r="GFQ18" s="493"/>
      <c r="GFR18" s="493"/>
      <c r="GFS18" s="493"/>
      <c r="GFT18" s="493"/>
      <c r="GFU18" s="493"/>
      <c r="GFV18" s="493"/>
      <c r="GFW18" s="493"/>
      <c r="GFX18" s="493"/>
      <c r="GFY18" s="493"/>
      <c r="GFZ18" s="493"/>
      <c r="GGA18" s="493"/>
      <c r="GGB18" s="493"/>
      <c r="GGC18" s="493"/>
      <c r="GGD18" s="493"/>
      <c r="GGE18" s="493"/>
      <c r="GGF18" s="493"/>
      <c r="GGG18" s="493"/>
      <c r="GGH18" s="493"/>
      <c r="GGI18" s="493"/>
      <c r="GGJ18" s="493"/>
      <c r="GGK18" s="493"/>
      <c r="GGL18" s="493"/>
      <c r="GGM18" s="493"/>
      <c r="GGN18" s="493"/>
      <c r="GGO18" s="493"/>
      <c r="GGP18" s="493"/>
      <c r="GGQ18" s="493"/>
      <c r="GGR18" s="493"/>
      <c r="GGS18" s="493"/>
      <c r="GGT18" s="493"/>
      <c r="GGU18" s="493"/>
      <c r="GGV18" s="493"/>
      <c r="GGW18" s="493"/>
      <c r="GGX18" s="493"/>
      <c r="GGY18" s="493"/>
      <c r="GGZ18" s="493"/>
      <c r="GHA18" s="493"/>
      <c r="GHB18" s="493"/>
      <c r="GHC18" s="493"/>
      <c r="GHD18" s="493"/>
      <c r="GHE18" s="493"/>
      <c r="GHF18" s="493"/>
      <c r="GHG18" s="493"/>
      <c r="GHH18" s="493"/>
      <c r="GHI18" s="493"/>
      <c r="GHJ18" s="493"/>
      <c r="GHK18" s="493"/>
      <c r="GHL18" s="493"/>
      <c r="GHM18" s="493"/>
      <c r="GHN18" s="493"/>
      <c r="GHO18" s="493"/>
      <c r="GHP18" s="493"/>
      <c r="GHQ18" s="493"/>
      <c r="GHR18" s="493"/>
      <c r="GHS18" s="493"/>
      <c r="GHT18" s="493"/>
      <c r="GHU18" s="493"/>
      <c r="GHV18" s="493"/>
      <c r="GHW18" s="493"/>
      <c r="GHX18" s="493"/>
      <c r="GHY18" s="493"/>
      <c r="GHZ18" s="493"/>
      <c r="GIA18" s="493"/>
      <c r="GIB18" s="493"/>
      <c r="GIC18" s="493"/>
      <c r="GID18" s="493"/>
      <c r="GIE18" s="493"/>
      <c r="GIF18" s="493"/>
      <c r="GIG18" s="493"/>
      <c r="GIH18" s="493"/>
      <c r="GII18" s="493"/>
      <c r="GIJ18" s="493"/>
      <c r="GIK18" s="493"/>
      <c r="GIL18" s="493"/>
      <c r="GIM18" s="493"/>
      <c r="GIN18" s="493"/>
      <c r="GIO18" s="493"/>
      <c r="GIP18" s="493"/>
      <c r="GIQ18" s="493"/>
      <c r="GIR18" s="493"/>
      <c r="GIS18" s="493"/>
      <c r="GIT18" s="493"/>
      <c r="GIU18" s="493"/>
      <c r="GIV18" s="493"/>
      <c r="GIW18" s="493"/>
      <c r="GIX18" s="493"/>
      <c r="GIY18" s="493"/>
      <c r="GIZ18" s="493"/>
      <c r="GJA18" s="493"/>
      <c r="GJB18" s="493"/>
      <c r="GJC18" s="493"/>
      <c r="GJD18" s="493"/>
      <c r="GJE18" s="493"/>
      <c r="GJF18" s="493"/>
      <c r="GJG18" s="493"/>
      <c r="GJH18" s="493"/>
      <c r="GJI18" s="493"/>
      <c r="GJJ18" s="493"/>
      <c r="GJK18" s="493"/>
      <c r="GJL18" s="493"/>
      <c r="GJM18" s="493"/>
      <c r="GJN18" s="493"/>
      <c r="GJO18" s="493"/>
      <c r="GJP18" s="493"/>
      <c r="GJQ18" s="493"/>
      <c r="GJR18" s="493"/>
      <c r="GJS18" s="493"/>
      <c r="GJT18" s="493"/>
      <c r="GJU18" s="493"/>
      <c r="GJV18" s="493"/>
      <c r="GJW18" s="493"/>
      <c r="GJX18" s="493"/>
      <c r="GJY18" s="493"/>
      <c r="GJZ18" s="493"/>
      <c r="GKA18" s="493"/>
      <c r="GKB18" s="493"/>
      <c r="GKC18" s="493"/>
      <c r="GKD18" s="493"/>
      <c r="GKE18" s="493"/>
      <c r="GKF18" s="493"/>
      <c r="GKG18" s="493"/>
      <c r="GKH18" s="493"/>
      <c r="GKI18" s="493"/>
      <c r="GKJ18" s="493"/>
      <c r="GKK18" s="493"/>
      <c r="GKL18" s="493"/>
      <c r="GKM18" s="493"/>
      <c r="GKN18" s="493"/>
      <c r="GKO18" s="493"/>
      <c r="GKP18" s="493"/>
      <c r="GKQ18" s="493"/>
      <c r="GKR18" s="493"/>
      <c r="GKS18" s="493"/>
      <c r="GKT18" s="493"/>
      <c r="GKU18" s="493"/>
      <c r="GKV18" s="493"/>
      <c r="GKW18" s="493"/>
      <c r="GKX18" s="493"/>
      <c r="GKY18" s="493"/>
      <c r="GKZ18" s="493"/>
      <c r="GLA18" s="493"/>
      <c r="GLB18" s="493"/>
      <c r="GLC18" s="493"/>
      <c r="GLD18" s="493"/>
      <c r="GLE18" s="493"/>
      <c r="GLF18" s="493"/>
      <c r="GLG18" s="493"/>
      <c r="GLH18" s="493"/>
      <c r="GLI18" s="493"/>
      <c r="GLJ18" s="493"/>
      <c r="GLK18" s="493"/>
      <c r="GLL18" s="493"/>
      <c r="GLM18" s="493"/>
      <c r="GLN18" s="493"/>
      <c r="GLO18" s="493"/>
      <c r="GLP18" s="493"/>
      <c r="GLQ18" s="493"/>
      <c r="GLR18" s="493"/>
      <c r="GLS18" s="493"/>
      <c r="GLT18" s="493"/>
      <c r="GLU18" s="493"/>
      <c r="GLV18" s="493"/>
      <c r="GLW18" s="493"/>
      <c r="GLX18" s="493"/>
      <c r="GLY18" s="493"/>
      <c r="GLZ18" s="493"/>
      <c r="GMA18" s="493"/>
      <c r="GMB18" s="493"/>
      <c r="GMC18" s="493"/>
      <c r="GMD18" s="493"/>
      <c r="GME18" s="493"/>
      <c r="GMF18" s="493"/>
      <c r="GMG18" s="493"/>
      <c r="GMH18" s="493"/>
      <c r="GMI18" s="493"/>
      <c r="GMJ18" s="493"/>
      <c r="GMK18" s="493"/>
      <c r="GML18" s="493"/>
      <c r="GMM18" s="493"/>
      <c r="GMN18" s="493"/>
      <c r="GMO18" s="493"/>
      <c r="GMP18" s="493"/>
      <c r="GMQ18" s="493"/>
      <c r="GMR18" s="493"/>
      <c r="GMS18" s="493"/>
      <c r="GMT18" s="493"/>
      <c r="GMU18" s="493"/>
      <c r="GMV18" s="493"/>
      <c r="GMW18" s="493"/>
      <c r="GMX18" s="493"/>
      <c r="GMY18" s="493"/>
      <c r="GMZ18" s="493"/>
      <c r="GNA18" s="493"/>
      <c r="GNB18" s="493"/>
      <c r="GNC18" s="493"/>
      <c r="GND18" s="493"/>
      <c r="GNE18" s="493"/>
      <c r="GNF18" s="493"/>
      <c r="GNG18" s="493"/>
      <c r="GNH18" s="493"/>
      <c r="GNI18" s="493"/>
      <c r="GNJ18" s="493"/>
      <c r="GNK18" s="493"/>
      <c r="GNL18" s="493"/>
      <c r="GNM18" s="493"/>
      <c r="GNN18" s="493"/>
      <c r="GNO18" s="493"/>
      <c r="GNP18" s="493"/>
      <c r="GNQ18" s="493"/>
      <c r="GNR18" s="493"/>
      <c r="GNS18" s="493"/>
      <c r="GNT18" s="493"/>
      <c r="GNU18" s="493"/>
      <c r="GNV18" s="493"/>
      <c r="GNW18" s="493"/>
      <c r="GNX18" s="493"/>
      <c r="GNY18" s="493"/>
      <c r="GNZ18" s="493"/>
      <c r="GOA18" s="493"/>
      <c r="GOB18" s="493"/>
      <c r="GOC18" s="493"/>
      <c r="GOD18" s="493"/>
      <c r="GOE18" s="493"/>
      <c r="GOF18" s="493"/>
      <c r="GOG18" s="493"/>
      <c r="GOH18" s="493"/>
      <c r="GOI18" s="493"/>
      <c r="GOJ18" s="493"/>
      <c r="GOK18" s="493"/>
      <c r="GOL18" s="493"/>
      <c r="GOM18" s="493"/>
      <c r="GON18" s="493"/>
      <c r="GOO18" s="493"/>
      <c r="GOP18" s="493"/>
      <c r="GOQ18" s="493"/>
      <c r="GOR18" s="493"/>
      <c r="GOS18" s="493"/>
      <c r="GOT18" s="493"/>
      <c r="GOU18" s="493"/>
      <c r="GOV18" s="493"/>
      <c r="GOW18" s="493"/>
      <c r="GOX18" s="493"/>
      <c r="GOY18" s="493"/>
      <c r="GOZ18" s="493"/>
      <c r="GPA18" s="493"/>
      <c r="GPB18" s="493"/>
      <c r="GPC18" s="493"/>
      <c r="GPD18" s="493"/>
      <c r="GPE18" s="493"/>
      <c r="GPF18" s="493"/>
      <c r="GPG18" s="493"/>
      <c r="GPH18" s="493"/>
      <c r="GPI18" s="493"/>
      <c r="GPJ18" s="493"/>
      <c r="GPK18" s="493"/>
      <c r="GPL18" s="493"/>
      <c r="GPM18" s="493"/>
      <c r="GPN18" s="493"/>
      <c r="GPO18" s="493"/>
      <c r="GPP18" s="493"/>
      <c r="GPQ18" s="493"/>
      <c r="GPR18" s="493"/>
      <c r="GPS18" s="493"/>
      <c r="GPT18" s="493"/>
      <c r="GPU18" s="493"/>
      <c r="GPV18" s="493"/>
      <c r="GPW18" s="493"/>
      <c r="GPX18" s="493"/>
      <c r="GPY18" s="493"/>
      <c r="GPZ18" s="493"/>
      <c r="GQA18" s="493"/>
      <c r="GQB18" s="493"/>
      <c r="GQC18" s="493"/>
      <c r="GQD18" s="493"/>
      <c r="GQE18" s="493"/>
      <c r="GQF18" s="493"/>
      <c r="GQG18" s="493"/>
      <c r="GQH18" s="493"/>
      <c r="GQI18" s="493"/>
      <c r="GQJ18" s="493"/>
      <c r="GQK18" s="493"/>
      <c r="GQL18" s="493"/>
      <c r="GQM18" s="493"/>
      <c r="GQN18" s="493"/>
      <c r="GQO18" s="493"/>
      <c r="GQP18" s="493"/>
      <c r="GQQ18" s="493"/>
      <c r="GQR18" s="493"/>
      <c r="GQS18" s="493"/>
      <c r="GQT18" s="493"/>
      <c r="GQU18" s="493"/>
      <c r="GQV18" s="493"/>
      <c r="GQW18" s="493"/>
      <c r="GQX18" s="493"/>
      <c r="GQY18" s="493"/>
      <c r="GQZ18" s="493"/>
      <c r="GRA18" s="493"/>
      <c r="GRB18" s="493"/>
      <c r="GRC18" s="493"/>
      <c r="GRD18" s="493"/>
      <c r="GRE18" s="493"/>
      <c r="GRF18" s="493"/>
      <c r="GRG18" s="493"/>
      <c r="GRH18" s="493"/>
      <c r="GRI18" s="493"/>
      <c r="GRJ18" s="493"/>
      <c r="GRK18" s="493"/>
      <c r="GRL18" s="493"/>
      <c r="GRM18" s="493"/>
      <c r="GRN18" s="493"/>
      <c r="GRO18" s="493"/>
      <c r="GRP18" s="493"/>
      <c r="GRQ18" s="493"/>
      <c r="GRR18" s="493"/>
      <c r="GRS18" s="493"/>
      <c r="GRT18" s="493"/>
      <c r="GRU18" s="493"/>
      <c r="GRV18" s="493"/>
      <c r="GRW18" s="493"/>
      <c r="GRX18" s="493"/>
      <c r="GRY18" s="493"/>
      <c r="GRZ18" s="493"/>
      <c r="GSA18" s="493"/>
      <c r="GSB18" s="493"/>
      <c r="GSC18" s="493"/>
      <c r="GSD18" s="493"/>
      <c r="GSE18" s="493"/>
      <c r="GSF18" s="493"/>
      <c r="GSG18" s="493"/>
      <c r="GSH18" s="493"/>
      <c r="GSI18" s="493"/>
      <c r="GSJ18" s="493"/>
      <c r="GSK18" s="493"/>
      <c r="GSL18" s="493"/>
      <c r="GSM18" s="493"/>
      <c r="GSN18" s="493"/>
      <c r="GSO18" s="493"/>
      <c r="GSP18" s="493"/>
      <c r="GSQ18" s="493"/>
      <c r="GSR18" s="493"/>
      <c r="GSS18" s="493"/>
      <c r="GST18" s="493"/>
      <c r="GSU18" s="493"/>
      <c r="GSV18" s="493"/>
      <c r="GSW18" s="493"/>
      <c r="GSX18" s="493"/>
      <c r="GSY18" s="493"/>
      <c r="GSZ18" s="493"/>
      <c r="GTA18" s="493"/>
      <c r="GTB18" s="493"/>
      <c r="GTC18" s="493"/>
      <c r="GTD18" s="493"/>
      <c r="GTE18" s="493"/>
      <c r="GTF18" s="493"/>
      <c r="GTG18" s="493"/>
      <c r="GTH18" s="493"/>
      <c r="GTI18" s="493"/>
      <c r="GTJ18" s="493"/>
      <c r="GTK18" s="493"/>
      <c r="GTL18" s="493"/>
      <c r="GTM18" s="493"/>
      <c r="GTN18" s="493"/>
      <c r="GTO18" s="493"/>
      <c r="GTP18" s="493"/>
      <c r="GTQ18" s="493"/>
      <c r="GTR18" s="493"/>
      <c r="GTS18" s="493"/>
      <c r="GTT18" s="493"/>
      <c r="GTU18" s="493"/>
      <c r="GTV18" s="493"/>
      <c r="GTW18" s="493"/>
      <c r="GTX18" s="493"/>
      <c r="GTY18" s="493"/>
      <c r="GTZ18" s="493"/>
      <c r="GUA18" s="493"/>
      <c r="GUB18" s="493"/>
      <c r="GUC18" s="493"/>
      <c r="GUD18" s="493"/>
      <c r="GUE18" s="493"/>
      <c r="GUF18" s="493"/>
      <c r="GUG18" s="493"/>
      <c r="GUH18" s="493"/>
      <c r="GUI18" s="493"/>
      <c r="GUJ18" s="493"/>
      <c r="GUK18" s="493"/>
      <c r="GUL18" s="493"/>
      <c r="GUM18" s="493"/>
      <c r="GUN18" s="493"/>
      <c r="GUO18" s="493"/>
      <c r="GUP18" s="493"/>
      <c r="GUQ18" s="493"/>
      <c r="GUR18" s="493"/>
      <c r="GUS18" s="493"/>
      <c r="GUT18" s="493"/>
      <c r="GUU18" s="493"/>
      <c r="GUV18" s="493"/>
      <c r="GUW18" s="493"/>
      <c r="GUX18" s="493"/>
      <c r="GUY18" s="493"/>
      <c r="GUZ18" s="493"/>
      <c r="GVA18" s="493"/>
      <c r="GVB18" s="493"/>
      <c r="GVC18" s="493"/>
      <c r="GVD18" s="493"/>
      <c r="GVE18" s="493"/>
      <c r="GVF18" s="493"/>
      <c r="GVG18" s="493"/>
      <c r="GVH18" s="493"/>
      <c r="GVI18" s="493"/>
      <c r="GVJ18" s="493"/>
      <c r="GVK18" s="493"/>
      <c r="GVL18" s="493"/>
      <c r="GVM18" s="493"/>
      <c r="GVN18" s="493"/>
      <c r="GVO18" s="493"/>
      <c r="GVP18" s="493"/>
      <c r="GVQ18" s="493"/>
      <c r="GVR18" s="493"/>
      <c r="GVS18" s="493"/>
      <c r="GVT18" s="493"/>
      <c r="GVU18" s="493"/>
      <c r="GVV18" s="493"/>
      <c r="GVW18" s="493"/>
      <c r="GVX18" s="493"/>
      <c r="GVY18" s="493"/>
      <c r="GVZ18" s="493"/>
      <c r="GWA18" s="493"/>
      <c r="GWB18" s="493"/>
      <c r="GWC18" s="493"/>
      <c r="GWD18" s="493"/>
      <c r="GWE18" s="493"/>
      <c r="GWF18" s="493"/>
      <c r="GWG18" s="493"/>
      <c r="GWH18" s="493"/>
      <c r="GWI18" s="493"/>
      <c r="GWJ18" s="493"/>
      <c r="GWK18" s="493"/>
      <c r="GWL18" s="493"/>
      <c r="GWM18" s="493"/>
      <c r="GWN18" s="493"/>
      <c r="GWO18" s="493"/>
      <c r="GWP18" s="493"/>
      <c r="GWQ18" s="493"/>
      <c r="GWR18" s="493"/>
      <c r="GWS18" s="493"/>
      <c r="GWT18" s="493"/>
      <c r="GWU18" s="493"/>
      <c r="GWV18" s="493"/>
      <c r="GWW18" s="493"/>
      <c r="GWX18" s="493"/>
      <c r="GWY18" s="493"/>
      <c r="GWZ18" s="493"/>
      <c r="GXA18" s="493"/>
      <c r="GXB18" s="493"/>
      <c r="GXC18" s="493"/>
      <c r="GXD18" s="493"/>
      <c r="GXE18" s="493"/>
      <c r="GXF18" s="493"/>
      <c r="GXG18" s="493"/>
      <c r="GXH18" s="493"/>
      <c r="GXI18" s="493"/>
      <c r="GXJ18" s="493"/>
      <c r="GXK18" s="493"/>
      <c r="GXL18" s="493"/>
      <c r="GXM18" s="493"/>
      <c r="GXN18" s="493"/>
      <c r="GXO18" s="493"/>
      <c r="GXP18" s="493"/>
      <c r="GXQ18" s="493"/>
      <c r="GXR18" s="493"/>
      <c r="GXS18" s="493"/>
      <c r="GXT18" s="493"/>
      <c r="GXU18" s="493"/>
      <c r="GXV18" s="493"/>
      <c r="GXW18" s="493"/>
      <c r="GXX18" s="493"/>
      <c r="GXY18" s="493"/>
      <c r="GXZ18" s="493"/>
      <c r="GYA18" s="493"/>
      <c r="GYB18" s="493"/>
      <c r="GYC18" s="493"/>
      <c r="GYD18" s="493"/>
      <c r="GYE18" s="493"/>
      <c r="GYF18" s="493"/>
      <c r="GYG18" s="493"/>
      <c r="GYH18" s="493"/>
      <c r="GYI18" s="493"/>
      <c r="GYJ18" s="493"/>
      <c r="GYK18" s="493"/>
      <c r="GYL18" s="493"/>
      <c r="GYM18" s="493"/>
      <c r="GYN18" s="493"/>
      <c r="GYO18" s="493"/>
      <c r="GYP18" s="493"/>
      <c r="GYQ18" s="493"/>
      <c r="GYR18" s="493"/>
      <c r="GYS18" s="493"/>
      <c r="GYT18" s="493"/>
      <c r="GYU18" s="493"/>
      <c r="GYV18" s="493"/>
      <c r="GYW18" s="493"/>
      <c r="GYX18" s="493"/>
      <c r="GYY18" s="493"/>
      <c r="GYZ18" s="493"/>
      <c r="GZA18" s="493"/>
      <c r="GZB18" s="493"/>
      <c r="GZC18" s="493"/>
      <c r="GZD18" s="493"/>
      <c r="GZE18" s="493"/>
      <c r="GZF18" s="493"/>
      <c r="GZG18" s="493"/>
      <c r="GZH18" s="493"/>
      <c r="GZI18" s="493"/>
      <c r="GZJ18" s="493"/>
      <c r="GZK18" s="493"/>
      <c r="GZL18" s="493"/>
      <c r="GZM18" s="493"/>
      <c r="GZN18" s="493"/>
      <c r="GZO18" s="493"/>
      <c r="GZP18" s="493"/>
      <c r="GZQ18" s="493"/>
      <c r="GZR18" s="493"/>
      <c r="GZS18" s="493"/>
      <c r="GZT18" s="493"/>
      <c r="GZU18" s="493"/>
      <c r="GZV18" s="493"/>
      <c r="GZW18" s="493"/>
      <c r="GZX18" s="493"/>
      <c r="GZY18" s="493"/>
      <c r="GZZ18" s="493"/>
      <c r="HAA18" s="493"/>
      <c r="HAB18" s="493"/>
      <c r="HAC18" s="493"/>
      <c r="HAD18" s="493"/>
      <c r="HAE18" s="493"/>
      <c r="HAF18" s="493"/>
      <c r="HAG18" s="493"/>
      <c r="HAH18" s="493"/>
      <c r="HAI18" s="493"/>
      <c r="HAJ18" s="493"/>
      <c r="HAK18" s="493"/>
      <c r="HAL18" s="493"/>
      <c r="HAM18" s="493"/>
      <c r="HAN18" s="493"/>
      <c r="HAO18" s="493"/>
      <c r="HAP18" s="493"/>
      <c r="HAQ18" s="493"/>
      <c r="HAR18" s="493"/>
      <c r="HAS18" s="493"/>
      <c r="HAT18" s="493"/>
      <c r="HAU18" s="493"/>
      <c r="HAV18" s="493"/>
      <c r="HAW18" s="493"/>
      <c r="HAX18" s="493"/>
      <c r="HAY18" s="493"/>
      <c r="HAZ18" s="493"/>
      <c r="HBA18" s="493"/>
      <c r="HBB18" s="493"/>
      <c r="HBC18" s="493"/>
      <c r="HBD18" s="493"/>
      <c r="HBE18" s="493"/>
      <c r="HBF18" s="493"/>
      <c r="HBG18" s="493"/>
      <c r="HBH18" s="493"/>
      <c r="HBI18" s="493"/>
      <c r="HBJ18" s="493"/>
      <c r="HBK18" s="493"/>
      <c r="HBL18" s="493"/>
      <c r="HBM18" s="493"/>
      <c r="HBN18" s="493"/>
      <c r="HBO18" s="493"/>
      <c r="HBP18" s="493"/>
      <c r="HBQ18" s="493"/>
      <c r="HBR18" s="493"/>
      <c r="HBS18" s="493"/>
      <c r="HBT18" s="493"/>
      <c r="HBU18" s="493"/>
      <c r="HBV18" s="493"/>
      <c r="HBW18" s="493"/>
      <c r="HBX18" s="493"/>
      <c r="HBY18" s="493"/>
      <c r="HBZ18" s="493"/>
      <c r="HCA18" s="493"/>
      <c r="HCB18" s="493"/>
      <c r="HCC18" s="493"/>
      <c r="HCD18" s="493"/>
      <c r="HCE18" s="493"/>
      <c r="HCF18" s="493"/>
      <c r="HCG18" s="493"/>
      <c r="HCH18" s="493"/>
      <c r="HCI18" s="493"/>
      <c r="HCJ18" s="493"/>
      <c r="HCK18" s="493"/>
      <c r="HCL18" s="493"/>
      <c r="HCM18" s="493"/>
      <c r="HCN18" s="493"/>
      <c r="HCO18" s="493"/>
      <c r="HCP18" s="493"/>
      <c r="HCQ18" s="493"/>
      <c r="HCR18" s="493"/>
      <c r="HCS18" s="493"/>
      <c r="HCT18" s="493"/>
      <c r="HCU18" s="493"/>
      <c r="HCV18" s="493"/>
      <c r="HCW18" s="493"/>
      <c r="HCX18" s="493"/>
      <c r="HCY18" s="493"/>
      <c r="HCZ18" s="493"/>
      <c r="HDA18" s="493"/>
      <c r="HDB18" s="493"/>
      <c r="HDC18" s="493"/>
      <c r="HDD18" s="493"/>
      <c r="HDE18" s="493"/>
      <c r="HDF18" s="493"/>
      <c r="HDG18" s="493"/>
      <c r="HDH18" s="493"/>
      <c r="HDI18" s="493"/>
      <c r="HDJ18" s="493"/>
      <c r="HDK18" s="493"/>
      <c r="HDL18" s="493"/>
      <c r="HDM18" s="493"/>
      <c r="HDN18" s="493"/>
      <c r="HDO18" s="493"/>
      <c r="HDP18" s="493"/>
      <c r="HDQ18" s="493"/>
      <c r="HDR18" s="493"/>
      <c r="HDS18" s="493"/>
      <c r="HDT18" s="493"/>
      <c r="HDU18" s="493"/>
      <c r="HDV18" s="493"/>
      <c r="HDW18" s="493"/>
      <c r="HDX18" s="493"/>
      <c r="HDY18" s="493"/>
      <c r="HDZ18" s="493"/>
      <c r="HEA18" s="493"/>
      <c r="HEB18" s="493"/>
      <c r="HEC18" s="493"/>
      <c r="HED18" s="493"/>
      <c r="HEE18" s="493"/>
      <c r="HEF18" s="493"/>
      <c r="HEG18" s="493"/>
      <c r="HEH18" s="493"/>
      <c r="HEI18" s="493"/>
      <c r="HEJ18" s="493"/>
      <c r="HEK18" s="493"/>
      <c r="HEL18" s="493"/>
      <c r="HEM18" s="493"/>
      <c r="HEN18" s="493"/>
      <c r="HEO18" s="493"/>
      <c r="HEP18" s="493"/>
      <c r="HEQ18" s="493"/>
      <c r="HER18" s="493"/>
      <c r="HES18" s="493"/>
      <c r="HET18" s="493"/>
      <c r="HEU18" s="493"/>
      <c r="HEV18" s="493"/>
      <c r="HEW18" s="493"/>
      <c r="HEX18" s="493"/>
      <c r="HEY18" s="493"/>
      <c r="HEZ18" s="493"/>
      <c r="HFA18" s="493"/>
      <c r="HFB18" s="493"/>
      <c r="HFC18" s="493"/>
      <c r="HFD18" s="493"/>
      <c r="HFE18" s="493"/>
      <c r="HFF18" s="493"/>
      <c r="HFG18" s="493"/>
      <c r="HFH18" s="493"/>
      <c r="HFI18" s="493"/>
      <c r="HFJ18" s="493"/>
      <c r="HFK18" s="493"/>
      <c r="HFL18" s="493"/>
      <c r="HFM18" s="493"/>
      <c r="HFN18" s="493"/>
      <c r="HFO18" s="493"/>
      <c r="HFP18" s="493"/>
      <c r="HFQ18" s="493"/>
      <c r="HFR18" s="493"/>
      <c r="HFS18" s="493"/>
      <c r="HFT18" s="493"/>
      <c r="HFU18" s="493"/>
      <c r="HFV18" s="493"/>
      <c r="HFW18" s="493"/>
      <c r="HFX18" s="493"/>
      <c r="HFY18" s="493"/>
      <c r="HFZ18" s="493"/>
      <c r="HGA18" s="493"/>
      <c r="HGB18" s="493"/>
      <c r="HGC18" s="493"/>
      <c r="HGD18" s="493"/>
      <c r="HGE18" s="493"/>
      <c r="HGF18" s="493"/>
      <c r="HGG18" s="493"/>
      <c r="HGH18" s="493"/>
      <c r="HGI18" s="493"/>
      <c r="HGJ18" s="493"/>
      <c r="HGK18" s="493"/>
      <c r="HGL18" s="493"/>
      <c r="HGM18" s="493"/>
      <c r="HGN18" s="493"/>
      <c r="HGO18" s="493"/>
      <c r="HGP18" s="493"/>
      <c r="HGQ18" s="493"/>
      <c r="HGR18" s="493"/>
      <c r="HGS18" s="493"/>
      <c r="HGT18" s="493"/>
      <c r="HGU18" s="493"/>
      <c r="HGV18" s="493"/>
      <c r="HGW18" s="493"/>
      <c r="HGX18" s="493"/>
      <c r="HGY18" s="493"/>
      <c r="HGZ18" s="493"/>
      <c r="HHA18" s="493"/>
      <c r="HHB18" s="493"/>
      <c r="HHC18" s="493"/>
      <c r="HHD18" s="493"/>
      <c r="HHE18" s="493"/>
      <c r="HHF18" s="493"/>
      <c r="HHG18" s="493"/>
      <c r="HHH18" s="493"/>
      <c r="HHI18" s="493"/>
      <c r="HHJ18" s="493"/>
      <c r="HHK18" s="493"/>
      <c r="HHL18" s="493"/>
      <c r="HHM18" s="493"/>
      <c r="HHN18" s="493"/>
      <c r="HHO18" s="493"/>
      <c r="HHP18" s="493"/>
      <c r="HHQ18" s="493"/>
      <c r="HHR18" s="493"/>
      <c r="HHS18" s="493"/>
      <c r="HHT18" s="493"/>
      <c r="HHU18" s="493"/>
      <c r="HHV18" s="493"/>
      <c r="HHW18" s="493"/>
      <c r="HHX18" s="493"/>
      <c r="HHY18" s="493"/>
      <c r="HHZ18" s="493"/>
      <c r="HIA18" s="493"/>
      <c r="HIB18" s="493"/>
      <c r="HIC18" s="493"/>
      <c r="HID18" s="493"/>
      <c r="HIE18" s="493"/>
      <c r="HIF18" s="493"/>
      <c r="HIG18" s="493"/>
      <c r="HIH18" s="493"/>
      <c r="HII18" s="493"/>
      <c r="HIJ18" s="493"/>
      <c r="HIK18" s="493"/>
      <c r="HIL18" s="493"/>
      <c r="HIM18" s="493"/>
      <c r="HIN18" s="493"/>
      <c r="HIO18" s="493"/>
      <c r="HIP18" s="493"/>
      <c r="HIQ18" s="493"/>
      <c r="HIR18" s="493"/>
      <c r="HIS18" s="493"/>
      <c r="HIT18" s="493"/>
      <c r="HIU18" s="493"/>
      <c r="HIV18" s="493"/>
      <c r="HIW18" s="493"/>
      <c r="HIX18" s="493"/>
      <c r="HIY18" s="493"/>
      <c r="HIZ18" s="493"/>
      <c r="HJA18" s="493"/>
      <c r="HJB18" s="493"/>
      <c r="HJC18" s="493"/>
      <c r="HJD18" s="493"/>
      <c r="HJE18" s="493"/>
      <c r="HJF18" s="493"/>
      <c r="HJG18" s="493"/>
      <c r="HJH18" s="493"/>
      <c r="HJI18" s="493"/>
      <c r="HJJ18" s="493"/>
      <c r="HJK18" s="493"/>
      <c r="HJL18" s="493"/>
      <c r="HJM18" s="493"/>
      <c r="HJN18" s="493"/>
      <c r="HJO18" s="493"/>
      <c r="HJP18" s="493"/>
      <c r="HJQ18" s="493"/>
      <c r="HJR18" s="493"/>
      <c r="HJS18" s="493"/>
      <c r="HJT18" s="493"/>
      <c r="HJU18" s="493"/>
      <c r="HJV18" s="493"/>
      <c r="HJW18" s="493"/>
      <c r="HJX18" s="493"/>
      <c r="HJY18" s="493"/>
      <c r="HJZ18" s="493"/>
      <c r="HKA18" s="493"/>
      <c r="HKB18" s="493"/>
      <c r="HKC18" s="493"/>
      <c r="HKD18" s="493"/>
      <c r="HKE18" s="493"/>
      <c r="HKF18" s="493"/>
      <c r="HKG18" s="493"/>
      <c r="HKH18" s="493"/>
      <c r="HKI18" s="493"/>
      <c r="HKJ18" s="493"/>
      <c r="HKK18" s="493"/>
      <c r="HKL18" s="493"/>
      <c r="HKM18" s="493"/>
      <c r="HKN18" s="493"/>
      <c r="HKO18" s="493"/>
      <c r="HKP18" s="493"/>
      <c r="HKQ18" s="493"/>
      <c r="HKR18" s="493"/>
      <c r="HKS18" s="493"/>
      <c r="HKT18" s="493"/>
      <c r="HKU18" s="493"/>
      <c r="HKV18" s="493"/>
      <c r="HKW18" s="493"/>
      <c r="HKX18" s="493"/>
      <c r="HKY18" s="493"/>
      <c r="HKZ18" s="493"/>
      <c r="HLA18" s="493"/>
      <c r="HLB18" s="493"/>
      <c r="HLC18" s="493"/>
      <c r="HLD18" s="493"/>
      <c r="HLE18" s="493"/>
      <c r="HLF18" s="493"/>
      <c r="HLG18" s="493"/>
      <c r="HLH18" s="493"/>
      <c r="HLI18" s="493"/>
      <c r="HLJ18" s="493"/>
      <c r="HLK18" s="493"/>
      <c r="HLL18" s="493"/>
      <c r="HLM18" s="493"/>
      <c r="HLN18" s="493"/>
      <c r="HLO18" s="493"/>
      <c r="HLP18" s="493"/>
      <c r="HLQ18" s="493"/>
      <c r="HLR18" s="493"/>
      <c r="HLS18" s="493"/>
      <c r="HLT18" s="493"/>
      <c r="HLU18" s="493"/>
      <c r="HLV18" s="493"/>
      <c r="HLW18" s="493"/>
      <c r="HLX18" s="493"/>
      <c r="HLY18" s="493"/>
      <c r="HLZ18" s="493"/>
      <c r="HMA18" s="493"/>
      <c r="HMB18" s="493"/>
      <c r="HMC18" s="493"/>
      <c r="HMD18" s="493"/>
      <c r="HME18" s="493"/>
      <c r="HMF18" s="493"/>
      <c r="HMG18" s="493"/>
      <c r="HMH18" s="493"/>
      <c r="HMI18" s="493"/>
      <c r="HMJ18" s="493"/>
      <c r="HMK18" s="493"/>
      <c r="HML18" s="493"/>
      <c r="HMM18" s="493"/>
      <c r="HMN18" s="493"/>
      <c r="HMO18" s="493"/>
      <c r="HMP18" s="493"/>
      <c r="HMQ18" s="493"/>
      <c r="HMR18" s="493"/>
      <c r="HMS18" s="493"/>
      <c r="HMT18" s="493"/>
      <c r="HMU18" s="493"/>
      <c r="HMV18" s="493"/>
      <c r="HMW18" s="493"/>
      <c r="HMX18" s="493"/>
      <c r="HMY18" s="493"/>
      <c r="HMZ18" s="493"/>
      <c r="HNA18" s="493"/>
      <c r="HNB18" s="493"/>
      <c r="HNC18" s="493"/>
      <c r="HND18" s="493"/>
      <c r="HNE18" s="493"/>
      <c r="HNF18" s="493"/>
      <c r="HNG18" s="493"/>
      <c r="HNH18" s="493"/>
      <c r="HNI18" s="493"/>
      <c r="HNJ18" s="493"/>
      <c r="HNK18" s="493"/>
      <c r="HNL18" s="493"/>
      <c r="HNM18" s="493"/>
      <c r="HNN18" s="493"/>
      <c r="HNO18" s="493"/>
      <c r="HNP18" s="493"/>
      <c r="HNQ18" s="493"/>
      <c r="HNR18" s="493"/>
      <c r="HNS18" s="493"/>
      <c r="HNT18" s="493"/>
      <c r="HNU18" s="493"/>
      <c r="HNV18" s="493"/>
      <c r="HNW18" s="493"/>
      <c r="HNX18" s="493"/>
      <c r="HNY18" s="493"/>
      <c r="HNZ18" s="493"/>
      <c r="HOA18" s="493"/>
      <c r="HOB18" s="493"/>
      <c r="HOC18" s="493"/>
      <c r="HOD18" s="493"/>
      <c r="HOE18" s="493"/>
      <c r="HOF18" s="493"/>
      <c r="HOG18" s="493"/>
      <c r="HOH18" s="493"/>
      <c r="HOI18" s="493"/>
      <c r="HOJ18" s="493"/>
      <c r="HOK18" s="493"/>
      <c r="HOL18" s="493"/>
      <c r="HOM18" s="493"/>
      <c r="HON18" s="493"/>
      <c r="HOO18" s="493"/>
      <c r="HOP18" s="493"/>
      <c r="HOQ18" s="493"/>
      <c r="HOR18" s="493"/>
      <c r="HOS18" s="493"/>
      <c r="HOT18" s="493"/>
      <c r="HOU18" s="493"/>
      <c r="HOV18" s="493"/>
      <c r="HOW18" s="493"/>
      <c r="HOX18" s="493"/>
      <c r="HOY18" s="493"/>
      <c r="HOZ18" s="493"/>
      <c r="HPA18" s="493"/>
      <c r="HPB18" s="493"/>
      <c r="HPC18" s="493"/>
      <c r="HPD18" s="493"/>
      <c r="HPE18" s="493"/>
      <c r="HPF18" s="493"/>
      <c r="HPG18" s="493"/>
      <c r="HPH18" s="493"/>
      <c r="HPI18" s="493"/>
      <c r="HPJ18" s="493"/>
      <c r="HPK18" s="493"/>
      <c r="HPL18" s="493"/>
      <c r="HPM18" s="493"/>
      <c r="HPN18" s="493"/>
      <c r="HPO18" s="493"/>
      <c r="HPP18" s="493"/>
      <c r="HPQ18" s="493"/>
      <c r="HPR18" s="493"/>
      <c r="HPS18" s="493"/>
      <c r="HPT18" s="493"/>
      <c r="HPU18" s="493"/>
      <c r="HPV18" s="493"/>
      <c r="HPW18" s="493"/>
      <c r="HPX18" s="493"/>
      <c r="HPY18" s="493"/>
      <c r="HPZ18" s="493"/>
      <c r="HQA18" s="493"/>
      <c r="HQB18" s="493"/>
      <c r="HQC18" s="493"/>
      <c r="HQD18" s="493"/>
      <c r="HQE18" s="493"/>
      <c r="HQF18" s="493"/>
      <c r="HQG18" s="493"/>
      <c r="HQH18" s="493"/>
      <c r="HQI18" s="493"/>
      <c r="HQJ18" s="493"/>
      <c r="HQK18" s="493"/>
      <c r="HQL18" s="493"/>
      <c r="HQM18" s="493"/>
      <c r="HQN18" s="493"/>
      <c r="HQO18" s="493"/>
      <c r="HQP18" s="493"/>
      <c r="HQQ18" s="493"/>
      <c r="HQR18" s="493"/>
      <c r="HQS18" s="493"/>
      <c r="HQT18" s="493"/>
      <c r="HQU18" s="493"/>
      <c r="HQV18" s="493"/>
      <c r="HQW18" s="493"/>
      <c r="HQX18" s="493"/>
      <c r="HQY18" s="493"/>
      <c r="HQZ18" s="493"/>
      <c r="HRA18" s="493"/>
      <c r="HRB18" s="493"/>
      <c r="HRC18" s="493"/>
      <c r="HRD18" s="493"/>
      <c r="HRE18" s="493"/>
      <c r="HRF18" s="493"/>
      <c r="HRG18" s="493"/>
      <c r="HRH18" s="493"/>
      <c r="HRI18" s="493"/>
      <c r="HRJ18" s="493"/>
      <c r="HRK18" s="493"/>
      <c r="HRL18" s="493"/>
      <c r="HRM18" s="493"/>
      <c r="HRN18" s="493"/>
      <c r="HRO18" s="493"/>
      <c r="HRP18" s="493"/>
      <c r="HRQ18" s="493"/>
      <c r="HRR18" s="493"/>
      <c r="HRS18" s="493"/>
      <c r="HRT18" s="493"/>
      <c r="HRU18" s="493"/>
      <c r="HRV18" s="493"/>
      <c r="HRW18" s="493"/>
      <c r="HRX18" s="493"/>
      <c r="HRY18" s="493"/>
      <c r="HRZ18" s="493"/>
      <c r="HSA18" s="493"/>
      <c r="HSB18" s="493"/>
      <c r="HSC18" s="493"/>
      <c r="HSD18" s="493"/>
      <c r="HSE18" s="493"/>
      <c r="HSF18" s="493"/>
      <c r="HSG18" s="493"/>
      <c r="HSH18" s="493"/>
      <c r="HSI18" s="493"/>
      <c r="HSJ18" s="493"/>
      <c r="HSK18" s="493"/>
      <c r="HSL18" s="493"/>
      <c r="HSM18" s="493"/>
      <c r="HSN18" s="493"/>
      <c r="HSO18" s="493"/>
      <c r="HSP18" s="493"/>
      <c r="HSQ18" s="493"/>
      <c r="HSR18" s="493"/>
      <c r="HSS18" s="493"/>
      <c r="HST18" s="493"/>
      <c r="HSU18" s="493"/>
      <c r="HSV18" s="493"/>
      <c r="HSW18" s="493"/>
      <c r="HSX18" s="493"/>
      <c r="HSY18" s="493"/>
      <c r="HSZ18" s="493"/>
      <c r="HTA18" s="493"/>
      <c r="HTB18" s="493"/>
      <c r="HTC18" s="493"/>
      <c r="HTD18" s="493"/>
      <c r="HTE18" s="493"/>
      <c r="HTF18" s="493"/>
      <c r="HTG18" s="493"/>
      <c r="HTH18" s="493"/>
      <c r="HTI18" s="493"/>
      <c r="HTJ18" s="493"/>
      <c r="HTK18" s="493"/>
      <c r="HTL18" s="493"/>
      <c r="HTM18" s="493"/>
      <c r="HTN18" s="493"/>
      <c r="HTO18" s="493"/>
      <c r="HTP18" s="493"/>
      <c r="HTQ18" s="493"/>
      <c r="HTR18" s="493"/>
      <c r="HTS18" s="493"/>
      <c r="HTT18" s="493"/>
      <c r="HTU18" s="493"/>
      <c r="HTV18" s="493"/>
      <c r="HTW18" s="493"/>
      <c r="HTX18" s="493"/>
      <c r="HTY18" s="493"/>
      <c r="HTZ18" s="493"/>
      <c r="HUA18" s="493"/>
      <c r="HUB18" s="493"/>
      <c r="HUC18" s="493"/>
      <c r="HUD18" s="493"/>
      <c r="HUE18" s="493"/>
      <c r="HUF18" s="493"/>
      <c r="HUG18" s="493"/>
      <c r="HUH18" s="493"/>
      <c r="HUI18" s="493"/>
      <c r="HUJ18" s="493"/>
      <c r="HUK18" s="493"/>
      <c r="HUL18" s="493"/>
      <c r="HUM18" s="493"/>
      <c r="HUN18" s="493"/>
      <c r="HUO18" s="493"/>
      <c r="HUP18" s="493"/>
      <c r="HUQ18" s="493"/>
      <c r="HUR18" s="493"/>
      <c r="HUS18" s="493"/>
      <c r="HUT18" s="493"/>
      <c r="HUU18" s="493"/>
      <c r="HUV18" s="493"/>
      <c r="HUW18" s="493"/>
      <c r="HUX18" s="493"/>
      <c r="HUY18" s="493"/>
      <c r="HUZ18" s="493"/>
      <c r="HVA18" s="493"/>
      <c r="HVB18" s="493"/>
      <c r="HVC18" s="493"/>
      <c r="HVD18" s="493"/>
      <c r="HVE18" s="493"/>
      <c r="HVF18" s="493"/>
      <c r="HVG18" s="493"/>
      <c r="HVH18" s="493"/>
      <c r="HVI18" s="493"/>
      <c r="HVJ18" s="493"/>
      <c r="HVK18" s="493"/>
      <c r="HVL18" s="493"/>
      <c r="HVM18" s="493"/>
      <c r="HVN18" s="493"/>
      <c r="HVO18" s="493"/>
      <c r="HVP18" s="493"/>
      <c r="HVQ18" s="493"/>
      <c r="HVR18" s="493"/>
      <c r="HVS18" s="493"/>
      <c r="HVT18" s="493"/>
      <c r="HVU18" s="493"/>
      <c r="HVV18" s="493"/>
      <c r="HVW18" s="493"/>
      <c r="HVX18" s="493"/>
      <c r="HVY18" s="493"/>
      <c r="HVZ18" s="493"/>
      <c r="HWA18" s="493"/>
      <c r="HWB18" s="493"/>
      <c r="HWC18" s="493"/>
      <c r="HWD18" s="493"/>
      <c r="HWE18" s="493"/>
      <c r="HWF18" s="493"/>
      <c r="HWG18" s="493"/>
      <c r="HWH18" s="493"/>
      <c r="HWI18" s="493"/>
      <c r="HWJ18" s="493"/>
      <c r="HWK18" s="493"/>
      <c r="HWL18" s="493"/>
      <c r="HWM18" s="493"/>
      <c r="HWN18" s="493"/>
      <c r="HWO18" s="493"/>
      <c r="HWP18" s="493"/>
      <c r="HWQ18" s="493"/>
      <c r="HWR18" s="493"/>
      <c r="HWS18" s="493"/>
      <c r="HWT18" s="493"/>
      <c r="HWU18" s="493"/>
      <c r="HWV18" s="493"/>
      <c r="HWW18" s="493"/>
      <c r="HWX18" s="493"/>
      <c r="HWY18" s="493"/>
      <c r="HWZ18" s="493"/>
      <c r="HXA18" s="493"/>
      <c r="HXB18" s="493"/>
      <c r="HXC18" s="493"/>
      <c r="HXD18" s="493"/>
      <c r="HXE18" s="493"/>
      <c r="HXF18" s="493"/>
      <c r="HXG18" s="493"/>
      <c r="HXH18" s="493"/>
      <c r="HXI18" s="493"/>
      <c r="HXJ18" s="493"/>
      <c r="HXK18" s="493"/>
      <c r="HXL18" s="493"/>
      <c r="HXM18" s="493"/>
      <c r="HXN18" s="493"/>
      <c r="HXO18" s="493"/>
      <c r="HXP18" s="493"/>
      <c r="HXQ18" s="493"/>
      <c r="HXR18" s="493"/>
      <c r="HXS18" s="493"/>
      <c r="HXT18" s="493"/>
      <c r="HXU18" s="493"/>
      <c r="HXV18" s="493"/>
      <c r="HXW18" s="493"/>
      <c r="HXX18" s="493"/>
      <c r="HXY18" s="493"/>
      <c r="HXZ18" s="493"/>
      <c r="HYA18" s="493"/>
      <c r="HYB18" s="493"/>
      <c r="HYC18" s="493"/>
      <c r="HYD18" s="493"/>
      <c r="HYE18" s="493"/>
      <c r="HYF18" s="493"/>
      <c r="HYG18" s="493"/>
      <c r="HYH18" s="493"/>
      <c r="HYI18" s="493"/>
      <c r="HYJ18" s="493"/>
      <c r="HYK18" s="493"/>
      <c r="HYL18" s="493"/>
      <c r="HYM18" s="493"/>
      <c r="HYN18" s="493"/>
      <c r="HYO18" s="493"/>
      <c r="HYP18" s="493"/>
      <c r="HYQ18" s="493"/>
      <c r="HYR18" s="493"/>
      <c r="HYS18" s="493"/>
      <c r="HYT18" s="493"/>
      <c r="HYU18" s="493"/>
      <c r="HYV18" s="493"/>
      <c r="HYW18" s="493"/>
      <c r="HYX18" s="493"/>
      <c r="HYY18" s="493"/>
      <c r="HYZ18" s="493"/>
      <c r="HZA18" s="493"/>
      <c r="HZB18" s="493"/>
      <c r="HZC18" s="493"/>
      <c r="HZD18" s="493"/>
      <c r="HZE18" s="493"/>
      <c r="HZF18" s="493"/>
      <c r="HZG18" s="493"/>
      <c r="HZH18" s="493"/>
      <c r="HZI18" s="493"/>
      <c r="HZJ18" s="493"/>
      <c r="HZK18" s="493"/>
      <c r="HZL18" s="493"/>
      <c r="HZM18" s="493"/>
      <c r="HZN18" s="493"/>
      <c r="HZO18" s="493"/>
      <c r="HZP18" s="493"/>
      <c r="HZQ18" s="493"/>
      <c r="HZR18" s="493"/>
      <c r="HZS18" s="493"/>
      <c r="HZT18" s="493"/>
      <c r="HZU18" s="493"/>
      <c r="HZV18" s="493"/>
      <c r="HZW18" s="493"/>
      <c r="HZX18" s="493"/>
      <c r="HZY18" s="493"/>
      <c r="HZZ18" s="493"/>
      <c r="IAA18" s="493"/>
      <c r="IAB18" s="493"/>
      <c r="IAC18" s="493"/>
      <c r="IAD18" s="493"/>
      <c r="IAE18" s="493"/>
      <c r="IAF18" s="493"/>
      <c r="IAG18" s="493"/>
      <c r="IAH18" s="493"/>
      <c r="IAI18" s="493"/>
      <c r="IAJ18" s="493"/>
      <c r="IAK18" s="493"/>
      <c r="IAL18" s="493"/>
      <c r="IAM18" s="493"/>
      <c r="IAN18" s="493"/>
      <c r="IAO18" s="493"/>
      <c r="IAP18" s="493"/>
      <c r="IAQ18" s="493"/>
      <c r="IAR18" s="493"/>
      <c r="IAS18" s="493"/>
      <c r="IAT18" s="493"/>
      <c r="IAU18" s="493"/>
      <c r="IAV18" s="493"/>
      <c r="IAW18" s="493"/>
      <c r="IAX18" s="493"/>
      <c r="IAY18" s="493"/>
      <c r="IAZ18" s="493"/>
      <c r="IBA18" s="493"/>
      <c r="IBB18" s="493"/>
      <c r="IBC18" s="493"/>
      <c r="IBD18" s="493"/>
      <c r="IBE18" s="493"/>
      <c r="IBF18" s="493"/>
      <c r="IBG18" s="493"/>
      <c r="IBH18" s="493"/>
      <c r="IBI18" s="493"/>
      <c r="IBJ18" s="493"/>
      <c r="IBK18" s="493"/>
      <c r="IBL18" s="493"/>
      <c r="IBM18" s="493"/>
      <c r="IBN18" s="493"/>
      <c r="IBO18" s="493"/>
      <c r="IBP18" s="493"/>
      <c r="IBQ18" s="493"/>
      <c r="IBR18" s="493"/>
      <c r="IBS18" s="493"/>
      <c r="IBT18" s="493"/>
      <c r="IBU18" s="493"/>
      <c r="IBV18" s="493"/>
      <c r="IBW18" s="493"/>
      <c r="IBX18" s="493"/>
      <c r="IBY18" s="493"/>
      <c r="IBZ18" s="493"/>
      <c r="ICA18" s="493"/>
      <c r="ICB18" s="493"/>
      <c r="ICC18" s="493"/>
      <c r="ICD18" s="493"/>
      <c r="ICE18" s="493"/>
      <c r="ICF18" s="493"/>
      <c r="ICG18" s="493"/>
      <c r="ICH18" s="493"/>
      <c r="ICI18" s="493"/>
      <c r="ICJ18" s="493"/>
      <c r="ICK18" s="493"/>
      <c r="ICL18" s="493"/>
      <c r="ICM18" s="493"/>
      <c r="ICN18" s="493"/>
      <c r="ICO18" s="493"/>
      <c r="ICP18" s="493"/>
      <c r="ICQ18" s="493"/>
      <c r="ICR18" s="493"/>
      <c r="ICS18" s="493"/>
      <c r="ICT18" s="493"/>
      <c r="ICU18" s="493"/>
      <c r="ICV18" s="493"/>
      <c r="ICW18" s="493"/>
      <c r="ICX18" s="493"/>
      <c r="ICY18" s="493"/>
      <c r="ICZ18" s="493"/>
      <c r="IDA18" s="493"/>
      <c r="IDB18" s="493"/>
      <c r="IDC18" s="493"/>
      <c r="IDD18" s="493"/>
      <c r="IDE18" s="493"/>
      <c r="IDF18" s="493"/>
      <c r="IDG18" s="493"/>
      <c r="IDH18" s="493"/>
      <c r="IDI18" s="493"/>
      <c r="IDJ18" s="493"/>
      <c r="IDK18" s="493"/>
      <c r="IDL18" s="493"/>
      <c r="IDM18" s="493"/>
      <c r="IDN18" s="493"/>
      <c r="IDO18" s="493"/>
      <c r="IDP18" s="493"/>
      <c r="IDQ18" s="493"/>
      <c r="IDR18" s="493"/>
      <c r="IDS18" s="493"/>
      <c r="IDT18" s="493"/>
      <c r="IDU18" s="493"/>
      <c r="IDV18" s="493"/>
      <c r="IDW18" s="493"/>
      <c r="IDX18" s="493"/>
      <c r="IDY18" s="493"/>
      <c r="IDZ18" s="493"/>
      <c r="IEA18" s="493"/>
      <c r="IEB18" s="493"/>
      <c r="IEC18" s="493"/>
      <c r="IED18" s="493"/>
      <c r="IEE18" s="493"/>
      <c r="IEF18" s="493"/>
      <c r="IEG18" s="493"/>
      <c r="IEH18" s="493"/>
      <c r="IEI18" s="493"/>
      <c r="IEJ18" s="493"/>
      <c r="IEK18" s="493"/>
      <c r="IEL18" s="493"/>
      <c r="IEM18" s="493"/>
      <c r="IEN18" s="493"/>
      <c r="IEO18" s="493"/>
      <c r="IEP18" s="493"/>
      <c r="IEQ18" s="493"/>
      <c r="IER18" s="493"/>
      <c r="IES18" s="493"/>
      <c r="IET18" s="493"/>
      <c r="IEU18" s="493"/>
      <c r="IEV18" s="493"/>
      <c r="IEW18" s="493"/>
      <c r="IEX18" s="493"/>
      <c r="IEY18" s="493"/>
      <c r="IEZ18" s="493"/>
      <c r="IFA18" s="493"/>
      <c r="IFB18" s="493"/>
      <c r="IFC18" s="493"/>
      <c r="IFD18" s="493"/>
      <c r="IFE18" s="493"/>
      <c r="IFF18" s="493"/>
      <c r="IFG18" s="493"/>
      <c r="IFH18" s="493"/>
      <c r="IFI18" s="493"/>
      <c r="IFJ18" s="493"/>
      <c r="IFK18" s="493"/>
      <c r="IFL18" s="493"/>
      <c r="IFM18" s="493"/>
      <c r="IFN18" s="493"/>
      <c r="IFO18" s="493"/>
      <c r="IFP18" s="493"/>
      <c r="IFQ18" s="493"/>
      <c r="IFR18" s="493"/>
      <c r="IFS18" s="493"/>
      <c r="IFT18" s="493"/>
      <c r="IFU18" s="493"/>
      <c r="IFV18" s="493"/>
      <c r="IFW18" s="493"/>
      <c r="IFX18" s="493"/>
      <c r="IFY18" s="493"/>
      <c r="IFZ18" s="493"/>
      <c r="IGA18" s="493"/>
      <c r="IGB18" s="493"/>
      <c r="IGC18" s="493"/>
      <c r="IGD18" s="493"/>
      <c r="IGE18" s="493"/>
      <c r="IGF18" s="493"/>
      <c r="IGG18" s="493"/>
      <c r="IGH18" s="493"/>
      <c r="IGI18" s="493"/>
      <c r="IGJ18" s="493"/>
      <c r="IGK18" s="493"/>
      <c r="IGL18" s="493"/>
      <c r="IGM18" s="493"/>
      <c r="IGN18" s="493"/>
      <c r="IGO18" s="493"/>
      <c r="IGP18" s="493"/>
      <c r="IGQ18" s="493"/>
      <c r="IGR18" s="493"/>
      <c r="IGS18" s="493"/>
      <c r="IGT18" s="493"/>
      <c r="IGU18" s="493"/>
      <c r="IGV18" s="493"/>
      <c r="IGW18" s="493"/>
      <c r="IGX18" s="493"/>
      <c r="IGY18" s="493"/>
      <c r="IGZ18" s="493"/>
      <c r="IHA18" s="493"/>
      <c r="IHB18" s="493"/>
      <c r="IHC18" s="493"/>
      <c r="IHD18" s="493"/>
      <c r="IHE18" s="493"/>
      <c r="IHF18" s="493"/>
      <c r="IHG18" s="493"/>
      <c r="IHH18" s="493"/>
      <c r="IHI18" s="493"/>
      <c r="IHJ18" s="493"/>
      <c r="IHK18" s="493"/>
      <c r="IHL18" s="493"/>
      <c r="IHM18" s="493"/>
      <c r="IHN18" s="493"/>
      <c r="IHO18" s="493"/>
      <c r="IHP18" s="493"/>
      <c r="IHQ18" s="493"/>
      <c r="IHR18" s="493"/>
      <c r="IHS18" s="493"/>
      <c r="IHT18" s="493"/>
      <c r="IHU18" s="493"/>
      <c r="IHV18" s="493"/>
      <c r="IHW18" s="493"/>
      <c r="IHX18" s="493"/>
      <c r="IHY18" s="493"/>
      <c r="IHZ18" s="493"/>
      <c r="IIA18" s="493"/>
      <c r="IIB18" s="493"/>
      <c r="IIC18" s="493"/>
      <c r="IID18" s="493"/>
      <c r="IIE18" s="493"/>
      <c r="IIF18" s="493"/>
      <c r="IIG18" s="493"/>
      <c r="IIH18" s="493"/>
      <c r="III18" s="493"/>
      <c r="IIJ18" s="493"/>
      <c r="IIK18" s="493"/>
      <c r="IIL18" s="493"/>
      <c r="IIM18" s="493"/>
      <c r="IIN18" s="493"/>
      <c r="IIO18" s="493"/>
      <c r="IIP18" s="493"/>
      <c r="IIQ18" s="493"/>
      <c r="IIR18" s="493"/>
      <c r="IIS18" s="493"/>
      <c r="IIT18" s="493"/>
      <c r="IIU18" s="493"/>
      <c r="IIV18" s="493"/>
      <c r="IIW18" s="493"/>
      <c r="IIX18" s="493"/>
      <c r="IIY18" s="493"/>
      <c r="IIZ18" s="493"/>
      <c r="IJA18" s="493"/>
      <c r="IJB18" s="493"/>
      <c r="IJC18" s="493"/>
      <c r="IJD18" s="493"/>
      <c r="IJE18" s="493"/>
      <c r="IJF18" s="493"/>
      <c r="IJG18" s="493"/>
      <c r="IJH18" s="493"/>
      <c r="IJI18" s="493"/>
      <c r="IJJ18" s="493"/>
      <c r="IJK18" s="493"/>
      <c r="IJL18" s="493"/>
      <c r="IJM18" s="493"/>
      <c r="IJN18" s="493"/>
      <c r="IJO18" s="493"/>
      <c r="IJP18" s="493"/>
      <c r="IJQ18" s="493"/>
      <c r="IJR18" s="493"/>
      <c r="IJS18" s="493"/>
      <c r="IJT18" s="493"/>
      <c r="IJU18" s="493"/>
      <c r="IJV18" s="493"/>
      <c r="IJW18" s="493"/>
      <c r="IJX18" s="493"/>
      <c r="IJY18" s="493"/>
      <c r="IJZ18" s="493"/>
      <c r="IKA18" s="493"/>
      <c r="IKB18" s="493"/>
      <c r="IKC18" s="493"/>
      <c r="IKD18" s="493"/>
      <c r="IKE18" s="493"/>
      <c r="IKF18" s="493"/>
      <c r="IKG18" s="493"/>
      <c r="IKH18" s="493"/>
      <c r="IKI18" s="493"/>
      <c r="IKJ18" s="493"/>
      <c r="IKK18" s="493"/>
      <c r="IKL18" s="493"/>
      <c r="IKM18" s="493"/>
      <c r="IKN18" s="493"/>
      <c r="IKO18" s="493"/>
      <c r="IKP18" s="493"/>
      <c r="IKQ18" s="493"/>
      <c r="IKR18" s="493"/>
      <c r="IKS18" s="493"/>
      <c r="IKT18" s="493"/>
      <c r="IKU18" s="493"/>
      <c r="IKV18" s="493"/>
      <c r="IKW18" s="493"/>
      <c r="IKX18" s="493"/>
      <c r="IKY18" s="493"/>
      <c r="IKZ18" s="493"/>
      <c r="ILA18" s="493"/>
      <c r="ILB18" s="493"/>
      <c r="ILC18" s="493"/>
      <c r="ILD18" s="493"/>
      <c r="ILE18" s="493"/>
      <c r="ILF18" s="493"/>
      <c r="ILG18" s="493"/>
      <c r="ILH18" s="493"/>
      <c r="ILI18" s="493"/>
      <c r="ILJ18" s="493"/>
      <c r="ILK18" s="493"/>
      <c r="ILL18" s="493"/>
      <c r="ILM18" s="493"/>
      <c r="ILN18" s="493"/>
      <c r="ILO18" s="493"/>
      <c r="ILP18" s="493"/>
      <c r="ILQ18" s="493"/>
      <c r="ILR18" s="493"/>
      <c r="ILS18" s="493"/>
      <c r="ILT18" s="493"/>
      <c r="ILU18" s="493"/>
      <c r="ILV18" s="493"/>
      <c r="ILW18" s="493"/>
      <c r="ILX18" s="493"/>
      <c r="ILY18" s="493"/>
      <c r="ILZ18" s="493"/>
      <c r="IMA18" s="493"/>
      <c r="IMB18" s="493"/>
      <c r="IMC18" s="493"/>
      <c r="IMD18" s="493"/>
      <c r="IME18" s="493"/>
      <c r="IMF18" s="493"/>
      <c r="IMG18" s="493"/>
      <c r="IMH18" s="493"/>
      <c r="IMI18" s="493"/>
      <c r="IMJ18" s="493"/>
      <c r="IMK18" s="493"/>
      <c r="IML18" s="493"/>
      <c r="IMM18" s="493"/>
      <c r="IMN18" s="493"/>
      <c r="IMO18" s="493"/>
      <c r="IMP18" s="493"/>
      <c r="IMQ18" s="493"/>
      <c r="IMR18" s="493"/>
      <c r="IMS18" s="493"/>
      <c r="IMT18" s="493"/>
      <c r="IMU18" s="493"/>
      <c r="IMV18" s="493"/>
      <c r="IMW18" s="493"/>
      <c r="IMX18" s="493"/>
      <c r="IMY18" s="493"/>
      <c r="IMZ18" s="493"/>
      <c r="INA18" s="493"/>
      <c r="INB18" s="493"/>
      <c r="INC18" s="493"/>
      <c r="IND18" s="493"/>
      <c r="INE18" s="493"/>
      <c r="INF18" s="493"/>
      <c r="ING18" s="493"/>
      <c r="INH18" s="493"/>
      <c r="INI18" s="493"/>
      <c r="INJ18" s="493"/>
      <c r="INK18" s="493"/>
      <c r="INL18" s="493"/>
      <c r="INM18" s="493"/>
      <c r="INN18" s="493"/>
      <c r="INO18" s="493"/>
      <c r="INP18" s="493"/>
      <c r="INQ18" s="493"/>
      <c r="INR18" s="493"/>
      <c r="INS18" s="493"/>
      <c r="INT18" s="493"/>
      <c r="INU18" s="493"/>
      <c r="INV18" s="493"/>
      <c r="INW18" s="493"/>
      <c r="INX18" s="493"/>
      <c r="INY18" s="493"/>
      <c r="INZ18" s="493"/>
      <c r="IOA18" s="493"/>
      <c r="IOB18" s="493"/>
      <c r="IOC18" s="493"/>
      <c r="IOD18" s="493"/>
      <c r="IOE18" s="493"/>
      <c r="IOF18" s="493"/>
      <c r="IOG18" s="493"/>
      <c r="IOH18" s="493"/>
      <c r="IOI18" s="493"/>
      <c r="IOJ18" s="493"/>
      <c r="IOK18" s="493"/>
      <c r="IOL18" s="493"/>
      <c r="IOM18" s="493"/>
      <c r="ION18" s="493"/>
      <c r="IOO18" s="493"/>
      <c r="IOP18" s="493"/>
      <c r="IOQ18" s="493"/>
      <c r="IOR18" s="493"/>
      <c r="IOS18" s="493"/>
      <c r="IOT18" s="493"/>
      <c r="IOU18" s="493"/>
      <c r="IOV18" s="493"/>
      <c r="IOW18" s="493"/>
      <c r="IOX18" s="493"/>
      <c r="IOY18" s="493"/>
      <c r="IOZ18" s="493"/>
      <c r="IPA18" s="493"/>
      <c r="IPB18" s="493"/>
      <c r="IPC18" s="493"/>
      <c r="IPD18" s="493"/>
      <c r="IPE18" s="493"/>
      <c r="IPF18" s="493"/>
      <c r="IPG18" s="493"/>
      <c r="IPH18" s="493"/>
      <c r="IPI18" s="493"/>
      <c r="IPJ18" s="493"/>
      <c r="IPK18" s="493"/>
      <c r="IPL18" s="493"/>
      <c r="IPM18" s="493"/>
      <c r="IPN18" s="493"/>
      <c r="IPO18" s="493"/>
      <c r="IPP18" s="493"/>
      <c r="IPQ18" s="493"/>
      <c r="IPR18" s="493"/>
      <c r="IPS18" s="493"/>
      <c r="IPT18" s="493"/>
      <c r="IPU18" s="493"/>
      <c r="IPV18" s="493"/>
      <c r="IPW18" s="493"/>
      <c r="IPX18" s="493"/>
      <c r="IPY18" s="493"/>
      <c r="IPZ18" s="493"/>
      <c r="IQA18" s="493"/>
      <c r="IQB18" s="493"/>
      <c r="IQC18" s="493"/>
      <c r="IQD18" s="493"/>
      <c r="IQE18" s="493"/>
      <c r="IQF18" s="493"/>
      <c r="IQG18" s="493"/>
      <c r="IQH18" s="493"/>
      <c r="IQI18" s="493"/>
      <c r="IQJ18" s="493"/>
      <c r="IQK18" s="493"/>
      <c r="IQL18" s="493"/>
      <c r="IQM18" s="493"/>
      <c r="IQN18" s="493"/>
      <c r="IQO18" s="493"/>
      <c r="IQP18" s="493"/>
      <c r="IQQ18" s="493"/>
      <c r="IQR18" s="493"/>
      <c r="IQS18" s="493"/>
      <c r="IQT18" s="493"/>
      <c r="IQU18" s="493"/>
      <c r="IQV18" s="493"/>
      <c r="IQW18" s="493"/>
      <c r="IQX18" s="493"/>
      <c r="IQY18" s="493"/>
      <c r="IQZ18" s="493"/>
      <c r="IRA18" s="493"/>
      <c r="IRB18" s="493"/>
      <c r="IRC18" s="493"/>
      <c r="IRD18" s="493"/>
      <c r="IRE18" s="493"/>
      <c r="IRF18" s="493"/>
      <c r="IRG18" s="493"/>
      <c r="IRH18" s="493"/>
      <c r="IRI18" s="493"/>
      <c r="IRJ18" s="493"/>
      <c r="IRK18" s="493"/>
      <c r="IRL18" s="493"/>
      <c r="IRM18" s="493"/>
      <c r="IRN18" s="493"/>
      <c r="IRO18" s="493"/>
      <c r="IRP18" s="493"/>
      <c r="IRQ18" s="493"/>
      <c r="IRR18" s="493"/>
      <c r="IRS18" s="493"/>
      <c r="IRT18" s="493"/>
      <c r="IRU18" s="493"/>
      <c r="IRV18" s="493"/>
      <c r="IRW18" s="493"/>
      <c r="IRX18" s="493"/>
      <c r="IRY18" s="493"/>
      <c r="IRZ18" s="493"/>
      <c r="ISA18" s="493"/>
      <c r="ISB18" s="493"/>
      <c r="ISC18" s="493"/>
      <c r="ISD18" s="493"/>
      <c r="ISE18" s="493"/>
      <c r="ISF18" s="493"/>
      <c r="ISG18" s="493"/>
      <c r="ISH18" s="493"/>
      <c r="ISI18" s="493"/>
      <c r="ISJ18" s="493"/>
      <c r="ISK18" s="493"/>
      <c r="ISL18" s="493"/>
      <c r="ISM18" s="493"/>
      <c r="ISN18" s="493"/>
      <c r="ISO18" s="493"/>
      <c r="ISP18" s="493"/>
      <c r="ISQ18" s="493"/>
      <c r="ISR18" s="493"/>
      <c r="ISS18" s="493"/>
      <c r="IST18" s="493"/>
      <c r="ISU18" s="493"/>
      <c r="ISV18" s="493"/>
      <c r="ISW18" s="493"/>
      <c r="ISX18" s="493"/>
      <c r="ISY18" s="493"/>
      <c r="ISZ18" s="493"/>
      <c r="ITA18" s="493"/>
      <c r="ITB18" s="493"/>
      <c r="ITC18" s="493"/>
      <c r="ITD18" s="493"/>
      <c r="ITE18" s="493"/>
      <c r="ITF18" s="493"/>
      <c r="ITG18" s="493"/>
      <c r="ITH18" s="493"/>
      <c r="ITI18" s="493"/>
      <c r="ITJ18" s="493"/>
      <c r="ITK18" s="493"/>
      <c r="ITL18" s="493"/>
      <c r="ITM18" s="493"/>
      <c r="ITN18" s="493"/>
      <c r="ITO18" s="493"/>
      <c r="ITP18" s="493"/>
      <c r="ITQ18" s="493"/>
      <c r="ITR18" s="493"/>
      <c r="ITS18" s="493"/>
      <c r="ITT18" s="493"/>
      <c r="ITU18" s="493"/>
      <c r="ITV18" s="493"/>
      <c r="ITW18" s="493"/>
      <c r="ITX18" s="493"/>
      <c r="ITY18" s="493"/>
      <c r="ITZ18" s="493"/>
      <c r="IUA18" s="493"/>
      <c r="IUB18" s="493"/>
      <c r="IUC18" s="493"/>
      <c r="IUD18" s="493"/>
      <c r="IUE18" s="493"/>
      <c r="IUF18" s="493"/>
      <c r="IUG18" s="493"/>
      <c r="IUH18" s="493"/>
      <c r="IUI18" s="493"/>
      <c r="IUJ18" s="493"/>
      <c r="IUK18" s="493"/>
      <c r="IUL18" s="493"/>
      <c r="IUM18" s="493"/>
      <c r="IUN18" s="493"/>
      <c r="IUO18" s="493"/>
      <c r="IUP18" s="493"/>
      <c r="IUQ18" s="493"/>
      <c r="IUR18" s="493"/>
      <c r="IUS18" s="493"/>
      <c r="IUT18" s="493"/>
      <c r="IUU18" s="493"/>
      <c r="IUV18" s="493"/>
      <c r="IUW18" s="493"/>
      <c r="IUX18" s="493"/>
      <c r="IUY18" s="493"/>
      <c r="IUZ18" s="493"/>
      <c r="IVA18" s="493"/>
      <c r="IVB18" s="493"/>
      <c r="IVC18" s="493"/>
      <c r="IVD18" s="493"/>
      <c r="IVE18" s="493"/>
      <c r="IVF18" s="493"/>
      <c r="IVG18" s="493"/>
      <c r="IVH18" s="493"/>
      <c r="IVI18" s="493"/>
      <c r="IVJ18" s="493"/>
      <c r="IVK18" s="493"/>
      <c r="IVL18" s="493"/>
      <c r="IVM18" s="493"/>
      <c r="IVN18" s="493"/>
      <c r="IVO18" s="493"/>
      <c r="IVP18" s="493"/>
      <c r="IVQ18" s="493"/>
      <c r="IVR18" s="493"/>
      <c r="IVS18" s="493"/>
      <c r="IVT18" s="493"/>
      <c r="IVU18" s="493"/>
      <c r="IVV18" s="493"/>
      <c r="IVW18" s="493"/>
      <c r="IVX18" s="493"/>
      <c r="IVY18" s="493"/>
      <c r="IVZ18" s="493"/>
      <c r="IWA18" s="493"/>
      <c r="IWB18" s="493"/>
      <c r="IWC18" s="493"/>
      <c r="IWD18" s="493"/>
      <c r="IWE18" s="493"/>
      <c r="IWF18" s="493"/>
      <c r="IWG18" s="493"/>
      <c r="IWH18" s="493"/>
      <c r="IWI18" s="493"/>
      <c r="IWJ18" s="493"/>
      <c r="IWK18" s="493"/>
      <c r="IWL18" s="493"/>
      <c r="IWM18" s="493"/>
      <c r="IWN18" s="493"/>
      <c r="IWO18" s="493"/>
      <c r="IWP18" s="493"/>
      <c r="IWQ18" s="493"/>
      <c r="IWR18" s="493"/>
      <c r="IWS18" s="493"/>
      <c r="IWT18" s="493"/>
      <c r="IWU18" s="493"/>
      <c r="IWV18" s="493"/>
      <c r="IWW18" s="493"/>
      <c r="IWX18" s="493"/>
      <c r="IWY18" s="493"/>
      <c r="IWZ18" s="493"/>
      <c r="IXA18" s="493"/>
      <c r="IXB18" s="493"/>
      <c r="IXC18" s="493"/>
      <c r="IXD18" s="493"/>
      <c r="IXE18" s="493"/>
      <c r="IXF18" s="493"/>
      <c r="IXG18" s="493"/>
      <c r="IXH18" s="493"/>
      <c r="IXI18" s="493"/>
      <c r="IXJ18" s="493"/>
      <c r="IXK18" s="493"/>
      <c r="IXL18" s="493"/>
      <c r="IXM18" s="493"/>
      <c r="IXN18" s="493"/>
      <c r="IXO18" s="493"/>
      <c r="IXP18" s="493"/>
      <c r="IXQ18" s="493"/>
      <c r="IXR18" s="493"/>
      <c r="IXS18" s="493"/>
      <c r="IXT18" s="493"/>
      <c r="IXU18" s="493"/>
      <c r="IXV18" s="493"/>
      <c r="IXW18" s="493"/>
      <c r="IXX18" s="493"/>
      <c r="IXY18" s="493"/>
      <c r="IXZ18" s="493"/>
      <c r="IYA18" s="493"/>
      <c r="IYB18" s="493"/>
      <c r="IYC18" s="493"/>
      <c r="IYD18" s="493"/>
      <c r="IYE18" s="493"/>
      <c r="IYF18" s="493"/>
      <c r="IYG18" s="493"/>
      <c r="IYH18" s="493"/>
      <c r="IYI18" s="493"/>
      <c r="IYJ18" s="493"/>
      <c r="IYK18" s="493"/>
      <c r="IYL18" s="493"/>
      <c r="IYM18" s="493"/>
      <c r="IYN18" s="493"/>
      <c r="IYO18" s="493"/>
      <c r="IYP18" s="493"/>
      <c r="IYQ18" s="493"/>
      <c r="IYR18" s="493"/>
      <c r="IYS18" s="493"/>
      <c r="IYT18" s="493"/>
      <c r="IYU18" s="493"/>
      <c r="IYV18" s="493"/>
      <c r="IYW18" s="493"/>
      <c r="IYX18" s="493"/>
      <c r="IYY18" s="493"/>
      <c r="IYZ18" s="493"/>
      <c r="IZA18" s="493"/>
      <c r="IZB18" s="493"/>
      <c r="IZC18" s="493"/>
      <c r="IZD18" s="493"/>
      <c r="IZE18" s="493"/>
      <c r="IZF18" s="493"/>
      <c r="IZG18" s="493"/>
      <c r="IZH18" s="493"/>
      <c r="IZI18" s="493"/>
      <c r="IZJ18" s="493"/>
      <c r="IZK18" s="493"/>
      <c r="IZL18" s="493"/>
      <c r="IZM18" s="493"/>
      <c r="IZN18" s="493"/>
      <c r="IZO18" s="493"/>
      <c r="IZP18" s="493"/>
      <c r="IZQ18" s="493"/>
      <c r="IZR18" s="493"/>
      <c r="IZS18" s="493"/>
      <c r="IZT18" s="493"/>
      <c r="IZU18" s="493"/>
      <c r="IZV18" s="493"/>
      <c r="IZW18" s="493"/>
      <c r="IZX18" s="493"/>
      <c r="IZY18" s="493"/>
      <c r="IZZ18" s="493"/>
      <c r="JAA18" s="493"/>
      <c r="JAB18" s="493"/>
      <c r="JAC18" s="493"/>
      <c r="JAD18" s="493"/>
      <c r="JAE18" s="493"/>
      <c r="JAF18" s="493"/>
      <c r="JAG18" s="493"/>
      <c r="JAH18" s="493"/>
      <c r="JAI18" s="493"/>
      <c r="JAJ18" s="493"/>
      <c r="JAK18" s="493"/>
      <c r="JAL18" s="493"/>
      <c r="JAM18" s="493"/>
      <c r="JAN18" s="493"/>
      <c r="JAO18" s="493"/>
      <c r="JAP18" s="493"/>
      <c r="JAQ18" s="493"/>
      <c r="JAR18" s="493"/>
      <c r="JAS18" s="493"/>
      <c r="JAT18" s="493"/>
      <c r="JAU18" s="493"/>
      <c r="JAV18" s="493"/>
      <c r="JAW18" s="493"/>
      <c r="JAX18" s="493"/>
      <c r="JAY18" s="493"/>
      <c r="JAZ18" s="493"/>
      <c r="JBA18" s="493"/>
      <c r="JBB18" s="493"/>
      <c r="JBC18" s="493"/>
      <c r="JBD18" s="493"/>
      <c r="JBE18" s="493"/>
      <c r="JBF18" s="493"/>
      <c r="JBG18" s="493"/>
      <c r="JBH18" s="493"/>
      <c r="JBI18" s="493"/>
      <c r="JBJ18" s="493"/>
      <c r="JBK18" s="493"/>
      <c r="JBL18" s="493"/>
      <c r="JBM18" s="493"/>
      <c r="JBN18" s="493"/>
      <c r="JBO18" s="493"/>
      <c r="JBP18" s="493"/>
      <c r="JBQ18" s="493"/>
      <c r="JBR18" s="493"/>
      <c r="JBS18" s="493"/>
      <c r="JBT18" s="493"/>
      <c r="JBU18" s="493"/>
      <c r="JBV18" s="493"/>
      <c r="JBW18" s="493"/>
      <c r="JBX18" s="493"/>
      <c r="JBY18" s="493"/>
      <c r="JBZ18" s="493"/>
      <c r="JCA18" s="493"/>
      <c r="JCB18" s="493"/>
      <c r="JCC18" s="493"/>
      <c r="JCD18" s="493"/>
      <c r="JCE18" s="493"/>
      <c r="JCF18" s="493"/>
      <c r="JCG18" s="493"/>
      <c r="JCH18" s="493"/>
      <c r="JCI18" s="493"/>
      <c r="JCJ18" s="493"/>
      <c r="JCK18" s="493"/>
      <c r="JCL18" s="493"/>
      <c r="JCM18" s="493"/>
      <c r="JCN18" s="493"/>
      <c r="JCO18" s="493"/>
      <c r="JCP18" s="493"/>
      <c r="JCQ18" s="493"/>
      <c r="JCR18" s="493"/>
      <c r="JCS18" s="493"/>
      <c r="JCT18" s="493"/>
      <c r="JCU18" s="493"/>
      <c r="JCV18" s="493"/>
      <c r="JCW18" s="493"/>
      <c r="JCX18" s="493"/>
      <c r="JCY18" s="493"/>
      <c r="JCZ18" s="493"/>
      <c r="JDA18" s="493"/>
      <c r="JDB18" s="493"/>
      <c r="JDC18" s="493"/>
      <c r="JDD18" s="493"/>
      <c r="JDE18" s="493"/>
      <c r="JDF18" s="493"/>
      <c r="JDG18" s="493"/>
      <c r="JDH18" s="493"/>
      <c r="JDI18" s="493"/>
      <c r="JDJ18" s="493"/>
      <c r="JDK18" s="493"/>
      <c r="JDL18" s="493"/>
      <c r="JDM18" s="493"/>
      <c r="JDN18" s="493"/>
      <c r="JDO18" s="493"/>
      <c r="JDP18" s="493"/>
      <c r="JDQ18" s="493"/>
      <c r="JDR18" s="493"/>
      <c r="JDS18" s="493"/>
      <c r="JDT18" s="493"/>
      <c r="JDU18" s="493"/>
      <c r="JDV18" s="493"/>
      <c r="JDW18" s="493"/>
      <c r="JDX18" s="493"/>
      <c r="JDY18" s="493"/>
      <c r="JDZ18" s="493"/>
      <c r="JEA18" s="493"/>
      <c r="JEB18" s="493"/>
      <c r="JEC18" s="493"/>
      <c r="JED18" s="493"/>
      <c r="JEE18" s="493"/>
      <c r="JEF18" s="493"/>
      <c r="JEG18" s="493"/>
      <c r="JEH18" s="493"/>
      <c r="JEI18" s="493"/>
      <c r="JEJ18" s="493"/>
      <c r="JEK18" s="493"/>
      <c r="JEL18" s="493"/>
      <c r="JEM18" s="493"/>
      <c r="JEN18" s="493"/>
      <c r="JEO18" s="493"/>
      <c r="JEP18" s="493"/>
      <c r="JEQ18" s="493"/>
      <c r="JER18" s="493"/>
      <c r="JES18" s="493"/>
      <c r="JET18" s="493"/>
      <c r="JEU18" s="493"/>
      <c r="JEV18" s="493"/>
      <c r="JEW18" s="493"/>
      <c r="JEX18" s="493"/>
      <c r="JEY18" s="493"/>
      <c r="JEZ18" s="493"/>
      <c r="JFA18" s="493"/>
      <c r="JFB18" s="493"/>
      <c r="JFC18" s="493"/>
      <c r="JFD18" s="493"/>
      <c r="JFE18" s="493"/>
      <c r="JFF18" s="493"/>
      <c r="JFG18" s="493"/>
      <c r="JFH18" s="493"/>
      <c r="JFI18" s="493"/>
      <c r="JFJ18" s="493"/>
      <c r="JFK18" s="493"/>
      <c r="JFL18" s="493"/>
      <c r="JFM18" s="493"/>
      <c r="JFN18" s="493"/>
      <c r="JFO18" s="493"/>
      <c r="JFP18" s="493"/>
      <c r="JFQ18" s="493"/>
      <c r="JFR18" s="493"/>
      <c r="JFS18" s="493"/>
      <c r="JFT18" s="493"/>
      <c r="JFU18" s="493"/>
      <c r="JFV18" s="493"/>
      <c r="JFW18" s="493"/>
      <c r="JFX18" s="493"/>
      <c r="JFY18" s="493"/>
      <c r="JFZ18" s="493"/>
      <c r="JGA18" s="493"/>
      <c r="JGB18" s="493"/>
      <c r="JGC18" s="493"/>
      <c r="JGD18" s="493"/>
      <c r="JGE18" s="493"/>
      <c r="JGF18" s="493"/>
      <c r="JGG18" s="493"/>
      <c r="JGH18" s="493"/>
      <c r="JGI18" s="493"/>
      <c r="JGJ18" s="493"/>
      <c r="JGK18" s="493"/>
      <c r="JGL18" s="493"/>
      <c r="JGM18" s="493"/>
      <c r="JGN18" s="493"/>
      <c r="JGO18" s="493"/>
      <c r="JGP18" s="493"/>
      <c r="JGQ18" s="493"/>
      <c r="JGR18" s="493"/>
      <c r="JGS18" s="493"/>
      <c r="JGT18" s="493"/>
      <c r="JGU18" s="493"/>
      <c r="JGV18" s="493"/>
      <c r="JGW18" s="493"/>
      <c r="JGX18" s="493"/>
      <c r="JGY18" s="493"/>
      <c r="JGZ18" s="493"/>
      <c r="JHA18" s="493"/>
      <c r="JHB18" s="493"/>
      <c r="JHC18" s="493"/>
      <c r="JHD18" s="493"/>
      <c r="JHE18" s="493"/>
      <c r="JHF18" s="493"/>
      <c r="JHG18" s="493"/>
      <c r="JHH18" s="493"/>
      <c r="JHI18" s="493"/>
      <c r="JHJ18" s="493"/>
      <c r="JHK18" s="493"/>
      <c r="JHL18" s="493"/>
      <c r="JHM18" s="493"/>
      <c r="JHN18" s="493"/>
      <c r="JHO18" s="493"/>
      <c r="JHP18" s="493"/>
      <c r="JHQ18" s="493"/>
      <c r="JHR18" s="493"/>
      <c r="JHS18" s="493"/>
      <c r="JHT18" s="493"/>
      <c r="JHU18" s="493"/>
      <c r="JHV18" s="493"/>
      <c r="JHW18" s="493"/>
      <c r="JHX18" s="493"/>
      <c r="JHY18" s="493"/>
      <c r="JHZ18" s="493"/>
      <c r="JIA18" s="493"/>
      <c r="JIB18" s="493"/>
      <c r="JIC18" s="493"/>
      <c r="JID18" s="493"/>
      <c r="JIE18" s="493"/>
      <c r="JIF18" s="493"/>
      <c r="JIG18" s="493"/>
      <c r="JIH18" s="493"/>
      <c r="JII18" s="493"/>
      <c r="JIJ18" s="493"/>
      <c r="JIK18" s="493"/>
      <c r="JIL18" s="493"/>
      <c r="JIM18" s="493"/>
      <c r="JIN18" s="493"/>
      <c r="JIO18" s="493"/>
      <c r="JIP18" s="493"/>
      <c r="JIQ18" s="493"/>
      <c r="JIR18" s="493"/>
      <c r="JIS18" s="493"/>
      <c r="JIT18" s="493"/>
      <c r="JIU18" s="493"/>
      <c r="JIV18" s="493"/>
      <c r="JIW18" s="493"/>
      <c r="JIX18" s="493"/>
      <c r="JIY18" s="493"/>
      <c r="JIZ18" s="493"/>
      <c r="JJA18" s="493"/>
      <c r="JJB18" s="493"/>
      <c r="JJC18" s="493"/>
      <c r="JJD18" s="493"/>
      <c r="JJE18" s="493"/>
      <c r="JJF18" s="493"/>
      <c r="JJG18" s="493"/>
      <c r="JJH18" s="493"/>
      <c r="JJI18" s="493"/>
      <c r="JJJ18" s="493"/>
      <c r="JJK18" s="493"/>
      <c r="JJL18" s="493"/>
      <c r="JJM18" s="493"/>
      <c r="JJN18" s="493"/>
      <c r="JJO18" s="493"/>
      <c r="JJP18" s="493"/>
      <c r="JJQ18" s="493"/>
      <c r="JJR18" s="493"/>
      <c r="JJS18" s="493"/>
      <c r="JJT18" s="493"/>
      <c r="JJU18" s="493"/>
      <c r="JJV18" s="493"/>
      <c r="JJW18" s="493"/>
      <c r="JJX18" s="493"/>
      <c r="JJY18" s="493"/>
      <c r="JJZ18" s="493"/>
      <c r="JKA18" s="493"/>
      <c r="JKB18" s="493"/>
      <c r="JKC18" s="493"/>
      <c r="JKD18" s="493"/>
      <c r="JKE18" s="493"/>
      <c r="JKF18" s="493"/>
      <c r="JKG18" s="493"/>
      <c r="JKH18" s="493"/>
      <c r="JKI18" s="493"/>
      <c r="JKJ18" s="493"/>
      <c r="JKK18" s="493"/>
      <c r="JKL18" s="493"/>
      <c r="JKM18" s="493"/>
      <c r="JKN18" s="493"/>
      <c r="JKO18" s="493"/>
      <c r="JKP18" s="493"/>
      <c r="JKQ18" s="493"/>
      <c r="JKR18" s="493"/>
      <c r="JKS18" s="493"/>
      <c r="JKT18" s="493"/>
      <c r="JKU18" s="493"/>
      <c r="JKV18" s="493"/>
      <c r="JKW18" s="493"/>
      <c r="JKX18" s="493"/>
      <c r="JKY18" s="493"/>
      <c r="JKZ18" s="493"/>
      <c r="JLA18" s="493"/>
      <c r="JLB18" s="493"/>
      <c r="JLC18" s="493"/>
      <c r="JLD18" s="493"/>
      <c r="JLE18" s="493"/>
      <c r="JLF18" s="493"/>
      <c r="JLG18" s="493"/>
      <c r="JLH18" s="493"/>
      <c r="JLI18" s="493"/>
      <c r="JLJ18" s="493"/>
      <c r="JLK18" s="493"/>
      <c r="JLL18" s="493"/>
      <c r="JLM18" s="493"/>
      <c r="JLN18" s="493"/>
      <c r="JLO18" s="493"/>
      <c r="JLP18" s="493"/>
      <c r="JLQ18" s="493"/>
      <c r="JLR18" s="493"/>
      <c r="JLS18" s="493"/>
      <c r="JLT18" s="493"/>
      <c r="JLU18" s="493"/>
      <c r="JLV18" s="493"/>
      <c r="JLW18" s="493"/>
      <c r="JLX18" s="493"/>
      <c r="JLY18" s="493"/>
      <c r="JLZ18" s="493"/>
      <c r="JMA18" s="493"/>
      <c r="JMB18" s="493"/>
      <c r="JMC18" s="493"/>
      <c r="JMD18" s="493"/>
      <c r="JME18" s="493"/>
      <c r="JMF18" s="493"/>
      <c r="JMG18" s="493"/>
      <c r="JMH18" s="493"/>
      <c r="JMI18" s="493"/>
      <c r="JMJ18" s="493"/>
      <c r="JMK18" s="493"/>
      <c r="JML18" s="493"/>
      <c r="JMM18" s="493"/>
      <c r="JMN18" s="493"/>
      <c r="JMO18" s="493"/>
      <c r="JMP18" s="493"/>
      <c r="JMQ18" s="493"/>
      <c r="JMR18" s="493"/>
      <c r="JMS18" s="493"/>
      <c r="JMT18" s="493"/>
      <c r="JMU18" s="493"/>
      <c r="JMV18" s="493"/>
      <c r="JMW18" s="493"/>
      <c r="JMX18" s="493"/>
      <c r="JMY18" s="493"/>
      <c r="JMZ18" s="493"/>
      <c r="JNA18" s="493"/>
      <c r="JNB18" s="493"/>
      <c r="JNC18" s="493"/>
      <c r="JND18" s="493"/>
      <c r="JNE18" s="493"/>
      <c r="JNF18" s="493"/>
      <c r="JNG18" s="493"/>
      <c r="JNH18" s="493"/>
      <c r="JNI18" s="493"/>
      <c r="JNJ18" s="493"/>
      <c r="JNK18" s="493"/>
      <c r="JNL18" s="493"/>
      <c r="JNM18" s="493"/>
      <c r="JNN18" s="493"/>
      <c r="JNO18" s="493"/>
      <c r="JNP18" s="493"/>
      <c r="JNQ18" s="493"/>
      <c r="JNR18" s="493"/>
      <c r="JNS18" s="493"/>
      <c r="JNT18" s="493"/>
      <c r="JNU18" s="493"/>
      <c r="JNV18" s="493"/>
      <c r="JNW18" s="493"/>
      <c r="JNX18" s="493"/>
      <c r="JNY18" s="493"/>
      <c r="JNZ18" s="493"/>
      <c r="JOA18" s="493"/>
      <c r="JOB18" s="493"/>
      <c r="JOC18" s="493"/>
      <c r="JOD18" s="493"/>
      <c r="JOE18" s="493"/>
      <c r="JOF18" s="493"/>
      <c r="JOG18" s="493"/>
      <c r="JOH18" s="493"/>
      <c r="JOI18" s="493"/>
      <c r="JOJ18" s="493"/>
      <c r="JOK18" s="493"/>
      <c r="JOL18" s="493"/>
      <c r="JOM18" s="493"/>
      <c r="JON18" s="493"/>
      <c r="JOO18" s="493"/>
      <c r="JOP18" s="493"/>
      <c r="JOQ18" s="493"/>
      <c r="JOR18" s="493"/>
      <c r="JOS18" s="493"/>
      <c r="JOT18" s="493"/>
      <c r="JOU18" s="493"/>
      <c r="JOV18" s="493"/>
      <c r="JOW18" s="493"/>
      <c r="JOX18" s="493"/>
      <c r="JOY18" s="493"/>
      <c r="JOZ18" s="493"/>
      <c r="JPA18" s="493"/>
      <c r="JPB18" s="493"/>
      <c r="JPC18" s="493"/>
      <c r="JPD18" s="493"/>
      <c r="JPE18" s="493"/>
      <c r="JPF18" s="493"/>
      <c r="JPG18" s="493"/>
      <c r="JPH18" s="493"/>
      <c r="JPI18" s="493"/>
      <c r="JPJ18" s="493"/>
      <c r="JPK18" s="493"/>
      <c r="JPL18" s="493"/>
      <c r="JPM18" s="493"/>
      <c r="JPN18" s="493"/>
      <c r="JPO18" s="493"/>
      <c r="JPP18" s="493"/>
      <c r="JPQ18" s="493"/>
      <c r="JPR18" s="493"/>
      <c r="JPS18" s="493"/>
      <c r="JPT18" s="493"/>
      <c r="JPU18" s="493"/>
      <c r="JPV18" s="493"/>
      <c r="JPW18" s="493"/>
      <c r="JPX18" s="493"/>
      <c r="JPY18" s="493"/>
      <c r="JPZ18" s="493"/>
      <c r="JQA18" s="493"/>
      <c r="JQB18" s="493"/>
      <c r="JQC18" s="493"/>
      <c r="JQD18" s="493"/>
      <c r="JQE18" s="493"/>
      <c r="JQF18" s="493"/>
      <c r="JQG18" s="493"/>
      <c r="JQH18" s="493"/>
      <c r="JQI18" s="493"/>
      <c r="JQJ18" s="493"/>
      <c r="JQK18" s="493"/>
      <c r="JQL18" s="493"/>
      <c r="JQM18" s="493"/>
      <c r="JQN18" s="493"/>
      <c r="JQO18" s="493"/>
      <c r="JQP18" s="493"/>
      <c r="JQQ18" s="493"/>
      <c r="JQR18" s="493"/>
      <c r="JQS18" s="493"/>
      <c r="JQT18" s="493"/>
      <c r="JQU18" s="493"/>
      <c r="JQV18" s="493"/>
      <c r="JQW18" s="493"/>
      <c r="JQX18" s="493"/>
      <c r="JQY18" s="493"/>
      <c r="JQZ18" s="493"/>
      <c r="JRA18" s="493"/>
      <c r="JRB18" s="493"/>
      <c r="JRC18" s="493"/>
      <c r="JRD18" s="493"/>
      <c r="JRE18" s="493"/>
      <c r="JRF18" s="493"/>
      <c r="JRG18" s="493"/>
      <c r="JRH18" s="493"/>
      <c r="JRI18" s="493"/>
      <c r="JRJ18" s="493"/>
      <c r="JRK18" s="493"/>
      <c r="JRL18" s="493"/>
      <c r="JRM18" s="493"/>
      <c r="JRN18" s="493"/>
      <c r="JRO18" s="493"/>
      <c r="JRP18" s="493"/>
      <c r="JRQ18" s="493"/>
      <c r="JRR18" s="493"/>
      <c r="JRS18" s="493"/>
      <c r="JRT18" s="493"/>
      <c r="JRU18" s="493"/>
      <c r="JRV18" s="493"/>
      <c r="JRW18" s="493"/>
      <c r="JRX18" s="493"/>
      <c r="JRY18" s="493"/>
      <c r="JRZ18" s="493"/>
      <c r="JSA18" s="493"/>
      <c r="JSB18" s="493"/>
      <c r="JSC18" s="493"/>
      <c r="JSD18" s="493"/>
      <c r="JSE18" s="493"/>
      <c r="JSF18" s="493"/>
      <c r="JSG18" s="493"/>
      <c r="JSH18" s="493"/>
      <c r="JSI18" s="493"/>
      <c r="JSJ18" s="493"/>
      <c r="JSK18" s="493"/>
      <c r="JSL18" s="493"/>
      <c r="JSM18" s="493"/>
      <c r="JSN18" s="493"/>
      <c r="JSO18" s="493"/>
      <c r="JSP18" s="493"/>
      <c r="JSQ18" s="493"/>
      <c r="JSR18" s="493"/>
      <c r="JSS18" s="493"/>
      <c r="JST18" s="493"/>
      <c r="JSU18" s="493"/>
      <c r="JSV18" s="493"/>
      <c r="JSW18" s="493"/>
      <c r="JSX18" s="493"/>
      <c r="JSY18" s="493"/>
      <c r="JSZ18" s="493"/>
      <c r="JTA18" s="493"/>
      <c r="JTB18" s="493"/>
      <c r="JTC18" s="493"/>
      <c r="JTD18" s="493"/>
      <c r="JTE18" s="493"/>
      <c r="JTF18" s="493"/>
      <c r="JTG18" s="493"/>
      <c r="JTH18" s="493"/>
      <c r="JTI18" s="493"/>
      <c r="JTJ18" s="493"/>
      <c r="JTK18" s="493"/>
      <c r="JTL18" s="493"/>
      <c r="JTM18" s="493"/>
      <c r="JTN18" s="493"/>
      <c r="JTO18" s="493"/>
      <c r="JTP18" s="493"/>
      <c r="JTQ18" s="493"/>
      <c r="JTR18" s="493"/>
      <c r="JTS18" s="493"/>
      <c r="JTT18" s="493"/>
      <c r="JTU18" s="493"/>
      <c r="JTV18" s="493"/>
      <c r="JTW18" s="493"/>
      <c r="JTX18" s="493"/>
      <c r="JTY18" s="493"/>
      <c r="JTZ18" s="493"/>
      <c r="JUA18" s="493"/>
      <c r="JUB18" s="493"/>
      <c r="JUC18" s="493"/>
      <c r="JUD18" s="493"/>
      <c r="JUE18" s="493"/>
      <c r="JUF18" s="493"/>
      <c r="JUG18" s="493"/>
      <c r="JUH18" s="493"/>
      <c r="JUI18" s="493"/>
      <c r="JUJ18" s="493"/>
      <c r="JUK18" s="493"/>
      <c r="JUL18" s="493"/>
      <c r="JUM18" s="493"/>
      <c r="JUN18" s="493"/>
      <c r="JUO18" s="493"/>
      <c r="JUP18" s="493"/>
      <c r="JUQ18" s="493"/>
      <c r="JUR18" s="493"/>
      <c r="JUS18" s="493"/>
      <c r="JUT18" s="493"/>
      <c r="JUU18" s="493"/>
      <c r="JUV18" s="493"/>
      <c r="JUW18" s="493"/>
      <c r="JUX18" s="493"/>
      <c r="JUY18" s="493"/>
      <c r="JUZ18" s="493"/>
      <c r="JVA18" s="493"/>
      <c r="JVB18" s="493"/>
      <c r="JVC18" s="493"/>
      <c r="JVD18" s="493"/>
      <c r="JVE18" s="493"/>
      <c r="JVF18" s="493"/>
      <c r="JVG18" s="493"/>
      <c r="JVH18" s="493"/>
      <c r="JVI18" s="493"/>
      <c r="JVJ18" s="493"/>
      <c r="JVK18" s="493"/>
      <c r="JVL18" s="493"/>
      <c r="JVM18" s="493"/>
      <c r="JVN18" s="493"/>
      <c r="JVO18" s="493"/>
      <c r="JVP18" s="493"/>
      <c r="JVQ18" s="493"/>
      <c r="JVR18" s="493"/>
      <c r="JVS18" s="493"/>
      <c r="JVT18" s="493"/>
      <c r="JVU18" s="493"/>
      <c r="JVV18" s="493"/>
      <c r="JVW18" s="493"/>
      <c r="JVX18" s="493"/>
      <c r="JVY18" s="493"/>
      <c r="JVZ18" s="493"/>
      <c r="JWA18" s="493"/>
      <c r="JWB18" s="493"/>
      <c r="JWC18" s="493"/>
      <c r="JWD18" s="493"/>
      <c r="JWE18" s="493"/>
      <c r="JWF18" s="493"/>
      <c r="JWG18" s="493"/>
      <c r="JWH18" s="493"/>
      <c r="JWI18" s="493"/>
      <c r="JWJ18" s="493"/>
      <c r="JWK18" s="493"/>
      <c r="JWL18" s="493"/>
      <c r="JWM18" s="493"/>
      <c r="JWN18" s="493"/>
      <c r="JWO18" s="493"/>
      <c r="JWP18" s="493"/>
      <c r="JWQ18" s="493"/>
      <c r="JWR18" s="493"/>
      <c r="JWS18" s="493"/>
      <c r="JWT18" s="493"/>
      <c r="JWU18" s="493"/>
      <c r="JWV18" s="493"/>
      <c r="JWW18" s="493"/>
      <c r="JWX18" s="493"/>
      <c r="JWY18" s="493"/>
      <c r="JWZ18" s="493"/>
      <c r="JXA18" s="493"/>
      <c r="JXB18" s="493"/>
      <c r="JXC18" s="493"/>
      <c r="JXD18" s="493"/>
      <c r="JXE18" s="493"/>
      <c r="JXF18" s="493"/>
      <c r="JXG18" s="493"/>
      <c r="JXH18" s="493"/>
      <c r="JXI18" s="493"/>
      <c r="JXJ18" s="493"/>
      <c r="JXK18" s="493"/>
      <c r="JXL18" s="493"/>
      <c r="JXM18" s="493"/>
      <c r="JXN18" s="493"/>
      <c r="JXO18" s="493"/>
      <c r="JXP18" s="493"/>
      <c r="JXQ18" s="493"/>
      <c r="JXR18" s="493"/>
      <c r="JXS18" s="493"/>
      <c r="JXT18" s="493"/>
      <c r="JXU18" s="493"/>
      <c r="JXV18" s="493"/>
      <c r="JXW18" s="493"/>
      <c r="JXX18" s="493"/>
      <c r="JXY18" s="493"/>
      <c r="JXZ18" s="493"/>
      <c r="JYA18" s="493"/>
      <c r="JYB18" s="493"/>
      <c r="JYC18" s="493"/>
      <c r="JYD18" s="493"/>
      <c r="JYE18" s="493"/>
      <c r="JYF18" s="493"/>
      <c r="JYG18" s="493"/>
      <c r="JYH18" s="493"/>
      <c r="JYI18" s="493"/>
      <c r="JYJ18" s="493"/>
      <c r="JYK18" s="493"/>
      <c r="JYL18" s="493"/>
      <c r="JYM18" s="493"/>
      <c r="JYN18" s="493"/>
      <c r="JYO18" s="493"/>
      <c r="JYP18" s="493"/>
      <c r="JYQ18" s="493"/>
      <c r="JYR18" s="493"/>
      <c r="JYS18" s="493"/>
      <c r="JYT18" s="493"/>
      <c r="JYU18" s="493"/>
      <c r="JYV18" s="493"/>
      <c r="JYW18" s="493"/>
      <c r="JYX18" s="493"/>
      <c r="JYY18" s="493"/>
      <c r="JYZ18" s="493"/>
      <c r="JZA18" s="493"/>
      <c r="JZB18" s="493"/>
      <c r="JZC18" s="493"/>
      <c r="JZD18" s="493"/>
      <c r="JZE18" s="493"/>
      <c r="JZF18" s="493"/>
      <c r="JZG18" s="493"/>
      <c r="JZH18" s="493"/>
      <c r="JZI18" s="493"/>
      <c r="JZJ18" s="493"/>
      <c r="JZK18" s="493"/>
      <c r="JZL18" s="493"/>
      <c r="JZM18" s="493"/>
      <c r="JZN18" s="493"/>
      <c r="JZO18" s="493"/>
      <c r="JZP18" s="493"/>
      <c r="JZQ18" s="493"/>
      <c r="JZR18" s="493"/>
      <c r="JZS18" s="493"/>
      <c r="JZT18" s="493"/>
      <c r="JZU18" s="493"/>
      <c r="JZV18" s="493"/>
      <c r="JZW18" s="493"/>
      <c r="JZX18" s="493"/>
      <c r="JZY18" s="493"/>
      <c r="JZZ18" s="493"/>
      <c r="KAA18" s="493"/>
      <c r="KAB18" s="493"/>
      <c r="KAC18" s="493"/>
      <c r="KAD18" s="493"/>
      <c r="KAE18" s="493"/>
      <c r="KAF18" s="493"/>
      <c r="KAG18" s="493"/>
      <c r="KAH18" s="493"/>
      <c r="KAI18" s="493"/>
      <c r="KAJ18" s="493"/>
      <c r="KAK18" s="493"/>
      <c r="KAL18" s="493"/>
      <c r="KAM18" s="493"/>
      <c r="KAN18" s="493"/>
      <c r="KAO18" s="493"/>
      <c r="KAP18" s="493"/>
      <c r="KAQ18" s="493"/>
      <c r="KAR18" s="493"/>
      <c r="KAS18" s="493"/>
      <c r="KAT18" s="493"/>
      <c r="KAU18" s="493"/>
      <c r="KAV18" s="493"/>
      <c r="KAW18" s="493"/>
      <c r="KAX18" s="493"/>
      <c r="KAY18" s="493"/>
      <c r="KAZ18" s="493"/>
      <c r="KBA18" s="493"/>
      <c r="KBB18" s="493"/>
      <c r="KBC18" s="493"/>
      <c r="KBD18" s="493"/>
      <c r="KBE18" s="493"/>
      <c r="KBF18" s="493"/>
      <c r="KBG18" s="493"/>
      <c r="KBH18" s="493"/>
      <c r="KBI18" s="493"/>
      <c r="KBJ18" s="493"/>
      <c r="KBK18" s="493"/>
      <c r="KBL18" s="493"/>
      <c r="KBM18" s="493"/>
      <c r="KBN18" s="493"/>
      <c r="KBO18" s="493"/>
      <c r="KBP18" s="493"/>
      <c r="KBQ18" s="493"/>
      <c r="KBR18" s="493"/>
      <c r="KBS18" s="493"/>
      <c r="KBT18" s="493"/>
      <c r="KBU18" s="493"/>
      <c r="KBV18" s="493"/>
      <c r="KBW18" s="493"/>
      <c r="KBX18" s="493"/>
      <c r="KBY18" s="493"/>
      <c r="KBZ18" s="493"/>
      <c r="KCA18" s="493"/>
      <c r="KCB18" s="493"/>
      <c r="KCC18" s="493"/>
      <c r="KCD18" s="493"/>
      <c r="KCE18" s="493"/>
      <c r="KCF18" s="493"/>
      <c r="KCG18" s="493"/>
      <c r="KCH18" s="493"/>
      <c r="KCI18" s="493"/>
      <c r="KCJ18" s="493"/>
      <c r="KCK18" s="493"/>
      <c r="KCL18" s="493"/>
      <c r="KCM18" s="493"/>
      <c r="KCN18" s="493"/>
      <c r="KCO18" s="493"/>
      <c r="KCP18" s="493"/>
      <c r="KCQ18" s="493"/>
      <c r="KCR18" s="493"/>
      <c r="KCS18" s="493"/>
      <c r="KCT18" s="493"/>
      <c r="KCU18" s="493"/>
      <c r="KCV18" s="493"/>
      <c r="KCW18" s="493"/>
      <c r="KCX18" s="493"/>
      <c r="KCY18" s="493"/>
      <c r="KCZ18" s="493"/>
      <c r="KDA18" s="493"/>
      <c r="KDB18" s="493"/>
      <c r="KDC18" s="493"/>
      <c r="KDD18" s="493"/>
      <c r="KDE18" s="493"/>
      <c r="KDF18" s="493"/>
      <c r="KDG18" s="493"/>
      <c r="KDH18" s="493"/>
      <c r="KDI18" s="493"/>
      <c r="KDJ18" s="493"/>
      <c r="KDK18" s="493"/>
      <c r="KDL18" s="493"/>
      <c r="KDM18" s="493"/>
      <c r="KDN18" s="493"/>
      <c r="KDO18" s="493"/>
      <c r="KDP18" s="493"/>
      <c r="KDQ18" s="493"/>
      <c r="KDR18" s="493"/>
      <c r="KDS18" s="493"/>
      <c r="KDT18" s="493"/>
      <c r="KDU18" s="493"/>
      <c r="KDV18" s="493"/>
      <c r="KDW18" s="493"/>
      <c r="KDX18" s="493"/>
      <c r="KDY18" s="493"/>
      <c r="KDZ18" s="493"/>
      <c r="KEA18" s="493"/>
      <c r="KEB18" s="493"/>
      <c r="KEC18" s="493"/>
      <c r="KED18" s="493"/>
      <c r="KEE18" s="493"/>
      <c r="KEF18" s="493"/>
      <c r="KEG18" s="493"/>
      <c r="KEH18" s="493"/>
      <c r="KEI18" s="493"/>
      <c r="KEJ18" s="493"/>
      <c r="KEK18" s="493"/>
      <c r="KEL18" s="493"/>
      <c r="KEM18" s="493"/>
      <c r="KEN18" s="493"/>
      <c r="KEO18" s="493"/>
      <c r="KEP18" s="493"/>
      <c r="KEQ18" s="493"/>
      <c r="KER18" s="493"/>
      <c r="KES18" s="493"/>
      <c r="KET18" s="493"/>
      <c r="KEU18" s="493"/>
      <c r="KEV18" s="493"/>
      <c r="KEW18" s="493"/>
      <c r="KEX18" s="493"/>
      <c r="KEY18" s="493"/>
      <c r="KEZ18" s="493"/>
      <c r="KFA18" s="493"/>
      <c r="KFB18" s="493"/>
      <c r="KFC18" s="493"/>
      <c r="KFD18" s="493"/>
      <c r="KFE18" s="493"/>
      <c r="KFF18" s="493"/>
      <c r="KFG18" s="493"/>
      <c r="KFH18" s="493"/>
      <c r="KFI18" s="493"/>
      <c r="KFJ18" s="493"/>
      <c r="KFK18" s="493"/>
      <c r="KFL18" s="493"/>
      <c r="KFM18" s="493"/>
      <c r="KFN18" s="493"/>
      <c r="KFO18" s="493"/>
      <c r="KFP18" s="493"/>
      <c r="KFQ18" s="493"/>
      <c r="KFR18" s="493"/>
      <c r="KFS18" s="493"/>
      <c r="KFT18" s="493"/>
      <c r="KFU18" s="493"/>
      <c r="KFV18" s="493"/>
      <c r="KFW18" s="493"/>
      <c r="KFX18" s="493"/>
      <c r="KFY18" s="493"/>
      <c r="KFZ18" s="493"/>
      <c r="KGA18" s="493"/>
      <c r="KGB18" s="493"/>
      <c r="KGC18" s="493"/>
      <c r="KGD18" s="493"/>
      <c r="KGE18" s="493"/>
      <c r="KGF18" s="493"/>
      <c r="KGG18" s="493"/>
      <c r="KGH18" s="493"/>
      <c r="KGI18" s="493"/>
      <c r="KGJ18" s="493"/>
      <c r="KGK18" s="493"/>
      <c r="KGL18" s="493"/>
      <c r="KGM18" s="493"/>
      <c r="KGN18" s="493"/>
      <c r="KGO18" s="493"/>
      <c r="KGP18" s="493"/>
      <c r="KGQ18" s="493"/>
      <c r="KGR18" s="493"/>
      <c r="KGS18" s="493"/>
      <c r="KGT18" s="493"/>
      <c r="KGU18" s="493"/>
      <c r="KGV18" s="493"/>
      <c r="KGW18" s="493"/>
      <c r="KGX18" s="493"/>
      <c r="KGY18" s="493"/>
      <c r="KGZ18" s="493"/>
      <c r="KHA18" s="493"/>
      <c r="KHB18" s="493"/>
      <c r="KHC18" s="493"/>
      <c r="KHD18" s="493"/>
      <c r="KHE18" s="493"/>
      <c r="KHF18" s="493"/>
      <c r="KHG18" s="493"/>
      <c r="KHH18" s="493"/>
      <c r="KHI18" s="493"/>
      <c r="KHJ18" s="493"/>
      <c r="KHK18" s="493"/>
      <c r="KHL18" s="493"/>
      <c r="KHM18" s="493"/>
      <c r="KHN18" s="493"/>
      <c r="KHO18" s="493"/>
      <c r="KHP18" s="493"/>
      <c r="KHQ18" s="493"/>
      <c r="KHR18" s="493"/>
      <c r="KHS18" s="493"/>
      <c r="KHT18" s="493"/>
      <c r="KHU18" s="493"/>
      <c r="KHV18" s="493"/>
      <c r="KHW18" s="493"/>
      <c r="KHX18" s="493"/>
      <c r="KHY18" s="493"/>
      <c r="KHZ18" s="493"/>
      <c r="KIA18" s="493"/>
      <c r="KIB18" s="493"/>
      <c r="KIC18" s="493"/>
      <c r="KID18" s="493"/>
      <c r="KIE18" s="493"/>
      <c r="KIF18" s="493"/>
      <c r="KIG18" s="493"/>
      <c r="KIH18" s="493"/>
      <c r="KII18" s="493"/>
      <c r="KIJ18" s="493"/>
      <c r="KIK18" s="493"/>
      <c r="KIL18" s="493"/>
      <c r="KIM18" s="493"/>
      <c r="KIN18" s="493"/>
      <c r="KIO18" s="493"/>
      <c r="KIP18" s="493"/>
      <c r="KIQ18" s="493"/>
      <c r="KIR18" s="493"/>
      <c r="KIS18" s="493"/>
      <c r="KIT18" s="493"/>
      <c r="KIU18" s="493"/>
      <c r="KIV18" s="493"/>
      <c r="KIW18" s="493"/>
      <c r="KIX18" s="493"/>
      <c r="KIY18" s="493"/>
      <c r="KIZ18" s="493"/>
      <c r="KJA18" s="493"/>
      <c r="KJB18" s="493"/>
      <c r="KJC18" s="493"/>
      <c r="KJD18" s="493"/>
      <c r="KJE18" s="493"/>
      <c r="KJF18" s="493"/>
      <c r="KJG18" s="493"/>
      <c r="KJH18" s="493"/>
      <c r="KJI18" s="493"/>
      <c r="KJJ18" s="493"/>
      <c r="KJK18" s="493"/>
      <c r="KJL18" s="493"/>
      <c r="KJM18" s="493"/>
      <c r="KJN18" s="493"/>
      <c r="KJO18" s="493"/>
      <c r="KJP18" s="493"/>
      <c r="KJQ18" s="493"/>
      <c r="KJR18" s="493"/>
      <c r="KJS18" s="493"/>
      <c r="KJT18" s="493"/>
      <c r="KJU18" s="493"/>
      <c r="KJV18" s="493"/>
      <c r="KJW18" s="493"/>
      <c r="KJX18" s="493"/>
      <c r="KJY18" s="493"/>
      <c r="KJZ18" s="493"/>
      <c r="KKA18" s="493"/>
      <c r="KKB18" s="493"/>
      <c r="KKC18" s="493"/>
      <c r="KKD18" s="493"/>
      <c r="KKE18" s="493"/>
      <c r="KKF18" s="493"/>
      <c r="KKG18" s="493"/>
      <c r="KKH18" s="493"/>
      <c r="KKI18" s="493"/>
      <c r="KKJ18" s="493"/>
      <c r="KKK18" s="493"/>
      <c r="KKL18" s="493"/>
      <c r="KKM18" s="493"/>
      <c r="KKN18" s="493"/>
      <c r="KKO18" s="493"/>
      <c r="KKP18" s="493"/>
      <c r="KKQ18" s="493"/>
      <c r="KKR18" s="493"/>
      <c r="KKS18" s="493"/>
      <c r="KKT18" s="493"/>
      <c r="KKU18" s="493"/>
      <c r="KKV18" s="493"/>
      <c r="KKW18" s="493"/>
      <c r="KKX18" s="493"/>
      <c r="KKY18" s="493"/>
      <c r="KKZ18" s="493"/>
      <c r="KLA18" s="493"/>
      <c r="KLB18" s="493"/>
      <c r="KLC18" s="493"/>
      <c r="KLD18" s="493"/>
      <c r="KLE18" s="493"/>
      <c r="KLF18" s="493"/>
      <c r="KLG18" s="493"/>
      <c r="KLH18" s="493"/>
      <c r="KLI18" s="493"/>
      <c r="KLJ18" s="493"/>
      <c r="KLK18" s="493"/>
      <c r="KLL18" s="493"/>
      <c r="KLM18" s="493"/>
      <c r="KLN18" s="493"/>
      <c r="KLO18" s="493"/>
      <c r="KLP18" s="493"/>
      <c r="KLQ18" s="493"/>
      <c r="KLR18" s="493"/>
      <c r="KLS18" s="493"/>
      <c r="KLT18" s="493"/>
      <c r="KLU18" s="493"/>
      <c r="KLV18" s="493"/>
      <c r="KLW18" s="493"/>
      <c r="KLX18" s="493"/>
      <c r="KLY18" s="493"/>
      <c r="KLZ18" s="493"/>
      <c r="KMA18" s="493"/>
      <c r="KMB18" s="493"/>
      <c r="KMC18" s="493"/>
      <c r="KMD18" s="493"/>
      <c r="KME18" s="493"/>
      <c r="KMF18" s="493"/>
      <c r="KMG18" s="493"/>
      <c r="KMH18" s="493"/>
      <c r="KMI18" s="493"/>
      <c r="KMJ18" s="493"/>
      <c r="KMK18" s="493"/>
      <c r="KML18" s="493"/>
      <c r="KMM18" s="493"/>
      <c r="KMN18" s="493"/>
      <c r="KMO18" s="493"/>
      <c r="KMP18" s="493"/>
      <c r="KMQ18" s="493"/>
      <c r="KMR18" s="493"/>
      <c r="KMS18" s="493"/>
      <c r="KMT18" s="493"/>
      <c r="KMU18" s="493"/>
      <c r="KMV18" s="493"/>
      <c r="KMW18" s="493"/>
      <c r="KMX18" s="493"/>
      <c r="KMY18" s="493"/>
      <c r="KMZ18" s="493"/>
      <c r="KNA18" s="493"/>
      <c r="KNB18" s="493"/>
      <c r="KNC18" s="493"/>
      <c r="KND18" s="493"/>
      <c r="KNE18" s="493"/>
      <c r="KNF18" s="493"/>
      <c r="KNG18" s="493"/>
      <c r="KNH18" s="493"/>
      <c r="KNI18" s="493"/>
      <c r="KNJ18" s="493"/>
      <c r="KNK18" s="493"/>
      <c r="KNL18" s="493"/>
      <c r="KNM18" s="493"/>
      <c r="KNN18" s="493"/>
      <c r="KNO18" s="493"/>
      <c r="KNP18" s="493"/>
      <c r="KNQ18" s="493"/>
      <c r="KNR18" s="493"/>
      <c r="KNS18" s="493"/>
      <c r="KNT18" s="493"/>
      <c r="KNU18" s="493"/>
      <c r="KNV18" s="493"/>
      <c r="KNW18" s="493"/>
      <c r="KNX18" s="493"/>
      <c r="KNY18" s="493"/>
      <c r="KNZ18" s="493"/>
      <c r="KOA18" s="493"/>
      <c r="KOB18" s="493"/>
      <c r="KOC18" s="493"/>
      <c r="KOD18" s="493"/>
      <c r="KOE18" s="493"/>
      <c r="KOF18" s="493"/>
      <c r="KOG18" s="493"/>
      <c r="KOH18" s="493"/>
      <c r="KOI18" s="493"/>
      <c r="KOJ18" s="493"/>
      <c r="KOK18" s="493"/>
      <c r="KOL18" s="493"/>
      <c r="KOM18" s="493"/>
      <c r="KON18" s="493"/>
      <c r="KOO18" s="493"/>
      <c r="KOP18" s="493"/>
      <c r="KOQ18" s="493"/>
      <c r="KOR18" s="493"/>
      <c r="KOS18" s="493"/>
      <c r="KOT18" s="493"/>
      <c r="KOU18" s="493"/>
      <c r="KOV18" s="493"/>
      <c r="KOW18" s="493"/>
      <c r="KOX18" s="493"/>
      <c r="KOY18" s="493"/>
      <c r="KOZ18" s="493"/>
      <c r="KPA18" s="493"/>
      <c r="KPB18" s="493"/>
      <c r="KPC18" s="493"/>
      <c r="KPD18" s="493"/>
      <c r="KPE18" s="493"/>
      <c r="KPF18" s="493"/>
      <c r="KPG18" s="493"/>
      <c r="KPH18" s="493"/>
      <c r="KPI18" s="493"/>
      <c r="KPJ18" s="493"/>
      <c r="KPK18" s="493"/>
      <c r="KPL18" s="493"/>
      <c r="KPM18" s="493"/>
      <c r="KPN18" s="493"/>
      <c r="KPO18" s="493"/>
      <c r="KPP18" s="493"/>
      <c r="KPQ18" s="493"/>
      <c r="KPR18" s="493"/>
      <c r="KPS18" s="493"/>
      <c r="KPT18" s="493"/>
      <c r="KPU18" s="493"/>
      <c r="KPV18" s="493"/>
      <c r="KPW18" s="493"/>
      <c r="KPX18" s="493"/>
      <c r="KPY18" s="493"/>
      <c r="KPZ18" s="493"/>
      <c r="KQA18" s="493"/>
      <c r="KQB18" s="493"/>
      <c r="KQC18" s="493"/>
      <c r="KQD18" s="493"/>
      <c r="KQE18" s="493"/>
      <c r="KQF18" s="493"/>
      <c r="KQG18" s="493"/>
      <c r="KQH18" s="493"/>
      <c r="KQI18" s="493"/>
      <c r="KQJ18" s="493"/>
      <c r="KQK18" s="493"/>
      <c r="KQL18" s="493"/>
      <c r="KQM18" s="493"/>
      <c r="KQN18" s="493"/>
      <c r="KQO18" s="493"/>
      <c r="KQP18" s="493"/>
      <c r="KQQ18" s="493"/>
      <c r="KQR18" s="493"/>
      <c r="KQS18" s="493"/>
      <c r="KQT18" s="493"/>
      <c r="KQU18" s="493"/>
      <c r="KQV18" s="493"/>
      <c r="KQW18" s="493"/>
      <c r="KQX18" s="493"/>
      <c r="KQY18" s="493"/>
      <c r="KQZ18" s="493"/>
      <c r="KRA18" s="493"/>
      <c r="KRB18" s="493"/>
      <c r="KRC18" s="493"/>
      <c r="KRD18" s="493"/>
      <c r="KRE18" s="493"/>
      <c r="KRF18" s="493"/>
      <c r="KRG18" s="493"/>
      <c r="KRH18" s="493"/>
      <c r="KRI18" s="493"/>
      <c r="KRJ18" s="493"/>
      <c r="KRK18" s="493"/>
      <c r="KRL18" s="493"/>
      <c r="KRM18" s="493"/>
      <c r="KRN18" s="493"/>
      <c r="KRO18" s="493"/>
      <c r="KRP18" s="493"/>
      <c r="KRQ18" s="493"/>
      <c r="KRR18" s="493"/>
      <c r="KRS18" s="493"/>
      <c r="KRT18" s="493"/>
      <c r="KRU18" s="493"/>
      <c r="KRV18" s="493"/>
      <c r="KRW18" s="493"/>
      <c r="KRX18" s="493"/>
      <c r="KRY18" s="493"/>
      <c r="KRZ18" s="493"/>
      <c r="KSA18" s="493"/>
      <c r="KSB18" s="493"/>
      <c r="KSC18" s="493"/>
      <c r="KSD18" s="493"/>
      <c r="KSE18" s="493"/>
      <c r="KSF18" s="493"/>
      <c r="KSG18" s="493"/>
      <c r="KSH18" s="493"/>
      <c r="KSI18" s="493"/>
      <c r="KSJ18" s="493"/>
      <c r="KSK18" s="493"/>
      <c r="KSL18" s="493"/>
      <c r="KSM18" s="493"/>
      <c r="KSN18" s="493"/>
      <c r="KSO18" s="493"/>
      <c r="KSP18" s="493"/>
      <c r="KSQ18" s="493"/>
      <c r="KSR18" s="493"/>
      <c r="KSS18" s="493"/>
      <c r="KST18" s="493"/>
      <c r="KSU18" s="493"/>
      <c r="KSV18" s="493"/>
      <c r="KSW18" s="493"/>
      <c r="KSX18" s="493"/>
      <c r="KSY18" s="493"/>
      <c r="KSZ18" s="493"/>
      <c r="KTA18" s="493"/>
      <c r="KTB18" s="493"/>
      <c r="KTC18" s="493"/>
      <c r="KTD18" s="493"/>
      <c r="KTE18" s="493"/>
      <c r="KTF18" s="493"/>
      <c r="KTG18" s="493"/>
      <c r="KTH18" s="493"/>
      <c r="KTI18" s="493"/>
      <c r="KTJ18" s="493"/>
      <c r="KTK18" s="493"/>
      <c r="KTL18" s="493"/>
      <c r="KTM18" s="493"/>
      <c r="KTN18" s="493"/>
      <c r="KTO18" s="493"/>
      <c r="KTP18" s="493"/>
      <c r="KTQ18" s="493"/>
      <c r="KTR18" s="493"/>
      <c r="KTS18" s="493"/>
      <c r="KTT18" s="493"/>
      <c r="KTU18" s="493"/>
      <c r="KTV18" s="493"/>
      <c r="KTW18" s="493"/>
      <c r="KTX18" s="493"/>
      <c r="KTY18" s="493"/>
      <c r="KTZ18" s="493"/>
      <c r="KUA18" s="493"/>
      <c r="KUB18" s="493"/>
      <c r="KUC18" s="493"/>
      <c r="KUD18" s="493"/>
      <c r="KUE18" s="493"/>
      <c r="KUF18" s="493"/>
      <c r="KUG18" s="493"/>
      <c r="KUH18" s="493"/>
      <c r="KUI18" s="493"/>
      <c r="KUJ18" s="493"/>
      <c r="KUK18" s="493"/>
      <c r="KUL18" s="493"/>
      <c r="KUM18" s="493"/>
      <c r="KUN18" s="493"/>
      <c r="KUO18" s="493"/>
      <c r="KUP18" s="493"/>
      <c r="KUQ18" s="493"/>
      <c r="KUR18" s="493"/>
      <c r="KUS18" s="493"/>
      <c r="KUT18" s="493"/>
      <c r="KUU18" s="493"/>
      <c r="KUV18" s="493"/>
      <c r="KUW18" s="493"/>
      <c r="KUX18" s="493"/>
      <c r="KUY18" s="493"/>
      <c r="KUZ18" s="493"/>
      <c r="KVA18" s="493"/>
      <c r="KVB18" s="493"/>
      <c r="KVC18" s="493"/>
      <c r="KVD18" s="493"/>
      <c r="KVE18" s="493"/>
      <c r="KVF18" s="493"/>
      <c r="KVG18" s="493"/>
      <c r="KVH18" s="493"/>
      <c r="KVI18" s="493"/>
      <c r="KVJ18" s="493"/>
      <c r="KVK18" s="493"/>
      <c r="KVL18" s="493"/>
      <c r="KVM18" s="493"/>
      <c r="KVN18" s="493"/>
      <c r="KVO18" s="493"/>
      <c r="KVP18" s="493"/>
      <c r="KVQ18" s="493"/>
      <c r="KVR18" s="493"/>
      <c r="KVS18" s="493"/>
      <c r="KVT18" s="493"/>
      <c r="KVU18" s="493"/>
      <c r="KVV18" s="493"/>
      <c r="KVW18" s="493"/>
      <c r="KVX18" s="493"/>
      <c r="KVY18" s="493"/>
      <c r="KVZ18" s="493"/>
      <c r="KWA18" s="493"/>
      <c r="KWB18" s="493"/>
      <c r="KWC18" s="493"/>
      <c r="KWD18" s="493"/>
      <c r="KWE18" s="493"/>
      <c r="KWF18" s="493"/>
      <c r="KWG18" s="493"/>
      <c r="KWH18" s="493"/>
      <c r="KWI18" s="493"/>
      <c r="KWJ18" s="493"/>
      <c r="KWK18" s="493"/>
      <c r="KWL18" s="493"/>
      <c r="KWM18" s="493"/>
      <c r="KWN18" s="493"/>
      <c r="KWO18" s="493"/>
      <c r="KWP18" s="493"/>
      <c r="KWQ18" s="493"/>
      <c r="KWR18" s="493"/>
      <c r="KWS18" s="493"/>
      <c r="KWT18" s="493"/>
      <c r="KWU18" s="493"/>
      <c r="KWV18" s="493"/>
      <c r="KWW18" s="493"/>
      <c r="KWX18" s="493"/>
      <c r="KWY18" s="493"/>
      <c r="KWZ18" s="493"/>
      <c r="KXA18" s="493"/>
      <c r="KXB18" s="493"/>
      <c r="KXC18" s="493"/>
      <c r="KXD18" s="493"/>
      <c r="KXE18" s="493"/>
      <c r="KXF18" s="493"/>
      <c r="KXG18" s="493"/>
      <c r="KXH18" s="493"/>
      <c r="KXI18" s="493"/>
      <c r="KXJ18" s="493"/>
      <c r="KXK18" s="493"/>
      <c r="KXL18" s="493"/>
      <c r="KXM18" s="493"/>
      <c r="KXN18" s="493"/>
      <c r="KXO18" s="493"/>
      <c r="KXP18" s="493"/>
      <c r="KXQ18" s="493"/>
      <c r="KXR18" s="493"/>
      <c r="KXS18" s="493"/>
      <c r="KXT18" s="493"/>
      <c r="KXU18" s="493"/>
      <c r="KXV18" s="493"/>
      <c r="KXW18" s="493"/>
      <c r="KXX18" s="493"/>
      <c r="KXY18" s="493"/>
      <c r="KXZ18" s="493"/>
      <c r="KYA18" s="493"/>
      <c r="KYB18" s="493"/>
      <c r="KYC18" s="493"/>
      <c r="KYD18" s="493"/>
      <c r="KYE18" s="493"/>
      <c r="KYF18" s="493"/>
      <c r="KYG18" s="493"/>
      <c r="KYH18" s="493"/>
      <c r="KYI18" s="493"/>
      <c r="KYJ18" s="493"/>
      <c r="KYK18" s="493"/>
      <c r="KYL18" s="493"/>
      <c r="KYM18" s="493"/>
      <c r="KYN18" s="493"/>
      <c r="KYO18" s="493"/>
      <c r="KYP18" s="493"/>
      <c r="KYQ18" s="493"/>
      <c r="KYR18" s="493"/>
      <c r="KYS18" s="493"/>
      <c r="KYT18" s="493"/>
      <c r="KYU18" s="493"/>
      <c r="KYV18" s="493"/>
      <c r="KYW18" s="493"/>
      <c r="KYX18" s="493"/>
      <c r="KYY18" s="493"/>
      <c r="KYZ18" s="493"/>
      <c r="KZA18" s="493"/>
      <c r="KZB18" s="493"/>
      <c r="KZC18" s="493"/>
      <c r="KZD18" s="493"/>
      <c r="KZE18" s="493"/>
      <c r="KZF18" s="493"/>
      <c r="KZG18" s="493"/>
      <c r="KZH18" s="493"/>
      <c r="KZI18" s="493"/>
      <c r="KZJ18" s="493"/>
      <c r="KZK18" s="493"/>
      <c r="KZL18" s="493"/>
      <c r="KZM18" s="493"/>
      <c r="KZN18" s="493"/>
      <c r="KZO18" s="493"/>
      <c r="KZP18" s="493"/>
      <c r="KZQ18" s="493"/>
      <c r="KZR18" s="493"/>
      <c r="KZS18" s="493"/>
      <c r="KZT18" s="493"/>
      <c r="KZU18" s="493"/>
      <c r="KZV18" s="493"/>
      <c r="KZW18" s="493"/>
      <c r="KZX18" s="493"/>
      <c r="KZY18" s="493"/>
      <c r="KZZ18" s="493"/>
      <c r="LAA18" s="493"/>
      <c r="LAB18" s="493"/>
      <c r="LAC18" s="493"/>
      <c r="LAD18" s="493"/>
      <c r="LAE18" s="493"/>
      <c r="LAF18" s="493"/>
      <c r="LAG18" s="493"/>
      <c r="LAH18" s="493"/>
      <c r="LAI18" s="493"/>
      <c r="LAJ18" s="493"/>
      <c r="LAK18" s="493"/>
      <c r="LAL18" s="493"/>
      <c r="LAM18" s="493"/>
      <c r="LAN18" s="493"/>
      <c r="LAO18" s="493"/>
      <c r="LAP18" s="493"/>
      <c r="LAQ18" s="493"/>
      <c r="LAR18" s="493"/>
      <c r="LAS18" s="493"/>
      <c r="LAT18" s="493"/>
      <c r="LAU18" s="493"/>
      <c r="LAV18" s="493"/>
      <c r="LAW18" s="493"/>
      <c r="LAX18" s="493"/>
      <c r="LAY18" s="493"/>
      <c r="LAZ18" s="493"/>
      <c r="LBA18" s="493"/>
      <c r="LBB18" s="493"/>
      <c r="LBC18" s="493"/>
      <c r="LBD18" s="493"/>
      <c r="LBE18" s="493"/>
      <c r="LBF18" s="493"/>
      <c r="LBG18" s="493"/>
      <c r="LBH18" s="493"/>
      <c r="LBI18" s="493"/>
      <c r="LBJ18" s="493"/>
      <c r="LBK18" s="493"/>
      <c r="LBL18" s="493"/>
      <c r="LBM18" s="493"/>
      <c r="LBN18" s="493"/>
      <c r="LBO18" s="493"/>
      <c r="LBP18" s="493"/>
      <c r="LBQ18" s="493"/>
      <c r="LBR18" s="493"/>
      <c r="LBS18" s="493"/>
      <c r="LBT18" s="493"/>
      <c r="LBU18" s="493"/>
      <c r="LBV18" s="493"/>
      <c r="LBW18" s="493"/>
      <c r="LBX18" s="493"/>
      <c r="LBY18" s="493"/>
      <c r="LBZ18" s="493"/>
      <c r="LCA18" s="493"/>
      <c r="LCB18" s="493"/>
      <c r="LCC18" s="493"/>
      <c r="LCD18" s="493"/>
      <c r="LCE18" s="493"/>
      <c r="LCF18" s="493"/>
      <c r="LCG18" s="493"/>
      <c r="LCH18" s="493"/>
      <c r="LCI18" s="493"/>
      <c r="LCJ18" s="493"/>
      <c r="LCK18" s="493"/>
      <c r="LCL18" s="493"/>
      <c r="LCM18" s="493"/>
      <c r="LCN18" s="493"/>
      <c r="LCO18" s="493"/>
      <c r="LCP18" s="493"/>
      <c r="LCQ18" s="493"/>
      <c r="LCR18" s="493"/>
      <c r="LCS18" s="493"/>
      <c r="LCT18" s="493"/>
      <c r="LCU18" s="493"/>
      <c r="LCV18" s="493"/>
      <c r="LCW18" s="493"/>
      <c r="LCX18" s="493"/>
      <c r="LCY18" s="493"/>
      <c r="LCZ18" s="493"/>
      <c r="LDA18" s="493"/>
      <c r="LDB18" s="493"/>
      <c r="LDC18" s="493"/>
      <c r="LDD18" s="493"/>
      <c r="LDE18" s="493"/>
      <c r="LDF18" s="493"/>
      <c r="LDG18" s="493"/>
      <c r="LDH18" s="493"/>
      <c r="LDI18" s="493"/>
      <c r="LDJ18" s="493"/>
      <c r="LDK18" s="493"/>
      <c r="LDL18" s="493"/>
      <c r="LDM18" s="493"/>
      <c r="LDN18" s="493"/>
      <c r="LDO18" s="493"/>
      <c r="LDP18" s="493"/>
      <c r="LDQ18" s="493"/>
      <c r="LDR18" s="493"/>
      <c r="LDS18" s="493"/>
      <c r="LDT18" s="493"/>
      <c r="LDU18" s="493"/>
      <c r="LDV18" s="493"/>
      <c r="LDW18" s="493"/>
      <c r="LDX18" s="493"/>
      <c r="LDY18" s="493"/>
      <c r="LDZ18" s="493"/>
      <c r="LEA18" s="493"/>
      <c r="LEB18" s="493"/>
      <c r="LEC18" s="493"/>
      <c r="LED18" s="493"/>
      <c r="LEE18" s="493"/>
      <c r="LEF18" s="493"/>
      <c r="LEG18" s="493"/>
      <c r="LEH18" s="493"/>
      <c r="LEI18" s="493"/>
      <c r="LEJ18" s="493"/>
      <c r="LEK18" s="493"/>
      <c r="LEL18" s="493"/>
      <c r="LEM18" s="493"/>
      <c r="LEN18" s="493"/>
      <c r="LEO18" s="493"/>
      <c r="LEP18" s="493"/>
      <c r="LEQ18" s="493"/>
      <c r="LER18" s="493"/>
      <c r="LES18" s="493"/>
      <c r="LET18" s="493"/>
      <c r="LEU18" s="493"/>
      <c r="LEV18" s="493"/>
      <c r="LEW18" s="493"/>
      <c r="LEX18" s="493"/>
      <c r="LEY18" s="493"/>
      <c r="LEZ18" s="493"/>
      <c r="LFA18" s="493"/>
      <c r="LFB18" s="493"/>
      <c r="LFC18" s="493"/>
      <c r="LFD18" s="493"/>
      <c r="LFE18" s="493"/>
      <c r="LFF18" s="493"/>
      <c r="LFG18" s="493"/>
      <c r="LFH18" s="493"/>
      <c r="LFI18" s="493"/>
      <c r="LFJ18" s="493"/>
      <c r="LFK18" s="493"/>
      <c r="LFL18" s="493"/>
      <c r="LFM18" s="493"/>
      <c r="LFN18" s="493"/>
      <c r="LFO18" s="493"/>
      <c r="LFP18" s="493"/>
      <c r="LFQ18" s="493"/>
      <c r="LFR18" s="493"/>
      <c r="LFS18" s="493"/>
      <c r="LFT18" s="493"/>
      <c r="LFU18" s="493"/>
      <c r="LFV18" s="493"/>
      <c r="LFW18" s="493"/>
      <c r="LFX18" s="493"/>
      <c r="LFY18" s="493"/>
      <c r="LFZ18" s="493"/>
      <c r="LGA18" s="493"/>
      <c r="LGB18" s="493"/>
      <c r="LGC18" s="493"/>
      <c r="LGD18" s="493"/>
      <c r="LGE18" s="493"/>
      <c r="LGF18" s="493"/>
      <c r="LGG18" s="493"/>
      <c r="LGH18" s="493"/>
      <c r="LGI18" s="493"/>
      <c r="LGJ18" s="493"/>
      <c r="LGK18" s="493"/>
      <c r="LGL18" s="493"/>
      <c r="LGM18" s="493"/>
      <c r="LGN18" s="493"/>
      <c r="LGO18" s="493"/>
      <c r="LGP18" s="493"/>
      <c r="LGQ18" s="493"/>
      <c r="LGR18" s="493"/>
      <c r="LGS18" s="493"/>
      <c r="LGT18" s="493"/>
      <c r="LGU18" s="493"/>
      <c r="LGV18" s="493"/>
      <c r="LGW18" s="493"/>
      <c r="LGX18" s="493"/>
      <c r="LGY18" s="493"/>
      <c r="LGZ18" s="493"/>
      <c r="LHA18" s="493"/>
      <c r="LHB18" s="493"/>
      <c r="LHC18" s="493"/>
      <c r="LHD18" s="493"/>
      <c r="LHE18" s="493"/>
      <c r="LHF18" s="493"/>
      <c r="LHG18" s="493"/>
      <c r="LHH18" s="493"/>
      <c r="LHI18" s="493"/>
      <c r="LHJ18" s="493"/>
      <c r="LHK18" s="493"/>
      <c r="LHL18" s="493"/>
      <c r="LHM18" s="493"/>
      <c r="LHN18" s="493"/>
      <c r="LHO18" s="493"/>
      <c r="LHP18" s="493"/>
      <c r="LHQ18" s="493"/>
      <c r="LHR18" s="493"/>
      <c r="LHS18" s="493"/>
      <c r="LHT18" s="493"/>
      <c r="LHU18" s="493"/>
      <c r="LHV18" s="493"/>
      <c r="LHW18" s="493"/>
      <c r="LHX18" s="493"/>
      <c r="LHY18" s="493"/>
      <c r="LHZ18" s="493"/>
      <c r="LIA18" s="493"/>
      <c r="LIB18" s="493"/>
      <c r="LIC18" s="493"/>
      <c r="LID18" s="493"/>
      <c r="LIE18" s="493"/>
      <c r="LIF18" s="493"/>
      <c r="LIG18" s="493"/>
      <c r="LIH18" s="493"/>
      <c r="LII18" s="493"/>
      <c r="LIJ18" s="493"/>
      <c r="LIK18" s="493"/>
      <c r="LIL18" s="493"/>
      <c r="LIM18" s="493"/>
      <c r="LIN18" s="493"/>
      <c r="LIO18" s="493"/>
      <c r="LIP18" s="493"/>
      <c r="LIQ18" s="493"/>
      <c r="LIR18" s="493"/>
      <c r="LIS18" s="493"/>
      <c r="LIT18" s="493"/>
      <c r="LIU18" s="493"/>
      <c r="LIV18" s="493"/>
      <c r="LIW18" s="493"/>
      <c r="LIX18" s="493"/>
      <c r="LIY18" s="493"/>
      <c r="LIZ18" s="493"/>
      <c r="LJA18" s="493"/>
      <c r="LJB18" s="493"/>
      <c r="LJC18" s="493"/>
      <c r="LJD18" s="493"/>
      <c r="LJE18" s="493"/>
      <c r="LJF18" s="493"/>
      <c r="LJG18" s="493"/>
      <c r="LJH18" s="493"/>
      <c r="LJI18" s="493"/>
      <c r="LJJ18" s="493"/>
      <c r="LJK18" s="493"/>
      <c r="LJL18" s="493"/>
      <c r="LJM18" s="493"/>
      <c r="LJN18" s="493"/>
      <c r="LJO18" s="493"/>
      <c r="LJP18" s="493"/>
      <c r="LJQ18" s="493"/>
      <c r="LJR18" s="493"/>
      <c r="LJS18" s="493"/>
      <c r="LJT18" s="493"/>
      <c r="LJU18" s="493"/>
      <c r="LJV18" s="493"/>
      <c r="LJW18" s="493"/>
      <c r="LJX18" s="493"/>
      <c r="LJY18" s="493"/>
      <c r="LJZ18" s="493"/>
      <c r="LKA18" s="493"/>
      <c r="LKB18" s="493"/>
      <c r="LKC18" s="493"/>
      <c r="LKD18" s="493"/>
      <c r="LKE18" s="493"/>
      <c r="LKF18" s="493"/>
      <c r="LKG18" s="493"/>
      <c r="LKH18" s="493"/>
      <c r="LKI18" s="493"/>
      <c r="LKJ18" s="493"/>
      <c r="LKK18" s="493"/>
      <c r="LKL18" s="493"/>
      <c r="LKM18" s="493"/>
      <c r="LKN18" s="493"/>
      <c r="LKO18" s="493"/>
      <c r="LKP18" s="493"/>
      <c r="LKQ18" s="493"/>
      <c r="LKR18" s="493"/>
      <c r="LKS18" s="493"/>
      <c r="LKT18" s="493"/>
      <c r="LKU18" s="493"/>
      <c r="LKV18" s="493"/>
      <c r="LKW18" s="493"/>
      <c r="LKX18" s="493"/>
      <c r="LKY18" s="493"/>
      <c r="LKZ18" s="493"/>
      <c r="LLA18" s="493"/>
      <c r="LLB18" s="493"/>
      <c r="LLC18" s="493"/>
      <c r="LLD18" s="493"/>
      <c r="LLE18" s="493"/>
      <c r="LLF18" s="493"/>
      <c r="LLG18" s="493"/>
      <c r="LLH18" s="493"/>
      <c r="LLI18" s="493"/>
      <c r="LLJ18" s="493"/>
      <c r="LLK18" s="493"/>
      <c r="LLL18" s="493"/>
      <c r="LLM18" s="493"/>
      <c r="LLN18" s="493"/>
      <c r="LLO18" s="493"/>
      <c r="LLP18" s="493"/>
      <c r="LLQ18" s="493"/>
      <c r="LLR18" s="493"/>
      <c r="LLS18" s="493"/>
      <c r="LLT18" s="493"/>
      <c r="LLU18" s="493"/>
      <c r="LLV18" s="493"/>
      <c r="LLW18" s="493"/>
      <c r="LLX18" s="493"/>
      <c r="LLY18" s="493"/>
      <c r="LLZ18" s="493"/>
      <c r="LMA18" s="493"/>
      <c r="LMB18" s="493"/>
      <c r="LMC18" s="493"/>
      <c r="LMD18" s="493"/>
      <c r="LME18" s="493"/>
      <c r="LMF18" s="493"/>
      <c r="LMG18" s="493"/>
      <c r="LMH18" s="493"/>
      <c r="LMI18" s="493"/>
      <c r="LMJ18" s="493"/>
      <c r="LMK18" s="493"/>
      <c r="LML18" s="493"/>
      <c r="LMM18" s="493"/>
      <c r="LMN18" s="493"/>
      <c r="LMO18" s="493"/>
      <c r="LMP18" s="493"/>
      <c r="LMQ18" s="493"/>
      <c r="LMR18" s="493"/>
      <c r="LMS18" s="493"/>
      <c r="LMT18" s="493"/>
      <c r="LMU18" s="493"/>
      <c r="LMV18" s="493"/>
      <c r="LMW18" s="493"/>
      <c r="LMX18" s="493"/>
      <c r="LMY18" s="493"/>
      <c r="LMZ18" s="493"/>
      <c r="LNA18" s="493"/>
      <c r="LNB18" s="493"/>
      <c r="LNC18" s="493"/>
      <c r="LND18" s="493"/>
      <c r="LNE18" s="493"/>
      <c r="LNF18" s="493"/>
      <c r="LNG18" s="493"/>
      <c r="LNH18" s="493"/>
      <c r="LNI18" s="493"/>
      <c r="LNJ18" s="493"/>
      <c r="LNK18" s="493"/>
      <c r="LNL18" s="493"/>
      <c r="LNM18" s="493"/>
      <c r="LNN18" s="493"/>
      <c r="LNO18" s="493"/>
      <c r="LNP18" s="493"/>
      <c r="LNQ18" s="493"/>
      <c r="LNR18" s="493"/>
      <c r="LNS18" s="493"/>
      <c r="LNT18" s="493"/>
      <c r="LNU18" s="493"/>
      <c r="LNV18" s="493"/>
      <c r="LNW18" s="493"/>
      <c r="LNX18" s="493"/>
      <c r="LNY18" s="493"/>
      <c r="LNZ18" s="493"/>
      <c r="LOA18" s="493"/>
      <c r="LOB18" s="493"/>
      <c r="LOC18" s="493"/>
      <c r="LOD18" s="493"/>
      <c r="LOE18" s="493"/>
      <c r="LOF18" s="493"/>
      <c r="LOG18" s="493"/>
      <c r="LOH18" s="493"/>
      <c r="LOI18" s="493"/>
      <c r="LOJ18" s="493"/>
      <c r="LOK18" s="493"/>
      <c r="LOL18" s="493"/>
      <c r="LOM18" s="493"/>
      <c r="LON18" s="493"/>
      <c r="LOO18" s="493"/>
      <c r="LOP18" s="493"/>
      <c r="LOQ18" s="493"/>
      <c r="LOR18" s="493"/>
      <c r="LOS18" s="493"/>
      <c r="LOT18" s="493"/>
      <c r="LOU18" s="493"/>
      <c r="LOV18" s="493"/>
      <c r="LOW18" s="493"/>
      <c r="LOX18" s="493"/>
      <c r="LOY18" s="493"/>
      <c r="LOZ18" s="493"/>
      <c r="LPA18" s="493"/>
      <c r="LPB18" s="493"/>
      <c r="LPC18" s="493"/>
      <c r="LPD18" s="493"/>
      <c r="LPE18" s="493"/>
      <c r="LPF18" s="493"/>
      <c r="LPG18" s="493"/>
      <c r="LPH18" s="493"/>
      <c r="LPI18" s="493"/>
      <c r="LPJ18" s="493"/>
      <c r="LPK18" s="493"/>
      <c r="LPL18" s="493"/>
      <c r="LPM18" s="493"/>
      <c r="LPN18" s="493"/>
      <c r="LPO18" s="493"/>
      <c r="LPP18" s="493"/>
      <c r="LPQ18" s="493"/>
      <c r="LPR18" s="493"/>
      <c r="LPS18" s="493"/>
      <c r="LPT18" s="493"/>
      <c r="LPU18" s="493"/>
      <c r="LPV18" s="493"/>
      <c r="LPW18" s="493"/>
      <c r="LPX18" s="493"/>
      <c r="LPY18" s="493"/>
      <c r="LPZ18" s="493"/>
      <c r="LQA18" s="493"/>
      <c r="LQB18" s="493"/>
      <c r="LQC18" s="493"/>
      <c r="LQD18" s="493"/>
      <c r="LQE18" s="493"/>
      <c r="LQF18" s="493"/>
      <c r="LQG18" s="493"/>
      <c r="LQH18" s="493"/>
      <c r="LQI18" s="493"/>
      <c r="LQJ18" s="493"/>
      <c r="LQK18" s="493"/>
      <c r="LQL18" s="493"/>
      <c r="LQM18" s="493"/>
      <c r="LQN18" s="493"/>
      <c r="LQO18" s="493"/>
      <c r="LQP18" s="493"/>
      <c r="LQQ18" s="493"/>
      <c r="LQR18" s="493"/>
      <c r="LQS18" s="493"/>
      <c r="LQT18" s="493"/>
      <c r="LQU18" s="493"/>
      <c r="LQV18" s="493"/>
      <c r="LQW18" s="493"/>
      <c r="LQX18" s="493"/>
      <c r="LQY18" s="493"/>
      <c r="LQZ18" s="493"/>
      <c r="LRA18" s="493"/>
      <c r="LRB18" s="493"/>
      <c r="LRC18" s="493"/>
      <c r="LRD18" s="493"/>
      <c r="LRE18" s="493"/>
      <c r="LRF18" s="493"/>
      <c r="LRG18" s="493"/>
      <c r="LRH18" s="493"/>
      <c r="LRI18" s="493"/>
      <c r="LRJ18" s="493"/>
      <c r="LRK18" s="493"/>
      <c r="LRL18" s="493"/>
      <c r="LRM18" s="493"/>
      <c r="LRN18" s="493"/>
      <c r="LRO18" s="493"/>
      <c r="LRP18" s="493"/>
      <c r="LRQ18" s="493"/>
      <c r="LRR18" s="493"/>
      <c r="LRS18" s="493"/>
      <c r="LRT18" s="493"/>
      <c r="LRU18" s="493"/>
      <c r="LRV18" s="493"/>
      <c r="LRW18" s="493"/>
      <c r="LRX18" s="493"/>
      <c r="LRY18" s="493"/>
      <c r="LRZ18" s="493"/>
      <c r="LSA18" s="493"/>
      <c r="LSB18" s="493"/>
      <c r="LSC18" s="493"/>
      <c r="LSD18" s="493"/>
      <c r="LSE18" s="493"/>
      <c r="LSF18" s="493"/>
      <c r="LSG18" s="493"/>
      <c r="LSH18" s="493"/>
      <c r="LSI18" s="493"/>
      <c r="LSJ18" s="493"/>
      <c r="LSK18" s="493"/>
      <c r="LSL18" s="493"/>
      <c r="LSM18" s="493"/>
      <c r="LSN18" s="493"/>
      <c r="LSO18" s="493"/>
      <c r="LSP18" s="493"/>
      <c r="LSQ18" s="493"/>
      <c r="LSR18" s="493"/>
      <c r="LSS18" s="493"/>
      <c r="LST18" s="493"/>
      <c r="LSU18" s="493"/>
      <c r="LSV18" s="493"/>
      <c r="LSW18" s="493"/>
      <c r="LSX18" s="493"/>
      <c r="LSY18" s="493"/>
      <c r="LSZ18" s="493"/>
      <c r="LTA18" s="493"/>
      <c r="LTB18" s="493"/>
      <c r="LTC18" s="493"/>
      <c r="LTD18" s="493"/>
      <c r="LTE18" s="493"/>
      <c r="LTF18" s="493"/>
      <c r="LTG18" s="493"/>
      <c r="LTH18" s="493"/>
      <c r="LTI18" s="493"/>
      <c r="LTJ18" s="493"/>
      <c r="LTK18" s="493"/>
      <c r="LTL18" s="493"/>
      <c r="LTM18" s="493"/>
      <c r="LTN18" s="493"/>
      <c r="LTO18" s="493"/>
      <c r="LTP18" s="493"/>
      <c r="LTQ18" s="493"/>
      <c r="LTR18" s="493"/>
      <c r="LTS18" s="493"/>
      <c r="LTT18" s="493"/>
      <c r="LTU18" s="493"/>
      <c r="LTV18" s="493"/>
      <c r="LTW18" s="493"/>
      <c r="LTX18" s="493"/>
      <c r="LTY18" s="493"/>
      <c r="LTZ18" s="493"/>
      <c r="LUA18" s="493"/>
      <c r="LUB18" s="493"/>
      <c r="LUC18" s="493"/>
      <c r="LUD18" s="493"/>
      <c r="LUE18" s="493"/>
      <c r="LUF18" s="493"/>
      <c r="LUG18" s="493"/>
      <c r="LUH18" s="493"/>
      <c r="LUI18" s="493"/>
      <c r="LUJ18" s="493"/>
      <c r="LUK18" s="493"/>
      <c r="LUL18" s="493"/>
      <c r="LUM18" s="493"/>
      <c r="LUN18" s="493"/>
      <c r="LUO18" s="493"/>
      <c r="LUP18" s="493"/>
      <c r="LUQ18" s="493"/>
      <c r="LUR18" s="493"/>
      <c r="LUS18" s="493"/>
      <c r="LUT18" s="493"/>
      <c r="LUU18" s="493"/>
      <c r="LUV18" s="493"/>
      <c r="LUW18" s="493"/>
      <c r="LUX18" s="493"/>
      <c r="LUY18" s="493"/>
      <c r="LUZ18" s="493"/>
      <c r="LVA18" s="493"/>
      <c r="LVB18" s="493"/>
      <c r="LVC18" s="493"/>
      <c r="LVD18" s="493"/>
      <c r="LVE18" s="493"/>
      <c r="LVF18" s="493"/>
      <c r="LVG18" s="493"/>
      <c r="LVH18" s="493"/>
      <c r="LVI18" s="493"/>
      <c r="LVJ18" s="493"/>
      <c r="LVK18" s="493"/>
      <c r="LVL18" s="493"/>
      <c r="LVM18" s="493"/>
      <c r="LVN18" s="493"/>
      <c r="LVO18" s="493"/>
      <c r="LVP18" s="493"/>
      <c r="LVQ18" s="493"/>
      <c r="LVR18" s="493"/>
      <c r="LVS18" s="493"/>
      <c r="LVT18" s="493"/>
      <c r="LVU18" s="493"/>
      <c r="LVV18" s="493"/>
      <c r="LVW18" s="493"/>
      <c r="LVX18" s="493"/>
      <c r="LVY18" s="493"/>
      <c r="LVZ18" s="493"/>
      <c r="LWA18" s="493"/>
      <c r="LWB18" s="493"/>
      <c r="LWC18" s="493"/>
      <c r="LWD18" s="493"/>
      <c r="LWE18" s="493"/>
      <c r="LWF18" s="493"/>
      <c r="LWG18" s="493"/>
      <c r="LWH18" s="493"/>
      <c r="LWI18" s="493"/>
      <c r="LWJ18" s="493"/>
      <c r="LWK18" s="493"/>
      <c r="LWL18" s="493"/>
      <c r="LWM18" s="493"/>
      <c r="LWN18" s="493"/>
      <c r="LWO18" s="493"/>
      <c r="LWP18" s="493"/>
      <c r="LWQ18" s="493"/>
      <c r="LWR18" s="493"/>
      <c r="LWS18" s="493"/>
      <c r="LWT18" s="493"/>
      <c r="LWU18" s="493"/>
      <c r="LWV18" s="493"/>
      <c r="LWW18" s="493"/>
      <c r="LWX18" s="493"/>
      <c r="LWY18" s="493"/>
      <c r="LWZ18" s="493"/>
      <c r="LXA18" s="493"/>
      <c r="LXB18" s="493"/>
      <c r="LXC18" s="493"/>
      <c r="LXD18" s="493"/>
      <c r="LXE18" s="493"/>
      <c r="LXF18" s="493"/>
      <c r="LXG18" s="493"/>
      <c r="LXH18" s="493"/>
      <c r="LXI18" s="493"/>
      <c r="LXJ18" s="493"/>
      <c r="LXK18" s="493"/>
      <c r="LXL18" s="493"/>
      <c r="LXM18" s="493"/>
      <c r="LXN18" s="493"/>
      <c r="LXO18" s="493"/>
      <c r="LXP18" s="493"/>
      <c r="LXQ18" s="493"/>
      <c r="LXR18" s="493"/>
      <c r="LXS18" s="493"/>
      <c r="LXT18" s="493"/>
      <c r="LXU18" s="493"/>
      <c r="LXV18" s="493"/>
      <c r="LXW18" s="493"/>
      <c r="LXX18" s="493"/>
      <c r="LXY18" s="493"/>
      <c r="LXZ18" s="493"/>
      <c r="LYA18" s="493"/>
      <c r="LYB18" s="493"/>
      <c r="LYC18" s="493"/>
      <c r="LYD18" s="493"/>
      <c r="LYE18" s="493"/>
      <c r="LYF18" s="493"/>
      <c r="LYG18" s="493"/>
      <c r="LYH18" s="493"/>
      <c r="LYI18" s="493"/>
      <c r="LYJ18" s="493"/>
      <c r="LYK18" s="493"/>
      <c r="LYL18" s="493"/>
      <c r="LYM18" s="493"/>
      <c r="LYN18" s="493"/>
      <c r="LYO18" s="493"/>
      <c r="LYP18" s="493"/>
      <c r="LYQ18" s="493"/>
      <c r="LYR18" s="493"/>
      <c r="LYS18" s="493"/>
      <c r="LYT18" s="493"/>
      <c r="LYU18" s="493"/>
      <c r="LYV18" s="493"/>
      <c r="LYW18" s="493"/>
      <c r="LYX18" s="493"/>
      <c r="LYY18" s="493"/>
      <c r="LYZ18" s="493"/>
      <c r="LZA18" s="493"/>
      <c r="LZB18" s="493"/>
      <c r="LZC18" s="493"/>
      <c r="LZD18" s="493"/>
      <c r="LZE18" s="493"/>
      <c r="LZF18" s="493"/>
      <c r="LZG18" s="493"/>
      <c r="LZH18" s="493"/>
      <c r="LZI18" s="493"/>
      <c r="LZJ18" s="493"/>
      <c r="LZK18" s="493"/>
      <c r="LZL18" s="493"/>
      <c r="LZM18" s="493"/>
      <c r="LZN18" s="493"/>
      <c r="LZO18" s="493"/>
      <c r="LZP18" s="493"/>
      <c r="LZQ18" s="493"/>
      <c r="LZR18" s="493"/>
      <c r="LZS18" s="493"/>
      <c r="LZT18" s="493"/>
      <c r="LZU18" s="493"/>
      <c r="LZV18" s="493"/>
      <c r="LZW18" s="493"/>
      <c r="LZX18" s="493"/>
      <c r="LZY18" s="493"/>
      <c r="LZZ18" s="493"/>
      <c r="MAA18" s="493"/>
      <c r="MAB18" s="493"/>
      <c r="MAC18" s="493"/>
      <c r="MAD18" s="493"/>
      <c r="MAE18" s="493"/>
      <c r="MAF18" s="493"/>
      <c r="MAG18" s="493"/>
      <c r="MAH18" s="493"/>
      <c r="MAI18" s="493"/>
      <c r="MAJ18" s="493"/>
      <c r="MAK18" s="493"/>
      <c r="MAL18" s="493"/>
      <c r="MAM18" s="493"/>
      <c r="MAN18" s="493"/>
      <c r="MAO18" s="493"/>
      <c r="MAP18" s="493"/>
      <c r="MAQ18" s="493"/>
      <c r="MAR18" s="493"/>
      <c r="MAS18" s="493"/>
      <c r="MAT18" s="493"/>
      <c r="MAU18" s="493"/>
      <c r="MAV18" s="493"/>
      <c r="MAW18" s="493"/>
      <c r="MAX18" s="493"/>
      <c r="MAY18" s="493"/>
      <c r="MAZ18" s="493"/>
      <c r="MBA18" s="493"/>
      <c r="MBB18" s="493"/>
      <c r="MBC18" s="493"/>
      <c r="MBD18" s="493"/>
      <c r="MBE18" s="493"/>
      <c r="MBF18" s="493"/>
      <c r="MBG18" s="493"/>
      <c r="MBH18" s="493"/>
      <c r="MBI18" s="493"/>
      <c r="MBJ18" s="493"/>
      <c r="MBK18" s="493"/>
      <c r="MBL18" s="493"/>
      <c r="MBM18" s="493"/>
      <c r="MBN18" s="493"/>
      <c r="MBO18" s="493"/>
      <c r="MBP18" s="493"/>
      <c r="MBQ18" s="493"/>
      <c r="MBR18" s="493"/>
      <c r="MBS18" s="493"/>
      <c r="MBT18" s="493"/>
      <c r="MBU18" s="493"/>
      <c r="MBV18" s="493"/>
      <c r="MBW18" s="493"/>
      <c r="MBX18" s="493"/>
      <c r="MBY18" s="493"/>
      <c r="MBZ18" s="493"/>
      <c r="MCA18" s="493"/>
      <c r="MCB18" s="493"/>
      <c r="MCC18" s="493"/>
      <c r="MCD18" s="493"/>
      <c r="MCE18" s="493"/>
      <c r="MCF18" s="493"/>
      <c r="MCG18" s="493"/>
      <c r="MCH18" s="493"/>
      <c r="MCI18" s="493"/>
      <c r="MCJ18" s="493"/>
      <c r="MCK18" s="493"/>
      <c r="MCL18" s="493"/>
      <c r="MCM18" s="493"/>
      <c r="MCN18" s="493"/>
      <c r="MCO18" s="493"/>
      <c r="MCP18" s="493"/>
      <c r="MCQ18" s="493"/>
      <c r="MCR18" s="493"/>
      <c r="MCS18" s="493"/>
      <c r="MCT18" s="493"/>
      <c r="MCU18" s="493"/>
      <c r="MCV18" s="493"/>
      <c r="MCW18" s="493"/>
      <c r="MCX18" s="493"/>
      <c r="MCY18" s="493"/>
      <c r="MCZ18" s="493"/>
      <c r="MDA18" s="493"/>
      <c r="MDB18" s="493"/>
      <c r="MDC18" s="493"/>
      <c r="MDD18" s="493"/>
      <c r="MDE18" s="493"/>
      <c r="MDF18" s="493"/>
      <c r="MDG18" s="493"/>
      <c r="MDH18" s="493"/>
      <c r="MDI18" s="493"/>
      <c r="MDJ18" s="493"/>
      <c r="MDK18" s="493"/>
      <c r="MDL18" s="493"/>
      <c r="MDM18" s="493"/>
      <c r="MDN18" s="493"/>
      <c r="MDO18" s="493"/>
      <c r="MDP18" s="493"/>
      <c r="MDQ18" s="493"/>
      <c r="MDR18" s="493"/>
      <c r="MDS18" s="493"/>
      <c r="MDT18" s="493"/>
      <c r="MDU18" s="493"/>
      <c r="MDV18" s="493"/>
      <c r="MDW18" s="493"/>
      <c r="MDX18" s="493"/>
      <c r="MDY18" s="493"/>
      <c r="MDZ18" s="493"/>
      <c r="MEA18" s="493"/>
      <c r="MEB18" s="493"/>
      <c r="MEC18" s="493"/>
      <c r="MED18" s="493"/>
      <c r="MEE18" s="493"/>
      <c r="MEF18" s="493"/>
      <c r="MEG18" s="493"/>
      <c r="MEH18" s="493"/>
      <c r="MEI18" s="493"/>
      <c r="MEJ18" s="493"/>
      <c r="MEK18" s="493"/>
      <c r="MEL18" s="493"/>
      <c r="MEM18" s="493"/>
      <c r="MEN18" s="493"/>
      <c r="MEO18" s="493"/>
      <c r="MEP18" s="493"/>
      <c r="MEQ18" s="493"/>
      <c r="MER18" s="493"/>
      <c r="MES18" s="493"/>
      <c r="MET18" s="493"/>
      <c r="MEU18" s="493"/>
      <c r="MEV18" s="493"/>
      <c r="MEW18" s="493"/>
      <c r="MEX18" s="493"/>
      <c r="MEY18" s="493"/>
      <c r="MEZ18" s="493"/>
      <c r="MFA18" s="493"/>
      <c r="MFB18" s="493"/>
      <c r="MFC18" s="493"/>
      <c r="MFD18" s="493"/>
      <c r="MFE18" s="493"/>
      <c r="MFF18" s="493"/>
      <c r="MFG18" s="493"/>
      <c r="MFH18" s="493"/>
      <c r="MFI18" s="493"/>
      <c r="MFJ18" s="493"/>
      <c r="MFK18" s="493"/>
      <c r="MFL18" s="493"/>
      <c r="MFM18" s="493"/>
      <c r="MFN18" s="493"/>
      <c r="MFO18" s="493"/>
      <c r="MFP18" s="493"/>
      <c r="MFQ18" s="493"/>
      <c r="MFR18" s="493"/>
      <c r="MFS18" s="493"/>
      <c r="MFT18" s="493"/>
      <c r="MFU18" s="493"/>
      <c r="MFV18" s="493"/>
      <c r="MFW18" s="493"/>
      <c r="MFX18" s="493"/>
      <c r="MFY18" s="493"/>
      <c r="MFZ18" s="493"/>
      <c r="MGA18" s="493"/>
      <c r="MGB18" s="493"/>
      <c r="MGC18" s="493"/>
      <c r="MGD18" s="493"/>
      <c r="MGE18" s="493"/>
      <c r="MGF18" s="493"/>
      <c r="MGG18" s="493"/>
      <c r="MGH18" s="493"/>
      <c r="MGI18" s="493"/>
      <c r="MGJ18" s="493"/>
      <c r="MGK18" s="493"/>
      <c r="MGL18" s="493"/>
      <c r="MGM18" s="493"/>
      <c r="MGN18" s="493"/>
      <c r="MGO18" s="493"/>
      <c r="MGP18" s="493"/>
      <c r="MGQ18" s="493"/>
      <c r="MGR18" s="493"/>
      <c r="MGS18" s="493"/>
      <c r="MGT18" s="493"/>
      <c r="MGU18" s="493"/>
      <c r="MGV18" s="493"/>
      <c r="MGW18" s="493"/>
      <c r="MGX18" s="493"/>
      <c r="MGY18" s="493"/>
      <c r="MGZ18" s="493"/>
      <c r="MHA18" s="493"/>
      <c r="MHB18" s="493"/>
      <c r="MHC18" s="493"/>
      <c r="MHD18" s="493"/>
      <c r="MHE18" s="493"/>
      <c r="MHF18" s="493"/>
      <c r="MHG18" s="493"/>
      <c r="MHH18" s="493"/>
      <c r="MHI18" s="493"/>
      <c r="MHJ18" s="493"/>
      <c r="MHK18" s="493"/>
      <c r="MHL18" s="493"/>
      <c r="MHM18" s="493"/>
      <c r="MHN18" s="493"/>
      <c r="MHO18" s="493"/>
      <c r="MHP18" s="493"/>
      <c r="MHQ18" s="493"/>
      <c r="MHR18" s="493"/>
      <c r="MHS18" s="493"/>
      <c r="MHT18" s="493"/>
      <c r="MHU18" s="493"/>
      <c r="MHV18" s="493"/>
      <c r="MHW18" s="493"/>
      <c r="MHX18" s="493"/>
      <c r="MHY18" s="493"/>
      <c r="MHZ18" s="493"/>
      <c r="MIA18" s="493"/>
      <c r="MIB18" s="493"/>
      <c r="MIC18" s="493"/>
      <c r="MID18" s="493"/>
      <c r="MIE18" s="493"/>
      <c r="MIF18" s="493"/>
      <c r="MIG18" s="493"/>
      <c r="MIH18" s="493"/>
      <c r="MII18" s="493"/>
      <c r="MIJ18" s="493"/>
      <c r="MIK18" s="493"/>
      <c r="MIL18" s="493"/>
      <c r="MIM18" s="493"/>
      <c r="MIN18" s="493"/>
      <c r="MIO18" s="493"/>
      <c r="MIP18" s="493"/>
      <c r="MIQ18" s="493"/>
      <c r="MIR18" s="493"/>
      <c r="MIS18" s="493"/>
      <c r="MIT18" s="493"/>
      <c r="MIU18" s="493"/>
      <c r="MIV18" s="493"/>
      <c r="MIW18" s="493"/>
      <c r="MIX18" s="493"/>
      <c r="MIY18" s="493"/>
      <c r="MIZ18" s="493"/>
      <c r="MJA18" s="493"/>
      <c r="MJB18" s="493"/>
      <c r="MJC18" s="493"/>
      <c r="MJD18" s="493"/>
      <c r="MJE18" s="493"/>
      <c r="MJF18" s="493"/>
      <c r="MJG18" s="493"/>
      <c r="MJH18" s="493"/>
      <c r="MJI18" s="493"/>
      <c r="MJJ18" s="493"/>
      <c r="MJK18" s="493"/>
      <c r="MJL18" s="493"/>
      <c r="MJM18" s="493"/>
      <c r="MJN18" s="493"/>
      <c r="MJO18" s="493"/>
      <c r="MJP18" s="493"/>
      <c r="MJQ18" s="493"/>
      <c r="MJR18" s="493"/>
      <c r="MJS18" s="493"/>
      <c r="MJT18" s="493"/>
      <c r="MJU18" s="493"/>
      <c r="MJV18" s="493"/>
      <c r="MJW18" s="493"/>
      <c r="MJX18" s="493"/>
      <c r="MJY18" s="493"/>
      <c r="MJZ18" s="493"/>
      <c r="MKA18" s="493"/>
      <c r="MKB18" s="493"/>
      <c r="MKC18" s="493"/>
      <c r="MKD18" s="493"/>
      <c r="MKE18" s="493"/>
      <c r="MKF18" s="493"/>
      <c r="MKG18" s="493"/>
      <c r="MKH18" s="493"/>
      <c r="MKI18" s="493"/>
      <c r="MKJ18" s="493"/>
      <c r="MKK18" s="493"/>
      <c r="MKL18" s="493"/>
      <c r="MKM18" s="493"/>
      <c r="MKN18" s="493"/>
      <c r="MKO18" s="493"/>
      <c r="MKP18" s="493"/>
      <c r="MKQ18" s="493"/>
      <c r="MKR18" s="493"/>
      <c r="MKS18" s="493"/>
      <c r="MKT18" s="493"/>
      <c r="MKU18" s="493"/>
      <c r="MKV18" s="493"/>
      <c r="MKW18" s="493"/>
      <c r="MKX18" s="493"/>
      <c r="MKY18" s="493"/>
      <c r="MKZ18" s="493"/>
      <c r="MLA18" s="493"/>
      <c r="MLB18" s="493"/>
      <c r="MLC18" s="493"/>
      <c r="MLD18" s="493"/>
      <c r="MLE18" s="493"/>
      <c r="MLF18" s="493"/>
      <c r="MLG18" s="493"/>
      <c r="MLH18" s="493"/>
      <c r="MLI18" s="493"/>
      <c r="MLJ18" s="493"/>
      <c r="MLK18" s="493"/>
      <c r="MLL18" s="493"/>
      <c r="MLM18" s="493"/>
      <c r="MLN18" s="493"/>
      <c r="MLO18" s="493"/>
      <c r="MLP18" s="493"/>
      <c r="MLQ18" s="493"/>
      <c r="MLR18" s="493"/>
      <c r="MLS18" s="493"/>
      <c r="MLT18" s="493"/>
      <c r="MLU18" s="493"/>
      <c r="MLV18" s="493"/>
      <c r="MLW18" s="493"/>
      <c r="MLX18" s="493"/>
      <c r="MLY18" s="493"/>
      <c r="MLZ18" s="493"/>
      <c r="MMA18" s="493"/>
      <c r="MMB18" s="493"/>
      <c r="MMC18" s="493"/>
      <c r="MMD18" s="493"/>
      <c r="MME18" s="493"/>
      <c r="MMF18" s="493"/>
      <c r="MMG18" s="493"/>
      <c r="MMH18" s="493"/>
      <c r="MMI18" s="493"/>
      <c r="MMJ18" s="493"/>
      <c r="MMK18" s="493"/>
      <c r="MML18" s="493"/>
      <c r="MMM18" s="493"/>
      <c r="MMN18" s="493"/>
      <c r="MMO18" s="493"/>
      <c r="MMP18" s="493"/>
      <c r="MMQ18" s="493"/>
      <c r="MMR18" s="493"/>
      <c r="MMS18" s="493"/>
      <c r="MMT18" s="493"/>
      <c r="MMU18" s="493"/>
      <c r="MMV18" s="493"/>
      <c r="MMW18" s="493"/>
      <c r="MMX18" s="493"/>
      <c r="MMY18" s="493"/>
      <c r="MMZ18" s="493"/>
      <c r="MNA18" s="493"/>
      <c r="MNB18" s="493"/>
      <c r="MNC18" s="493"/>
      <c r="MND18" s="493"/>
      <c r="MNE18" s="493"/>
      <c r="MNF18" s="493"/>
      <c r="MNG18" s="493"/>
      <c r="MNH18" s="493"/>
      <c r="MNI18" s="493"/>
      <c r="MNJ18" s="493"/>
      <c r="MNK18" s="493"/>
      <c r="MNL18" s="493"/>
      <c r="MNM18" s="493"/>
      <c r="MNN18" s="493"/>
      <c r="MNO18" s="493"/>
      <c r="MNP18" s="493"/>
      <c r="MNQ18" s="493"/>
      <c r="MNR18" s="493"/>
      <c r="MNS18" s="493"/>
      <c r="MNT18" s="493"/>
      <c r="MNU18" s="493"/>
      <c r="MNV18" s="493"/>
      <c r="MNW18" s="493"/>
      <c r="MNX18" s="493"/>
      <c r="MNY18" s="493"/>
      <c r="MNZ18" s="493"/>
      <c r="MOA18" s="493"/>
      <c r="MOB18" s="493"/>
      <c r="MOC18" s="493"/>
      <c r="MOD18" s="493"/>
      <c r="MOE18" s="493"/>
      <c r="MOF18" s="493"/>
      <c r="MOG18" s="493"/>
      <c r="MOH18" s="493"/>
      <c r="MOI18" s="493"/>
      <c r="MOJ18" s="493"/>
      <c r="MOK18" s="493"/>
      <c r="MOL18" s="493"/>
      <c r="MOM18" s="493"/>
      <c r="MON18" s="493"/>
      <c r="MOO18" s="493"/>
      <c r="MOP18" s="493"/>
      <c r="MOQ18" s="493"/>
      <c r="MOR18" s="493"/>
      <c r="MOS18" s="493"/>
      <c r="MOT18" s="493"/>
      <c r="MOU18" s="493"/>
      <c r="MOV18" s="493"/>
      <c r="MOW18" s="493"/>
      <c r="MOX18" s="493"/>
      <c r="MOY18" s="493"/>
      <c r="MOZ18" s="493"/>
      <c r="MPA18" s="493"/>
      <c r="MPB18" s="493"/>
      <c r="MPC18" s="493"/>
      <c r="MPD18" s="493"/>
      <c r="MPE18" s="493"/>
      <c r="MPF18" s="493"/>
      <c r="MPG18" s="493"/>
      <c r="MPH18" s="493"/>
      <c r="MPI18" s="493"/>
      <c r="MPJ18" s="493"/>
      <c r="MPK18" s="493"/>
      <c r="MPL18" s="493"/>
      <c r="MPM18" s="493"/>
      <c r="MPN18" s="493"/>
      <c r="MPO18" s="493"/>
      <c r="MPP18" s="493"/>
      <c r="MPQ18" s="493"/>
      <c r="MPR18" s="493"/>
      <c r="MPS18" s="493"/>
      <c r="MPT18" s="493"/>
      <c r="MPU18" s="493"/>
      <c r="MPV18" s="493"/>
      <c r="MPW18" s="493"/>
      <c r="MPX18" s="493"/>
      <c r="MPY18" s="493"/>
      <c r="MPZ18" s="493"/>
      <c r="MQA18" s="493"/>
      <c r="MQB18" s="493"/>
      <c r="MQC18" s="493"/>
      <c r="MQD18" s="493"/>
      <c r="MQE18" s="493"/>
      <c r="MQF18" s="493"/>
      <c r="MQG18" s="493"/>
      <c r="MQH18" s="493"/>
      <c r="MQI18" s="493"/>
      <c r="MQJ18" s="493"/>
      <c r="MQK18" s="493"/>
      <c r="MQL18" s="493"/>
      <c r="MQM18" s="493"/>
      <c r="MQN18" s="493"/>
      <c r="MQO18" s="493"/>
      <c r="MQP18" s="493"/>
      <c r="MQQ18" s="493"/>
      <c r="MQR18" s="493"/>
      <c r="MQS18" s="493"/>
      <c r="MQT18" s="493"/>
      <c r="MQU18" s="493"/>
      <c r="MQV18" s="493"/>
      <c r="MQW18" s="493"/>
      <c r="MQX18" s="493"/>
      <c r="MQY18" s="493"/>
      <c r="MQZ18" s="493"/>
      <c r="MRA18" s="493"/>
      <c r="MRB18" s="493"/>
      <c r="MRC18" s="493"/>
      <c r="MRD18" s="493"/>
      <c r="MRE18" s="493"/>
      <c r="MRF18" s="493"/>
      <c r="MRG18" s="493"/>
      <c r="MRH18" s="493"/>
      <c r="MRI18" s="493"/>
      <c r="MRJ18" s="493"/>
      <c r="MRK18" s="493"/>
      <c r="MRL18" s="493"/>
      <c r="MRM18" s="493"/>
      <c r="MRN18" s="493"/>
      <c r="MRO18" s="493"/>
      <c r="MRP18" s="493"/>
      <c r="MRQ18" s="493"/>
      <c r="MRR18" s="493"/>
      <c r="MRS18" s="493"/>
      <c r="MRT18" s="493"/>
      <c r="MRU18" s="493"/>
      <c r="MRV18" s="493"/>
      <c r="MRW18" s="493"/>
      <c r="MRX18" s="493"/>
      <c r="MRY18" s="493"/>
      <c r="MRZ18" s="493"/>
      <c r="MSA18" s="493"/>
      <c r="MSB18" s="493"/>
      <c r="MSC18" s="493"/>
      <c r="MSD18" s="493"/>
      <c r="MSE18" s="493"/>
      <c r="MSF18" s="493"/>
      <c r="MSG18" s="493"/>
      <c r="MSH18" s="493"/>
      <c r="MSI18" s="493"/>
      <c r="MSJ18" s="493"/>
      <c r="MSK18" s="493"/>
      <c r="MSL18" s="493"/>
      <c r="MSM18" s="493"/>
      <c r="MSN18" s="493"/>
      <c r="MSO18" s="493"/>
      <c r="MSP18" s="493"/>
      <c r="MSQ18" s="493"/>
      <c r="MSR18" s="493"/>
      <c r="MSS18" s="493"/>
      <c r="MST18" s="493"/>
      <c r="MSU18" s="493"/>
      <c r="MSV18" s="493"/>
      <c r="MSW18" s="493"/>
      <c r="MSX18" s="493"/>
      <c r="MSY18" s="493"/>
      <c r="MSZ18" s="493"/>
      <c r="MTA18" s="493"/>
      <c r="MTB18" s="493"/>
      <c r="MTC18" s="493"/>
      <c r="MTD18" s="493"/>
      <c r="MTE18" s="493"/>
      <c r="MTF18" s="493"/>
      <c r="MTG18" s="493"/>
      <c r="MTH18" s="493"/>
      <c r="MTI18" s="493"/>
      <c r="MTJ18" s="493"/>
      <c r="MTK18" s="493"/>
      <c r="MTL18" s="493"/>
      <c r="MTM18" s="493"/>
      <c r="MTN18" s="493"/>
      <c r="MTO18" s="493"/>
      <c r="MTP18" s="493"/>
      <c r="MTQ18" s="493"/>
      <c r="MTR18" s="493"/>
      <c r="MTS18" s="493"/>
      <c r="MTT18" s="493"/>
      <c r="MTU18" s="493"/>
      <c r="MTV18" s="493"/>
      <c r="MTW18" s="493"/>
      <c r="MTX18" s="493"/>
      <c r="MTY18" s="493"/>
      <c r="MTZ18" s="493"/>
      <c r="MUA18" s="493"/>
      <c r="MUB18" s="493"/>
      <c r="MUC18" s="493"/>
      <c r="MUD18" s="493"/>
      <c r="MUE18" s="493"/>
      <c r="MUF18" s="493"/>
      <c r="MUG18" s="493"/>
      <c r="MUH18" s="493"/>
      <c r="MUI18" s="493"/>
      <c r="MUJ18" s="493"/>
      <c r="MUK18" s="493"/>
      <c r="MUL18" s="493"/>
      <c r="MUM18" s="493"/>
      <c r="MUN18" s="493"/>
      <c r="MUO18" s="493"/>
      <c r="MUP18" s="493"/>
      <c r="MUQ18" s="493"/>
      <c r="MUR18" s="493"/>
      <c r="MUS18" s="493"/>
      <c r="MUT18" s="493"/>
      <c r="MUU18" s="493"/>
      <c r="MUV18" s="493"/>
      <c r="MUW18" s="493"/>
      <c r="MUX18" s="493"/>
      <c r="MUY18" s="493"/>
      <c r="MUZ18" s="493"/>
      <c r="MVA18" s="493"/>
      <c r="MVB18" s="493"/>
      <c r="MVC18" s="493"/>
      <c r="MVD18" s="493"/>
      <c r="MVE18" s="493"/>
      <c r="MVF18" s="493"/>
      <c r="MVG18" s="493"/>
      <c r="MVH18" s="493"/>
      <c r="MVI18" s="493"/>
      <c r="MVJ18" s="493"/>
      <c r="MVK18" s="493"/>
      <c r="MVL18" s="493"/>
      <c r="MVM18" s="493"/>
      <c r="MVN18" s="493"/>
      <c r="MVO18" s="493"/>
      <c r="MVP18" s="493"/>
      <c r="MVQ18" s="493"/>
      <c r="MVR18" s="493"/>
      <c r="MVS18" s="493"/>
      <c r="MVT18" s="493"/>
      <c r="MVU18" s="493"/>
      <c r="MVV18" s="493"/>
      <c r="MVW18" s="493"/>
      <c r="MVX18" s="493"/>
      <c r="MVY18" s="493"/>
      <c r="MVZ18" s="493"/>
      <c r="MWA18" s="493"/>
      <c r="MWB18" s="493"/>
      <c r="MWC18" s="493"/>
      <c r="MWD18" s="493"/>
      <c r="MWE18" s="493"/>
      <c r="MWF18" s="493"/>
      <c r="MWG18" s="493"/>
      <c r="MWH18" s="493"/>
      <c r="MWI18" s="493"/>
      <c r="MWJ18" s="493"/>
      <c r="MWK18" s="493"/>
      <c r="MWL18" s="493"/>
      <c r="MWM18" s="493"/>
      <c r="MWN18" s="493"/>
      <c r="MWO18" s="493"/>
      <c r="MWP18" s="493"/>
      <c r="MWQ18" s="493"/>
      <c r="MWR18" s="493"/>
      <c r="MWS18" s="493"/>
      <c r="MWT18" s="493"/>
      <c r="MWU18" s="493"/>
      <c r="MWV18" s="493"/>
      <c r="MWW18" s="493"/>
      <c r="MWX18" s="493"/>
      <c r="MWY18" s="493"/>
      <c r="MWZ18" s="493"/>
      <c r="MXA18" s="493"/>
      <c r="MXB18" s="493"/>
      <c r="MXC18" s="493"/>
      <c r="MXD18" s="493"/>
      <c r="MXE18" s="493"/>
      <c r="MXF18" s="493"/>
      <c r="MXG18" s="493"/>
      <c r="MXH18" s="493"/>
      <c r="MXI18" s="493"/>
      <c r="MXJ18" s="493"/>
      <c r="MXK18" s="493"/>
      <c r="MXL18" s="493"/>
      <c r="MXM18" s="493"/>
      <c r="MXN18" s="493"/>
      <c r="MXO18" s="493"/>
      <c r="MXP18" s="493"/>
      <c r="MXQ18" s="493"/>
      <c r="MXR18" s="493"/>
      <c r="MXS18" s="493"/>
      <c r="MXT18" s="493"/>
      <c r="MXU18" s="493"/>
      <c r="MXV18" s="493"/>
      <c r="MXW18" s="493"/>
      <c r="MXX18" s="493"/>
      <c r="MXY18" s="493"/>
      <c r="MXZ18" s="493"/>
      <c r="MYA18" s="493"/>
      <c r="MYB18" s="493"/>
      <c r="MYC18" s="493"/>
      <c r="MYD18" s="493"/>
      <c r="MYE18" s="493"/>
      <c r="MYF18" s="493"/>
      <c r="MYG18" s="493"/>
      <c r="MYH18" s="493"/>
      <c r="MYI18" s="493"/>
      <c r="MYJ18" s="493"/>
      <c r="MYK18" s="493"/>
      <c r="MYL18" s="493"/>
      <c r="MYM18" s="493"/>
      <c r="MYN18" s="493"/>
      <c r="MYO18" s="493"/>
      <c r="MYP18" s="493"/>
      <c r="MYQ18" s="493"/>
      <c r="MYR18" s="493"/>
      <c r="MYS18" s="493"/>
      <c r="MYT18" s="493"/>
      <c r="MYU18" s="493"/>
      <c r="MYV18" s="493"/>
      <c r="MYW18" s="493"/>
      <c r="MYX18" s="493"/>
      <c r="MYY18" s="493"/>
      <c r="MYZ18" s="493"/>
      <c r="MZA18" s="493"/>
      <c r="MZB18" s="493"/>
      <c r="MZC18" s="493"/>
      <c r="MZD18" s="493"/>
      <c r="MZE18" s="493"/>
      <c r="MZF18" s="493"/>
      <c r="MZG18" s="493"/>
      <c r="MZH18" s="493"/>
      <c r="MZI18" s="493"/>
      <c r="MZJ18" s="493"/>
      <c r="MZK18" s="493"/>
      <c r="MZL18" s="493"/>
      <c r="MZM18" s="493"/>
      <c r="MZN18" s="493"/>
      <c r="MZO18" s="493"/>
      <c r="MZP18" s="493"/>
      <c r="MZQ18" s="493"/>
      <c r="MZR18" s="493"/>
      <c r="MZS18" s="493"/>
      <c r="MZT18" s="493"/>
      <c r="MZU18" s="493"/>
      <c r="MZV18" s="493"/>
      <c r="MZW18" s="493"/>
      <c r="MZX18" s="493"/>
      <c r="MZY18" s="493"/>
      <c r="MZZ18" s="493"/>
      <c r="NAA18" s="493"/>
      <c r="NAB18" s="493"/>
      <c r="NAC18" s="493"/>
      <c r="NAD18" s="493"/>
      <c r="NAE18" s="493"/>
      <c r="NAF18" s="493"/>
      <c r="NAG18" s="493"/>
      <c r="NAH18" s="493"/>
      <c r="NAI18" s="493"/>
      <c r="NAJ18" s="493"/>
      <c r="NAK18" s="493"/>
      <c r="NAL18" s="493"/>
      <c r="NAM18" s="493"/>
      <c r="NAN18" s="493"/>
      <c r="NAO18" s="493"/>
      <c r="NAP18" s="493"/>
      <c r="NAQ18" s="493"/>
      <c r="NAR18" s="493"/>
      <c r="NAS18" s="493"/>
      <c r="NAT18" s="493"/>
      <c r="NAU18" s="493"/>
      <c r="NAV18" s="493"/>
      <c r="NAW18" s="493"/>
      <c r="NAX18" s="493"/>
      <c r="NAY18" s="493"/>
      <c r="NAZ18" s="493"/>
      <c r="NBA18" s="493"/>
      <c r="NBB18" s="493"/>
      <c r="NBC18" s="493"/>
      <c r="NBD18" s="493"/>
      <c r="NBE18" s="493"/>
      <c r="NBF18" s="493"/>
      <c r="NBG18" s="493"/>
      <c r="NBH18" s="493"/>
      <c r="NBI18" s="493"/>
      <c r="NBJ18" s="493"/>
      <c r="NBK18" s="493"/>
      <c r="NBL18" s="493"/>
      <c r="NBM18" s="493"/>
      <c r="NBN18" s="493"/>
      <c r="NBO18" s="493"/>
      <c r="NBP18" s="493"/>
      <c r="NBQ18" s="493"/>
      <c r="NBR18" s="493"/>
      <c r="NBS18" s="493"/>
      <c r="NBT18" s="493"/>
      <c r="NBU18" s="493"/>
      <c r="NBV18" s="493"/>
      <c r="NBW18" s="493"/>
      <c r="NBX18" s="493"/>
      <c r="NBY18" s="493"/>
      <c r="NBZ18" s="493"/>
      <c r="NCA18" s="493"/>
      <c r="NCB18" s="493"/>
      <c r="NCC18" s="493"/>
      <c r="NCD18" s="493"/>
      <c r="NCE18" s="493"/>
      <c r="NCF18" s="493"/>
      <c r="NCG18" s="493"/>
      <c r="NCH18" s="493"/>
      <c r="NCI18" s="493"/>
      <c r="NCJ18" s="493"/>
      <c r="NCK18" s="493"/>
      <c r="NCL18" s="493"/>
      <c r="NCM18" s="493"/>
      <c r="NCN18" s="493"/>
      <c r="NCO18" s="493"/>
      <c r="NCP18" s="493"/>
      <c r="NCQ18" s="493"/>
      <c r="NCR18" s="493"/>
      <c r="NCS18" s="493"/>
      <c r="NCT18" s="493"/>
      <c r="NCU18" s="493"/>
      <c r="NCV18" s="493"/>
      <c r="NCW18" s="493"/>
      <c r="NCX18" s="493"/>
      <c r="NCY18" s="493"/>
      <c r="NCZ18" s="493"/>
      <c r="NDA18" s="493"/>
      <c r="NDB18" s="493"/>
      <c r="NDC18" s="493"/>
      <c r="NDD18" s="493"/>
      <c r="NDE18" s="493"/>
      <c r="NDF18" s="493"/>
      <c r="NDG18" s="493"/>
      <c r="NDH18" s="493"/>
      <c r="NDI18" s="493"/>
      <c r="NDJ18" s="493"/>
      <c r="NDK18" s="493"/>
      <c r="NDL18" s="493"/>
      <c r="NDM18" s="493"/>
      <c r="NDN18" s="493"/>
      <c r="NDO18" s="493"/>
      <c r="NDP18" s="493"/>
      <c r="NDQ18" s="493"/>
      <c r="NDR18" s="493"/>
      <c r="NDS18" s="493"/>
      <c r="NDT18" s="493"/>
      <c r="NDU18" s="493"/>
      <c r="NDV18" s="493"/>
      <c r="NDW18" s="493"/>
      <c r="NDX18" s="493"/>
      <c r="NDY18" s="493"/>
      <c r="NDZ18" s="493"/>
      <c r="NEA18" s="493"/>
      <c r="NEB18" s="493"/>
      <c r="NEC18" s="493"/>
      <c r="NED18" s="493"/>
      <c r="NEE18" s="493"/>
      <c r="NEF18" s="493"/>
      <c r="NEG18" s="493"/>
      <c r="NEH18" s="493"/>
      <c r="NEI18" s="493"/>
      <c r="NEJ18" s="493"/>
      <c r="NEK18" s="493"/>
      <c r="NEL18" s="493"/>
      <c r="NEM18" s="493"/>
      <c r="NEN18" s="493"/>
      <c r="NEO18" s="493"/>
      <c r="NEP18" s="493"/>
      <c r="NEQ18" s="493"/>
      <c r="NER18" s="493"/>
      <c r="NES18" s="493"/>
      <c r="NET18" s="493"/>
      <c r="NEU18" s="493"/>
      <c r="NEV18" s="493"/>
      <c r="NEW18" s="493"/>
      <c r="NEX18" s="493"/>
      <c r="NEY18" s="493"/>
      <c r="NEZ18" s="493"/>
      <c r="NFA18" s="493"/>
      <c r="NFB18" s="493"/>
      <c r="NFC18" s="493"/>
      <c r="NFD18" s="493"/>
      <c r="NFE18" s="493"/>
      <c r="NFF18" s="493"/>
      <c r="NFG18" s="493"/>
      <c r="NFH18" s="493"/>
      <c r="NFI18" s="493"/>
      <c r="NFJ18" s="493"/>
      <c r="NFK18" s="493"/>
      <c r="NFL18" s="493"/>
      <c r="NFM18" s="493"/>
      <c r="NFN18" s="493"/>
      <c r="NFO18" s="493"/>
      <c r="NFP18" s="493"/>
      <c r="NFQ18" s="493"/>
      <c r="NFR18" s="493"/>
      <c r="NFS18" s="493"/>
      <c r="NFT18" s="493"/>
      <c r="NFU18" s="493"/>
      <c r="NFV18" s="493"/>
      <c r="NFW18" s="493"/>
      <c r="NFX18" s="493"/>
      <c r="NFY18" s="493"/>
      <c r="NFZ18" s="493"/>
      <c r="NGA18" s="493"/>
      <c r="NGB18" s="493"/>
      <c r="NGC18" s="493"/>
      <c r="NGD18" s="493"/>
      <c r="NGE18" s="493"/>
      <c r="NGF18" s="493"/>
      <c r="NGG18" s="493"/>
      <c r="NGH18" s="493"/>
      <c r="NGI18" s="493"/>
      <c r="NGJ18" s="493"/>
      <c r="NGK18" s="493"/>
      <c r="NGL18" s="493"/>
      <c r="NGM18" s="493"/>
      <c r="NGN18" s="493"/>
      <c r="NGO18" s="493"/>
      <c r="NGP18" s="493"/>
      <c r="NGQ18" s="493"/>
      <c r="NGR18" s="493"/>
      <c r="NGS18" s="493"/>
      <c r="NGT18" s="493"/>
      <c r="NGU18" s="493"/>
      <c r="NGV18" s="493"/>
      <c r="NGW18" s="493"/>
      <c r="NGX18" s="493"/>
      <c r="NGY18" s="493"/>
      <c r="NGZ18" s="493"/>
      <c r="NHA18" s="493"/>
      <c r="NHB18" s="493"/>
      <c r="NHC18" s="493"/>
      <c r="NHD18" s="493"/>
      <c r="NHE18" s="493"/>
      <c r="NHF18" s="493"/>
      <c r="NHG18" s="493"/>
      <c r="NHH18" s="493"/>
      <c r="NHI18" s="493"/>
      <c r="NHJ18" s="493"/>
      <c r="NHK18" s="493"/>
      <c r="NHL18" s="493"/>
      <c r="NHM18" s="493"/>
      <c r="NHN18" s="493"/>
      <c r="NHO18" s="493"/>
      <c r="NHP18" s="493"/>
      <c r="NHQ18" s="493"/>
      <c r="NHR18" s="493"/>
      <c r="NHS18" s="493"/>
      <c r="NHT18" s="493"/>
      <c r="NHU18" s="493"/>
      <c r="NHV18" s="493"/>
      <c r="NHW18" s="493"/>
      <c r="NHX18" s="493"/>
      <c r="NHY18" s="493"/>
      <c r="NHZ18" s="493"/>
      <c r="NIA18" s="493"/>
      <c r="NIB18" s="493"/>
      <c r="NIC18" s="493"/>
      <c r="NID18" s="493"/>
      <c r="NIE18" s="493"/>
      <c r="NIF18" s="493"/>
      <c r="NIG18" s="493"/>
      <c r="NIH18" s="493"/>
      <c r="NII18" s="493"/>
      <c r="NIJ18" s="493"/>
      <c r="NIK18" s="493"/>
      <c r="NIL18" s="493"/>
      <c r="NIM18" s="493"/>
      <c r="NIN18" s="493"/>
      <c r="NIO18" s="493"/>
      <c r="NIP18" s="493"/>
      <c r="NIQ18" s="493"/>
      <c r="NIR18" s="493"/>
      <c r="NIS18" s="493"/>
      <c r="NIT18" s="493"/>
      <c r="NIU18" s="493"/>
      <c r="NIV18" s="493"/>
      <c r="NIW18" s="493"/>
      <c r="NIX18" s="493"/>
      <c r="NIY18" s="493"/>
      <c r="NIZ18" s="493"/>
      <c r="NJA18" s="493"/>
      <c r="NJB18" s="493"/>
      <c r="NJC18" s="493"/>
      <c r="NJD18" s="493"/>
      <c r="NJE18" s="493"/>
      <c r="NJF18" s="493"/>
      <c r="NJG18" s="493"/>
      <c r="NJH18" s="493"/>
      <c r="NJI18" s="493"/>
      <c r="NJJ18" s="493"/>
      <c r="NJK18" s="493"/>
      <c r="NJL18" s="493"/>
      <c r="NJM18" s="493"/>
      <c r="NJN18" s="493"/>
      <c r="NJO18" s="493"/>
      <c r="NJP18" s="493"/>
      <c r="NJQ18" s="493"/>
      <c r="NJR18" s="493"/>
      <c r="NJS18" s="493"/>
      <c r="NJT18" s="493"/>
      <c r="NJU18" s="493"/>
      <c r="NJV18" s="493"/>
      <c r="NJW18" s="493"/>
      <c r="NJX18" s="493"/>
      <c r="NJY18" s="493"/>
      <c r="NJZ18" s="493"/>
      <c r="NKA18" s="493"/>
      <c r="NKB18" s="493"/>
      <c r="NKC18" s="493"/>
      <c r="NKD18" s="493"/>
      <c r="NKE18" s="493"/>
      <c r="NKF18" s="493"/>
      <c r="NKG18" s="493"/>
      <c r="NKH18" s="493"/>
      <c r="NKI18" s="493"/>
      <c r="NKJ18" s="493"/>
      <c r="NKK18" s="493"/>
      <c r="NKL18" s="493"/>
      <c r="NKM18" s="493"/>
      <c r="NKN18" s="493"/>
      <c r="NKO18" s="493"/>
      <c r="NKP18" s="493"/>
      <c r="NKQ18" s="493"/>
      <c r="NKR18" s="493"/>
      <c r="NKS18" s="493"/>
      <c r="NKT18" s="493"/>
      <c r="NKU18" s="493"/>
      <c r="NKV18" s="493"/>
      <c r="NKW18" s="493"/>
      <c r="NKX18" s="493"/>
      <c r="NKY18" s="493"/>
      <c r="NKZ18" s="493"/>
      <c r="NLA18" s="493"/>
      <c r="NLB18" s="493"/>
      <c r="NLC18" s="493"/>
      <c r="NLD18" s="493"/>
      <c r="NLE18" s="493"/>
      <c r="NLF18" s="493"/>
      <c r="NLG18" s="493"/>
      <c r="NLH18" s="493"/>
      <c r="NLI18" s="493"/>
      <c r="NLJ18" s="493"/>
      <c r="NLK18" s="493"/>
      <c r="NLL18" s="493"/>
      <c r="NLM18" s="493"/>
      <c r="NLN18" s="493"/>
      <c r="NLO18" s="493"/>
      <c r="NLP18" s="493"/>
      <c r="NLQ18" s="493"/>
      <c r="NLR18" s="493"/>
      <c r="NLS18" s="493"/>
      <c r="NLT18" s="493"/>
      <c r="NLU18" s="493"/>
      <c r="NLV18" s="493"/>
      <c r="NLW18" s="493"/>
      <c r="NLX18" s="493"/>
      <c r="NLY18" s="493"/>
      <c r="NLZ18" s="493"/>
      <c r="NMA18" s="493"/>
      <c r="NMB18" s="493"/>
      <c r="NMC18" s="493"/>
      <c r="NMD18" s="493"/>
      <c r="NME18" s="493"/>
      <c r="NMF18" s="493"/>
      <c r="NMG18" s="493"/>
      <c r="NMH18" s="493"/>
      <c r="NMI18" s="493"/>
      <c r="NMJ18" s="493"/>
      <c r="NMK18" s="493"/>
      <c r="NML18" s="493"/>
      <c r="NMM18" s="493"/>
      <c r="NMN18" s="493"/>
      <c r="NMO18" s="493"/>
      <c r="NMP18" s="493"/>
      <c r="NMQ18" s="493"/>
      <c r="NMR18" s="493"/>
      <c r="NMS18" s="493"/>
      <c r="NMT18" s="493"/>
      <c r="NMU18" s="493"/>
      <c r="NMV18" s="493"/>
      <c r="NMW18" s="493"/>
      <c r="NMX18" s="493"/>
      <c r="NMY18" s="493"/>
      <c r="NMZ18" s="493"/>
      <c r="NNA18" s="493"/>
      <c r="NNB18" s="493"/>
      <c r="NNC18" s="493"/>
      <c r="NND18" s="493"/>
      <c r="NNE18" s="493"/>
      <c r="NNF18" s="493"/>
      <c r="NNG18" s="493"/>
      <c r="NNH18" s="493"/>
      <c r="NNI18" s="493"/>
      <c r="NNJ18" s="493"/>
      <c r="NNK18" s="493"/>
      <c r="NNL18" s="493"/>
      <c r="NNM18" s="493"/>
      <c r="NNN18" s="493"/>
      <c r="NNO18" s="493"/>
      <c r="NNP18" s="493"/>
      <c r="NNQ18" s="493"/>
      <c r="NNR18" s="493"/>
      <c r="NNS18" s="493"/>
      <c r="NNT18" s="493"/>
      <c r="NNU18" s="493"/>
      <c r="NNV18" s="493"/>
      <c r="NNW18" s="493"/>
      <c r="NNX18" s="493"/>
      <c r="NNY18" s="493"/>
      <c r="NNZ18" s="493"/>
      <c r="NOA18" s="493"/>
      <c r="NOB18" s="493"/>
      <c r="NOC18" s="493"/>
      <c r="NOD18" s="493"/>
      <c r="NOE18" s="493"/>
      <c r="NOF18" s="493"/>
      <c r="NOG18" s="493"/>
      <c r="NOH18" s="493"/>
      <c r="NOI18" s="493"/>
      <c r="NOJ18" s="493"/>
      <c r="NOK18" s="493"/>
      <c r="NOL18" s="493"/>
      <c r="NOM18" s="493"/>
      <c r="NON18" s="493"/>
      <c r="NOO18" s="493"/>
      <c r="NOP18" s="493"/>
      <c r="NOQ18" s="493"/>
      <c r="NOR18" s="493"/>
      <c r="NOS18" s="493"/>
      <c r="NOT18" s="493"/>
      <c r="NOU18" s="493"/>
      <c r="NOV18" s="493"/>
      <c r="NOW18" s="493"/>
      <c r="NOX18" s="493"/>
      <c r="NOY18" s="493"/>
      <c r="NOZ18" s="493"/>
      <c r="NPA18" s="493"/>
      <c r="NPB18" s="493"/>
      <c r="NPC18" s="493"/>
      <c r="NPD18" s="493"/>
      <c r="NPE18" s="493"/>
      <c r="NPF18" s="493"/>
      <c r="NPG18" s="493"/>
      <c r="NPH18" s="493"/>
      <c r="NPI18" s="493"/>
      <c r="NPJ18" s="493"/>
      <c r="NPK18" s="493"/>
      <c r="NPL18" s="493"/>
      <c r="NPM18" s="493"/>
      <c r="NPN18" s="493"/>
      <c r="NPO18" s="493"/>
      <c r="NPP18" s="493"/>
      <c r="NPQ18" s="493"/>
      <c r="NPR18" s="493"/>
      <c r="NPS18" s="493"/>
      <c r="NPT18" s="493"/>
      <c r="NPU18" s="493"/>
      <c r="NPV18" s="493"/>
      <c r="NPW18" s="493"/>
      <c r="NPX18" s="493"/>
      <c r="NPY18" s="493"/>
      <c r="NPZ18" s="493"/>
      <c r="NQA18" s="493"/>
      <c r="NQB18" s="493"/>
      <c r="NQC18" s="493"/>
      <c r="NQD18" s="493"/>
      <c r="NQE18" s="493"/>
      <c r="NQF18" s="493"/>
      <c r="NQG18" s="493"/>
      <c r="NQH18" s="493"/>
      <c r="NQI18" s="493"/>
      <c r="NQJ18" s="493"/>
      <c r="NQK18" s="493"/>
      <c r="NQL18" s="493"/>
      <c r="NQM18" s="493"/>
      <c r="NQN18" s="493"/>
      <c r="NQO18" s="493"/>
      <c r="NQP18" s="493"/>
      <c r="NQQ18" s="493"/>
      <c r="NQR18" s="493"/>
      <c r="NQS18" s="493"/>
      <c r="NQT18" s="493"/>
      <c r="NQU18" s="493"/>
      <c r="NQV18" s="493"/>
      <c r="NQW18" s="493"/>
      <c r="NQX18" s="493"/>
      <c r="NQY18" s="493"/>
      <c r="NQZ18" s="493"/>
      <c r="NRA18" s="493"/>
      <c r="NRB18" s="493"/>
      <c r="NRC18" s="493"/>
      <c r="NRD18" s="493"/>
      <c r="NRE18" s="493"/>
      <c r="NRF18" s="493"/>
      <c r="NRG18" s="493"/>
      <c r="NRH18" s="493"/>
      <c r="NRI18" s="493"/>
      <c r="NRJ18" s="493"/>
      <c r="NRK18" s="493"/>
      <c r="NRL18" s="493"/>
      <c r="NRM18" s="493"/>
      <c r="NRN18" s="493"/>
      <c r="NRO18" s="493"/>
      <c r="NRP18" s="493"/>
      <c r="NRQ18" s="493"/>
      <c r="NRR18" s="493"/>
      <c r="NRS18" s="493"/>
      <c r="NRT18" s="493"/>
      <c r="NRU18" s="493"/>
      <c r="NRV18" s="493"/>
      <c r="NRW18" s="493"/>
      <c r="NRX18" s="493"/>
      <c r="NRY18" s="493"/>
      <c r="NRZ18" s="493"/>
      <c r="NSA18" s="493"/>
      <c r="NSB18" s="493"/>
      <c r="NSC18" s="493"/>
      <c r="NSD18" s="493"/>
      <c r="NSE18" s="493"/>
      <c r="NSF18" s="493"/>
      <c r="NSG18" s="493"/>
      <c r="NSH18" s="493"/>
      <c r="NSI18" s="493"/>
      <c r="NSJ18" s="493"/>
      <c r="NSK18" s="493"/>
      <c r="NSL18" s="493"/>
      <c r="NSM18" s="493"/>
      <c r="NSN18" s="493"/>
      <c r="NSO18" s="493"/>
      <c r="NSP18" s="493"/>
      <c r="NSQ18" s="493"/>
      <c r="NSR18" s="493"/>
      <c r="NSS18" s="493"/>
      <c r="NST18" s="493"/>
      <c r="NSU18" s="493"/>
      <c r="NSV18" s="493"/>
      <c r="NSW18" s="493"/>
      <c r="NSX18" s="493"/>
      <c r="NSY18" s="493"/>
      <c r="NSZ18" s="493"/>
      <c r="NTA18" s="493"/>
      <c r="NTB18" s="493"/>
      <c r="NTC18" s="493"/>
      <c r="NTD18" s="493"/>
      <c r="NTE18" s="493"/>
      <c r="NTF18" s="493"/>
      <c r="NTG18" s="493"/>
      <c r="NTH18" s="493"/>
      <c r="NTI18" s="493"/>
      <c r="NTJ18" s="493"/>
      <c r="NTK18" s="493"/>
      <c r="NTL18" s="493"/>
      <c r="NTM18" s="493"/>
      <c r="NTN18" s="493"/>
      <c r="NTO18" s="493"/>
      <c r="NTP18" s="493"/>
      <c r="NTQ18" s="493"/>
      <c r="NTR18" s="493"/>
      <c r="NTS18" s="493"/>
      <c r="NTT18" s="493"/>
      <c r="NTU18" s="493"/>
      <c r="NTV18" s="493"/>
      <c r="NTW18" s="493"/>
      <c r="NTX18" s="493"/>
      <c r="NTY18" s="493"/>
      <c r="NTZ18" s="493"/>
      <c r="NUA18" s="493"/>
      <c r="NUB18" s="493"/>
      <c r="NUC18" s="493"/>
      <c r="NUD18" s="493"/>
      <c r="NUE18" s="493"/>
      <c r="NUF18" s="493"/>
      <c r="NUG18" s="493"/>
      <c r="NUH18" s="493"/>
      <c r="NUI18" s="493"/>
      <c r="NUJ18" s="493"/>
      <c r="NUK18" s="493"/>
      <c r="NUL18" s="493"/>
      <c r="NUM18" s="493"/>
      <c r="NUN18" s="493"/>
      <c r="NUO18" s="493"/>
      <c r="NUP18" s="493"/>
      <c r="NUQ18" s="493"/>
      <c r="NUR18" s="493"/>
      <c r="NUS18" s="493"/>
      <c r="NUT18" s="493"/>
      <c r="NUU18" s="493"/>
      <c r="NUV18" s="493"/>
      <c r="NUW18" s="493"/>
      <c r="NUX18" s="493"/>
      <c r="NUY18" s="493"/>
      <c r="NUZ18" s="493"/>
      <c r="NVA18" s="493"/>
      <c r="NVB18" s="493"/>
      <c r="NVC18" s="493"/>
      <c r="NVD18" s="493"/>
      <c r="NVE18" s="493"/>
      <c r="NVF18" s="493"/>
      <c r="NVG18" s="493"/>
      <c r="NVH18" s="493"/>
      <c r="NVI18" s="493"/>
      <c r="NVJ18" s="493"/>
      <c r="NVK18" s="493"/>
      <c r="NVL18" s="493"/>
      <c r="NVM18" s="493"/>
      <c r="NVN18" s="493"/>
      <c r="NVO18" s="493"/>
      <c r="NVP18" s="493"/>
      <c r="NVQ18" s="493"/>
      <c r="NVR18" s="493"/>
      <c r="NVS18" s="493"/>
      <c r="NVT18" s="493"/>
      <c r="NVU18" s="493"/>
      <c r="NVV18" s="493"/>
      <c r="NVW18" s="493"/>
      <c r="NVX18" s="493"/>
      <c r="NVY18" s="493"/>
      <c r="NVZ18" s="493"/>
      <c r="NWA18" s="493"/>
      <c r="NWB18" s="493"/>
      <c r="NWC18" s="493"/>
      <c r="NWD18" s="493"/>
      <c r="NWE18" s="493"/>
      <c r="NWF18" s="493"/>
      <c r="NWG18" s="493"/>
      <c r="NWH18" s="493"/>
      <c r="NWI18" s="493"/>
      <c r="NWJ18" s="493"/>
      <c r="NWK18" s="493"/>
      <c r="NWL18" s="493"/>
      <c r="NWM18" s="493"/>
      <c r="NWN18" s="493"/>
      <c r="NWO18" s="493"/>
      <c r="NWP18" s="493"/>
      <c r="NWQ18" s="493"/>
      <c r="NWR18" s="493"/>
      <c r="NWS18" s="493"/>
      <c r="NWT18" s="493"/>
      <c r="NWU18" s="493"/>
      <c r="NWV18" s="493"/>
      <c r="NWW18" s="493"/>
      <c r="NWX18" s="493"/>
      <c r="NWY18" s="493"/>
      <c r="NWZ18" s="493"/>
      <c r="NXA18" s="493"/>
      <c r="NXB18" s="493"/>
      <c r="NXC18" s="493"/>
      <c r="NXD18" s="493"/>
      <c r="NXE18" s="493"/>
      <c r="NXF18" s="493"/>
      <c r="NXG18" s="493"/>
      <c r="NXH18" s="493"/>
      <c r="NXI18" s="493"/>
      <c r="NXJ18" s="493"/>
      <c r="NXK18" s="493"/>
      <c r="NXL18" s="493"/>
      <c r="NXM18" s="493"/>
      <c r="NXN18" s="493"/>
      <c r="NXO18" s="493"/>
      <c r="NXP18" s="493"/>
      <c r="NXQ18" s="493"/>
      <c r="NXR18" s="493"/>
      <c r="NXS18" s="493"/>
      <c r="NXT18" s="493"/>
      <c r="NXU18" s="493"/>
      <c r="NXV18" s="493"/>
      <c r="NXW18" s="493"/>
      <c r="NXX18" s="493"/>
      <c r="NXY18" s="493"/>
      <c r="NXZ18" s="493"/>
      <c r="NYA18" s="493"/>
      <c r="NYB18" s="493"/>
      <c r="NYC18" s="493"/>
      <c r="NYD18" s="493"/>
      <c r="NYE18" s="493"/>
      <c r="NYF18" s="493"/>
      <c r="NYG18" s="493"/>
      <c r="NYH18" s="493"/>
      <c r="NYI18" s="493"/>
      <c r="NYJ18" s="493"/>
      <c r="NYK18" s="493"/>
      <c r="NYL18" s="493"/>
      <c r="NYM18" s="493"/>
      <c r="NYN18" s="493"/>
      <c r="NYO18" s="493"/>
      <c r="NYP18" s="493"/>
      <c r="NYQ18" s="493"/>
      <c r="NYR18" s="493"/>
      <c r="NYS18" s="493"/>
      <c r="NYT18" s="493"/>
      <c r="NYU18" s="493"/>
      <c r="NYV18" s="493"/>
      <c r="NYW18" s="493"/>
      <c r="NYX18" s="493"/>
      <c r="NYY18" s="493"/>
      <c r="NYZ18" s="493"/>
      <c r="NZA18" s="493"/>
      <c r="NZB18" s="493"/>
      <c r="NZC18" s="493"/>
      <c r="NZD18" s="493"/>
      <c r="NZE18" s="493"/>
      <c r="NZF18" s="493"/>
      <c r="NZG18" s="493"/>
      <c r="NZH18" s="493"/>
      <c r="NZI18" s="493"/>
      <c r="NZJ18" s="493"/>
      <c r="NZK18" s="493"/>
      <c r="NZL18" s="493"/>
      <c r="NZM18" s="493"/>
      <c r="NZN18" s="493"/>
      <c r="NZO18" s="493"/>
      <c r="NZP18" s="493"/>
      <c r="NZQ18" s="493"/>
      <c r="NZR18" s="493"/>
      <c r="NZS18" s="493"/>
      <c r="NZT18" s="493"/>
      <c r="NZU18" s="493"/>
      <c r="NZV18" s="493"/>
      <c r="NZW18" s="493"/>
      <c r="NZX18" s="493"/>
      <c r="NZY18" s="493"/>
      <c r="NZZ18" s="493"/>
      <c r="OAA18" s="493"/>
      <c r="OAB18" s="493"/>
      <c r="OAC18" s="493"/>
      <c r="OAD18" s="493"/>
      <c r="OAE18" s="493"/>
      <c r="OAF18" s="493"/>
      <c r="OAG18" s="493"/>
      <c r="OAH18" s="493"/>
      <c r="OAI18" s="493"/>
      <c r="OAJ18" s="493"/>
      <c r="OAK18" s="493"/>
      <c r="OAL18" s="493"/>
      <c r="OAM18" s="493"/>
      <c r="OAN18" s="493"/>
      <c r="OAO18" s="493"/>
      <c r="OAP18" s="493"/>
      <c r="OAQ18" s="493"/>
      <c r="OAR18" s="493"/>
      <c r="OAS18" s="493"/>
      <c r="OAT18" s="493"/>
      <c r="OAU18" s="493"/>
      <c r="OAV18" s="493"/>
      <c r="OAW18" s="493"/>
      <c r="OAX18" s="493"/>
      <c r="OAY18" s="493"/>
      <c r="OAZ18" s="493"/>
      <c r="OBA18" s="493"/>
      <c r="OBB18" s="493"/>
      <c r="OBC18" s="493"/>
      <c r="OBD18" s="493"/>
      <c r="OBE18" s="493"/>
      <c r="OBF18" s="493"/>
      <c r="OBG18" s="493"/>
      <c r="OBH18" s="493"/>
      <c r="OBI18" s="493"/>
      <c r="OBJ18" s="493"/>
      <c r="OBK18" s="493"/>
      <c r="OBL18" s="493"/>
      <c r="OBM18" s="493"/>
      <c r="OBN18" s="493"/>
      <c r="OBO18" s="493"/>
      <c r="OBP18" s="493"/>
      <c r="OBQ18" s="493"/>
      <c r="OBR18" s="493"/>
      <c r="OBS18" s="493"/>
      <c r="OBT18" s="493"/>
      <c r="OBU18" s="493"/>
      <c r="OBV18" s="493"/>
      <c r="OBW18" s="493"/>
      <c r="OBX18" s="493"/>
      <c r="OBY18" s="493"/>
      <c r="OBZ18" s="493"/>
      <c r="OCA18" s="493"/>
      <c r="OCB18" s="493"/>
      <c r="OCC18" s="493"/>
      <c r="OCD18" s="493"/>
      <c r="OCE18" s="493"/>
      <c r="OCF18" s="493"/>
      <c r="OCG18" s="493"/>
      <c r="OCH18" s="493"/>
      <c r="OCI18" s="493"/>
      <c r="OCJ18" s="493"/>
      <c r="OCK18" s="493"/>
      <c r="OCL18" s="493"/>
      <c r="OCM18" s="493"/>
      <c r="OCN18" s="493"/>
      <c r="OCO18" s="493"/>
      <c r="OCP18" s="493"/>
      <c r="OCQ18" s="493"/>
      <c r="OCR18" s="493"/>
      <c r="OCS18" s="493"/>
      <c r="OCT18" s="493"/>
      <c r="OCU18" s="493"/>
      <c r="OCV18" s="493"/>
      <c r="OCW18" s="493"/>
      <c r="OCX18" s="493"/>
      <c r="OCY18" s="493"/>
      <c r="OCZ18" s="493"/>
      <c r="ODA18" s="493"/>
      <c r="ODB18" s="493"/>
      <c r="ODC18" s="493"/>
      <c r="ODD18" s="493"/>
      <c r="ODE18" s="493"/>
      <c r="ODF18" s="493"/>
      <c r="ODG18" s="493"/>
      <c r="ODH18" s="493"/>
      <c r="ODI18" s="493"/>
      <c r="ODJ18" s="493"/>
      <c r="ODK18" s="493"/>
      <c r="ODL18" s="493"/>
      <c r="ODM18" s="493"/>
      <c r="ODN18" s="493"/>
      <c r="ODO18" s="493"/>
      <c r="ODP18" s="493"/>
      <c r="ODQ18" s="493"/>
      <c r="ODR18" s="493"/>
      <c r="ODS18" s="493"/>
      <c r="ODT18" s="493"/>
      <c r="ODU18" s="493"/>
      <c r="ODV18" s="493"/>
      <c r="ODW18" s="493"/>
      <c r="ODX18" s="493"/>
      <c r="ODY18" s="493"/>
      <c r="ODZ18" s="493"/>
      <c r="OEA18" s="493"/>
      <c r="OEB18" s="493"/>
      <c r="OEC18" s="493"/>
      <c r="OED18" s="493"/>
      <c r="OEE18" s="493"/>
      <c r="OEF18" s="493"/>
      <c r="OEG18" s="493"/>
      <c r="OEH18" s="493"/>
      <c r="OEI18" s="493"/>
      <c r="OEJ18" s="493"/>
      <c r="OEK18" s="493"/>
      <c r="OEL18" s="493"/>
      <c r="OEM18" s="493"/>
      <c r="OEN18" s="493"/>
      <c r="OEO18" s="493"/>
      <c r="OEP18" s="493"/>
      <c r="OEQ18" s="493"/>
      <c r="OER18" s="493"/>
      <c r="OES18" s="493"/>
      <c r="OET18" s="493"/>
      <c r="OEU18" s="493"/>
      <c r="OEV18" s="493"/>
      <c r="OEW18" s="493"/>
      <c r="OEX18" s="493"/>
      <c r="OEY18" s="493"/>
      <c r="OEZ18" s="493"/>
      <c r="OFA18" s="493"/>
      <c r="OFB18" s="493"/>
      <c r="OFC18" s="493"/>
      <c r="OFD18" s="493"/>
      <c r="OFE18" s="493"/>
      <c r="OFF18" s="493"/>
      <c r="OFG18" s="493"/>
      <c r="OFH18" s="493"/>
      <c r="OFI18" s="493"/>
      <c r="OFJ18" s="493"/>
      <c r="OFK18" s="493"/>
      <c r="OFL18" s="493"/>
      <c r="OFM18" s="493"/>
      <c r="OFN18" s="493"/>
      <c r="OFO18" s="493"/>
      <c r="OFP18" s="493"/>
      <c r="OFQ18" s="493"/>
      <c r="OFR18" s="493"/>
      <c r="OFS18" s="493"/>
      <c r="OFT18" s="493"/>
      <c r="OFU18" s="493"/>
      <c r="OFV18" s="493"/>
      <c r="OFW18" s="493"/>
      <c r="OFX18" s="493"/>
      <c r="OFY18" s="493"/>
      <c r="OFZ18" s="493"/>
      <c r="OGA18" s="493"/>
      <c r="OGB18" s="493"/>
      <c r="OGC18" s="493"/>
      <c r="OGD18" s="493"/>
      <c r="OGE18" s="493"/>
      <c r="OGF18" s="493"/>
      <c r="OGG18" s="493"/>
      <c r="OGH18" s="493"/>
      <c r="OGI18" s="493"/>
      <c r="OGJ18" s="493"/>
      <c r="OGK18" s="493"/>
      <c r="OGL18" s="493"/>
      <c r="OGM18" s="493"/>
      <c r="OGN18" s="493"/>
      <c r="OGO18" s="493"/>
      <c r="OGP18" s="493"/>
      <c r="OGQ18" s="493"/>
      <c r="OGR18" s="493"/>
      <c r="OGS18" s="493"/>
      <c r="OGT18" s="493"/>
      <c r="OGU18" s="493"/>
      <c r="OGV18" s="493"/>
      <c r="OGW18" s="493"/>
      <c r="OGX18" s="493"/>
      <c r="OGY18" s="493"/>
      <c r="OGZ18" s="493"/>
      <c r="OHA18" s="493"/>
      <c r="OHB18" s="493"/>
      <c r="OHC18" s="493"/>
      <c r="OHD18" s="493"/>
      <c r="OHE18" s="493"/>
      <c r="OHF18" s="493"/>
      <c r="OHG18" s="493"/>
      <c r="OHH18" s="493"/>
      <c r="OHI18" s="493"/>
      <c r="OHJ18" s="493"/>
      <c r="OHK18" s="493"/>
      <c r="OHL18" s="493"/>
      <c r="OHM18" s="493"/>
      <c r="OHN18" s="493"/>
      <c r="OHO18" s="493"/>
      <c r="OHP18" s="493"/>
      <c r="OHQ18" s="493"/>
      <c r="OHR18" s="493"/>
      <c r="OHS18" s="493"/>
      <c r="OHT18" s="493"/>
      <c r="OHU18" s="493"/>
      <c r="OHV18" s="493"/>
      <c r="OHW18" s="493"/>
      <c r="OHX18" s="493"/>
      <c r="OHY18" s="493"/>
      <c r="OHZ18" s="493"/>
      <c r="OIA18" s="493"/>
      <c r="OIB18" s="493"/>
      <c r="OIC18" s="493"/>
      <c r="OID18" s="493"/>
      <c r="OIE18" s="493"/>
      <c r="OIF18" s="493"/>
      <c r="OIG18" s="493"/>
      <c r="OIH18" s="493"/>
      <c r="OII18" s="493"/>
      <c r="OIJ18" s="493"/>
      <c r="OIK18" s="493"/>
      <c r="OIL18" s="493"/>
      <c r="OIM18" s="493"/>
      <c r="OIN18" s="493"/>
      <c r="OIO18" s="493"/>
      <c r="OIP18" s="493"/>
      <c r="OIQ18" s="493"/>
      <c r="OIR18" s="493"/>
      <c r="OIS18" s="493"/>
      <c r="OIT18" s="493"/>
      <c r="OIU18" s="493"/>
      <c r="OIV18" s="493"/>
      <c r="OIW18" s="493"/>
      <c r="OIX18" s="493"/>
      <c r="OIY18" s="493"/>
      <c r="OIZ18" s="493"/>
      <c r="OJA18" s="493"/>
      <c r="OJB18" s="493"/>
      <c r="OJC18" s="493"/>
      <c r="OJD18" s="493"/>
      <c r="OJE18" s="493"/>
      <c r="OJF18" s="493"/>
      <c r="OJG18" s="493"/>
      <c r="OJH18" s="493"/>
      <c r="OJI18" s="493"/>
      <c r="OJJ18" s="493"/>
      <c r="OJK18" s="493"/>
      <c r="OJL18" s="493"/>
      <c r="OJM18" s="493"/>
      <c r="OJN18" s="493"/>
      <c r="OJO18" s="493"/>
      <c r="OJP18" s="493"/>
      <c r="OJQ18" s="493"/>
      <c r="OJR18" s="493"/>
      <c r="OJS18" s="493"/>
      <c r="OJT18" s="493"/>
      <c r="OJU18" s="493"/>
      <c r="OJV18" s="493"/>
      <c r="OJW18" s="493"/>
      <c r="OJX18" s="493"/>
      <c r="OJY18" s="493"/>
      <c r="OJZ18" s="493"/>
      <c r="OKA18" s="493"/>
      <c r="OKB18" s="493"/>
      <c r="OKC18" s="493"/>
      <c r="OKD18" s="493"/>
      <c r="OKE18" s="493"/>
      <c r="OKF18" s="493"/>
      <c r="OKG18" s="493"/>
      <c r="OKH18" s="493"/>
      <c r="OKI18" s="493"/>
      <c r="OKJ18" s="493"/>
      <c r="OKK18" s="493"/>
      <c r="OKL18" s="493"/>
      <c r="OKM18" s="493"/>
      <c r="OKN18" s="493"/>
      <c r="OKO18" s="493"/>
      <c r="OKP18" s="493"/>
      <c r="OKQ18" s="493"/>
      <c r="OKR18" s="493"/>
      <c r="OKS18" s="493"/>
      <c r="OKT18" s="493"/>
      <c r="OKU18" s="493"/>
      <c r="OKV18" s="493"/>
      <c r="OKW18" s="493"/>
      <c r="OKX18" s="493"/>
      <c r="OKY18" s="493"/>
      <c r="OKZ18" s="493"/>
      <c r="OLA18" s="493"/>
      <c r="OLB18" s="493"/>
      <c r="OLC18" s="493"/>
      <c r="OLD18" s="493"/>
      <c r="OLE18" s="493"/>
      <c r="OLF18" s="493"/>
      <c r="OLG18" s="493"/>
      <c r="OLH18" s="493"/>
      <c r="OLI18" s="493"/>
      <c r="OLJ18" s="493"/>
      <c r="OLK18" s="493"/>
      <c r="OLL18" s="493"/>
      <c r="OLM18" s="493"/>
      <c r="OLN18" s="493"/>
      <c r="OLO18" s="493"/>
      <c r="OLP18" s="493"/>
      <c r="OLQ18" s="493"/>
      <c r="OLR18" s="493"/>
      <c r="OLS18" s="493"/>
      <c r="OLT18" s="493"/>
      <c r="OLU18" s="493"/>
      <c r="OLV18" s="493"/>
      <c r="OLW18" s="493"/>
      <c r="OLX18" s="493"/>
      <c r="OLY18" s="493"/>
      <c r="OLZ18" s="493"/>
      <c r="OMA18" s="493"/>
      <c r="OMB18" s="493"/>
      <c r="OMC18" s="493"/>
      <c r="OMD18" s="493"/>
      <c r="OME18" s="493"/>
      <c r="OMF18" s="493"/>
      <c r="OMG18" s="493"/>
      <c r="OMH18" s="493"/>
      <c r="OMI18" s="493"/>
      <c r="OMJ18" s="493"/>
      <c r="OMK18" s="493"/>
      <c r="OML18" s="493"/>
      <c r="OMM18" s="493"/>
      <c r="OMN18" s="493"/>
      <c r="OMO18" s="493"/>
      <c r="OMP18" s="493"/>
      <c r="OMQ18" s="493"/>
      <c r="OMR18" s="493"/>
      <c r="OMS18" s="493"/>
      <c r="OMT18" s="493"/>
      <c r="OMU18" s="493"/>
      <c r="OMV18" s="493"/>
      <c r="OMW18" s="493"/>
      <c r="OMX18" s="493"/>
      <c r="OMY18" s="493"/>
      <c r="OMZ18" s="493"/>
      <c r="ONA18" s="493"/>
      <c r="ONB18" s="493"/>
      <c r="ONC18" s="493"/>
      <c r="OND18" s="493"/>
      <c r="ONE18" s="493"/>
      <c r="ONF18" s="493"/>
      <c r="ONG18" s="493"/>
      <c r="ONH18" s="493"/>
      <c r="ONI18" s="493"/>
      <c r="ONJ18" s="493"/>
      <c r="ONK18" s="493"/>
      <c r="ONL18" s="493"/>
      <c r="ONM18" s="493"/>
      <c r="ONN18" s="493"/>
      <c r="ONO18" s="493"/>
      <c r="ONP18" s="493"/>
      <c r="ONQ18" s="493"/>
      <c r="ONR18" s="493"/>
      <c r="ONS18" s="493"/>
      <c r="ONT18" s="493"/>
      <c r="ONU18" s="493"/>
      <c r="ONV18" s="493"/>
      <c r="ONW18" s="493"/>
      <c r="ONX18" s="493"/>
      <c r="ONY18" s="493"/>
      <c r="ONZ18" s="493"/>
      <c r="OOA18" s="493"/>
      <c r="OOB18" s="493"/>
      <c r="OOC18" s="493"/>
      <c r="OOD18" s="493"/>
      <c r="OOE18" s="493"/>
      <c r="OOF18" s="493"/>
      <c r="OOG18" s="493"/>
      <c r="OOH18" s="493"/>
      <c r="OOI18" s="493"/>
      <c r="OOJ18" s="493"/>
      <c r="OOK18" s="493"/>
      <c r="OOL18" s="493"/>
      <c r="OOM18" s="493"/>
      <c r="OON18" s="493"/>
      <c r="OOO18" s="493"/>
      <c r="OOP18" s="493"/>
      <c r="OOQ18" s="493"/>
      <c r="OOR18" s="493"/>
      <c r="OOS18" s="493"/>
      <c r="OOT18" s="493"/>
      <c r="OOU18" s="493"/>
      <c r="OOV18" s="493"/>
      <c r="OOW18" s="493"/>
      <c r="OOX18" s="493"/>
      <c r="OOY18" s="493"/>
      <c r="OOZ18" s="493"/>
      <c r="OPA18" s="493"/>
      <c r="OPB18" s="493"/>
      <c r="OPC18" s="493"/>
      <c r="OPD18" s="493"/>
      <c r="OPE18" s="493"/>
      <c r="OPF18" s="493"/>
      <c r="OPG18" s="493"/>
      <c r="OPH18" s="493"/>
      <c r="OPI18" s="493"/>
      <c r="OPJ18" s="493"/>
      <c r="OPK18" s="493"/>
      <c r="OPL18" s="493"/>
      <c r="OPM18" s="493"/>
      <c r="OPN18" s="493"/>
      <c r="OPO18" s="493"/>
      <c r="OPP18" s="493"/>
      <c r="OPQ18" s="493"/>
      <c r="OPR18" s="493"/>
      <c r="OPS18" s="493"/>
      <c r="OPT18" s="493"/>
      <c r="OPU18" s="493"/>
      <c r="OPV18" s="493"/>
      <c r="OPW18" s="493"/>
      <c r="OPX18" s="493"/>
      <c r="OPY18" s="493"/>
      <c r="OPZ18" s="493"/>
      <c r="OQA18" s="493"/>
      <c r="OQB18" s="493"/>
      <c r="OQC18" s="493"/>
      <c r="OQD18" s="493"/>
      <c r="OQE18" s="493"/>
      <c r="OQF18" s="493"/>
      <c r="OQG18" s="493"/>
      <c r="OQH18" s="493"/>
      <c r="OQI18" s="493"/>
      <c r="OQJ18" s="493"/>
      <c r="OQK18" s="493"/>
      <c r="OQL18" s="493"/>
      <c r="OQM18" s="493"/>
      <c r="OQN18" s="493"/>
      <c r="OQO18" s="493"/>
      <c r="OQP18" s="493"/>
      <c r="OQQ18" s="493"/>
      <c r="OQR18" s="493"/>
      <c r="OQS18" s="493"/>
      <c r="OQT18" s="493"/>
      <c r="OQU18" s="493"/>
      <c r="OQV18" s="493"/>
      <c r="OQW18" s="493"/>
      <c r="OQX18" s="493"/>
      <c r="OQY18" s="493"/>
      <c r="OQZ18" s="493"/>
      <c r="ORA18" s="493"/>
      <c r="ORB18" s="493"/>
      <c r="ORC18" s="493"/>
      <c r="ORD18" s="493"/>
      <c r="ORE18" s="493"/>
      <c r="ORF18" s="493"/>
      <c r="ORG18" s="493"/>
      <c r="ORH18" s="493"/>
      <c r="ORI18" s="493"/>
      <c r="ORJ18" s="493"/>
      <c r="ORK18" s="493"/>
      <c r="ORL18" s="493"/>
      <c r="ORM18" s="493"/>
      <c r="ORN18" s="493"/>
      <c r="ORO18" s="493"/>
      <c r="ORP18" s="493"/>
      <c r="ORQ18" s="493"/>
      <c r="ORR18" s="493"/>
      <c r="ORS18" s="493"/>
      <c r="ORT18" s="493"/>
      <c r="ORU18" s="493"/>
      <c r="ORV18" s="493"/>
      <c r="ORW18" s="493"/>
      <c r="ORX18" s="493"/>
      <c r="ORY18" s="493"/>
      <c r="ORZ18" s="493"/>
      <c r="OSA18" s="493"/>
      <c r="OSB18" s="493"/>
      <c r="OSC18" s="493"/>
      <c r="OSD18" s="493"/>
      <c r="OSE18" s="493"/>
      <c r="OSF18" s="493"/>
      <c r="OSG18" s="493"/>
      <c r="OSH18" s="493"/>
      <c r="OSI18" s="493"/>
      <c r="OSJ18" s="493"/>
      <c r="OSK18" s="493"/>
      <c r="OSL18" s="493"/>
      <c r="OSM18" s="493"/>
      <c r="OSN18" s="493"/>
      <c r="OSO18" s="493"/>
      <c r="OSP18" s="493"/>
      <c r="OSQ18" s="493"/>
      <c r="OSR18" s="493"/>
      <c r="OSS18" s="493"/>
      <c r="OST18" s="493"/>
      <c r="OSU18" s="493"/>
      <c r="OSV18" s="493"/>
      <c r="OSW18" s="493"/>
      <c r="OSX18" s="493"/>
      <c r="OSY18" s="493"/>
      <c r="OSZ18" s="493"/>
      <c r="OTA18" s="493"/>
      <c r="OTB18" s="493"/>
      <c r="OTC18" s="493"/>
      <c r="OTD18" s="493"/>
      <c r="OTE18" s="493"/>
      <c r="OTF18" s="493"/>
      <c r="OTG18" s="493"/>
      <c r="OTH18" s="493"/>
      <c r="OTI18" s="493"/>
      <c r="OTJ18" s="493"/>
      <c r="OTK18" s="493"/>
      <c r="OTL18" s="493"/>
      <c r="OTM18" s="493"/>
      <c r="OTN18" s="493"/>
      <c r="OTO18" s="493"/>
      <c r="OTP18" s="493"/>
      <c r="OTQ18" s="493"/>
      <c r="OTR18" s="493"/>
      <c r="OTS18" s="493"/>
      <c r="OTT18" s="493"/>
      <c r="OTU18" s="493"/>
      <c r="OTV18" s="493"/>
      <c r="OTW18" s="493"/>
      <c r="OTX18" s="493"/>
      <c r="OTY18" s="493"/>
      <c r="OTZ18" s="493"/>
      <c r="OUA18" s="493"/>
      <c r="OUB18" s="493"/>
      <c r="OUC18" s="493"/>
      <c r="OUD18" s="493"/>
      <c r="OUE18" s="493"/>
      <c r="OUF18" s="493"/>
      <c r="OUG18" s="493"/>
      <c r="OUH18" s="493"/>
      <c r="OUI18" s="493"/>
      <c r="OUJ18" s="493"/>
      <c r="OUK18" s="493"/>
      <c r="OUL18" s="493"/>
      <c r="OUM18" s="493"/>
      <c r="OUN18" s="493"/>
      <c r="OUO18" s="493"/>
      <c r="OUP18" s="493"/>
      <c r="OUQ18" s="493"/>
      <c r="OUR18" s="493"/>
      <c r="OUS18" s="493"/>
      <c r="OUT18" s="493"/>
      <c r="OUU18" s="493"/>
      <c r="OUV18" s="493"/>
      <c r="OUW18" s="493"/>
      <c r="OUX18" s="493"/>
      <c r="OUY18" s="493"/>
      <c r="OUZ18" s="493"/>
      <c r="OVA18" s="493"/>
      <c r="OVB18" s="493"/>
      <c r="OVC18" s="493"/>
      <c r="OVD18" s="493"/>
      <c r="OVE18" s="493"/>
      <c r="OVF18" s="493"/>
      <c r="OVG18" s="493"/>
      <c r="OVH18" s="493"/>
      <c r="OVI18" s="493"/>
      <c r="OVJ18" s="493"/>
      <c r="OVK18" s="493"/>
      <c r="OVL18" s="493"/>
      <c r="OVM18" s="493"/>
      <c r="OVN18" s="493"/>
      <c r="OVO18" s="493"/>
      <c r="OVP18" s="493"/>
      <c r="OVQ18" s="493"/>
      <c r="OVR18" s="493"/>
      <c r="OVS18" s="493"/>
      <c r="OVT18" s="493"/>
      <c r="OVU18" s="493"/>
      <c r="OVV18" s="493"/>
      <c r="OVW18" s="493"/>
      <c r="OVX18" s="493"/>
      <c r="OVY18" s="493"/>
      <c r="OVZ18" s="493"/>
      <c r="OWA18" s="493"/>
      <c r="OWB18" s="493"/>
      <c r="OWC18" s="493"/>
      <c r="OWD18" s="493"/>
      <c r="OWE18" s="493"/>
      <c r="OWF18" s="493"/>
      <c r="OWG18" s="493"/>
      <c r="OWH18" s="493"/>
      <c r="OWI18" s="493"/>
      <c r="OWJ18" s="493"/>
      <c r="OWK18" s="493"/>
      <c r="OWL18" s="493"/>
      <c r="OWM18" s="493"/>
      <c r="OWN18" s="493"/>
      <c r="OWO18" s="493"/>
      <c r="OWP18" s="493"/>
      <c r="OWQ18" s="493"/>
      <c r="OWR18" s="493"/>
      <c r="OWS18" s="493"/>
      <c r="OWT18" s="493"/>
      <c r="OWU18" s="493"/>
      <c r="OWV18" s="493"/>
      <c r="OWW18" s="493"/>
      <c r="OWX18" s="493"/>
      <c r="OWY18" s="493"/>
      <c r="OWZ18" s="493"/>
      <c r="OXA18" s="493"/>
      <c r="OXB18" s="493"/>
      <c r="OXC18" s="493"/>
      <c r="OXD18" s="493"/>
      <c r="OXE18" s="493"/>
      <c r="OXF18" s="493"/>
      <c r="OXG18" s="493"/>
      <c r="OXH18" s="493"/>
      <c r="OXI18" s="493"/>
      <c r="OXJ18" s="493"/>
      <c r="OXK18" s="493"/>
      <c r="OXL18" s="493"/>
      <c r="OXM18" s="493"/>
      <c r="OXN18" s="493"/>
      <c r="OXO18" s="493"/>
      <c r="OXP18" s="493"/>
      <c r="OXQ18" s="493"/>
      <c r="OXR18" s="493"/>
      <c r="OXS18" s="493"/>
      <c r="OXT18" s="493"/>
      <c r="OXU18" s="493"/>
      <c r="OXV18" s="493"/>
      <c r="OXW18" s="493"/>
      <c r="OXX18" s="493"/>
      <c r="OXY18" s="493"/>
      <c r="OXZ18" s="493"/>
      <c r="OYA18" s="493"/>
      <c r="OYB18" s="493"/>
      <c r="OYC18" s="493"/>
      <c r="OYD18" s="493"/>
      <c r="OYE18" s="493"/>
      <c r="OYF18" s="493"/>
      <c r="OYG18" s="493"/>
      <c r="OYH18" s="493"/>
      <c r="OYI18" s="493"/>
      <c r="OYJ18" s="493"/>
      <c r="OYK18" s="493"/>
      <c r="OYL18" s="493"/>
      <c r="OYM18" s="493"/>
      <c r="OYN18" s="493"/>
      <c r="OYO18" s="493"/>
      <c r="OYP18" s="493"/>
      <c r="OYQ18" s="493"/>
      <c r="OYR18" s="493"/>
      <c r="OYS18" s="493"/>
      <c r="OYT18" s="493"/>
      <c r="OYU18" s="493"/>
      <c r="OYV18" s="493"/>
      <c r="OYW18" s="493"/>
      <c r="OYX18" s="493"/>
      <c r="OYY18" s="493"/>
      <c r="OYZ18" s="493"/>
      <c r="OZA18" s="493"/>
      <c r="OZB18" s="493"/>
      <c r="OZC18" s="493"/>
      <c r="OZD18" s="493"/>
      <c r="OZE18" s="493"/>
      <c r="OZF18" s="493"/>
      <c r="OZG18" s="493"/>
      <c r="OZH18" s="493"/>
      <c r="OZI18" s="493"/>
      <c r="OZJ18" s="493"/>
      <c r="OZK18" s="493"/>
      <c r="OZL18" s="493"/>
      <c r="OZM18" s="493"/>
      <c r="OZN18" s="493"/>
      <c r="OZO18" s="493"/>
      <c r="OZP18" s="493"/>
      <c r="OZQ18" s="493"/>
      <c r="OZR18" s="493"/>
      <c r="OZS18" s="493"/>
      <c r="OZT18" s="493"/>
      <c r="OZU18" s="493"/>
      <c r="OZV18" s="493"/>
      <c r="OZW18" s="493"/>
      <c r="OZX18" s="493"/>
      <c r="OZY18" s="493"/>
      <c r="OZZ18" s="493"/>
      <c r="PAA18" s="493"/>
      <c r="PAB18" s="493"/>
      <c r="PAC18" s="493"/>
      <c r="PAD18" s="493"/>
      <c r="PAE18" s="493"/>
      <c r="PAF18" s="493"/>
      <c r="PAG18" s="493"/>
      <c r="PAH18" s="493"/>
      <c r="PAI18" s="493"/>
      <c r="PAJ18" s="493"/>
      <c r="PAK18" s="493"/>
      <c r="PAL18" s="493"/>
      <c r="PAM18" s="493"/>
      <c r="PAN18" s="493"/>
      <c r="PAO18" s="493"/>
      <c r="PAP18" s="493"/>
      <c r="PAQ18" s="493"/>
      <c r="PAR18" s="493"/>
      <c r="PAS18" s="493"/>
      <c r="PAT18" s="493"/>
      <c r="PAU18" s="493"/>
      <c r="PAV18" s="493"/>
      <c r="PAW18" s="493"/>
      <c r="PAX18" s="493"/>
      <c r="PAY18" s="493"/>
      <c r="PAZ18" s="493"/>
      <c r="PBA18" s="493"/>
      <c r="PBB18" s="493"/>
      <c r="PBC18" s="493"/>
      <c r="PBD18" s="493"/>
      <c r="PBE18" s="493"/>
      <c r="PBF18" s="493"/>
      <c r="PBG18" s="493"/>
      <c r="PBH18" s="493"/>
      <c r="PBI18" s="493"/>
      <c r="PBJ18" s="493"/>
      <c r="PBK18" s="493"/>
      <c r="PBL18" s="493"/>
      <c r="PBM18" s="493"/>
      <c r="PBN18" s="493"/>
      <c r="PBO18" s="493"/>
      <c r="PBP18" s="493"/>
      <c r="PBQ18" s="493"/>
      <c r="PBR18" s="493"/>
      <c r="PBS18" s="493"/>
      <c r="PBT18" s="493"/>
      <c r="PBU18" s="493"/>
      <c r="PBV18" s="493"/>
      <c r="PBW18" s="493"/>
      <c r="PBX18" s="493"/>
      <c r="PBY18" s="493"/>
      <c r="PBZ18" s="493"/>
      <c r="PCA18" s="493"/>
      <c r="PCB18" s="493"/>
      <c r="PCC18" s="493"/>
      <c r="PCD18" s="493"/>
      <c r="PCE18" s="493"/>
      <c r="PCF18" s="493"/>
      <c r="PCG18" s="493"/>
      <c r="PCH18" s="493"/>
      <c r="PCI18" s="493"/>
      <c r="PCJ18" s="493"/>
      <c r="PCK18" s="493"/>
      <c r="PCL18" s="493"/>
      <c r="PCM18" s="493"/>
      <c r="PCN18" s="493"/>
      <c r="PCO18" s="493"/>
      <c r="PCP18" s="493"/>
      <c r="PCQ18" s="493"/>
      <c r="PCR18" s="493"/>
      <c r="PCS18" s="493"/>
      <c r="PCT18" s="493"/>
      <c r="PCU18" s="493"/>
      <c r="PCV18" s="493"/>
      <c r="PCW18" s="493"/>
      <c r="PCX18" s="493"/>
      <c r="PCY18" s="493"/>
      <c r="PCZ18" s="493"/>
      <c r="PDA18" s="493"/>
      <c r="PDB18" s="493"/>
      <c r="PDC18" s="493"/>
      <c r="PDD18" s="493"/>
      <c r="PDE18" s="493"/>
      <c r="PDF18" s="493"/>
      <c r="PDG18" s="493"/>
      <c r="PDH18" s="493"/>
      <c r="PDI18" s="493"/>
      <c r="PDJ18" s="493"/>
      <c r="PDK18" s="493"/>
      <c r="PDL18" s="493"/>
      <c r="PDM18" s="493"/>
      <c r="PDN18" s="493"/>
      <c r="PDO18" s="493"/>
      <c r="PDP18" s="493"/>
      <c r="PDQ18" s="493"/>
      <c r="PDR18" s="493"/>
      <c r="PDS18" s="493"/>
      <c r="PDT18" s="493"/>
      <c r="PDU18" s="493"/>
      <c r="PDV18" s="493"/>
      <c r="PDW18" s="493"/>
      <c r="PDX18" s="493"/>
      <c r="PDY18" s="493"/>
      <c r="PDZ18" s="493"/>
      <c r="PEA18" s="493"/>
      <c r="PEB18" s="493"/>
      <c r="PEC18" s="493"/>
      <c r="PED18" s="493"/>
      <c r="PEE18" s="493"/>
      <c r="PEF18" s="493"/>
      <c r="PEG18" s="493"/>
      <c r="PEH18" s="493"/>
      <c r="PEI18" s="493"/>
      <c r="PEJ18" s="493"/>
      <c r="PEK18" s="493"/>
      <c r="PEL18" s="493"/>
      <c r="PEM18" s="493"/>
      <c r="PEN18" s="493"/>
      <c r="PEO18" s="493"/>
      <c r="PEP18" s="493"/>
      <c r="PEQ18" s="493"/>
      <c r="PER18" s="493"/>
      <c r="PES18" s="493"/>
      <c r="PET18" s="493"/>
      <c r="PEU18" s="493"/>
      <c r="PEV18" s="493"/>
      <c r="PEW18" s="493"/>
      <c r="PEX18" s="493"/>
      <c r="PEY18" s="493"/>
      <c r="PEZ18" s="493"/>
      <c r="PFA18" s="493"/>
      <c r="PFB18" s="493"/>
      <c r="PFC18" s="493"/>
      <c r="PFD18" s="493"/>
      <c r="PFE18" s="493"/>
      <c r="PFF18" s="493"/>
      <c r="PFG18" s="493"/>
      <c r="PFH18" s="493"/>
      <c r="PFI18" s="493"/>
      <c r="PFJ18" s="493"/>
      <c r="PFK18" s="493"/>
      <c r="PFL18" s="493"/>
      <c r="PFM18" s="493"/>
      <c r="PFN18" s="493"/>
      <c r="PFO18" s="493"/>
      <c r="PFP18" s="493"/>
      <c r="PFQ18" s="493"/>
      <c r="PFR18" s="493"/>
      <c r="PFS18" s="493"/>
      <c r="PFT18" s="493"/>
      <c r="PFU18" s="493"/>
      <c r="PFV18" s="493"/>
      <c r="PFW18" s="493"/>
      <c r="PFX18" s="493"/>
      <c r="PFY18" s="493"/>
      <c r="PFZ18" s="493"/>
      <c r="PGA18" s="493"/>
      <c r="PGB18" s="493"/>
      <c r="PGC18" s="493"/>
      <c r="PGD18" s="493"/>
      <c r="PGE18" s="493"/>
      <c r="PGF18" s="493"/>
      <c r="PGG18" s="493"/>
      <c r="PGH18" s="493"/>
      <c r="PGI18" s="493"/>
      <c r="PGJ18" s="493"/>
      <c r="PGK18" s="493"/>
      <c r="PGL18" s="493"/>
      <c r="PGM18" s="493"/>
      <c r="PGN18" s="493"/>
      <c r="PGO18" s="493"/>
      <c r="PGP18" s="493"/>
      <c r="PGQ18" s="493"/>
      <c r="PGR18" s="493"/>
      <c r="PGS18" s="493"/>
      <c r="PGT18" s="493"/>
      <c r="PGU18" s="493"/>
      <c r="PGV18" s="493"/>
      <c r="PGW18" s="493"/>
      <c r="PGX18" s="493"/>
      <c r="PGY18" s="493"/>
      <c r="PGZ18" s="493"/>
      <c r="PHA18" s="493"/>
      <c r="PHB18" s="493"/>
      <c r="PHC18" s="493"/>
      <c r="PHD18" s="493"/>
      <c r="PHE18" s="493"/>
      <c r="PHF18" s="493"/>
      <c r="PHG18" s="493"/>
      <c r="PHH18" s="493"/>
      <c r="PHI18" s="493"/>
      <c r="PHJ18" s="493"/>
      <c r="PHK18" s="493"/>
      <c r="PHL18" s="493"/>
      <c r="PHM18" s="493"/>
      <c r="PHN18" s="493"/>
      <c r="PHO18" s="493"/>
      <c r="PHP18" s="493"/>
      <c r="PHQ18" s="493"/>
      <c r="PHR18" s="493"/>
      <c r="PHS18" s="493"/>
      <c r="PHT18" s="493"/>
      <c r="PHU18" s="493"/>
      <c r="PHV18" s="493"/>
      <c r="PHW18" s="493"/>
      <c r="PHX18" s="493"/>
      <c r="PHY18" s="493"/>
      <c r="PHZ18" s="493"/>
      <c r="PIA18" s="493"/>
      <c r="PIB18" s="493"/>
      <c r="PIC18" s="493"/>
      <c r="PID18" s="493"/>
      <c r="PIE18" s="493"/>
      <c r="PIF18" s="493"/>
      <c r="PIG18" s="493"/>
      <c r="PIH18" s="493"/>
      <c r="PII18" s="493"/>
      <c r="PIJ18" s="493"/>
      <c r="PIK18" s="493"/>
      <c r="PIL18" s="493"/>
      <c r="PIM18" s="493"/>
      <c r="PIN18" s="493"/>
      <c r="PIO18" s="493"/>
      <c r="PIP18" s="493"/>
      <c r="PIQ18" s="493"/>
      <c r="PIR18" s="493"/>
      <c r="PIS18" s="493"/>
      <c r="PIT18" s="493"/>
      <c r="PIU18" s="493"/>
      <c r="PIV18" s="493"/>
      <c r="PIW18" s="493"/>
      <c r="PIX18" s="493"/>
      <c r="PIY18" s="493"/>
      <c r="PIZ18" s="493"/>
      <c r="PJA18" s="493"/>
      <c r="PJB18" s="493"/>
      <c r="PJC18" s="493"/>
      <c r="PJD18" s="493"/>
      <c r="PJE18" s="493"/>
      <c r="PJF18" s="493"/>
      <c r="PJG18" s="493"/>
      <c r="PJH18" s="493"/>
      <c r="PJI18" s="493"/>
      <c r="PJJ18" s="493"/>
      <c r="PJK18" s="493"/>
      <c r="PJL18" s="493"/>
      <c r="PJM18" s="493"/>
      <c r="PJN18" s="493"/>
      <c r="PJO18" s="493"/>
      <c r="PJP18" s="493"/>
      <c r="PJQ18" s="493"/>
      <c r="PJR18" s="493"/>
      <c r="PJS18" s="493"/>
      <c r="PJT18" s="493"/>
      <c r="PJU18" s="493"/>
      <c r="PJV18" s="493"/>
      <c r="PJW18" s="493"/>
      <c r="PJX18" s="493"/>
      <c r="PJY18" s="493"/>
      <c r="PJZ18" s="493"/>
      <c r="PKA18" s="493"/>
      <c r="PKB18" s="493"/>
      <c r="PKC18" s="493"/>
      <c r="PKD18" s="493"/>
      <c r="PKE18" s="493"/>
      <c r="PKF18" s="493"/>
      <c r="PKG18" s="493"/>
      <c r="PKH18" s="493"/>
      <c r="PKI18" s="493"/>
      <c r="PKJ18" s="493"/>
      <c r="PKK18" s="493"/>
      <c r="PKL18" s="493"/>
      <c r="PKM18" s="493"/>
      <c r="PKN18" s="493"/>
      <c r="PKO18" s="493"/>
      <c r="PKP18" s="493"/>
      <c r="PKQ18" s="493"/>
      <c r="PKR18" s="493"/>
      <c r="PKS18" s="493"/>
      <c r="PKT18" s="493"/>
      <c r="PKU18" s="493"/>
      <c r="PKV18" s="493"/>
      <c r="PKW18" s="493"/>
      <c r="PKX18" s="493"/>
      <c r="PKY18" s="493"/>
      <c r="PKZ18" s="493"/>
      <c r="PLA18" s="493"/>
      <c r="PLB18" s="493"/>
      <c r="PLC18" s="493"/>
      <c r="PLD18" s="493"/>
      <c r="PLE18" s="493"/>
      <c r="PLF18" s="493"/>
      <c r="PLG18" s="493"/>
      <c r="PLH18" s="493"/>
      <c r="PLI18" s="493"/>
      <c r="PLJ18" s="493"/>
      <c r="PLK18" s="493"/>
      <c r="PLL18" s="493"/>
      <c r="PLM18" s="493"/>
      <c r="PLN18" s="493"/>
      <c r="PLO18" s="493"/>
      <c r="PLP18" s="493"/>
      <c r="PLQ18" s="493"/>
      <c r="PLR18" s="493"/>
      <c r="PLS18" s="493"/>
      <c r="PLT18" s="493"/>
      <c r="PLU18" s="493"/>
      <c r="PLV18" s="493"/>
      <c r="PLW18" s="493"/>
      <c r="PLX18" s="493"/>
      <c r="PLY18" s="493"/>
      <c r="PLZ18" s="493"/>
      <c r="PMA18" s="493"/>
      <c r="PMB18" s="493"/>
      <c r="PMC18" s="493"/>
      <c r="PMD18" s="493"/>
      <c r="PME18" s="493"/>
      <c r="PMF18" s="493"/>
      <c r="PMG18" s="493"/>
      <c r="PMH18" s="493"/>
      <c r="PMI18" s="493"/>
      <c r="PMJ18" s="493"/>
      <c r="PMK18" s="493"/>
      <c r="PML18" s="493"/>
      <c r="PMM18" s="493"/>
      <c r="PMN18" s="493"/>
      <c r="PMO18" s="493"/>
      <c r="PMP18" s="493"/>
      <c r="PMQ18" s="493"/>
      <c r="PMR18" s="493"/>
      <c r="PMS18" s="493"/>
      <c r="PMT18" s="493"/>
      <c r="PMU18" s="493"/>
      <c r="PMV18" s="493"/>
      <c r="PMW18" s="493"/>
      <c r="PMX18" s="493"/>
      <c r="PMY18" s="493"/>
      <c r="PMZ18" s="493"/>
      <c r="PNA18" s="493"/>
      <c r="PNB18" s="493"/>
      <c r="PNC18" s="493"/>
      <c r="PND18" s="493"/>
      <c r="PNE18" s="493"/>
      <c r="PNF18" s="493"/>
      <c r="PNG18" s="493"/>
      <c r="PNH18" s="493"/>
      <c r="PNI18" s="493"/>
      <c r="PNJ18" s="493"/>
      <c r="PNK18" s="493"/>
      <c r="PNL18" s="493"/>
      <c r="PNM18" s="493"/>
      <c r="PNN18" s="493"/>
      <c r="PNO18" s="493"/>
      <c r="PNP18" s="493"/>
      <c r="PNQ18" s="493"/>
      <c r="PNR18" s="493"/>
      <c r="PNS18" s="493"/>
      <c r="PNT18" s="493"/>
      <c r="PNU18" s="493"/>
      <c r="PNV18" s="493"/>
      <c r="PNW18" s="493"/>
      <c r="PNX18" s="493"/>
      <c r="PNY18" s="493"/>
      <c r="PNZ18" s="493"/>
      <c r="POA18" s="493"/>
      <c r="POB18" s="493"/>
      <c r="POC18" s="493"/>
      <c r="POD18" s="493"/>
      <c r="POE18" s="493"/>
      <c r="POF18" s="493"/>
      <c r="POG18" s="493"/>
      <c r="POH18" s="493"/>
      <c r="POI18" s="493"/>
      <c r="POJ18" s="493"/>
      <c r="POK18" s="493"/>
      <c r="POL18" s="493"/>
      <c r="POM18" s="493"/>
      <c r="PON18" s="493"/>
      <c r="POO18" s="493"/>
      <c r="POP18" s="493"/>
      <c r="POQ18" s="493"/>
      <c r="POR18" s="493"/>
      <c r="POS18" s="493"/>
      <c r="POT18" s="493"/>
      <c r="POU18" s="493"/>
      <c r="POV18" s="493"/>
      <c r="POW18" s="493"/>
      <c r="POX18" s="493"/>
      <c r="POY18" s="493"/>
      <c r="POZ18" s="493"/>
      <c r="PPA18" s="493"/>
      <c r="PPB18" s="493"/>
      <c r="PPC18" s="493"/>
      <c r="PPD18" s="493"/>
      <c r="PPE18" s="493"/>
      <c r="PPF18" s="493"/>
      <c r="PPG18" s="493"/>
      <c r="PPH18" s="493"/>
      <c r="PPI18" s="493"/>
      <c r="PPJ18" s="493"/>
      <c r="PPK18" s="493"/>
      <c r="PPL18" s="493"/>
      <c r="PPM18" s="493"/>
      <c r="PPN18" s="493"/>
      <c r="PPO18" s="493"/>
      <c r="PPP18" s="493"/>
      <c r="PPQ18" s="493"/>
      <c r="PPR18" s="493"/>
      <c r="PPS18" s="493"/>
      <c r="PPT18" s="493"/>
      <c r="PPU18" s="493"/>
      <c r="PPV18" s="493"/>
      <c r="PPW18" s="493"/>
      <c r="PPX18" s="493"/>
      <c r="PPY18" s="493"/>
      <c r="PPZ18" s="493"/>
      <c r="PQA18" s="493"/>
      <c r="PQB18" s="493"/>
      <c r="PQC18" s="493"/>
      <c r="PQD18" s="493"/>
      <c r="PQE18" s="493"/>
      <c r="PQF18" s="493"/>
      <c r="PQG18" s="493"/>
      <c r="PQH18" s="493"/>
      <c r="PQI18" s="493"/>
      <c r="PQJ18" s="493"/>
      <c r="PQK18" s="493"/>
      <c r="PQL18" s="493"/>
      <c r="PQM18" s="493"/>
      <c r="PQN18" s="493"/>
      <c r="PQO18" s="493"/>
      <c r="PQP18" s="493"/>
      <c r="PQQ18" s="493"/>
      <c r="PQR18" s="493"/>
      <c r="PQS18" s="493"/>
      <c r="PQT18" s="493"/>
      <c r="PQU18" s="493"/>
      <c r="PQV18" s="493"/>
      <c r="PQW18" s="493"/>
      <c r="PQX18" s="493"/>
      <c r="PQY18" s="493"/>
      <c r="PQZ18" s="493"/>
      <c r="PRA18" s="493"/>
      <c r="PRB18" s="493"/>
      <c r="PRC18" s="493"/>
      <c r="PRD18" s="493"/>
      <c r="PRE18" s="493"/>
      <c r="PRF18" s="493"/>
      <c r="PRG18" s="493"/>
      <c r="PRH18" s="493"/>
      <c r="PRI18" s="493"/>
      <c r="PRJ18" s="493"/>
      <c r="PRK18" s="493"/>
      <c r="PRL18" s="493"/>
      <c r="PRM18" s="493"/>
      <c r="PRN18" s="493"/>
      <c r="PRO18" s="493"/>
      <c r="PRP18" s="493"/>
      <c r="PRQ18" s="493"/>
      <c r="PRR18" s="493"/>
      <c r="PRS18" s="493"/>
      <c r="PRT18" s="493"/>
      <c r="PRU18" s="493"/>
      <c r="PRV18" s="493"/>
      <c r="PRW18" s="493"/>
      <c r="PRX18" s="493"/>
      <c r="PRY18" s="493"/>
      <c r="PRZ18" s="493"/>
      <c r="PSA18" s="493"/>
      <c r="PSB18" s="493"/>
      <c r="PSC18" s="493"/>
      <c r="PSD18" s="493"/>
      <c r="PSE18" s="493"/>
      <c r="PSF18" s="493"/>
      <c r="PSG18" s="493"/>
      <c r="PSH18" s="493"/>
      <c r="PSI18" s="493"/>
      <c r="PSJ18" s="493"/>
      <c r="PSK18" s="493"/>
      <c r="PSL18" s="493"/>
      <c r="PSM18" s="493"/>
      <c r="PSN18" s="493"/>
      <c r="PSO18" s="493"/>
      <c r="PSP18" s="493"/>
      <c r="PSQ18" s="493"/>
      <c r="PSR18" s="493"/>
      <c r="PSS18" s="493"/>
      <c r="PST18" s="493"/>
      <c r="PSU18" s="493"/>
      <c r="PSV18" s="493"/>
      <c r="PSW18" s="493"/>
      <c r="PSX18" s="493"/>
      <c r="PSY18" s="493"/>
      <c r="PSZ18" s="493"/>
      <c r="PTA18" s="493"/>
      <c r="PTB18" s="493"/>
      <c r="PTC18" s="493"/>
      <c r="PTD18" s="493"/>
      <c r="PTE18" s="493"/>
      <c r="PTF18" s="493"/>
      <c r="PTG18" s="493"/>
      <c r="PTH18" s="493"/>
      <c r="PTI18" s="493"/>
      <c r="PTJ18" s="493"/>
      <c r="PTK18" s="493"/>
      <c r="PTL18" s="493"/>
      <c r="PTM18" s="493"/>
      <c r="PTN18" s="493"/>
      <c r="PTO18" s="493"/>
      <c r="PTP18" s="493"/>
      <c r="PTQ18" s="493"/>
      <c r="PTR18" s="493"/>
      <c r="PTS18" s="493"/>
      <c r="PTT18" s="493"/>
      <c r="PTU18" s="493"/>
      <c r="PTV18" s="493"/>
      <c r="PTW18" s="493"/>
      <c r="PTX18" s="493"/>
      <c r="PTY18" s="493"/>
      <c r="PTZ18" s="493"/>
      <c r="PUA18" s="493"/>
      <c r="PUB18" s="493"/>
      <c r="PUC18" s="493"/>
      <c r="PUD18" s="493"/>
      <c r="PUE18" s="493"/>
      <c r="PUF18" s="493"/>
      <c r="PUG18" s="493"/>
      <c r="PUH18" s="493"/>
      <c r="PUI18" s="493"/>
      <c r="PUJ18" s="493"/>
      <c r="PUK18" s="493"/>
      <c r="PUL18" s="493"/>
      <c r="PUM18" s="493"/>
      <c r="PUN18" s="493"/>
      <c r="PUO18" s="493"/>
      <c r="PUP18" s="493"/>
      <c r="PUQ18" s="493"/>
      <c r="PUR18" s="493"/>
      <c r="PUS18" s="493"/>
      <c r="PUT18" s="493"/>
      <c r="PUU18" s="493"/>
      <c r="PUV18" s="493"/>
      <c r="PUW18" s="493"/>
      <c r="PUX18" s="493"/>
      <c r="PUY18" s="493"/>
      <c r="PUZ18" s="493"/>
      <c r="PVA18" s="493"/>
      <c r="PVB18" s="493"/>
      <c r="PVC18" s="493"/>
      <c r="PVD18" s="493"/>
      <c r="PVE18" s="493"/>
      <c r="PVF18" s="493"/>
      <c r="PVG18" s="493"/>
      <c r="PVH18" s="493"/>
      <c r="PVI18" s="493"/>
      <c r="PVJ18" s="493"/>
      <c r="PVK18" s="493"/>
      <c r="PVL18" s="493"/>
      <c r="PVM18" s="493"/>
      <c r="PVN18" s="493"/>
      <c r="PVO18" s="493"/>
      <c r="PVP18" s="493"/>
      <c r="PVQ18" s="493"/>
      <c r="PVR18" s="493"/>
      <c r="PVS18" s="493"/>
      <c r="PVT18" s="493"/>
      <c r="PVU18" s="493"/>
      <c r="PVV18" s="493"/>
      <c r="PVW18" s="493"/>
      <c r="PVX18" s="493"/>
      <c r="PVY18" s="493"/>
      <c r="PVZ18" s="493"/>
      <c r="PWA18" s="493"/>
      <c r="PWB18" s="493"/>
      <c r="PWC18" s="493"/>
      <c r="PWD18" s="493"/>
      <c r="PWE18" s="493"/>
      <c r="PWF18" s="493"/>
      <c r="PWG18" s="493"/>
      <c r="PWH18" s="493"/>
      <c r="PWI18" s="493"/>
      <c r="PWJ18" s="493"/>
      <c r="PWK18" s="493"/>
      <c r="PWL18" s="493"/>
      <c r="PWM18" s="493"/>
      <c r="PWN18" s="493"/>
      <c r="PWO18" s="493"/>
      <c r="PWP18" s="493"/>
      <c r="PWQ18" s="493"/>
      <c r="PWR18" s="493"/>
      <c r="PWS18" s="493"/>
      <c r="PWT18" s="493"/>
      <c r="PWU18" s="493"/>
      <c r="PWV18" s="493"/>
      <c r="PWW18" s="493"/>
      <c r="PWX18" s="493"/>
      <c r="PWY18" s="493"/>
      <c r="PWZ18" s="493"/>
      <c r="PXA18" s="493"/>
      <c r="PXB18" s="493"/>
      <c r="PXC18" s="493"/>
      <c r="PXD18" s="493"/>
      <c r="PXE18" s="493"/>
      <c r="PXF18" s="493"/>
      <c r="PXG18" s="493"/>
      <c r="PXH18" s="493"/>
      <c r="PXI18" s="493"/>
      <c r="PXJ18" s="493"/>
      <c r="PXK18" s="493"/>
      <c r="PXL18" s="493"/>
      <c r="PXM18" s="493"/>
      <c r="PXN18" s="493"/>
      <c r="PXO18" s="493"/>
      <c r="PXP18" s="493"/>
      <c r="PXQ18" s="493"/>
      <c r="PXR18" s="493"/>
      <c r="PXS18" s="493"/>
      <c r="PXT18" s="493"/>
      <c r="PXU18" s="493"/>
      <c r="PXV18" s="493"/>
      <c r="PXW18" s="493"/>
      <c r="PXX18" s="493"/>
      <c r="PXY18" s="493"/>
      <c r="PXZ18" s="493"/>
      <c r="PYA18" s="493"/>
      <c r="PYB18" s="493"/>
      <c r="PYC18" s="493"/>
      <c r="PYD18" s="493"/>
      <c r="PYE18" s="493"/>
      <c r="PYF18" s="493"/>
      <c r="PYG18" s="493"/>
      <c r="PYH18" s="493"/>
      <c r="PYI18" s="493"/>
      <c r="PYJ18" s="493"/>
      <c r="PYK18" s="493"/>
      <c r="PYL18" s="493"/>
      <c r="PYM18" s="493"/>
      <c r="PYN18" s="493"/>
      <c r="PYO18" s="493"/>
      <c r="PYP18" s="493"/>
      <c r="PYQ18" s="493"/>
      <c r="PYR18" s="493"/>
      <c r="PYS18" s="493"/>
      <c r="PYT18" s="493"/>
      <c r="PYU18" s="493"/>
      <c r="PYV18" s="493"/>
      <c r="PYW18" s="493"/>
      <c r="PYX18" s="493"/>
      <c r="PYY18" s="493"/>
      <c r="PYZ18" s="493"/>
      <c r="PZA18" s="493"/>
      <c r="PZB18" s="493"/>
      <c r="PZC18" s="493"/>
      <c r="PZD18" s="493"/>
      <c r="PZE18" s="493"/>
      <c r="PZF18" s="493"/>
      <c r="PZG18" s="493"/>
      <c r="PZH18" s="493"/>
      <c r="PZI18" s="493"/>
      <c r="PZJ18" s="493"/>
      <c r="PZK18" s="493"/>
      <c r="PZL18" s="493"/>
      <c r="PZM18" s="493"/>
      <c r="PZN18" s="493"/>
      <c r="PZO18" s="493"/>
      <c r="PZP18" s="493"/>
      <c r="PZQ18" s="493"/>
      <c r="PZR18" s="493"/>
      <c r="PZS18" s="493"/>
      <c r="PZT18" s="493"/>
      <c r="PZU18" s="493"/>
      <c r="PZV18" s="493"/>
      <c r="PZW18" s="493"/>
      <c r="PZX18" s="493"/>
      <c r="PZY18" s="493"/>
      <c r="PZZ18" s="493"/>
      <c r="QAA18" s="493"/>
      <c r="QAB18" s="493"/>
      <c r="QAC18" s="493"/>
      <c r="QAD18" s="493"/>
      <c r="QAE18" s="493"/>
      <c r="QAF18" s="493"/>
      <c r="QAG18" s="493"/>
      <c r="QAH18" s="493"/>
      <c r="QAI18" s="493"/>
      <c r="QAJ18" s="493"/>
      <c r="QAK18" s="493"/>
      <c r="QAL18" s="493"/>
      <c r="QAM18" s="493"/>
      <c r="QAN18" s="493"/>
      <c r="QAO18" s="493"/>
      <c r="QAP18" s="493"/>
      <c r="QAQ18" s="493"/>
      <c r="QAR18" s="493"/>
      <c r="QAS18" s="493"/>
      <c r="QAT18" s="493"/>
      <c r="QAU18" s="493"/>
      <c r="QAV18" s="493"/>
      <c r="QAW18" s="493"/>
      <c r="QAX18" s="493"/>
      <c r="QAY18" s="493"/>
      <c r="QAZ18" s="493"/>
      <c r="QBA18" s="493"/>
      <c r="QBB18" s="493"/>
      <c r="QBC18" s="493"/>
      <c r="QBD18" s="493"/>
      <c r="QBE18" s="493"/>
      <c r="QBF18" s="493"/>
      <c r="QBG18" s="493"/>
      <c r="QBH18" s="493"/>
      <c r="QBI18" s="493"/>
      <c r="QBJ18" s="493"/>
      <c r="QBK18" s="493"/>
      <c r="QBL18" s="493"/>
      <c r="QBM18" s="493"/>
      <c r="QBN18" s="493"/>
      <c r="QBO18" s="493"/>
      <c r="QBP18" s="493"/>
      <c r="QBQ18" s="493"/>
      <c r="QBR18" s="493"/>
      <c r="QBS18" s="493"/>
      <c r="QBT18" s="493"/>
      <c r="QBU18" s="493"/>
      <c r="QBV18" s="493"/>
      <c r="QBW18" s="493"/>
      <c r="QBX18" s="493"/>
      <c r="QBY18" s="493"/>
      <c r="QBZ18" s="493"/>
      <c r="QCA18" s="493"/>
      <c r="QCB18" s="493"/>
      <c r="QCC18" s="493"/>
      <c r="QCD18" s="493"/>
      <c r="QCE18" s="493"/>
      <c r="QCF18" s="493"/>
      <c r="QCG18" s="493"/>
      <c r="QCH18" s="493"/>
      <c r="QCI18" s="493"/>
      <c r="QCJ18" s="493"/>
      <c r="QCK18" s="493"/>
      <c r="QCL18" s="493"/>
      <c r="QCM18" s="493"/>
      <c r="QCN18" s="493"/>
      <c r="QCO18" s="493"/>
      <c r="QCP18" s="493"/>
      <c r="QCQ18" s="493"/>
      <c r="QCR18" s="493"/>
      <c r="QCS18" s="493"/>
      <c r="QCT18" s="493"/>
      <c r="QCU18" s="493"/>
      <c r="QCV18" s="493"/>
      <c r="QCW18" s="493"/>
      <c r="QCX18" s="493"/>
      <c r="QCY18" s="493"/>
      <c r="QCZ18" s="493"/>
      <c r="QDA18" s="493"/>
      <c r="QDB18" s="493"/>
      <c r="QDC18" s="493"/>
      <c r="QDD18" s="493"/>
      <c r="QDE18" s="493"/>
      <c r="QDF18" s="493"/>
      <c r="QDG18" s="493"/>
      <c r="QDH18" s="493"/>
      <c r="QDI18" s="493"/>
      <c r="QDJ18" s="493"/>
      <c r="QDK18" s="493"/>
      <c r="QDL18" s="493"/>
      <c r="QDM18" s="493"/>
      <c r="QDN18" s="493"/>
      <c r="QDO18" s="493"/>
      <c r="QDP18" s="493"/>
      <c r="QDQ18" s="493"/>
      <c r="QDR18" s="493"/>
      <c r="QDS18" s="493"/>
      <c r="QDT18" s="493"/>
      <c r="QDU18" s="493"/>
      <c r="QDV18" s="493"/>
      <c r="QDW18" s="493"/>
      <c r="QDX18" s="493"/>
      <c r="QDY18" s="493"/>
      <c r="QDZ18" s="493"/>
      <c r="QEA18" s="493"/>
      <c r="QEB18" s="493"/>
      <c r="QEC18" s="493"/>
      <c r="QED18" s="493"/>
      <c r="QEE18" s="493"/>
      <c r="QEF18" s="493"/>
      <c r="QEG18" s="493"/>
      <c r="QEH18" s="493"/>
      <c r="QEI18" s="493"/>
      <c r="QEJ18" s="493"/>
      <c r="QEK18" s="493"/>
      <c r="QEL18" s="493"/>
      <c r="QEM18" s="493"/>
      <c r="QEN18" s="493"/>
      <c r="QEO18" s="493"/>
      <c r="QEP18" s="493"/>
      <c r="QEQ18" s="493"/>
      <c r="QER18" s="493"/>
      <c r="QES18" s="493"/>
      <c r="QET18" s="493"/>
      <c r="QEU18" s="493"/>
      <c r="QEV18" s="493"/>
      <c r="QEW18" s="493"/>
      <c r="QEX18" s="493"/>
      <c r="QEY18" s="493"/>
      <c r="QEZ18" s="493"/>
      <c r="QFA18" s="493"/>
      <c r="QFB18" s="493"/>
      <c r="QFC18" s="493"/>
      <c r="QFD18" s="493"/>
      <c r="QFE18" s="493"/>
      <c r="QFF18" s="493"/>
      <c r="QFG18" s="493"/>
      <c r="QFH18" s="493"/>
      <c r="QFI18" s="493"/>
      <c r="QFJ18" s="493"/>
      <c r="QFK18" s="493"/>
      <c r="QFL18" s="493"/>
      <c r="QFM18" s="493"/>
      <c r="QFN18" s="493"/>
      <c r="QFO18" s="493"/>
      <c r="QFP18" s="493"/>
      <c r="QFQ18" s="493"/>
      <c r="QFR18" s="493"/>
      <c r="QFS18" s="493"/>
      <c r="QFT18" s="493"/>
      <c r="QFU18" s="493"/>
      <c r="QFV18" s="493"/>
      <c r="QFW18" s="493"/>
      <c r="QFX18" s="493"/>
      <c r="QFY18" s="493"/>
      <c r="QFZ18" s="493"/>
      <c r="QGA18" s="493"/>
      <c r="QGB18" s="493"/>
      <c r="QGC18" s="493"/>
      <c r="QGD18" s="493"/>
      <c r="QGE18" s="493"/>
      <c r="QGF18" s="493"/>
      <c r="QGG18" s="493"/>
      <c r="QGH18" s="493"/>
      <c r="QGI18" s="493"/>
      <c r="QGJ18" s="493"/>
      <c r="QGK18" s="493"/>
      <c r="QGL18" s="493"/>
      <c r="QGM18" s="493"/>
      <c r="QGN18" s="493"/>
      <c r="QGO18" s="493"/>
      <c r="QGP18" s="493"/>
      <c r="QGQ18" s="493"/>
      <c r="QGR18" s="493"/>
      <c r="QGS18" s="493"/>
      <c r="QGT18" s="493"/>
      <c r="QGU18" s="493"/>
      <c r="QGV18" s="493"/>
      <c r="QGW18" s="493"/>
      <c r="QGX18" s="493"/>
      <c r="QGY18" s="493"/>
      <c r="QGZ18" s="493"/>
      <c r="QHA18" s="493"/>
      <c r="QHB18" s="493"/>
      <c r="QHC18" s="493"/>
      <c r="QHD18" s="493"/>
      <c r="QHE18" s="493"/>
      <c r="QHF18" s="493"/>
      <c r="QHG18" s="493"/>
      <c r="QHH18" s="493"/>
      <c r="QHI18" s="493"/>
      <c r="QHJ18" s="493"/>
      <c r="QHK18" s="493"/>
      <c r="QHL18" s="493"/>
      <c r="QHM18" s="493"/>
      <c r="QHN18" s="493"/>
      <c r="QHO18" s="493"/>
      <c r="QHP18" s="493"/>
      <c r="QHQ18" s="493"/>
      <c r="QHR18" s="493"/>
      <c r="QHS18" s="493"/>
      <c r="QHT18" s="493"/>
      <c r="QHU18" s="493"/>
      <c r="QHV18" s="493"/>
      <c r="QHW18" s="493"/>
      <c r="QHX18" s="493"/>
      <c r="QHY18" s="493"/>
      <c r="QHZ18" s="493"/>
      <c r="QIA18" s="493"/>
      <c r="QIB18" s="493"/>
      <c r="QIC18" s="493"/>
      <c r="QID18" s="493"/>
      <c r="QIE18" s="493"/>
      <c r="QIF18" s="493"/>
      <c r="QIG18" s="493"/>
      <c r="QIH18" s="493"/>
      <c r="QII18" s="493"/>
      <c r="QIJ18" s="493"/>
      <c r="QIK18" s="493"/>
      <c r="QIL18" s="493"/>
      <c r="QIM18" s="493"/>
      <c r="QIN18" s="493"/>
      <c r="QIO18" s="493"/>
      <c r="QIP18" s="493"/>
      <c r="QIQ18" s="493"/>
      <c r="QIR18" s="493"/>
      <c r="QIS18" s="493"/>
      <c r="QIT18" s="493"/>
      <c r="QIU18" s="493"/>
      <c r="QIV18" s="493"/>
      <c r="QIW18" s="493"/>
      <c r="QIX18" s="493"/>
      <c r="QIY18" s="493"/>
      <c r="QIZ18" s="493"/>
      <c r="QJA18" s="493"/>
      <c r="QJB18" s="493"/>
      <c r="QJC18" s="493"/>
      <c r="QJD18" s="493"/>
      <c r="QJE18" s="493"/>
      <c r="QJF18" s="493"/>
      <c r="QJG18" s="493"/>
      <c r="QJH18" s="493"/>
      <c r="QJI18" s="493"/>
      <c r="QJJ18" s="493"/>
      <c r="QJK18" s="493"/>
      <c r="QJL18" s="493"/>
      <c r="QJM18" s="493"/>
      <c r="QJN18" s="493"/>
      <c r="QJO18" s="493"/>
      <c r="QJP18" s="493"/>
      <c r="QJQ18" s="493"/>
      <c r="QJR18" s="493"/>
      <c r="QJS18" s="493"/>
      <c r="QJT18" s="493"/>
      <c r="QJU18" s="493"/>
      <c r="QJV18" s="493"/>
      <c r="QJW18" s="493"/>
      <c r="QJX18" s="493"/>
      <c r="QJY18" s="493"/>
      <c r="QJZ18" s="493"/>
      <c r="QKA18" s="493"/>
      <c r="QKB18" s="493"/>
      <c r="QKC18" s="493"/>
      <c r="QKD18" s="493"/>
      <c r="QKE18" s="493"/>
      <c r="QKF18" s="493"/>
      <c r="QKG18" s="493"/>
      <c r="QKH18" s="493"/>
      <c r="QKI18" s="493"/>
      <c r="QKJ18" s="493"/>
      <c r="QKK18" s="493"/>
      <c r="QKL18" s="493"/>
      <c r="QKM18" s="493"/>
      <c r="QKN18" s="493"/>
      <c r="QKO18" s="493"/>
      <c r="QKP18" s="493"/>
      <c r="QKQ18" s="493"/>
      <c r="QKR18" s="493"/>
      <c r="QKS18" s="493"/>
      <c r="QKT18" s="493"/>
      <c r="QKU18" s="493"/>
      <c r="QKV18" s="493"/>
      <c r="QKW18" s="493"/>
      <c r="QKX18" s="493"/>
      <c r="QKY18" s="493"/>
      <c r="QKZ18" s="493"/>
      <c r="QLA18" s="493"/>
      <c r="QLB18" s="493"/>
      <c r="QLC18" s="493"/>
      <c r="QLD18" s="493"/>
      <c r="QLE18" s="493"/>
      <c r="QLF18" s="493"/>
      <c r="QLG18" s="493"/>
      <c r="QLH18" s="493"/>
      <c r="QLI18" s="493"/>
      <c r="QLJ18" s="493"/>
      <c r="QLK18" s="493"/>
      <c r="QLL18" s="493"/>
      <c r="QLM18" s="493"/>
      <c r="QLN18" s="493"/>
      <c r="QLO18" s="493"/>
      <c r="QLP18" s="493"/>
      <c r="QLQ18" s="493"/>
      <c r="QLR18" s="493"/>
      <c r="QLS18" s="493"/>
      <c r="QLT18" s="493"/>
      <c r="QLU18" s="493"/>
      <c r="QLV18" s="493"/>
      <c r="QLW18" s="493"/>
      <c r="QLX18" s="493"/>
      <c r="QLY18" s="493"/>
      <c r="QLZ18" s="493"/>
      <c r="QMA18" s="493"/>
      <c r="QMB18" s="493"/>
      <c r="QMC18" s="493"/>
      <c r="QMD18" s="493"/>
      <c r="QME18" s="493"/>
      <c r="QMF18" s="493"/>
      <c r="QMG18" s="493"/>
      <c r="QMH18" s="493"/>
      <c r="QMI18" s="493"/>
      <c r="QMJ18" s="493"/>
      <c r="QMK18" s="493"/>
      <c r="QML18" s="493"/>
      <c r="QMM18" s="493"/>
      <c r="QMN18" s="493"/>
      <c r="QMO18" s="493"/>
      <c r="QMP18" s="493"/>
      <c r="QMQ18" s="493"/>
      <c r="QMR18" s="493"/>
      <c r="QMS18" s="493"/>
      <c r="QMT18" s="493"/>
      <c r="QMU18" s="493"/>
      <c r="QMV18" s="493"/>
      <c r="QMW18" s="493"/>
      <c r="QMX18" s="493"/>
      <c r="QMY18" s="493"/>
      <c r="QMZ18" s="493"/>
      <c r="QNA18" s="493"/>
      <c r="QNB18" s="493"/>
      <c r="QNC18" s="493"/>
      <c r="QND18" s="493"/>
      <c r="QNE18" s="493"/>
      <c r="QNF18" s="493"/>
      <c r="QNG18" s="493"/>
      <c r="QNH18" s="493"/>
      <c r="QNI18" s="493"/>
      <c r="QNJ18" s="493"/>
      <c r="QNK18" s="493"/>
      <c r="QNL18" s="493"/>
      <c r="QNM18" s="493"/>
      <c r="QNN18" s="493"/>
      <c r="QNO18" s="493"/>
      <c r="QNP18" s="493"/>
      <c r="QNQ18" s="493"/>
      <c r="QNR18" s="493"/>
      <c r="QNS18" s="493"/>
      <c r="QNT18" s="493"/>
      <c r="QNU18" s="493"/>
      <c r="QNV18" s="493"/>
      <c r="QNW18" s="493"/>
      <c r="QNX18" s="493"/>
      <c r="QNY18" s="493"/>
      <c r="QNZ18" s="493"/>
      <c r="QOA18" s="493"/>
      <c r="QOB18" s="493"/>
      <c r="QOC18" s="493"/>
      <c r="QOD18" s="493"/>
      <c r="QOE18" s="493"/>
      <c r="QOF18" s="493"/>
      <c r="QOG18" s="493"/>
      <c r="QOH18" s="493"/>
      <c r="QOI18" s="493"/>
      <c r="QOJ18" s="493"/>
      <c r="QOK18" s="493"/>
      <c r="QOL18" s="493"/>
      <c r="QOM18" s="493"/>
      <c r="QON18" s="493"/>
      <c r="QOO18" s="493"/>
      <c r="QOP18" s="493"/>
      <c r="QOQ18" s="493"/>
      <c r="QOR18" s="493"/>
      <c r="QOS18" s="493"/>
      <c r="QOT18" s="493"/>
      <c r="QOU18" s="493"/>
      <c r="QOV18" s="493"/>
      <c r="QOW18" s="493"/>
      <c r="QOX18" s="493"/>
      <c r="QOY18" s="493"/>
      <c r="QOZ18" s="493"/>
      <c r="QPA18" s="493"/>
      <c r="QPB18" s="493"/>
      <c r="QPC18" s="493"/>
      <c r="QPD18" s="493"/>
      <c r="QPE18" s="493"/>
      <c r="QPF18" s="493"/>
      <c r="QPG18" s="493"/>
      <c r="QPH18" s="493"/>
      <c r="QPI18" s="493"/>
      <c r="QPJ18" s="493"/>
      <c r="QPK18" s="493"/>
      <c r="QPL18" s="493"/>
      <c r="QPM18" s="493"/>
      <c r="QPN18" s="493"/>
      <c r="QPO18" s="493"/>
      <c r="QPP18" s="493"/>
      <c r="QPQ18" s="493"/>
      <c r="QPR18" s="493"/>
      <c r="QPS18" s="493"/>
      <c r="QPT18" s="493"/>
      <c r="QPU18" s="493"/>
      <c r="QPV18" s="493"/>
      <c r="QPW18" s="493"/>
      <c r="QPX18" s="493"/>
      <c r="QPY18" s="493"/>
      <c r="QPZ18" s="493"/>
      <c r="QQA18" s="493"/>
      <c r="QQB18" s="493"/>
      <c r="QQC18" s="493"/>
      <c r="QQD18" s="493"/>
      <c r="QQE18" s="493"/>
      <c r="QQF18" s="493"/>
      <c r="QQG18" s="493"/>
      <c r="QQH18" s="493"/>
      <c r="QQI18" s="493"/>
      <c r="QQJ18" s="493"/>
      <c r="QQK18" s="493"/>
      <c r="QQL18" s="493"/>
      <c r="QQM18" s="493"/>
      <c r="QQN18" s="493"/>
      <c r="QQO18" s="493"/>
      <c r="QQP18" s="493"/>
      <c r="QQQ18" s="493"/>
      <c r="QQR18" s="493"/>
      <c r="QQS18" s="493"/>
      <c r="QQT18" s="493"/>
      <c r="QQU18" s="493"/>
      <c r="QQV18" s="493"/>
      <c r="QQW18" s="493"/>
      <c r="QQX18" s="493"/>
      <c r="QQY18" s="493"/>
      <c r="QQZ18" s="493"/>
      <c r="QRA18" s="493"/>
      <c r="QRB18" s="493"/>
      <c r="QRC18" s="493"/>
      <c r="QRD18" s="493"/>
      <c r="QRE18" s="493"/>
      <c r="QRF18" s="493"/>
      <c r="QRG18" s="493"/>
      <c r="QRH18" s="493"/>
      <c r="QRI18" s="493"/>
      <c r="QRJ18" s="493"/>
      <c r="QRK18" s="493"/>
      <c r="QRL18" s="493"/>
      <c r="QRM18" s="493"/>
      <c r="QRN18" s="493"/>
      <c r="QRO18" s="493"/>
      <c r="QRP18" s="493"/>
      <c r="QRQ18" s="493"/>
      <c r="QRR18" s="493"/>
      <c r="QRS18" s="493"/>
      <c r="QRT18" s="493"/>
      <c r="QRU18" s="493"/>
      <c r="QRV18" s="493"/>
      <c r="QRW18" s="493"/>
      <c r="QRX18" s="493"/>
      <c r="QRY18" s="493"/>
      <c r="QRZ18" s="493"/>
      <c r="QSA18" s="493"/>
      <c r="QSB18" s="493"/>
      <c r="QSC18" s="493"/>
      <c r="QSD18" s="493"/>
      <c r="QSE18" s="493"/>
      <c r="QSF18" s="493"/>
      <c r="QSG18" s="493"/>
      <c r="QSH18" s="493"/>
      <c r="QSI18" s="493"/>
      <c r="QSJ18" s="493"/>
      <c r="QSK18" s="493"/>
      <c r="QSL18" s="493"/>
      <c r="QSM18" s="493"/>
      <c r="QSN18" s="493"/>
      <c r="QSO18" s="493"/>
      <c r="QSP18" s="493"/>
      <c r="QSQ18" s="493"/>
      <c r="QSR18" s="493"/>
      <c r="QSS18" s="493"/>
      <c r="QST18" s="493"/>
      <c r="QSU18" s="493"/>
      <c r="QSV18" s="493"/>
      <c r="QSW18" s="493"/>
      <c r="QSX18" s="493"/>
      <c r="QSY18" s="493"/>
      <c r="QSZ18" s="493"/>
      <c r="QTA18" s="493"/>
      <c r="QTB18" s="493"/>
      <c r="QTC18" s="493"/>
      <c r="QTD18" s="493"/>
      <c r="QTE18" s="493"/>
      <c r="QTF18" s="493"/>
      <c r="QTG18" s="493"/>
      <c r="QTH18" s="493"/>
      <c r="QTI18" s="493"/>
      <c r="QTJ18" s="493"/>
      <c r="QTK18" s="493"/>
      <c r="QTL18" s="493"/>
      <c r="QTM18" s="493"/>
      <c r="QTN18" s="493"/>
      <c r="QTO18" s="493"/>
      <c r="QTP18" s="493"/>
      <c r="QTQ18" s="493"/>
      <c r="QTR18" s="493"/>
      <c r="QTS18" s="493"/>
      <c r="QTT18" s="493"/>
      <c r="QTU18" s="493"/>
      <c r="QTV18" s="493"/>
      <c r="QTW18" s="493"/>
      <c r="QTX18" s="493"/>
      <c r="QTY18" s="493"/>
      <c r="QTZ18" s="493"/>
      <c r="QUA18" s="493"/>
      <c r="QUB18" s="493"/>
      <c r="QUC18" s="493"/>
      <c r="QUD18" s="493"/>
      <c r="QUE18" s="493"/>
      <c r="QUF18" s="493"/>
      <c r="QUG18" s="493"/>
      <c r="QUH18" s="493"/>
      <c r="QUI18" s="493"/>
      <c r="QUJ18" s="493"/>
      <c r="QUK18" s="493"/>
      <c r="QUL18" s="493"/>
      <c r="QUM18" s="493"/>
      <c r="QUN18" s="493"/>
      <c r="QUO18" s="493"/>
      <c r="QUP18" s="493"/>
      <c r="QUQ18" s="493"/>
      <c r="QUR18" s="493"/>
      <c r="QUS18" s="493"/>
      <c r="QUT18" s="493"/>
      <c r="QUU18" s="493"/>
      <c r="QUV18" s="493"/>
      <c r="QUW18" s="493"/>
      <c r="QUX18" s="493"/>
      <c r="QUY18" s="493"/>
      <c r="QUZ18" s="493"/>
      <c r="QVA18" s="493"/>
      <c r="QVB18" s="493"/>
      <c r="QVC18" s="493"/>
      <c r="QVD18" s="493"/>
      <c r="QVE18" s="493"/>
      <c r="QVF18" s="493"/>
      <c r="QVG18" s="493"/>
      <c r="QVH18" s="493"/>
      <c r="QVI18" s="493"/>
      <c r="QVJ18" s="493"/>
      <c r="QVK18" s="493"/>
      <c r="QVL18" s="493"/>
      <c r="QVM18" s="493"/>
      <c r="QVN18" s="493"/>
      <c r="QVO18" s="493"/>
      <c r="QVP18" s="493"/>
      <c r="QVQ18" s="493"/>
      <c r="QVR18" s="493"/>
      <c r="QVS18" s="493"/>
      <c r="QVT18" s="493"/>
      <c r="QVU18" s="493"/>
      <c r="QVV18" s="493"/>
      <c r="QVW18" s="493"/>
      <c r="QVX18" s="493"/>
      <c r="QVY18" s="493"/>
      <c r="QVZ18" s="493"/>
      <c r="QWA18" s="493"/>
      <c r="QWB18" s="493"/>
      <c r="QWC18" s="493"/>
      <c r="QWD18" s="493"/>
      <c r="QWE18" s="493"/>
      <c r="QWF18" s="493"/>
      <c r="QWG18" s="493"/>
      <c r="QWH18" s="493"/>
      <c r="QWI18" s="493"/>
      <c r="QWJ18" s="493"/>
      <c r="QWK18" s="493"/>
      <c r="QWL18" s="493"/>
      <c r="QWM18" s="493"/>
      <c r="QWN18" s="493"/>
      <c r="QWO18" s="493"/>
      <c r="QWP18" s="493"/>
      <c r="QWQ18" s="493"/>
      <c r="QWR18" s="493"/>
      <c r="QWS18" s="493"/>
      <c r="QWT18" s="493"/>
      <c r="QWU18" s="493"/>
      <c r="QWV18" s="493"/>
      <c r="QWW18" s="493"/>
      <c r="QWX18" s="493"/>
      <c r="QWY18" s="493"/>
      <c r="QWZ18" s="493"/>
      <c r="QXA18" s="493"/>
      <c r="QXB18" s="493"/>
      <c r="QXC18" s="493"/>
      <c r="QXD18" s="493"/>
      <c r="QXE18" s="493"/>
      <c r="QXF18" s="493"/>
      <c r="QXG18" s="493"/>
      <c r="QXH18" s="493"/>
      <c r="QXI18" s="493"/>
      <c r="QXJ18" s="493"/>
      <c r="QXK18" s="493"/>
      <c r="QXL18" s="493"/>
      <c r="QXM18" s="493"/>
      <c r="QXN18" s="493"/>
      <c r="QXO18" s="493"/>
      <c r="QXP18" s="493"/>
      <c r="QXQ18" s="493"/>
      <c r="QXR18" s="493"/>
      <c r="QXS18" s="493"/>
      <c r="QXT18" s="493"/>
      <c r="QXU18" s="493"/>
      <c r="QXV18" s="493"/>
      <c r="QXW18" s="493"/>
      <c r="QXX18" s="493"/>
      <c r="QXY18" s="493"/>
      <c r="QXZ18" s="493"/>
      <c r="QYA18" s="493"/>
      <c r="QYB18" s="493"/>
      <c r="QYC18" s="493"/>
      <c r="QYD18" s="493"/>
      <c r="QYE18" s="493"/>
      <c r="QYF18" s="493"/>
      <c r="QYG18" s="493"/>
      <c r="QYH18" s="493"/>
      <c r="QYI18" s="493"/>
      <c r="QYJ18" s="493"/>
      <c r="QYK18" s="493"/>
      <c r="QYL18" s="493"/>
      <c r="QYM18" s="493"/>
      <c r="QYN18" s="493"/>
      <c r="QYO18" s="493"/>
      <c r="QYP18" s="493"/>
      <c r="QYQ18" s="493"/>
      <c r="QYR18" s="493"/>
      <c r="QYS18" s="493"/>
      <c r="QYT18" s="493"/>
      <c r="QYU18" s="493"/>
      <c r="QYV18" s="493"/>
      <c r="QYW18" s="493"/>
      <c r="QYX18" s="493"/>
      <c r="QYY18" s="493"/>
      <c r="QYZ18" s="493"/>
      <c r="QZA18" s="493"/>
      <c r="QZB18" s="493"/>
      <c r="QZC18" s="493"/>
      <c r="QZD18" s="493"/>
      <c r="QZE18" s="493"/>
      <c r="QZF18" s="493"/>
      <c r="QZG18" s="493"/>
      <c r="QZH18" s="493"/>
      <c r="QZI18" s="493"/>
      <c r="QZJ18" s="493"/>
      <c r="QZK18" s="493"/>
      <c r="QZL18" s="493"/>
      <c r="QZM18" s="493"/>
      <c r="QZN18" s="493"/>
      <c r="QZO18" s="493"/>
      <c r="QZP18" s="493"/>
      <c r="QZQ18" s="493"/>
      <c r="QZR18" s="493"/>
      <c r="QZS18" s="493"/>
      <c r="QZT18" s="493"/>
      <c r="QZU18" s="493"/>
      <c r="QZV18" s="493"/>
      <c r="QZW18" s="493"/>
      <c r="QZX18" s="493"/>
      <c r="QZY18" s="493"/>
      <c r="QZZ18" s="493"/>
      <c r="RAA18" s="493"/>
      <c r="RAB18" s="493"/>
      <c r="RAC18" s="493"/>
      <c r="RAD18" s="493"/>
      <c r="RAE18" s="493"/>
      <c r="RAF18" s="493"/>
      <c r="RAG18" s="493"/>
      <c r="RAH18" s="493"/>
      <c r="RAI18" s="493"/>
      <c r="RAJ18" s="493"/>
      <c r="RAK18" s="493"/>
      <c r="RAL18" s="493"/>
      <c r="RAM18" s="493"/>
      <c r="RAN18" s="493"/>
      <c r="RAO18" s="493"/>
      <c r="RAP18" s="493"/>
      <c r="RAQ18" s="493"/>
      <c r="RAR18" s="493"/>
      <c r="RAS18" s="493"/>
      <c r="RAT18" s="493"/>
      <c r="RAU18" s="493"/>
      <c r="RAV18" s="493"/>
      <c r="RAW18" s="493"/>
      <c r="RAX18" s="493"/>
      <c r="RAY18" s="493"/>
      <c r="RAZ18" s="493"/>
      <c r="RBA18" s="493"/>
      <c r="RBB18" s="493"/>
      <c r="RBC18" s="493"/>
      <c r="RBD18" s="493"/>
      <c r="RBE18" s="493"/>
      <c r="RBF18" s="493"/>
      <c r="RBG18" s="493"/>
      <c r="RBH18" s="493"/>
      <c r="RBI18" s="493"/>
      <c r="RBJ18" s="493"/>
      <c r="RBK18" s="493"/>
      <c r="RBL18" s="493"/>
      <c r="RBM18" s="493"/>
      <c r="RBN18" s="493"/>
      <c r="RBO18" s="493"/>
      <c r="RBP18" s="493"/>
      <c r="RBQ18" s="493"/>
      <c r="RBR18" s="493"/>
      <c r="RBS18" s="493"/>
      <c r="RBT18" s="493"/>
      <c r="RBU18" s="493"/>
      <c r="RBV18" s="493"/>
      <c r="RBW18" s="493"/>
      <c r="RBX18" s="493"/>
      <c r="RBY18" s="493"/>
      <c r="RBZ18" s="493"/>
      <c r="RCA18" s="493"/>
      <c r="RCB18" s="493"/>
      <c r="RCC18" s="493"/>
      <c r="RCD18" s="493"/>
      <c r="RCE18" s="493"/>
      <c r="RCF18" s="493"/>
      <c r="RCG18" s="493"/>
      <c r="RCH18" s="493"/>
      <c r="RCI18" s="493"/>
      <c r="RCJ18" s="493"/>
      <c r="RCK18" s="493"/>
      <c r="RCL18" s="493"/>
      <c r="RCM18" s="493"/>
      <c r="RCN18" s="493"/>
      <c r="RCO18" s="493"/>
      <c r="RCP18" s="493"/>
      <c r="RCQ18" s="493"/>
      <c r="RCR18" s="493"/>
      <c r="RCS18" s="493"/>
      <c r="RCT18" s="493"/>
      <c r="RCU18" s="493"/>
      <c r="RCV18" s="493"/>
      <c r="RCW18" s="493"/>
      <c r="RCX18" s="493"/>
      <c r="RCY18" s="493"/>
      <c r="RCZ18" s="493"/>
      <c r="RDA18" s="493"/>
      <c r="RDB18" s="493"/>
      <c r="RDC18" s="493"/>
      <c r="RDD18" s="493"/>
      <c r="RDE18" s="493"/>
      <c r="RDF18" s="493"/>
      <c r="RDG18" s="493"/>
      <c r="RDH18" s="493"/>
      <c r="RDI18" s="493"/>
      <c r="RDJ18" s="493"/>
      <c r="RDK18" s="493"/>
      <c r="RDL18" s="493"/>
      <c r="RDM18" s="493"/>
      <c r="RDN18" s="493"/>
      <c r="RDO18" s="493"/>
      <c r="RDP18" s="493"/>
      <c r="RDQ18" s="493"/>
      <c r="RDR18" s="493"/>
      <c r="RDS18" s="493"/>
      <c r="RDT18" s="493"/>
      <c r="RDU18" s="493"/>
      <c r="RDV18" s="493"/>
      <c r="RDW18" s="493"/>
      <c r="RDX18" s="493"/>
      <c r="RDY18" s="493"/>
      <c r="RDZ18" s="493"/>
      <c r="REA18" s="493"/>
      <c r="REB18" s="493"/>
      <c r="REC18" s="493"/>
      <c r="RED18" s="493"/>
      <c r="REE18" s="493"/>
      <c r="REF18" s="493"/>
      <c r="REG18" s="493"/>
      <c r="REH18" s="493"/>
      <c r="REI18" s="493"/>
      <c r="REJ18" s="493"/>
      <c r="REK18" s="493"/>
      <c r="REL18" s="493"/>
      <c r="REM18" s="493"/>
      <c r="REN18" s="493"/>
      <c r="REO18" s="493"/>
      <c r="REP18" s="493"/>
      <c r="REQ18" s="493"/>
      <c r="RER18" s="493"/>
      <c r="RES18" s="493"/>
      <c r="RET18" s="493"/>
      <c r="REU18" s="493"/>
      <c r="REV18" s="493"/>
      <c r="REW18" s="493"/>
      <c r="REX18" s="493"/>
      <c r="REY18" s="493"/>
      <c r="REZ18" s="493"/>
      <c r="RFA18" s="493"/>
      <c r="RFB18" s="493"/>
      <c r="RFC18" s="493"/>
      <c r="RFD18" s="493"/>
      <c r="RFE18" s="493"/>
      <c r="RFF18" s="493"/>
      <c r="RFG18" s="493"/>
      <c r="RFH18" s="493"/>
      <c r="RFI18" s="493"/>
      <c r="RFJ18" s="493"/>
      <c r="RFK18" s="493"/>
      <c r="RFL18" s="493"/>
      <c r="RFM18" s="493"/>
      <c r="RFN18" s="493"/>
      <c r="RFO18" s="493"/>
      <c r="RFP18" s="493"/>
      <c r="RFQ18" s="493"/>
      <c r="RFR18" s="493"/>
      <c r="RFS18" s="493"/>
      <c r="RFT18" s="493"/>
      <c r="RFU18" s="493"/>
      <c r="RFV18" s="493"/>
      <c r="RFW18" s="493"/>
      <c r="RFX18" s="493"/>
      <c r="RFY18" s="493"/>
      <c r="RFZ18" s="493"/>
      <c r="RGA18" s="493"/>
      <c r="RGB18" s="493"/>
      <c r="RGC18" s="493"/>
      <c r="RGD18" s="493"/>
      <c r="RGE18" s="493"/>
      <c r="RGF18" s="493"/>
      <c r="RGG18" s="493"/>
      <c r="RGH18" s="493"/>
      <c r="RGI18" s="493"/>
      <c r="RGJ18" s="493"/>
      <c r="RGK18" s="493"/>
      <c r="RGL18" s="493"/>
      <c r="RGM18" s="493"/>
      <c r="RGN18" s="493"/>
      <c r="RGO18" s="493"/>
      <c r="RGP18" s="493"/>
      <c r="RGQ18" s="493"/>
      <c r="RGR18" s="493"/>
      <c r="RGS18" s="493"/>
      <c r="RGT18" s="493"/>
      <c r="RGU18" s="493"/>
      <c r="RGV18" s="493"/>
      <c r="RGW18" s="493"/>
      <c r="RGX18" s="493"/>
      <c r="RGY18" s="493"/>
      <c r="RGZ18" s="493"/>
      <c r="RHA18" s="493"/>
      <c r="RHB18" s="493"/>
      <c r="RHC18" s="493"/>
      <c r="RHD18" s="493"/>
      <c r="RHE18" s="493"/>
      <c r="RHF18" s="493"/>
      <c r="RHG18" s="493"/>
      <c r="RHH18" s="493"/>
      <c r="RHI18" s="493"/>
      <c r="RHJ18" s="493"/>
      <c r="RHK18" s="493"/>
      <c r="RHL18" s="493"/>
      <c r="RHM18" s="493"/>
      <c r="RHN18" s="493"/>
      <c r="RHO18" s="493"/>
      <c r="RHP18" s="493"/>
      <c r="RHQ18" s="493"/>
      <c r="RHR18" s="493"/>
      <c r="RHS18" s="493"/>
      <c r="RHT18" s="493"/>
      <c r="RHU18" s="493"/>
      <c r="RHV18" s="493"/>
      <c r="RHW18" s="493"/>
      <c r="RHX18" s="493"/>
      <c r="RHY18" s="493"/>
      <c r="RHZ18" s="493"/>
      <c r="RIA18" s="493"/>
      <c r="RIB18" s="493"/>
      <c r="RIC18" s="493"/>
      <c r="RID18" s="493"/>
      <c r="RIE18" s="493"/>
      <c r="RIF18" s="493"/>
      <c r="RIG18" s="493"/>
      <c r="RIH18" s="493"/>
      <c r="RII18" s="493"/>
      <c r="RIJ18" s="493"/>
      <c r="RIK18" s="493"/>
      <c r="RIL18" s="493"/>
      <c r="RIM18" s="493"/>
      <c r="RIN18" s="493"/>
      <c r="RIO18" s="493"/>
      <c r="RIP18" s="493"/>
      <c r="RIQ18" s="493"/>
      <c r="RIR18" s="493"/>
      <c r="RIS18" s="493"/>
      <c r="RIT18" s="493"/>
      <c r="RIU18" s="493"/>
      <c r="RIV18" s="493"/>
      <c r="RIW18" s="493"/>
      <c r="RIX18" s="493"/>
      <c r="RIY18" s="493"/>
      <c r="RIZ18" s="493"/>
      <c r="RJA18" s="493"/>
      <c r="RJB18" s="493"/>
      <c r="RJC18" s="493"/>
      <c r="RJD18" s="493"/>
      <c r="RJE18" s="493"/>
      <c r="RJF18" s="493"/>
      <c r="RJG18" s="493"/>
      <c r="RJH18" s="493"/>
      <c r="RJI18" s="493"/>
      <c r="RJJ18" s="493"/>
      <c r="RJK18" s="493"/>
      <c r="RJL18" s="493"/>
      <c r="RJM18" s="493"/>
      <c r="RJN18" s="493"/>
      <c r="RJO18" s="493"/>
      <c r="RJP18" s="493"/>
      <c r="RJQ18" s="493"/>
      <c r="RJR18" s="493"/>
      <c r="RJS18" s="493"/>
      <c r="RJT18" s="493"/>
      <c r="RJU18" s="493"/>
      <c r="RJV18" s="493"/>
      <c r="RJW18" s="493"/>
      <c r="RJX18" s="493"/>
      <c r="RJY18" s="493"/>
      <c r="RJZ18" s="493"/>
      <c r="RKA18" s="493"/>
      <c r="RKB18" s="493"/>
      <c r="RKC18" s="493"/>
      <c r="RKD18" s="493"/>
      <c r="RKE18" s="493"/>
      <c r="RKF18" s="493"/>
      <c r="RKG18" s="493"/>
      <c r="RKH18" s="493"/>
      <c r="RKI18" s="493"/>
      <c r="RKJ18" s="493"/>
      <c r="RKK18" s="493"/>
      <c r="RKL18" s="493"/>
      <c r="RKM18" s="493"/>
      <c r="RKN18" s="493"/>
      <c r="RKO18" s="493"/>
      <c r="RKP18" s="493"/>
      <c r="RKQ18" s="493"/>
      <c r="RKR18" s="493"/>
      <c r="RKS18" s="493"/>
      <c r="RKT18" s="493"/>
      <c r="RKU18" s="493"/>
      <c r="RKV18" s="493"/>
      <c r="RKW18" s="493"/>
      <c r="RKX18" s="493"/>
      <c r="RKY18" s="493"/>
      <c r="RKZ18" s="493"/>
      <c r="RLA18" s="493"/>
      <c r="RLB18" s="493"/>
      <c r="RLC18" s="493"/>
      <c r="RLD18" s="493"/>
      <c r="RLE18" s="493"/>
      <c r="RLF18" s="493"/>
      <c r="RLG18" s="493"/>
      <c r="RLH18" s="493"/>
      <c r="RLI18" s="493"/>
      <c r="RLJ18" s="493"/>
      <c r="RLK18" s="493"/>
      <c r="RLL18" s="493"/>
      <c r="RLM18" s="493"/>
      <c r="RLN18" s="493"/>
      <c r="RLO18" s="493"/>
      <c r="RLP18" s="493"/>
      <c r="RLQ18" s="493"/>
      <c r="RLR18" s="493"/>
      <c r="RLS18" s="493"/>
      <c r="RLT18" s="493"/>
      <c r="RLU18" s="493"/>
      <c r="RLV18" s="493"/>
      <c r="RLW18" s="493"/>
      <c r="RLX18" s="493"/>
      <c r="RLY18" s="493"/>
      <c r="RLZ18" s="493"/>
      <c r="RMA18" s="493"/>
      <c r="RMB18" s="493"/>
      <c r="RMC18" s="493"/>
      <c r="RMD18" s="493"/>
      <c r="RME18" s="493"/>
      <c r="RMF18" s="493"/>
      <c r="RMG18" s="493"/>
      <c r="RMH18" s="493"/>
      <c r="RMI18" s="493"/>
      <c r="RMJ18" s="493"/>
      <c r="RMK18" s="493"/>
      <c r="RML18" s="493"/>
      <c r="RMM18" s="493"/>
      <c r="RMN18" s="493"/>
      <c r="RMO18" s="493"/>
      <c r="RMP18" s="493"/>
      <c r="RMQ18" s="493"/>
      <c r="RMR18" s="493"/>
      <c r="RMS18" s="493"/>
      <c r="RMT18" s="493"/>
      <c r="RMU18" s="493"/>
      <c r="RMV18" s="493"/>
      <c r="RMW18" s="493"/>
      <c r="RMX18" s="493"/>
      <c r="RMY18" s="493"/>
      <c r="RMZ18" s="493"/>
      <c r="RNA18" s="493"/>
      <c r="RNB18" s="493"/>
      <c r="RNC18" s="493"/>
      <c r="RND18" s="493"/>
      <c r="RNE18" s="493"/>
      <c r="RNF18" s="493"/>
      <c r="RNG18" s="493"/>
      <c r="RNH18" s="493"/>
      <c r="RNI18" s="493"/>
      <c r="RNJ18" s="493"/>
      <c r="RNK18" s="493"/>
      <c r="RNL18" s="493"/>
      <c r="RNM18" s="493"/>
      <c r="RNN18" s="493"/>
      <c r="RNO18" s="493"/>
      <c r="RNP18" s="493"/>
      <c r="RNQ18" s="493"/>
      <c r="RNR18" s="493"/>
      <c r="RNS18" s="493"/>
      <c r="RNT18" s="493"/>
      <c r="RNU18" s="493"/>
      <c r="RNV18" s="493"/>
      <c r="RNW18" s="493"/>
      <c r="RNX18" s="493"/>
      <c r="RNY18" s="493"/>
      <c r="RNZ18" s="493"/>
      <c r="ROA18" s="493"/>
      <c r="ROB18" s="493"/>
      <c r="ROC18" s="493"/>
      <c r="ROD18" s="493"/>
      <c r="ROE18" s="493"/>
      <c r="ROF18" s="493"/>
      <c r="ROG18" s="493"/>
      <c r="ROH18" s="493"/>
      <c r="ROI18" s="493"/>
      <c r="ROJ18" s="493"/>
      <c r="ROK18" s="493"/>
      <c r="ROL18" s="493"/>
      <c r="ROM18" s="493"/>
      <c r="RON18" s="493"/>
      <c r="ROO18" s="493"/>
      <c r="ROP18" s="493"/>
      <c r="ROQ18" s="493"/>
      <c r="ROR18" s="493"/>
      <c r="ROS18" s="493"/>
      <c r="ROT18" s="493"/>
      <c r="ROU18" s="493"/>
      <c r="ROV18" s="493"/>
      <c r="ROW18" s="493"/>
      <c r="ROX18" s="493"/>
      <c r="ROY18" s="493"/>
      <c r="ROZ18" s="493"/>
      <c r="RPA18" s="493"/>
      <c r="RPB18" s="493"/>
      <c r="RPC18" s="493"/>
      <c r="RPD18" s="493"/>
      <c r="RPE18" s="493"/>
      <c r="RPF18" s="493"/>
      <c r="RPG18" s="493"/>
      <c r="RPH18" s="493"/>
      <c r="RPI18" s="493"/>
      <c r="RPJ18" s="493"/>
      <c r="RPK18" s="493"/>
      <c r="RPL18" s="493"/>
      <c r="RPM18" s="493"/>
      <c r="RPN18" s="493"/>
      <c r="RPO18" s="493"/>
      <c r="RPP18" s="493"/>
      <c r="RPQ18" s="493"/>
      <c r="RPR18" s="493"/>
      <c r="RPS18" s="493"/>
      <c r="RPT18" s="493"/>
      <c r="RPU18" s="493"/>
      <c r="RPV18" s="493"/>
      <c r="RPW18" s="493"/>
      <c r="RPX18" s="493"/>
      <c r="RPY18" s="493"/>
      <c r="RPZ18" s="493"/>
      <c r="RQA18" s="493"/>
      <c r="RQB18" s="493"/>
      <c r="RQC18" s="493"/>
      <c r="RQD18" s="493"/>
      <c r="RQE18" s="493"/>
      <c r="RQF18" s="493"/>
      <c r="RQG18" s="493"/>
      <c r="RQH18" s="493"/>
      <c r="RQI18" s="493"/>
      <c r="RQJ18" s="493"/>
      <c r="RQK18" s="493"/>
      <c r="RQL18" s="493"/>
      <c r="RQM18" s="493"/>
      <c r="RQN18" s="493"/>
      <c r="RQO18" s="493"/>
      <c r="RQP18" s="493"/>
      <c r="RQQ18" s="493"/>
      <c r="RQR18" s="493"/>
      <c r="RQS18" s="493"/>
      <c r="RQT18" s="493"/>
      <c r="RQU18" s="493"/>
      <c r="RQV18" s="493"/>
      <c r="RQW18" s="493"/>
      <c r="RQX18" s="493"/>
      <c r="RQY18" s="493"/>
      <c r="RQZ18" s="493"/>
      <c r="RRA18" s="493"/>
      <c r="RRB18" s="493"/>
      <c r="RRC18" s="493"/>
      <c r="RRD18" s="493"/>
      <c r="RRE18" s="493"/>
      <c r="RRF18" s="493"/>
      <c r="RRG18" s="493"/>
      <c r="RRH18" s="493"/>
      <c r="RRI18" s="493"/>
      <c r="RRJ18" s="493"/>
      <c r="RRK18" s="493"/>
      <c r="RRL18" s="493"/>
      <c r="RRM18" s="493"/>
      <c r="RRN18" s="493"/>
      <c r="RRO18" s="493"/>
      <c r="RRP18" s="493"/>
      <c r="RRQ18" s="493"/>
      <c r="RRR18" s="493"/>
      <c r="RRS18" s="493"/>
      <c r="RRT18" s="493"/>
      <c r="RRU18" s="493"/>
      <c r="RRV18" s="493"/>
      <c r="RRW18" s="493"/>
      <c r="RRX18" s="493"/>
      <c r="RRY18" s="493"/>
      <c r="RRZ18" s="493"/>
      <c r="RSA18" s="493"/>
      <c r="RSB18" s="493"/>
      <c r="RSC18" s="493"/>
      <c r="RSD18" s="493"/>
      <c r="RSE18" s="493"/>
      <c r="RSF18" s="493"/>
      <c r="RSG18" s="493"/>
      <c r="RSH18" s="493"/>
      <c r="RSI18" s="493"/>
      <c r="RSJ18" s="493"/>
      <c r="RSK18" s="493"/>
      <c r="RSL18" s="493"/>
      <c r="RSM18" s="493"/>
      <c r="RSN18" s="493"/>
      <c r="RSO18" s="493"/>
      <c r="RSP18" s="493"/>
      <c r="RSQ18" s="493"/>
      <c r="RSR18" s="493"/>
      <c r="RSS18" s="493"/>
      <c r="RST18" s="493"/>
      <c r="RSU18" s="493"/>
      <c r="RSV18" s="493"/>
      <c r="RSW18" s="493"/>
      <c r="RSX18" s="493"/>
      <c r="RSY18" s="493"/>
      <c r="RSZ18" s="493"/>
      <c r="RTA18" s="493"/>
      <c r="RTB18" s="493"/>
      <c r="RTC18" s="493"/>
      <c r="RTD18" s="493"/>
      <c r="RTE18" s="493"/>
      <c r="RTF18" s="493"/>
      <c r="RTG18" s="493"/>
      <c r="RTH18" s="493"/>
      <c r="RTI18" s="493"/>
      <c r="RTJ18" s="493"/>
      <c r="RTK18" s="493"/>
      <c r="RTL18" s="493"/>
      <c r="RTM18" s="493"/>
      <c r="RTN18" s="493"/>
      <c r="RTO18" s="493"/>
      <c r="RTP18" s="493"/>
      <c r="RTQ18" s="493"/>
      <c r="RTR18" s="493"/>
      <c r="RTS18" s="493"/>
      <c r="RTT18" s="493"/>
      <c r="RTU18" s="493"/>
      <c r="RTV18" s="493"/>
      <c r="RTW18" s="493"/>
      <c r="RTX18" s="493"/>
      <c r="RTY18" s="493"/>
      <c r="RTZ18" s="493"/>
      <c r="RUA18" s="493"/>
      <c r="RUB18" s="493"/>
      <c r="RUC18" s="493"/>
      <c r="RUD18" s="493"/>
      <c r="RUE18" s="493"/>
      <c r="RUF18" s="493"/>
      <c r="RUG18" s="493"/>
      <c r="RUH18" s="493"/>
      <c r="RUI18" s="493"/>
      <c r="RUJ18" s="493"/>
      <c r="RUK18" s="493"/>
      <c r="RUL18" s="493"/>
      <c r="RUM18" s="493"/>
      <c r="RUN18" s="493"/>
      <c r="RUO18" s="493"/>
      <c r="RUP18" s="493"/>
      <c r="RUQ18" s="493"/>
      <c r="RUR18" s="493"/>
      <c r="RUS18" s="493"/>
      <c r="RUT18" s="493"/>
      <c r="RUU18" s="493"/>
      <c r="RUV18" s="493"/>
      <c r="RUW18" s="493"/>
      <c r="RUX18" s="493"/>
      <c r="RUY18" s="493"/>
      <c r="RUZ18" s="493"/>
      <c r="RVA18" s="493"/>
      <c r="RVB18" s="493"/>
      <c r="RVC18" s="493"/>
      <c r="RVD18" s="493"/>
      <c r="RVE18" s="493"/>
      <c r="RVF18" s="493"/>
      <c r="RVG18" s="493"/>
      <c r="RVH18" s="493"/>
      <c r="RVI18" s="493"/>
      <c r="RVJ18" s="493"/>
      <c r="RVK18" s="493"/>
      <c r="RVL18" s="493"/>
      <c r="RVM18" s="493"/>
      <c r="RVN18" s="493"/>
      <c r="RVO18" s="493"/>
      <c r="RVP18" s="493"/>
      <c r="RVQ18" s="493"/>
      <c r="RVR18" s="493"/>
      <c r="RVS18" s="493"/>
      <c r="RVT18" s="493"/>
      <c r="RVU18" s="493"/>
      <c r="RVV18" s="493"/>
      <c r="RVW18" s="493"/>
      <c r="RVX18" s="493"/>
      <c r="RVY18" s="493"/>
      <c r="RVZ18" s="493"/>
      <c r="RWA18" s="493"/>
      <c r="RWB18" s="493"/>
      <c r="RWC18" s="493"/>
      <c r="RWD18" s="493"/>
      <c r="RWE18" s="493"/>
      <c r="RWF18" s="493"/>
      <c r="RWG18" s="493"/>
      <c r="RWH18" s="493"/>
      <c r="RWI18" s="493"/>
      <c r="RWJ18" s="493"/>
      <c r="RWK18" s="493"/>
      <c r="RWL18" s="493"/>
      <c r="RWM18" s="493"/>
      <c r="RWN18" s="493"/>
      <c r="RWO18" s="493"/>
      <c r="RWP18" s="493"/>
      <c r="RWQ18" s="493"/>
      <c r="RWR18" s="493"/>
      <c r="RWS18" s="493"/>
      <c r="RWT18" s="493"/>
      <c r="RWU18" s="493"/>
      <c r="RWV18" s="493"/>
      <c r="RWW18" s="493"/>
      <c r="RWX18" s="493"/>
      <c r="RWY18" s="493"/>
      <c r="RWZ18" s="493"/>
      <c r="RXA18" s="493"/>
      <c r="RXB18" s="493"/>
      <c r="RXC18" s="493"/>
      <c r="RXD18" s="493"/>
      <c r="RXE18" s="493"/>
      <c r="RXF18" s="493"/>
      <c r="RXG18" s="493"/>
      <c r="RXH18" s="493"/>
      <c r="RXI18" s="493"/>
      <c r="RXJ18" s="493"/>
      <c r="RXK18" s="493"/>
      <c r="RXL18" s="493"/>
      <c r="RXM18" s="493"/>
      <c r="RXN18" s="493"/>
      <c r="RXO18" s="493"/>
      <c r="RXP18" s="493"/>
      <c r="RXQ18" s="493"/>
      <c r="RXR18" s="493"/>
      <c r="RXS18" s="493"/>
      <c r="RXT18" s="493"/>
      <c r="RXU18" s="493"/>
      <c r="RXV18" s="493"/>
      <c r="RXW18" s="493"/>
      <c r="RXX18" s="493"/>
      <c r="RXY18" s="493"/>
      <c r="RXZ18" s="493"/>
      <c r="RYA18" s="493"/>
      <c r="RYB18" s="493"/>
      <c r="RYC18" s="493"/>
      <c r="RYD18" s="493"/>
      <c r="RYE18" s="493"/>
      <c r="RYF18" s="493"/>
      <c r="RYG18" s="493"/>
      <c r="RYH18" s="493"/>
      <c r="RYI18" s="493"/>
      <c r="RYJ18" s="493"/>
      <c r="RYK18" s="493"/>
      <c r="RYL18" s="493"/>
      <c r="RYM18" s="493"/>
      <c r="RYN18" s="493"/>
      <c r="RYO18" s="493"/>
      <c r="RYP18" s="493"/>
      <c r="RYQ18" s="493"/>
      <c r="RYR18" s="493"/>
      <c r="RYS18" s="493"/>
      <c r="RYT18" s="493"/>
      <c r="RYU18" s="493"/>
      <c r="RYV18" s="493"/>
      <c r="RYW18" s="493"/>
      <c r="RYX18" s="493"/>
      <c r="RYY18" s="493"/>
      <c r="RYZ18" s="493"/>
      <c r="RZA18" s="493"/>
      <c r="RZB18" s="493"/>
      <c r="RZC18" s="493"/>
      <c r="RZD18" s="493"/>
      <c r="RZE18" s="493"/>
      <c r="RZF18" s="493"/>
      <c r="RZG18" s="493"/>
      <c r="RZH18" s="493"/>
      <c r="RZI18" s="493"/>
      <c r="RZJ18" s="493"/>
      <c r="RZK18" s="493"/>
      <c r="RZL18" s="493"/>
      <c r="RZM18" s="493"/>
      <c r="RZN18" s="493"/>
      <c r="RZO18" s="493"/>
      <c r="RZP18" s="493"/>
      <c r="RZQ18" s="493"/>
      <c r="RZR18" s="493"/>
      <c r="RZS18" s="493"/>
      <c r="RZT18" s="493"/>
      <c r="RZU18" s="493"/>
      <c r="RZV18" s="493"/>
      <c r="RZW18" s="493"/>
      <c r="RZX18" s="493"/>
      <c r="RZY18" s="493"/>
      <c r="RZZ18" s="493"/>
      <c r="SAA18" s="493"/>
      <c r="SAB18" s="493"/>
      <c r="SAC18" s="493"/>
      <c r="SAD18" s="493"/>
      <c r="SAE18" s="493"/>
      <c r="SAF18" s="493"/>
      <c r="SAG18" s="493"/>
      <c r="SAH18" s="493"/>
      <c r="SAI18" s="493"/>
      <c r="SAJ18" s="493"/>
      <c r="SAK18" s="493"/>
      <c r="SAL18" s="493"/>
      <c r="SAM18" s="493"/>
      <c r="SAN18" s="493"/>
      <c r="SAO18" s="493"/>
      <c r="SAP18" s="493"/>
      <c r="SAQ18" s="493"/>
      <c r="SAR18" s="493"/>
      <c r="SAS18" s="493"/>
      <c r="SAT18" s="493"/>
      <c r="SAU18" s="493"/>
      <c r="SAV18" s="493"/>
      <c r="SAW18" s="493"/>
      <c r="SAX18" s="493"/>
      <c r="SAY18" s="493"/>
      <c r="SAZ18" s="493"/>
      <c r="SBA18" s="493"/>
      <c r="SBB18" s="493"/>
      <c r="SBC18" s="493"/>
      <c r="SBD18" s="493"/>
      <c r="SBE18" s="493"/>
      <c r="SBF18" s="493"/>
      <c r="SBG18" s="493"/>
      <c r="SBH18" s="493"/>
      <c r="SBI18" s="493"/>
      <c r="SBJ18" s="493"/>
      <c r="SBK18" s="493"/>
      <c r="SBL18" s="493"/>
      <c r="SBM18" s="493"/>
      <c r="SBN18" s="493"/>
      <c r="SBO18" s="493"/>
      <c r="SBP18" s="493"/>
      <c r="SBQ18" s="493"/>
      <c r="SBR18" s="493"/>
      <c r="SBS18" s="493"/>
      <c r="SBT18" s="493"/>
      <c r="SBU18" s="493"/>
      <c r="SBV18" s="493"/>
      <c r="SBW18" s="493"/>
      <c r="SBX18" s="493"/>
      <c r="SBY18" s="493"/>
      <c r="SBZ18" s="493"/>
      <c r="SCA18" s="493"/>
      <c r="SCB18" s="493"/>
      <c r="SCC18" s="493"/>
      <c r="SCD18" s="493"/>
      <c r="SCE18" s="493"/>
      <c r="SCF18" s="493"/>
      <c r="SCG18" s="493"/>
      <c r="SCH18" s="493"/>
      <c r="SCI18" s="493"/>
      <c r="SCJ18" s="493"/>
      <c r="SCK18" s="493"/>
      <c r="SCL18" s="493"/>
      <c r="SCM18" s="493"/>
      <c r="SCN18" s="493"/>
      <c r="SCO18" s="493"/>
      <c r="SCP18" s="493"/>
      <c r="SCQ18" s="493"/>
      <c r="SCR18" s="493"/>
      <c r="SCS18" s="493"/>
      <c r="SCT18" s="493"/>
      <c r="SCU18" s="493"/>
      <c r="SCV18" s="493"/>
      <c r="SCW18" s="493"/>
      <c r="SCX18" s="493"/>
      <c r="SCY18" s="493"/>
      <c r="SCZ18" s="493"/>
      <c r="SDA18" s="493"/>
      <c r="SDB18" s="493"/>
      <c r="SDC18" s="493"/>
      <c r="SDD18" s="493"/>
      <c r="SDE18" s="493"/>
      <c r="SDF18" s="493"/>
      <c r="SDG18" s="493"/>
      <c r="SDH18" s="493"/>
      <c r="SDI18" s="493"/>
      <c r="SDJ18" s="493"/>
      <c r="SDK18" s="493"/>
      <c r="SDL18" s="493"/>
      <c r="SDM18" s="493"/>
      <c r="SDN18" s="493"/>
      <c r="SDO18" s="493"/>
      <c r="SDP18" s="493"/>
      <c r="SDQ18" s="493"/>
      <c r="SDR18" s="493"/>
      <c r="SDS18" s="493"/>
      <c r="SDT18" s="493"/>
      <c r="SDU18" s="493"/>
      <c r="SDV18" s="493"/>
      <c r="SDW18" s="493"/>
      <c r="SDX18" s="493"/>
      <c r="SDY18" s="493"/>
      <c r="SDZ18" s="493"/>
      <c r="SEA18" s="493"/>
      <c r="SEB18" s="493"/>
      <c r="SEC18" s="493"/>
      <c r="SED18" s="493"/>
      <c r="SEE18" s="493"/>
      <c r="SEF18" s="493"/>
      <c r="SEG18" s="493"/>
      <c r="SEH18" s="493"/>
      <c r="SEI18" s="493"/>
      <c r="SEJ18" s="493"/>
      <c r="SEK18" s="493"/>
      <c r="SEL18" s="493"/>
      <c r="SEM18" s="493"/>
      <c r="SEN18" s="493"/>
      <c r="SEO18" s="493"/>
      <c r="SEP18" s="493"/>
      <c r="SEQ18" s="493"/>
      <c r="SER18" s="493"/>
      <c r="SES18" s="493"/>
      <c r="SET18" s="493"/>
      <c r="SEU18" s="493"/>
      <c r="SEV18" s="493"/>
      <c r="SEW18" s="493"/>
      <c r="SEX18" s="493"/>
      <c r="SEY18" s="493"/>
      <c r="SEZ18" s="493"/>
      <c r="SFA18" s="493"/>
      <c r="SFB18" s="493"/>
      <c r="SFC18" s="493"/>
      <c r="SFD18" s="493"/>
      <c r="SFE18" s="493"/>
      <c r="SFF18" s="493"/>
      <c r="SFG18" s="493"/>
      <c r="SFH18" s="493"/>
      <c r="SFI18" s="493"/>
      <c r="SFJ18" s="493"/>
      <c r="SFK18" s="493"/>
      <c r="SFL18" s="493"/>
      <c r="SFM18" s="493"/>
      <c r="SFN18" s="493"/>
      <c r="SFO18" s="493"/>
      <c r="SFP18" s="493"/>
      <c r="SFQ18" s="493"/>
      <c r="SFR18" s="493"/>
      <c r="SFS18" s="493"/>
      <c r="SFT18" s="493"/>
      <c r="SFU18" s="493"/>
      <c r="SFV18" s="493"/>
      <c r="SFW18" s="493"/>
      <c r="SFX18" s="493"/>
      <c r="SFY18" s="493"/>
      <c r="SFZ18" s="493"/>
      <c r="SGA18" s="493"/>
      <c r="SGB18" s="493"/>
      <c r="SGC18" s="493"/>
      <c r="SGD18" s="493"/>
      <c r="SGE18" s="493"/>
      <c r="SGF18" s="493"/>
      <c r="SGG18" s="493"/>
      <c r="SGH18" s="493"/>
      <c r="SGI18" s="493"/>
      <c r="SGJ18" s="493"/>
      <c r="SGK18" s="493"/>
      <c r="SGL18" s="493"/>
      <c r="SGM18" s="493"/>
      <c r="SGN18" s="493"/>
      <c r="SGO18" s="493"/>
      <c r="SGP18" s="493"/>
      <c r="SGQ18" s="493"/>
      <c r="SGR18" s="493"/>
      <c r="SGS18" s="493"/>
      <c r="SGT18" s="493"/>
      <c r="SGU18" s="493"/>
      <c r="SGV18" s="493"/>
      <c r="SGW18" s="493"/>
      <c r="SGX18" s="493"/>
      <c r="SGY18" s="493"/>
      <c r="SGZ18" s="493"/>
      <c r="SHA18" s="493"/>
      <c r="SHB18" s="493"/>
      <c r="SHC18" s="493"/>
      <c r="SHD18" s="493"/>
      <c r="SHE18" s="493"/>
      <c r="SHF18" s="493"/>
      <c r="SHG18" s="493"/>
      <c r="SHH18" s="493"/>
      <c r="SHI18" s="493"/>
      <c r="SHJ18" s="493"/>
      <c r="SHK18" s="493"/>
      <c r="SHL18" s="493"/>
      <c r="SHM18" s="493"/>
      <c r="SHN18" s="493"/>
      <c r="SHO18" s="493"/>
      <c r="SHP18" s="493"/>
      <c r="SHQ18" s="493"/>
      <c r="SHR18" s="493"/>
      <c r="SHS18" s="493"/>
      <c r="SHT18" s="493"/>
      <c r="SHU18" s="493"/>
      <c r="SHV18" s="493"/>
      <c r="SHW18" s="493"/>
      <c r="SHX18" s="493"/>
      <c r="SHY18" s="493"/>
      <c r="SHZ18" s="493"/>
      <c r="SIA18" s="493"/>
      <c r="SIB18" s="493"/>
      <c r="SIC18" s="493"/>
      <c r="SID18" s="493"/>
      <c r="SIE18" s="493"/>
      <c r="SIF18" s="493"/>
      <c r="SIG18" s="493"/>
      <c r="SIH18" s="493"/>
      <c r="SII18" s="493"/>
      <c r="SIJ18" s="493"/>
      <c r="SIK18" s="493"/>
      <c r="SIL18" s="493"/>
      <c r="SIM18" s="493"/>
      <c r="SIN18" s="493"/>
      <c r="SIO18" s="493"/>
      <c r="SIP18" s="493"/>
      <c r="SIQ18" s="493"/>
      <c r="SIR18" s="493"/>
      <c r="SIS18" s="493"/>
      <c r="SIT18" s="493"/>
      <c r="SIU18" s="493"/>
      <c r="SIV18" s="493"/>
      <c r="SIW18" s="493"/>
      <c r="SIX18" s="493"/>
      <c r="SIY18" s="493"/>
      <c r="SIZ18" s="493"/>
      <c r="SJA18" s="493"/>
      <c r="SJB18" s="493"/>
      <c r="SJC18" s="493"/>
      <c r="SJD18" s="493"/>
      <c r="SJE18" s="493"/>
      <c r="SJF18" s="493"/>
      <c r="SJG18" s="493"/>
      <c r="SJH18" s="493"/>
      <c r="SJI18" s="493"/>
      <c r="SJJ18" s="493"/>
      <c r="SJK18" s="493"/>
      <c r="SJL18" s="493"/>
      <c r="SJM18" s="493"/>
      <c r="SJN18" s="493"/>
      <c r="SJO18" s="493"/>
      <c r="SJP18" s="493"/>
      <c r="SJQ18" s="493"/>
      <c r="SJR18" s="493"/>
      <c r="SJS18" s="493"/>
      <c r="SJT18" s="493"/>
      <c r="SJU18" s="493"/>
      <c r="SJV18" s="493"/>
      <c r="SJW18" s="493"/>
      <c r="SJX18" s="493"/>
      <c r="SJY18" s="493"/>
      <c r="SJZ18" s="493"/>
      <c r="SKA18" s="493"/>
      <c r="SKB18" s="493"/>
      <c r="SKC18" s="493"/>
      <c r="SKD18" s="493"/>
      <c r="SKE18" s="493"/>
      <c r="SKF18" s="493"/>
      <c r="SKG18" s="493"/>
      <c r="SKH18" s="493"/>
      <c r="SKI18" s="493"/>
      <c r="SKJ18" s="493"/>
      <c r="SKK18" s="493"/>
      <c r="SKL18" s="493"/>
      <c r="SKM18" s="493"/>
      <c r="SKN18" s="493"/>
      <c r="SKO18" s="493"/>
      <c r="SKP18" s="493"/>
      <c r="SKQ18" s="493"/>
      <c r="SKR18" s="493"/>
      <c r="SKS18" s="493"/>
      <c r="SKT18" s="493"/>
      <c r="SKU18" s="493"/>
      <c r="SKV18" s="493"/>
      <c r="SKW18" s="493"/>
      <c r="SKX18" s="493"/>
      <c r="SKY18" s="493"/>
      <c r="SKZ18" s="493"/>
      <c r="SLA18" s="493"/>
      <c r="SLB18" s="493"/>
      <c r="SLC18" s="493"/>
      <c r="SLD18" s="493"/>
      <c r="SLE18" s="493"/>
      <c r="SLF18" s="493"/>
      <c r="SLG18" s="493"/>
      <c r="SLH18" s="493"/>
      <c r="SLI18" s="493"/>
      <c r="SLJ18" s="493"/>
      <c r="SLK18" s="493"/>
      <c r="SLL18" s="493"/>
      <c r="SLM18" s="493"/>
      <c r="SLN18" s="493"/>
      <c r="SLO18" s="493"/>
      <c r="SLP18" s="493"/>
      <c r="SLQ18" s="493"/>
      <c r="SLR18" s="493"/>
      <c r="SLS18" s="493"/>
      <c r="SLT18" s="493"/>
      <c r="SLU18" s="493"/>
      <c r="SLV18" s="493"/>
      <c r="SLW18" s="493"/>
      <c r="SLX18" s="493"/>
      <c r="SLY18" s="493"/>
      <c r="SLZ18" s="493"/>
      <c r="SMA18" s="493"/>
      <c r="SMB18" s="493"/>
      <c r="SMC18" s="493"/>
      <c r="SMD18" s="493"/>
      <c r="SME18" s="493"/>
      <c r="SMF18" s="493"/>
      <c r="SMG18" s="493"/>
      <c r="SMH18" s="493"/>
      <c r="SMI18" s="493"/>
      <c r="SMJ18" s="493"/>
      <c r="SMK18" s="493"/>
      <c r="SML18" s="493"/>
      <c r="SMM18" s="493"/>
      <c r="SMN18" s="493"/>
      <c r="SMO18" s="493"/>
      <c r="SMP18" s="493"/>
      <c r="SMQ18" s="493"/>
      <c r="SMR18" s="493"/>
      <c r="SMS18" s="493"/>
      <c r="SMT18" s="493"/>
      <c r="SMU18" s="493"/>
      <c r="SMV18" s="493"/>
      <c r="SMW18" s="493"/>
      <c r="SMX18" s="493"/>
      <c r="SMY18" s="493"/>
      <c r="SMZ18" s="493"/>
      <c r="SNA18" s="493"/>
      <c r="SNB18" s="493"/>
      <c r="SNC18" s="493"/>
      <c r="SND18" s="493"/>
      <c r="SNE18" s="493"/>
      <c r="SNF18" s="493"/>
      <c r="SNG18" s="493"/>
      <c r="SNH18" s="493"/>
      <c r="SNI18" s="493"/>
      <c r="SNJ18" s="493"/>
      <c r="SNK18" s="493"/>
      <c r="SNL18" s="493"/>
      <c r="SNM18" s="493"/>
      <c r="SNN18" s="493"/>
      <c r="SNO18" s="493"/>
      <c r="SNP18" s="493"/>
      <c r="SNQ18" s="493"/>
      <c r="SNR18" s="493"/>
      <c r="SNS18" s="493"/>
      <c r="SNT18" s="493"/>
      <c r="SNU18" s="493"/>
      <c r="SNV18" s="493"/>
      <c r="SNW18" s="493"/>
      <c r="SNX18" s="493"/>
      <c r="SNY18" s="493"/>
      <c r="SNZ18" s="493"/>
      <c r="SOA18" s="493"/>
      <c r="SOB18" s="493"/>
      <c r="SOC18" s="493"/>
      <c r="SOD18" s="493"/>
      <c r="SOE18" s="493"/>
      <c r="SOF18" s="493"/>
      <c r="SOG18" s="493"/>
      <c r="SOH18" s="493"/>
      <c r="SOI18" s="493"/>
      <c r="SOJ18" s="493"/>
      <c r="SOK18" s="493"/>
      <c r="SOL18" s="493"/>
      <c r="SOM18" s="493"/>
      <c r="SON18" s="493"/>
      <c r="SOO18" s="493"/>
      <c r="SOP18" s="493"/>
      <c r="SOQ18" s="493"/>
      <c r="SOR18" s="493"/>
      <c r="SOS18" s="493"/>
      <c r="SOT18" s="493"/>
      <c r="SOU18" s="493"/>
      <c r="SOV18" s="493"/>
      <c r="SOW18" s="493"/>
      <c r="SOX18" s="493"/>
      <c r="SOY18" s="493"/>
      <c r="SOZ18" s="493"/>
      <c r="SPA18" s="493"/>
      <c r="SPB18" s="493"/>
      <c r="SPC18" s="493"/>
      <c r="SPD18" s="493"/>
      <c r="SPE18" s="493"/>
      <c r="SPF18" s="493"/>
      <c r="SPG18" s="493"/>
      <c r="SPH18" s="493"/>
      <c r="SPI18" s="493"/>
      <c r="SPJ18" s="493"/>
      <c r="SPK18" s="493"/>
      <c r="SPL18" s="493"/>
      <c r="SPM18" s="493"/>
      <c r="SPN18" s="493"/>
      <c r="SPO18" s="493"/>
      <c r="SPP18" s="493"/>
      <c r="SPQ18" s="493"/>
      <c r="SPR18" s="493"/>
      <c r="SPS18" s="493"/>
      <c r="SPT18" s="493"/>
      <c r="SPU18" s="493"/>
      <c r="SPV18" s="493"/>
      <c r="SPW18" s="493"/>
      <c r="SPX18" s="493"/>
      <c r="SPY18" s="493"/>
      <c r="SPZ18" s="493"/>
      <c r="SQA18" s="493"/>
      <c r="SQB18" s="493"/>
      <c r="SQC18" s="493"/>
      <c r="SQD18" s="493"/>
      <c r="SQE18" s="493"/>
      <c r="SQF18" s="493"/>
      <c r="SQG18" s="493"/>
      <c r="SQH18" s="493"/>
      <c r="SQI18" s="493"/>
      <c r="SQJ18" s="493"/>
      <c r="SQK18" s="493"/>
      <c r="SQL18" s="493"/>
      <c r="SQM18" s="493"/>
      <c r="SQN18" s="493"/>
      <c r="SQO18" s="493"/>
      <c r="SQP18" s="493"/>
      <c r="SQQ18" s="493"/>
      <c r="SQR18" s="493"/>
      <c r="SQS18" s="493"/>
      <c r="SQT18" s="493"/>
      <c r="SQU18" s="493"/>
      <c r="SQV18" s="493"/>
      <c r="SQW18" s="493"/>
      <c r="SQX18" s="493"/>
      <c r="SQY18" s="493"/>
      <c r="SQZ18" s="493"/>
      <c r="SRA18" s="493"/>
      <c r="SRB18" s="493"/>
      <c r="SRC18" s="493"/>
      <c r="SRD18" s="493"/>
      <c r="SRE18" s="493"/>
      <c r="SRF18" s="493"/>
      <c r="SRG18" s="493"/>
      <c r="SRH18" s="493"/>
      <c r="SRI18" s="493"/>
      <c r="SRJ18" s="493"/>
      <c r="SRK18" s="493"/>
      <c r="SRL18" s="493"/>
      <c r="SRM18" s="493"/>
      <c r="SRN18" s="493"/>
      <c r="SRO18" s="493"/>
      <c r="SRP18" s="493"/>
      <c r="SRQ18" s="493"/>
      <c r="SRR18" s="493"/>
      <c r="SRS18" s="493"/>
      <c r="SRT18" s="493"/>
      <c r="SRU18" s="493"/>
      <c r="SRV18" s="493"/>
      <c r="SRW18" s="493"/>
      <c r="SRX18" s="493"/>
      <c r="SRY18" s="493"/>
      <c r="SRZ18" s="493"/>
      <c r="SSA18" s="493"/>
      <c r="SSB18" s="493"/>
      <c r="SSC18" s="493"/>
      <c r="SSD18" s="493"/>
      <c r="SSE18" s="493"/>
      <c r="SSF18" s="493"/>
      <c r="SSG18" s="493"/>
      <c r="SSH18" s="493"/>
      <c r="SSI18" s="493"/>
      <c r="SSJ18" s="493"/>
      <c r="SSK18" s="493"/>
      <c r="SSL18" s="493"/>
      <c r="SSM18" s="493"/>
      <c r="SSN18" s="493"/>
      <c r="SSO18" s="493"/>
      <c r="SSP18" s="493"/>
      <c r="SSQ18" s="493"/>
      <c r="SSR18" s="493"/>
      <c r="SSS18" s="493"/>
      <c r="SST18" s="493"/>
      <c r="SSU18" s="493"/>
      <c r="SSV18" s="493"/>
      <c r="SSW18" s="493"/>
      <c r="SSX18" s="493"/>
      <c r="SSY18" s="493"/>
      <c r="SSZ18" s="493"/>
      <c r="STA18" s="493"/>
      <c r="STB18" s="493"/>
      <c r="STC18" s="493"/>
      <c r="STD18" s="493"/>
      <c r="STE18" s="493"/>
      <c r="STF18" s="493"/>
      <c r="STG18" s="493"/>
      <c r="STH18" s="493"/>
      <c r="STI18" s="493"/>
      <c r="STJ18" s="493"/>
      <c r="STK18" s="493"/>
      <c r="STL18" s="493"/>
      <c r="STM18" s="493"/>
      <c r="STN18" s="493"/>
      <c r="STO18" s="493"/>
      <c r="STP18" s="493"/>
      <c r="STQ18" s="493"/>
      <c r="STR18" s="493"/>
      <c r="STS18" s="493"/>
      <c r="STT18" s="493"/>
      <c r="STU18" s="493"/>
      <c r="STV18" s="493"/>
      <c r="STW18" s="493"/>
      <c r="STX18" s="493"/>
      <c r="STY18" s="493"/>
      <c r="STZ18" s="493"/>
      <c r="SUA18" s="493"/>
      <c r="SUB18" s="493"/>
      <c r="SUC18" s="493"/>
      <c r="SUD18" s="493"/>
      <c r="SUE18" s="493"/>
      <c r="SUF18" s="493"/>
      <c r="SUG18" s="493"/>
      <c r="SUH18" s="493"/>
      <c r="SUI18" s="493"/>
      <c r="SUJ18" s="493"/>
      <c r="SUK18" s="493"/>
      <c r="SUL18" s="493"/>
      <c r="SUM18" s="493"/>
      <c r="SUN18" s="493"/>
      <c r="SUO18" s="493"/>
      <c r="SUP18" s="493"/>
      <c r="SUQ18" s="493"/>
      <c r="SUR18" s="493"/>
      <c r="SUS18" s="493"/>
      <c r="SUT18" s="493"/>
      <c r="SUU18" s="493"/>
      <c r="SUV18" s="493"/>
      <c r="SUW18" s="493"/>
      <c r="SUX18" s="493"/>
      <c r="SUY18" s="493"/>
      <c r="SUZ18" s="493"/>
      <c r="SVA18" s="493"/>
      <c r="SVB18" s="493"/>
      <c r="SVC18" s="493"/>
      <c r="SVD18" s="493"/>
      <c r="SVE18" s="493"/>
      <c r="SVF18" s="493"/>
      <c r="SVG18" s="493"/>
      <c r="SVH18" s="493"/>
      <c r="SVI18" s="493"/>
      <c r="SVJ18" s="493"/>
      <c r="SVK18" s="493"/>
      <c r="SVL18" s="493"/>
      <c r="SVM18" s="493"/>
      <c r="SVN18" s="493"/>
      <c r="SVO18" s="493"/>
      <c r="SVP18" s="493"/>
      <c r="SVQ18" s="493"/>
      <c r="SVR18" s="493"/>
      <c r="SVS18" s="493"/>
      <c r="SVT18" s="493"/>
      <c r="SVU18" s="493"/>
      <c r="SVV18" s="493"/>
      <c r="SVW18" s="493"/>
      <c r="SVX18" s="493"/>
      <c r="SVY18" s="493"/>
      <c r="SVZ18" s="493"/>
      <c r="SWA18" s="493"/>
      <c r="SWB18" s="493"/>
      <c r="SWC18" s="493"/>
      <c r="SWD18" s="493"/>
      <c r="SWE18" s="493"/>
      <c r="SWF18" s="493"/>
      <c r="SWG18" s="493"/>
      <c r="SWH18" s="493"/>
      <c r="SWI18" s="493"/>
      <c r="SWJ18" s="493"/>
      <c r="SWK18" s="493"/>
      <c r="SWL18" s="493"/>
      <c r="SWM18" s="493"/>
      <c r="SWN18" s="493"/>
      <c r="SWO18" s="493"/>
      <c r="SWP18" s="493"/>
      <c r="SWQ18" s="493"/>
      <c r="SWR18" s="493"/>
      <c r="SWS18" s="493"/>
      <c r="SWT18" s="493"/>
      <c r="SWU18" s="493"/>
      <c r="SWV18" s="493"/>
      <c r="SWW18" s="493"/>
      <c r="SWX18" s="493"/>
      <c r="SWY18" s="493"/>
      <c r="SWZ18" s="493"/>
      <c r="SXA18" s="493"/>
      <c r="SXB18" s="493"/>
      <c r="SXC18" s="493"/>
      <c r="SXD18" s="493"/>
      <c r="SXE18" s="493"/>
      <c r="SXF18" s="493"/>
      <c r="SXG18" s="493"/>
      <c r="SXH18" s="493"/>
      <c r="SXI18" s="493"/>
      <c r="SXJ18" s="493"/>
      <c r="SXK18" s="493"/>
      <c r="SXL18" s="493"/>
      <c r="SXM18" s="493"/>
      <c r="SXN18" s="493"/>
      <c r="SXO18" s="493"/>
      <c r="SXP18" s="493"/>
      <c r="SXQ18" s="493"/>
      <c r="SXR18" s="493"/>
      <c r="SXS18" s="493"/>
      <c r="SXT18" s="493"/>
      <c r="SXU18" s="493"/>
      <c r="SXV18" s="493"/>
      <c r="SXW18" s="493"/>
      <c r="SXX18" s="493"/>
      <c r="SXY18" s="493"/>
      <c r="SXZ18" s="493"/>
      <c r="SYA18" s="493"/>
      <c r="SYB18" s="493"/>
      <c r="SYC18" s="493"/>
      <c r="SYD18" s="493"/>
      <c r="SYE18" s="493"/>
      <c r="SYF18" s="493"/>
      <c r="SYG18" s="493"/>
      <c r="SYH18" s="493"/>
      <c r="SYI18" s="493"/>
      <c r="SYJ18" s="493"/>
      <c r="SYK18" s="493"/>
      <c r="SYL18" s="493"/>
      <c r="SYM18" s="493"/>
      <c r="SYN18" s="493"/>
      <c r="SYO18" s="493"/>
      <c r="SYP18" s="493"/>
      <c r="SYQ18" s="493"/>
      <c r="SYR18" s="493"/>
      <c r="SYS18" s="493"/>
      <c r="SYT18" s="493"/>
      <c r="SYU18" s="493"/>
      <c r="SYV18" s="493"/>
      <c r="SYW18" s="493"/>
      <c r="SYX18" s="493"/>
      <c r="SYY18" s="493"/>
      <c r="SYZ18" s="493"/>
      <c r="SZA18" s="493"/>
      <c r="SZB18" s="493"/>
      <c r="SZC18" s="493"/>
      <c r="SZD18" s="493"/>
      <c r="SZE18" s="493"/>
      <c r="SZF18" s="493"/>
      <c r="SZG18" s="493"/>
      <c r="SZH18" s="493"/>
      <c r="SZI18" s="493"/>
      <c r="SZJ18" s="493"/>
      <c r="SZK18" s="493"/>
      <c r="SZL18" s="493"/>
      <c r="SZM18" s="493"/>
      <c r="SZN18" s="493"/>
      <c r="SZO18" s="493"/>
      <c r="SZP18" s="493"/>
      <c r="SZQ18" s="493"/>
      <c r="SZR18" s="493"/>
      <c r="SZS18" s="493"/>
      <c r="SZT18" s="493"/>
      <c r="SZU18" s="493"/>
      <c r="SZV18" s="493"/>
      <c r="SZW18" s="493"/>
      <c r="SZX18" s="493"/>
      <c r="SZY18" s="493"/>
      <c r="SZZ18" s="493"/>
      <c r="TAA18" s="493"/>
      <c r="TAB18" s="493"/>
      <c r="TAC18" s="493"/>
      <c r="TAD18" s="493"/>
      <c r="TAE18" s="493"/>
      <c r="TAF18" s="493"/>
      <c r="TAG18" s="493"/>
      <c r="TAH18" s="493"/>
      <c r="TAI18" s="493"/>
      <c r="TAJ18" s="493"/>
      <c r="TAK18" s="493"/>
      <c r="TAL18" s="493"/>
      <c r="TAM18" s="493"/>
      <c r="TAN18" s="493"/>
      <c r="TAO18" s="493"/>
      <c r="TAP18" s="493"/>
      <c r="TAQ18" s="493"/>
      <c r="TAR18" s="493"/>
      <c r="TAS18" s="493"/>
      <c r="TAT18" s="493"/>
      <c r="TAU18" s="493"/>
      <c r="TAV18" s="493"/>
      <c r="TAW18" s="493"/>
      <c r="TAX18" s="493"/>
      <c r="TAY18" s="493"/>
      <c r="TAZ18" s="493"/>
      <c r="TBA18" s="493"/>
      <c r="TBB18" s="493"/>
      <c r="TBC18" s="493"/>
      <c r="TBD18" s="493"/>
      <c r="TBE18" s="493"/>
      <c r="TBF18" s="493"/>
      <c r="TBG18" s="493"/>
      <c r="TBH18" s="493"/>
      <c r="TBI18" s="493"/>
      <c r="TBJ18" s="493"/>
      <c r="TBK18" s="493"/>
      <c r="TBL18" s="493"/>
      <c r="TBM18" s="493"/>
      <c r="TBN18" s="493"/>
      <c r="TBO18" s="493"/>
      <c r="TBP18" s="493"/>
      <c r="TBQ18" s="493"/>
      <c r="TBR18" s="493"/>
      <c r="TBS18" s="493"/>
      <c r="TBT18" s="493"/>
      <c r="TBU18" s="493"/>
      <c r="TBV18" s="493"/>
      <c r="TBW18" s="493"/>
      <c r="TBX18" s="493"/>
      <c r="TBY18" s="493"/>
      <c r="TBZ18" s="493"/>
      <c r="TCA18" s="493"/>
      <c r="TCB18" s="493"/>
      <c r="TCC18" s="493"/>
      <c r="TCD18" s="493"/>
      <c r="TCE18" s="493"/>
      <c r="TCF18" s="493"/>
      <c r="TCG18" s="493"/>
      <c r="TCH18" s="493"/>
      <c r="TCI18" s="493"/>
      <c r="TCJ18" s="493"/>
      <c r="TCK18" s="493"/>
      <c r="TCL18" s="493"/>
      <c r="TCM18" s="493"/>
      <c r="TCN18" s="493"/>
      <c r="TCO18" s="493"/>
      <c r="TCP18" s="493"/>
      <c r="TCQ18" s="493"/>
      <c r="TCR18" s="493"/>
      <c r="TCS18" s="493"/>
      <c r="TCT18" s="493"/>
      <c r="TCU18" s="493"/>
      <c r="TCV18" s="493"/>
      <c r="TCW18" s="493"/>
      <c r="TCX18" s="493"/>
      <c r="TCY18" s="493"/>
      <c r="TCZ18" s="493"/>
      <c r="TDA18" s="493"/>
      <c r="TDB18" s="493"/>
      <c r="TDC18" s="493"/>
      <c r="TDD18" s="493"/>
      <c r="TDE18" s="493"/>
      <c r="TDF18" s="493"/>
      <c r="TDG18" s="493"/>
      <c r="TDH18" s="493"/>
      <c r="TDI18" s="493"/>
      <c r="TDJ18" s="493"/>
      <c r="TDK18" s="493"/>
      <c r="TDL18" s="493"/>
      <c r="TDM18" s="493"/>
      <c r="TDN18" s="493"/>
      <c r="TDO18" s="493"/>
      <c r="TDP18" s="493"/>
      <c r="TDQ18" s="493"/>
      <c r="TDR18" s="493"/>
      <c r="TDS18" s="493"/>
      <c r="TDT18" s="493"/>
      <c r="TDU18" s="493"/>
      <c r="TDV18" s="493"/>
      <c r="TDW18" s="493"/>
      <c r="TDX18" s="493"/>
      <c r="TDY18" s="493"/>
      <c r="TDZ18" s="493"/>
      <c r="TEA18" s="493"/>
      <c r="TEB18" s="493"/>
      <c r="TEC18" s="493"/>
      <c r="TED18" s="493"/>
      <c r="TEE18" s="493"/>
      <c r="TEF18" s="493"/>
      <c r="TEG18" s="493"/>
      <c r="TEH18" s="493"/>
      <c r="TEI18" s="493"/>
      <c r="TEJ18" s="493"/>
      <c r="TEK18" s="493"/>
      <c r="TEL18" s="493"/>
      <c r="TEM18" s="493"/>
      <c r="TEN18" s="493"/>
      <c r="TEO18" s="493"/>
      <c r="TEP18" s="493"/>
      <c r="TEQ18" s="493"/>
      <c r="TER18" s="493"/>
      <c r="TES18" s="493"/>
      <c r="TET18" s="493"/>
      <c r="TEU18" s="493"/>
      <c r="TEV18" s="493"/>
      <c r="TEW18" s="493"/>
      <c r="TEX18" s="493"/>
      <c r="TEY18" s="493"/>
      <c r="TEZ18" s="493"/>
      <c r="TFA18" s="493"/>
      <c r="TFB18" s="493"/>
      <c r="TFC18" s="493"/>
      <c r="TFD18" s="493"/>
      <c r="TFE18" s="493"/>
      <c r="TFF18" s="493"/>
      <c r="TFG18" s="493"/>
      <c r="TFH18" s="493"/>
      <c r="TFI18" s="493"/>
      <c r="TFJ18" s="493"/>
      <c r="TFK18" s="493"/>
      <c r="TFL18" s="493"/>
      <c r="TFM18" s="493"/>
      <c r="TFN18" s="493"/>
      <c r="TFO18" s="493"/>
      <c r="TFP18" s="493"/>
      <c r="TFQ18" s="493"/>
      <c r="TFR18" s="493"/>
      <c r="TFS18" s="493"/>
      <c r="TFT18" s="493"/>
      <c r="TFU18" s="493"/>
      <c r="TFV18" s="493"/>
      <c r="TFW18" s="493"/>
      <c r="TFX18" s="493"/>
      <c r="TFY18" s="493"/>
      <c r="TFZ18" s="493"/>
      <c r="TGA18" s="493"/>
      <c r="TGB18" s="493"/>
      <c r="TGC18" s="493"/>
      <c r="TGD18" s="493"/>
      <c r="TGE18" s="493"/>
      <c r="TGF18" s="493"/>
      <c r="TGG18" s="493"/>
      <c r="TGH18" s="493"/>
      <c r="TGI18" s="493"/>
      <c r="TGJ18" s="493"/>
      <c r="TGK18" s="493"/>
      <c r="TGL18" s="493"/>
      <c r="TGM18" s="493"/>
      <c r="TGN18" s="493"/>
      <c r="TGO18" s="493"/>
      <c r="TGP18" s="493"/>
      <c r="TGQ18" s="493"/>
      <c r="TGR18" s="493"/>
      <c r="TGS18" s="493"/>
      <c r="TGT18" s="493"/>
      <c r="TGU18" s="493"/>
      <c r="TGV18" s="493"/>
      <c r="TGW18" s="493"/>
      <c r="TGX18" s="493"/>
      <c r="TGY18" s="493"/>
      <c r="TGZ18" s="493"/>
      <c r="THA18" s="493"/>
      <c r="THB18" s="493"/>
      <c r="THC18" s="493"/>
      <c r="THD18" s="493"/>
      <c r="THE18" s="493"/>
      <c r="THF18" s="493"/>
      <c r="THG18" s="493"/>
      <c r="THH18" s="493"/>
      <c r="THI18" s="493"/>
      <c r="THJ18" s="493"/>
      <c r="THK18" s="493"/>
      <c r="THL18" s="493"/>
      <c r="THM18" s="493"/>
      <c r="THN18" s="493"/>
      <c r="THO18" s="493"/>
      <c r="THP18" s="493"/>
      <c r="THQ18" s="493"/>
      <c r="THR18" s="493"/>
      <c r="THS18" s="493"/>
      <c r="THT18" s="493"/>
      <c r="THU18" s="493"/>
      <c r="THV18" s="493"/>
      <c r="THW18" s="493"/>
      <c r="THX18" s="493"/>
      <c r="THY18" s="493"/>
      <c r="THZ18" s="493"/>
      <c r="TIA18" s="493"/>
      <c r="TIB18" s="493"/>
      <c r="TIC18" s="493"/>
      <c r="TID18" s="493"/>
      <c r="TIE18" s="493"/>
      <c r="TIF18" s="493"/>
      <c r="TIG18" s="493"/>
      <c r="TIH18" s="493"/>
      <c r="TII18" s="493"/>
      <c r="TIJ18" s="493"/>
      <c r="TIK18" s="493"/>
      <c r="TIL18" s="493"/>
      <c r="TIM18" s="493"/>
      <c r="TIN18" s="493"/>
      <c r="TIO18" s="493"/>
      <c r="TIP18" s="493"/>
      <c r="TIQ18" s="493"/>
      <c r="TIR18" s="493"/>
      <c r="TIS18" s="493"/>
      <c r="TIT18" s="493"/>
      <c r="TIU18" s="493"/>
      <c r="TIV18" s="493"/>
      <c r="TIW18" s="493"/>
      <c r="TIX18" s="493"/>
      <c r="TIY18" s="493"/>
      <c r="TIZ18" s="493"/>
      <c r="TJA18" s="493"/>
      <c r="TJB18" s="493"/>
      <c r="TJC18" s="493"/>
      <c r="TJD18" s="493"/>
      <c r="TJE18" s="493"/>
      <c r="TJF18" s="493"/>
      <c r="TJG18" s="493"/>
      <c r="TJH18" s="493"/>
      <c r="TJI18" s="493"/>
      <c r="TJJ18" s="493"/>
      <c r="TJK18" s="493"/>
      <c r="TJL18" s="493"/>
      <c r="TJM18" s="493"/>
      <c r="TJN18" s="493"/>
      <c r="TJO18" s="493"/>
      <c r="TJP18" s="493"/>
      <c r="TJQ18" s="493"/>
      <c r="TJR18" s="493"/>
      <c r="TJS18" s="493"/>
      <c r="TJT18" s="493"/>
      <c r="TJU18" s="493"/>
      <c r="TJV18" s="493"/>
      <c r="TJW18" s="493"/>
      <c r="TJX18" s="493"/>
      <c r="TJY18" s="493"/>
      <c r="TJZ18" s="493"/>
      <c r="TKA18" s="493"/>
      <c r="TKB18" s="493"/>
      <c r="TKC18" s="493"/>
      <c r="TKD18" s="493"/>
      <c r="TKE18" s="493"/>
      <c r="TKF18" s="493"/>
      <c r="TKG18" s="493"/>
      <c r="TKH18" s="493"/>
      <c r="TKI18" s="493"/>
      <c r="TKJ18" s="493"/>
      <c r="TKK18" s="493"/>
      <c r="TKL18" s="493"/>
      <c r="TKM18" s="493"/>
      <c r="TKN18" s="493"/>
      <c r="TKO18" s="493"/>
      <c r="TKP18" s="493"/>
      <c r="TKQ18" s="493"/>
      <c r="TKR18" s="493"/>
      <c r="TKS18" s="493"/>
      <c r="TKT18" s="493"/>
      <c r="TKU18" s="493"/>
      <c r="TKV18" s="493"/>
      <c r="TKW18" s="493"/>
      <c r="TKX18" s="493"/>
      <c r="TKY18" s="493"/>
      <c r="TKZ18" s="493"/>
      <c r="TLA18" s="493"/>
      <c r="TLB18" s="493"/>
      <c r="TLC18" s="493"/>
      <c r="TLD18" s="493"/>
      <c r="TLE18" s="493"/>
      <c r="TLF18" s="493"/>
      <c r="TLG18" s="493"/>
      <c r="TLH18" s="493"/>
      <c r="TLI18" s="493"/>
      <c r="TLJ18" s="493"/>
      <c r="TLK18" s="493"/>
      <c r="TLL18" s="493"/>
      <c r="TLM18" s="493"/>
      <c r="TLN18" s="493"/>
      <c r="TLO18" s="493"/>
      <c r="TLP18" s="493"/>
      <c r="TLQ18" s="493"/>
      <c r="TLR18" s="493"/>
      <c r="TLS18" s="493"/>
      <c r="TLT18" s="493"/>
      <c r="TLU18" s="493"/>
      <c r="TLV18" s="493"/>
      <c r="TLW18" s="493"/>
      <c r="TLX18" s="493"/>
      <c r="TLY18" s="493"/>
      <c r="TLZ18" s="493"/>
      <c r="TMA18" s="493"/>
      <c r="TMB18" s="493"/>
      <c r="TMC18" s="493"/>
      <c r="TMD18" s="493"/>
      <c r="TME18" s="493"/>
      <c r="TMF18" s="493"/>
      <c r="TMG18" s="493"/>
      <c r="TMH18" s="493"/>
      <c r="TMI18" s="493"/>
      <c r="TMJ18" s="493"/>
      <c r="TMK18" s="493"/>
      <c r="TML18" s="493"/>
      <c r="TMM18" s="493"/>
      <c r="TMN18" s="493"/>
      <c r="TMO18" s="493"/>
      <c r="TMP18" s="493"/>
      <c r="TMQ18" s="493"/>
      <c r="TMR18" s="493"/>
      <c r="TMS18" s="493"/>
      <c r="TMT18" s="493"/>
      <c r="TMU18" s="493"/>
      <c r="TMV18" s="493"/>
      <c r="TMW18" s="493"/>
      <c r="TMX18" s="493"/>
      <c r="TMY18" s="493"/>
      <c r="TMZ18" s="493"/>
      <c r="TNA18" s="493"/>
      <c r="TNB18" s="493"/>
      <c r="TNC18" s="493"/>
      <c r="TND18" s="493"/>
      <c r="TNE18" s="493"/>
      <c r="TNF18" s="493"/>
      <c r="TNG18" s="493"/>
      <c r="TNH18" s="493"/>
      <c r="TNI18" s="493"/>
      <c r="TNJ18" s="493"/>
      <c r="TNK18" s="493"/>
      <c r="TNL18" s="493"/>
      <c r="TNM18" s="493"/>
      <c r="TNN18" s="493"/>
      <c r="TNO18" s="493"/>
      <c r="TNP18" s="493"/>
      <c r="TNQ18" s="493"/>
      <c r="TNR18" s="493"/>
      <c r="TNS18" s="493"/>
      <c r="TNT18" s="493"/>
      <c r="TNU18" s="493"/>
      <c r="TNV18" s="493"/>
      <c r="TNW18" s="493"/>
      <c r="TNX18" s="493"/>
      <c r="TNY18" s="493"/>
      <c r="TNZ18" s="493"/>
      <c r="TOA18" s="493"/>
      <c r="TOB18" s="493"/>
      <c r="TOC18" s="493"/>
      <c r="TOD18" s="493"/>
      <c r="TOE18" s="493"/>
      <c r="TOF18" s="493"/>
      <c r="TOG18" s="493"/>
      <c r="TOH18" s="493"/>
      <c r="TOI18" s="493"/>
      <c r="TOJ18" s="493"/>
      <c r="TOK18" s="493"/>
      <c r="TOL18" s="493"/>
      <c r="TOM18" s="493"/>
      <c r="TON18" s="493"/>
      <c r="TOO18" s="493"/>
      <c r="TOP18" s="493"/>
      <c r="TOQ18" s="493"/>
      <c r="TOR18" s="493"/>
      <c r="TOS18" s="493"/>
      <c r="TOT18" s="493"/>
      <c r="TOU18" s="493"/>
      <c r="TOV18" s="493"/>
      <c r="TOW18" s="493"/>
      <c r="TOX18" s="493"/>
      <c r="TOY18" s="493"/>
      <c r="TOZ18" s="493"/>
      <c r="TPA18" s="493"/>
      <c r="TPB18" s="493"/>
      <c r="TPC18" s="493"/>
      <c r="TPD18" s="493"/>
      <c r="TPE18" s="493"/>
      <c r="TPF18" s="493"/>
      <c r="TPG18" s="493"/>
      <c r="TPH18" s="493"/>
      <c r="TPI18" s="493"/>
      <c r="TPJ18" s="493"/>
      <c r="TPK18" s="493"/>
      <c r="TPL18" s="493"/>
      <c r="TPM18" s="493"/>
      <c r="TPN18" s="493"/>
      <c r="TPO18" s="493"/>
      <c r="TPP18" s="493"/>
      <c r="TPQ18" s="493"/>
      <c r="TPR18" s="493"/>
      <c r="TPS18" s="493"/>
      <c r="TPT18" s="493"/>
      <c r="TPU18" s="493"/>
      <c r="TPV18" s="493"/>
      <c r="TPW18" s="493"/>
      <c r="TPX18" s="493"/>
      <c r="TPY18" s="493"/>
      <c r="TPZ18" s="493"/>
      <c r="TQA18" s="493"/>
      <c r="TQB18" s="493"/>
      <c r="TQC18" s="493"/>
      <c r="TQD18" s="493"/>
      <c r="TQE18" s="493"/>
      <c r="TQF18" s="493"/>
      <c r="TQG18" s="493"/>
      <c r="TQH18" s="493"/>
      <c r="TQI18" s="493"/>
      <c r="TQJ18" s="493"/>
      <c r="TQK18" s="493"/>
      <c r="TQL18" s="493"/>
      <c r="TQM18" s="493"/>
      <c r="TQN18" s="493"/>
      <c r="TQO18" s="493"/>
      <c r="TQP18" s="493"/>
      <c r="TQQ18" s="493"/>
      <c r="TQR18" s="493"/>
      <c r="TQS18" s="493"/>
      <c r="TQT18" s="493"/>
      <c r="TQU18" s="493"/>
      <c r="TQV18" s="493"/>
      <c r="TQW18" s="493"/>
      <c r="TQX18" s="493"/>
      <c r="TQY18" s="493"/>
      <c r="TQZ18" s="493"/>
      <c r="TRA18" s="493"/>
      <c r="TRB18" s="493"/>
      <c r="TRC18" s="493"/>
      <c r="TRD18" s="493"/>
      <c r="TRE18" s="493"/>
      <c r="TRF18" s="493"/>
      <c r="TRG18" s="493"/>
      <c r="TRH18" s="493"/>
      <c r="TRI18" s="493"/>
      <c r="TRJ18" s="493"/>
      <c r="TRK18" s="493"/>
      <c r="TRL18" s="493"/>
      <c r="TRM18" s="493"/>
      <c r="TRN18" s="493"/>
      <c r="TRO18" s="493"/>
      <c r="TRP18" s="493"/>
      <c r="TRQ18" s="493"/>
      <c r="TRR18" s="493"/>
      <c r="TRS18" s="493"/>
      <c r="TRT18" s="493"/>
      <c r="TRU18" s="493"/>
      <c r="TRV18" s="493"/>
      <c r="TRW18" s="493"/>
      <c r="TRX18" s="493"/>
      <c r="TRY18" s="493"/>
      <c r="TRZ18" s="493"/>
      <c r="TSA18" s="493"/>
      <c r="TSB18" s="493"/>
      <c r="TSC18" s="493"/>
      <c r="TSD18" s="493"/>
      <c r="TSE18" s="493"/>
      <c r="TSF18" s="493"/>
      <c r="TSG18" s="493"/>
      <c r="TSH18" s="493"/>
      <c r="TSI18" s="493"/>
      <c r="TSJ18" s="493"/>
      <c r="TSK18" s="493"/>
      <c r="TSL18" s="493"/>
      <c r="TSM18" s="493"/>
      <c r="TSN18" s="493"/>
      <c r="TSO18" s="493"/>
      <c r="TSP18" s="493"/>
      <c r="TSQ18" s="493"/>
      <c r="TSR18" s="493"/>
      <c r="TSS18" s="493"/>
      <c r="TST18" s="493"/>
      <c r="TSU18" s="493"/>
      <c r="TSV18" s="493"/>
      <c r="TSW18" s="493"/>
      <c r="TSX18" s="493"/>
      <c r="TSY18" s="493"/>
      <c r="TSZ18" s="493"/>
      <c r="TTA18" s="493"/>
      <c r="TTB18" s="493"/>
      <c r="TTC18" s="493"/>
      <c r="TTD18" s="493"/>
      <c r="TTE18" s="493"/>
      <c r="TTF18" s="493"/>
      <c r="TTG18" s="493"/>
      <c r="TTH18" s="493"/>
      <c r="TTI18" s="493"/>
      <c r="TTJ18" s="493"/>
      <c r="TTK18" s="493"/>
      <c r="TTL18" s="493"/>
      <c r="TTM18" s="493"/>
      <c r="TTN18" s="493"/>
      <c r="TTO18" s="493"/>
      <c r="TTP18" s="493"/>
      <c r="TTQ18" s="493"/>
      <c r="TTR18" s="493"/>
      <c r="TTS18" s="493"/>
      <c r="TTT18" s="493"/>
      <c r="TTU18" s="493"/>
      <c r="TTV18" s="493"/>
      <c r="TTW18" s="493"/>
      <c r="TTX18" s="493"/>
      <c r="TTY18" s="493"/>
      <c r="TTZ18" s="493"/>
      <c r="TUA18" s="493"/>
      <c r="TUB18" s="493"/>
      <c r="TUC18" s="493"/>
      <c r="TUD18" s="493"/>
      <c r="TUE18" s="493"/>
      <c r="TUF18" s="493"/>
      <c r="TUG18" s="493"/>
      <c r="TUH18" s="493"/>
      <c r="TUI18" s="493"/>
      <c r="TUJ18" s="493"/>
      <c r="TUK18" s="493"/>
      <c r="TUL18" s="493"/>
      <c r="TUM18" s="493"/>
      <c r="TUN18" s="493"/>
      <c r="TUO18" s="493"/>
      <c r="TUP18" s="493"/>
      <c r="TUQ18" s="493"/>
      <c r="TUR18" s="493"/>
      <c r="TUS18" s="493"/>
      <c r="TUT18" s="493"/>
      <c r="TUU18" s="493"/>
      <c r="TUV18" s="493"/>
      <c r="TUW18" s="493"/>
      <c r="TUX18" s="493"/>
      <c r="TUY18" s="493"/>
      <c r="TUZ18" s="493"/>
      <c r="TVA18" s="493"/>
      <c r="TVB18" s="493"/>
      <c r="TVC18" s="493"/>
      <c r="TVD18" s="493"/>
      <c r="TVE18" s="493"/>
      <c r="TVF18" s="493"/>
      <c r="TVG18" s="493"/>
      <c r="TVH18" s="493"/>
      <c r="TVI18" s="493"/>
      <c r="TVJ18" s="493"/>
      <c r="TVK18" s="493"/>
      <c r="TVL18" s="493"/>
      <c r="TVM18" s="493"/>
      <c r="TVN18" s="493"/>
      <c r="TVO18" s="493"/>
      <c r="TVP18" s="493"/>
      <c r="TVQ18" s="493"/>
      <c r="TVR18" s="493"/>
      <c r="TVS18" s="493"/>
      <c r="TVT18" s="493"/>
      <c r="TVU18" s="493"/>
      <c r="TVV18" s="493"/>
      <c r="TVW18" s="493"/>
      <c r="TVX18" s="493"/>
      <c r="TVY18" s="493"/>
      <c r="TVZ18" s="493"/>
      <c r="TWA18" s="493"/>
      <c r="TWB18" s="493"/>
      <c r="TWC18" s="493"/>
      <c r="TWD18" s="493"/>
      <c r="TWE18" s="493"/>
      <c r="TWF18" s="493"/>
      <c r="TWG18" s="493"/>
      <c r="TWH18" s="493"/>
      <c r="TWI18" s="493"/>
      <c r="TWJ18" s="493"/>
      <c r="TWK18" s="493"/>
      <c r="TWL18" s="493"/>
      <c r="TWM18" s="493"/>
      <c r="TWN18" s="493"/>
      <c r="TWO18" s="493"/>
      <c r="TWP18" s="493"/>
      <c r="TWQ18" s="493"/>
      <c r="TWR18" s="493"/>
      <c r="TWS18" s="493"/>
      <c r="TWT18" s="493"/>
      <c r="TWU18" s="493"/>
      <c r="TWV18" s="493"/>
      <c r="TWW18" s="493"/>
      <c r="TWX18" s="493"/>
      <c r="TWY18" s="493"/>
      <c r="TWZ18" s="493"/>
      <c r="TXA18" s="493"/>
      <c r="TXB18" s="493"/>
      <c r="TXC18" s="493"/>
      <c r="TXD18" s="493"/>
      <c r="TXE18" s="493"/>
      <c r="TXF18" s="493"/>
      <c r="TXG18" s="493"/>
      <c r="TXH18" s="493"/>
      <c r="TXI18" s="493"/>
      <c r="TXJ18" s="493"/>
      <c r="TXK18" s="493"/>
      <c r="TXL18" s="493"/>
      <c r="TXM18" s="493"/>
      <c r="TXN18" s="493"/>
      <c r="TXO18" s="493"/>
      <c r="TXP18" s="493"/>
      <c r="TXQ18" s="493"/>
      <c r="TXR18" s="493"/>
      <c r="TXS18" s="493"/>
      <c r="TXT18" s="493"/>
      <c r="TXU18" s="493"/>
      <c r="TXV18" s="493"/>
      <c r="TXW18" s="493"/>
      <c r="TXX18" s="493"/>
      <c r="TXY18" s="493"/>
      <c r="TXZ18" s="493"/>
      <c r="TYA18" s="493"/>
      <c r="TYB18" s="493"/>
      <c r="TYC18" s="493"/>
      <c r="TYD18" s="493"/>
      <c r="TYE18" s="493"/>
      <c r="TYF18" s="493"/>
      <c r="TYG18" s="493"/>
      <c r="TYH18" s="493"/>
      <c r="TYI18" s="493"/>
      <c r="TYJ18" s="493"/>
      <c r="TYK18" s="493"/>
      <c r="TYL18" s="493"/>
      <c r="TYM18" s="493"/>
      <c r="TYN18" s="493"/>
      <c r="TYO18" s="493"/>
      <c r="TYP18" s="493"/>
      <c r="TYQ18" s="493"/>
      <c r="TYR18" s="493"/>
      <c r="TYS18" s="493"/>
      <c r="TYT18" s="493"/>
      <c r="TYU18" s="493"/>
      <c r="TYV18" s="493"/>
      <c r="TYW18" s="493"/>
      <c r="TYX18" s="493"/>
      <c r="TYY18" s="493"/>
      <c r="TYZ18" s="493"/>
      <c r="TZA18" s="493"/>
      <c r="TZB18" s="493"/>
      <c r="TZC18" s="493"/>
      <c r="TZD18" s="493"/>
      <c r="TZE18" s="493"/>
      <c r="TZF18" s="493"/>
      <c r="TZG18" s="493"/>
      <c r="TZH18" s="493"/>
      <c r="TZI18" s="493"/>
      <c r="TZJ18" s="493"/>
      <c r="TZK18" s="493"/>
      <c r="TZL18" s="493"/>
      <c r="TZM18" s="493"/>
      <c r="TZN18" s="493"/>
      <c r="TZO18" s="493"/>
      <c r="TZP18" s="493"/>
      <c r="TZQ18" s="493"/>
      <c r="TZR18" s="493"/>
      <c r="TZS18" s="493"/>
      <c r="TZT18" s="493"/>
      <c r="TZU18" s="493"/>
      <c r="TZV18" s="493"/>
      <c r="TZW18" s="493"/>
      <c r="TZX18" s="493"/>
      <c r="TZY18" s="493"/>
      <c r="TZZ18" s="493"/>
      <c r="UAA18" s="493"/>
      <c r="UAB18" s="493"/>
      <c r="UAC18" s="493"/>
      <c r="UAD18" s="493"/>
      <c r="UAE18" s="493"/>
      <c r="UAF18" s="493"/>
      <c r="UAG18" s="493"/>
      <c r="UAH18" s="493"/>
      <c r="UAI18" s="493"/>
      <c r="UAJ18" s="493"/>
      <c r="UAK18" s="493"/>
      <c r="UAL18" s="493"/>
      <c r="UAM18" s="493"/>
      <c r="UAN18" s="493"/>
      <c r="UAO18" s="493"/>
      <c r="UAP18" s="493"/>
      <c r="UAQ18" s="493"/>
      <c r="UAR18" s="493"/>
      <c r="UAS18" s="493"/>
      <c r="UAT18" s="493"/>
      <c r="UAU18" s="493"/>
      <c r="UAV18" s="493"/>
      <c r="UAW18" s="493"/>
      <c r="UAX18" s="493"/>
      <c r="UAY18" s="493"/>
      <c r="UAZ18" s="493"/>
      <c r="UBA18" s="493"/>
      <c r="UBB18" s="493"/>
      <c r="UBC18" s="493"/>
      <c r="UBD18" s="493"/>
      <c r="UBE18" s="493"/>
      <c r="UBF18" s="493"/>
      <c r="UBG18" s="493"/>
      <c r="UBH18" s="493"/>
      <c r="UBI18" s="493"/>
      <c r="UBJ18" s="493"/>
      <c r="UBK18" s="493"/>
      <c r="UBL18" s="493"/>
      <c r="UBM18" s="493"/>
      <c r="UBN18" s="493"/>
      <c r="UBO18" s="493"/>
      <c r="UBP18" s="493"/>
      <c r="UBQ18" s="493"/>
      <c r="UBR18" s="493"/>
      <c r="UBS18" s="493"/>
      <c r="UBT18" s="493"/>
      <c r="UBU18" s="493"/>
      <c r="UBV18" s="493"/>
      <c r="UBW18" s="493"/>
      <c r="UBX18" s="493"/>
      <c r="UBY18" s="493"/>
      <c r="UBZ18" s="493"/>
      <c r="UCA18" s="493"/>
      <c r="UCB18" s="493"/>
      <c r="UCC18" s="493"/>
      <c r="UCD18" s="493"/>
      <c r="UCE18" s="493"/>
      <c r="UCF18" s="493"/>
      <c r="UCG18" s="493"/>
      <c r="UCH18" s="493"/>
      <c r="UCI18" s="493"/>
      <c r="UCJ18" s="493"/>
      <c r="UCK18" s="493"/>
      <c r="UCL18" s="493"/>
      <c r="UCM18" s="493"/>
      <c r="UCN18" s="493"/>
      <c r="UCO18" s="493"/>
      <c r="UCP18" s="493"/>
      <c r="UCQ18" s="493"/>
      <c r="UCR18" s="493"/>
      <c r="UCS18" s="493"/>
      <c r="UCT18" s="493"/>
      <c r="UCU18" s="493"/>
      <c r="UCV18" s="493"/>
      <c r="UCW18" s="493"/>
      <c r="UCX18" s="493"/>
      <c r="UCY18" s="493"/>
      <c r="UCZ18" s="493"/>
      <c r="UDA18" s="493"/>
      <c r="UDB18" s="493"/>
      <c r="UDC18" s="493"/>
      <c r="UDD18" s="493"/>
      <c r="UDE18" s="493"/>
      <c r="UDF18" s="493"/>
      <c r="UDG18" s="493"/>
      <c r="UDH18" s="493"/>
      <c r="UDI18" s="493"/>
      <c r="UDJ18" s="493"/>
      <c r="UDK18" s="493"/>
      <c r="UDL18" s="493"/>
      <c r="UDM18" s="493"/>
      <c r="UDN18" s="493"/>
      <c r="UDO18" s="493"/>
      <c r="UDP18" s="493"/>
      <c r="UDQ18" s="493"/>
      <c r="UDR18" s="493"/>
      <c r="UDS18" s="493"/>
      <c r="UDT18" s="493"/>
      <c r="UDU18" s="493"/>
      <c r="UDV18" s="493"/>
      <c r="UDW18" s="493"/>
      <c r="UDX18" s="493"/>
      <c r="UDY18" s="493"/>
      <c r="UDZ18" s="493"/>
      <c r="UEA18" s="493"/>
      <c r="UEB18" s="493"/>
      <c r="UEC18" s="493"/>
      <c r="UED18" s="493"/>
      <c r="UEE18" s="493"/>
      <c r="UEF18" s="493"/>
      <c r="UEG18" s="493"/>
      <c r="UEH18" s="493"/>
      <c r="UEI18" s="493"/>
      <c r="UEJ18" s="493"/>
      <c r="UEK18" s="493"/>
      <c r="UEL18" s="493"/>
      <c r="UEM18" s="493"/>
      <c r="UEN18" s="493"/>
      <c r="UEO18" s="493"/>
      <c r="UEP18" s="493"/>
      <c r="UEQ18" s="493"/>
      <c r="UER18" s="493"/>
      <c r="UES18" s="493"/>
      <c r="UET18" s="493"/>
      <c r="UEU18" s="493"/>
      <c r="UEV18" s="493"/>
      <c r="UEW18" s="493"/>
      <c r="UEX18" s="493"/>
      <c r="UEY18" s="493"/>
      <c r="UEZ18" s="493"/>
      <c r="UFA18" s="493"/>
      <c r="UFB18" s="493"/>
      <c r="UFC18" s="493"/>
      <c r="UFD18" s="493"/>
      <c r="UFE18" s="493"/>
      <c r="UFF18" s="493"/>
      <c r="UFG18" s="493"/>
      <c r="UFH18" s="493"/>
      <c r="UFI18" s="493"/>
      <c r="UFJ18" s="493"/>
      <c r="UFK18" s="493"/>
      <c r="UFL18" s="493"/>
      <c r="UFM18" s="493"/>
      <c r="UFN18" s="493"/>
      <c r="UFO18" s="493"/>
      <c r="UFP18" s="493"/>
      <c r="UFQ18" s="493"/>
      <c r="UFR18" s="493"/>
      <c r="UFS18" s="493"/>
      <c r="UFT18" s="493"/>
      <c r="UFU18" s="493"/>
      <c r="UFV18" s="493"/>
      <c r="UFW18" s="493"/>
      <c r="UFX18" s="493"/>
      <c r="UFY18" s="493"/>
      <c r="UFZ18" s="493"/>
      <c r="UGA18" s="493"/>
      <c r="UGB18" s="493"/>
      <c r="UGC18" s="493"/>
      <c r="UGD18" s="493"/>
      <c r="UGE18" s="493"/>
      <c r="UGF18" s="493"/>
      <c r="UGG18" s="493"/>
      <c r="UGH18" s="493"/>
      <c r="UGI18" s="493"/>
      <c r="UGJ18" s="493"/>
      <c r="UGK18" s="493"/>
      <c r="UGL18" s="493"/>
      <c r="UGM18" s="493"/>
      <c r="UGN18" s="493"/>
      <c r="UGO18" s="493"/>
      <c r="UGP18" s="493"/>
      <c r="UGQ18" s="493"/>
      <c r="UGR18" s="493"/>
      <c r="UGS18" s="493"/>
      <c r="UGT18" s="493"/>
      <c r="UGU18" s="493"/>
      <c r="UGV18" s="493"/>
      <c r="UGW18" s="493"/>
      <c r="UGX18" s="493"/>
      <c r="UGY18" s="493"/>
      <c r="UGZ18" s="493"/>
      <c r="UHA18" s="493"/>
      <c r="UHB18" s="493"/>
      <c r="UHC18" s="493"/>
      <c r="UHD18" s="493"/>
      <c r="UHE18" s="493"/>
      <c r="UHF18" s="493"/>
      <c r="UHG18" s="493"/>
      <c r="UHH18" s="493"/>
      <c r="UHI18" s="493"/>
      <c r="UHJ18" s="493"/>
      <c r="UHK18" s="493"/>
      <c r="UHL18" s="493"/>
      <c r="UHM18" s="493"/>
      <c r="UHN18" s="493"/>
      <c r="UHO18" s="493"/>
      <c r="UHP18" s="493"/>
      <c r="UHQ18" s="493"/>
      <c r="UHR18" s="493"/>
      <c r="UHS18" s="493"/>
      <c r="UHT18" s="493"/>
      <c r="UHU18" s="493"/>
      <c r="UHV18" s="493"/>
      <c r="UHW18" s="493"/>
      <c r="UHX18" s="493"/>
      <c r="UHY18" s="493"/>
      <c r="UHZ18" s="493"/>
      <c r="UIA18" s="493"/>
      <c r="UIB18" s="493"/>
      <c r="UIC18" s="493"/>
      <c r="UID18" s="493"/>
      <c r="UIE18" s="493"/>
      <c r="UIF18" s="493"/>
      <c r="UIG18" s="493"/>
      <c r="UIH18" s="493"/>
      <c r="UII18" s="493"/>
      <c r="UIJ18" s="493"/>
      <c r="UIK18" s="493"/>
      <c r="UIL18" s="493"/>
      <c r="UIM18" s="493"/>
      <c r="UIN18" s="493"/>
      <c r="UIO18" s="493"/>
      <c r="UIP18" s="493"/>
      <c r="UIQ18" s="493"/>
      <c r="UIR18" s="493"/>
      <c r="UIS18" s="493"/>
      <c r="UIT18" s="493"/>
      <c r="UIU18" s="493"/>
      <c r="UIV18" s="493"/>
      <c r="UIW18" s="493"/>
      <c r="UIX18" s="493"/>
      <c r="UIY18" s="493"/>
      <c r="UIZ18" s="493"/>
      <c r="UJA18" s="493"/>
      <c r="UJB18" s="493"/>
      <c r="UJC18" s="493"/>
      <c r="UJD18" s="493"/>
      <c r="UJE18" s="493"/>
      <c r="UJF18" s="493"/>
      <c r="UJG18" s="493"/>
      <c r="UJH18" s="493"/>
      <c r="UJI18" s="493"/>
      <c r="UJJ18" s="493"/>
      <c r="UJK18" s="493"/>
      <c r="UJL18" s="493"/>
      <c r="UJM18" s="493"/>
      <c r="UJN18" s="493"/>
      <c r="UJO18" s="493"/>
      <c r="UJP18" s="493"/>
      <c r="UJQ18" s="493"/>
      <c r="UJR18" s="493"/>
      <c r="UJS18" s="493"/>
      <c r="UJT18" s="493"/>
      <c r="UJU18" s="493"/>
      <c r="UJV18" s="493"/>
      <c r="UJW18" s="493"/>
      <c r="UJX18" s="493"/>
      <c r="UJY18" s="493"/>
      <c r="UJZ18" s="493"/>
      <c r="UKA18" s="493"/>
      <c r="UKB18" s="493"/>
      <c r="UKC18" s="493"/>
      <c r="UKD18" s="493"/>
      <c r="UKE18" s="493"/>
      <c r="UKF18" s="493"/>
      <c r="UKG18" s="493"/>
      <c r="UKH18" s="493"/>
      <c r="UKI18" s="493"/>
      <c r="UKJ18" s="493"/>
      <c r="UKK18" s="493"/>
      <c r="UKL18" s="493"/>
      <c r="UKM18" s="493"/>
      <c r="UKN18" s="493"/>
      <c r="UKO18" s="493"/>
      <c r="UKP18" s="493"/>
      <c r="UKQ18" s="493"/>
      <c r="UKR18" s="493"/>
      <c r="UKS18" s="493"/>
      <c r="UKT18" s="493"/>
      <c r="UKU18" s="493"/>
      <c r="UKV18" s="493"/>
      <c r="UKW18" s="493"/>
      <c r="UKX18" s="493"/>
      <c r="UKY18" s="493"/>
      <c r="UKZ18" s="493"/>
      <c r="ULA18" s="493"/>
      <c r="ULB18" s="493"/>
      <c r="ULC18" s="493"/>
      <c r="ULD18" s="493"/>
      <c r="ULE18" s="493"/>
      <c r="ULF18" s="493"/>
      <c r="ULG18" s="493"/>
      <c r="ULH18" s="493"/>
      <c r="ULI18" s="493"/>
      <c r="ULJ18" s="493"/>
      <c r="ULK18" s="493"/>
      <c r="ULL18" s="493"/>
      <c r="ULM18" s="493"/>
      <c r="ULN18" s="493"/>
      <c r="ULO18" s="493"/>
      <c r="ULP18" s="493"/>
      <c r="ULQ18" s="493"/>
      <c r="ULR18" s="493"/>
      <c r="ULS18" s="493"/>
      <c r="ULT18" s="493"/>
      <c r="ULU18" s="493"/>
      <c r="ULV18" s="493"/>
      <c r="ULW18" s="493"/>
      <c r="ULX18" s="493"/>
      <c r="ULY18" s="493"/>
      <c r="ULZ18" s="493"/>
      <c r="UMA18" s="493"/>
      <c r="UMB18" s="493"/>
      <c r="UMC18" s="493"/>
      <c r="UMD18" s="493"/>
      <c r="UME18" s="493"/>
      <c r="UMF18" s="493"/>
      <c r="UMG18" s="493"/>
      <c r="UMH18" s="493"/>
      <c r="UMI18" s="493"/>
      <c r="UMJ18" s="493"/>
      <c r="UMK18" s="493"/>
      <c r="UML18" s="493"/>
      <c r="UMM18" s="493"/>
      <c r="UMN18" s="493"/>
      <c r="UMO18" s="493"/>
      <c r="UMP18" s="493"/>
      <c r="UMQ18" s="493"/>
      <c r="UMR18" s="493"/>
      <c r="UMS18" s="493"/>
      <c r="UMT18" s="493"/>
      <c r="UMU18" s="493"/>
      <c r="UMV18" s="493"/>
      <c r="UMW18" s="493"/>
      <c r="UMX18" s="493"/>
      <c r="UMY18" s="493"/>
      <c r="UMZ18" s="493"/>
      <c r="UNA18" s="493"/>
      <c r="UNB18" s="493"/>
      <c r="UNC18" s="493"/>
      <c r="UND18" s="493"/>
      <c r="UNE18" s="493"/>
      <c r="UNF18" s="493"/>
      <c r="UNG18" s="493"/>
      <c r="UNH18" s="493"/>
      <c r="UNI18" s="493"/>
      <c r="UNJ18" s="493"/>
      <c r="UNK18" s="493"/>
      <c r="UNL18" s="493"/>
      <c r="UNM18" s="493"/>
      <c r="UNN18" s="493"/>
      <c r="UNO18" s="493"/>
      <c r="UNP18" s="493"/>
      <c r="UNQ18" s="493"/>
      <c r="UNR18" s="493"/>
      <c r="UNS18" s="493"/>
      <c r="UNT18" s="493"/>
      <c r="UNU18" s="493"/>
      <c r="UNV18" s="493"/>
      <c r="UNW18" s="493"/>
      <c r="UNX18" s="493"/>
      <c r="UNY18" s="493"/>
      <c r="UNZ18" s="493"/>
      <c r="UOA18" s="493"/>
      <c r="UOB18" s="493"/>
      <c r="UOC18" s="493"/>
      <c r="UOD18" s="493"/>
      <c r="UOE18" s="493"/>
      <c r="UOF18" s="493"/>
      <c r="UOG18" s="493"/>
      <c r="UOH18" s="493"/>
      <c r="UOI18" s="493"/>
      <c r="UOJ18" s="493"/>
      <c r="UOK18" s="493"/>
      <c r="UOL18" s="493"/>
      <c r="UOM18" s="493"/>
      <c r="UON18" s="493"/>
      <c r="UOO18" s="493"/>
      <c r="UOP18" s="493"/>
      <c r="UOQ18" s="493"/>
      <c r="UOR18" s="493"/>
      <c r="UOS18" s="493"/>
      <c r="UOT18" s="493"/>
      <c r="UOU18" s="493"/>
      <c r="UOV18" s="493"/>
      <c r="UOW18" s="493"/>
      <c r="UOX18" s="493"/>
      <c r="UOY18" s="493"/>
      <c r="UOZ18" s="493"/>
      <c r="UPA18" s="493"/>
      <c r="UPB18" s="493"/>
      <c r="UPC18" s="493"/>
      <c r="UPD18" s="493"/>
      <c r="UPE18" s="493"/>
      <c r="UPF18" s="493"/>
      <c r="UPG18" s="493"/>
      <c r="UPH18" s="493"/>
      <c r="UPI18" s="493"/>
      <c r="UPJ18" s="493"/>
      <c r="UPK18" s="493"/>
      <c r="UPL18" s="493"/>
      <c r="UPM18" s="493"/>
      <c r="UPN18" s="493"/>
      <c r="UPO18" s="493"/>
      <c r="UPP18" s="493"/>
      <c r="UPQ18" s="493"/>
      <c r="UPR18" s="493"/>
      <c r="UPS18" s="493"/>
      <c r="UPT18" s="493"/>
      <c r="UPU18" s="493"/>
      <c r="UPV18" s="493"/>
      <c r="UPW18" s="493"/>
      <c r="UPX18" s="493"/>
      <c r="UPY18" s="493"/>
      <c r="UPZ18" s="493"/>
      <c r="UQA18" s="493"/>
      <c r="UQB18" s="493"/>
      <c r="UQC18" s="493"/>
      <c r="UQD18" s="493"/>
      <c r="UQE18" s="493"/>
      <c r="UQF18" s="493"/>
      <c r="UQG18" s="493"/>
      <c r="UQH18" s="493"/>
      <c r="UQI18" s="493"/>
      <c r="UQJ18" s="493"/>
      <c r="UQK18" s="493"/>
      <c r="UQL18" s="493"/>
      <c r="UQM18" s="493"/>
      <c r="UQN18" s="493"/>
      <c r="UQO18" s="493"/>
      <c r="UQP18" s="493"/>
      <c r="UQQ18" s="493"/>
      <c r="UQR18" s="493"/>
      <c r="UQS18" s="493"/>
      <c r="UQT18" s="493"/>
      <c r="UQU18" s="493"/>
      <c r="UQV18" s="493"/>
      <c r="UQW18" s="493"/>
      <c r="UQX18" s="493"/>
      <c r="UQY18" s="493"/>
      <c r="UQZ18" s="493"/>
      <c r="URA18" s="493"/>
      <c r="URB18" s="493"/>
      <c r="URC18" s="493"/>
      <c r="URD18" s="493"/>
      <c r="URE18" s="493"/>
      <c r="URF18" s="493"/>
      <c r="URG18" s="493"/>
      <c r="URH18" s="493"/>
      <c r="URI18" s="493"/>
      <c r="URJ18" s="493"/>
      <c r="URK18" s="493"/>
      <c r="URL18" s="493"/>
      <c r="URM18" s="493"/>
      <c r="URN18" s="493"/>
      <c r="URO18" s="493"/>
      <c r="URP18" s="493"/>
      <c r="URQ18" s="493"/>
      <c r="URR18" s="493"/>
      <c r="URS18" s="493"/>
      <c r="URT18" s="493"/>
      <c r="URU18" s="493"/>
      <c r="URV18" s="493"/>
      <c r="URW18" s="493"/>
      <c r="URX18" s="493"/>
      <c r="URY18" s="493"/>
      <c r="URZ18" s="493"/>
      <c r="USA18" s="493"/>
      <c r="USB18" s="493"/>
      <c r="USC18" s="493"/>
      <c r="USD18" s="493"/>
      <c r="USE18" s="493"/>
      <c r="USF18" s="493"/>
      <c r="USG18" s="493"/>
      <c r="USH18" s="493"/>
      <c r="USI18" s="493"/>
      <c r="USJ18" s="493"/>
      <c r="USK18" s="493"/>
      <c r="USL18" s="493"/>
      <c r="USM18" s="493"/>
      <c r="USN18" s="493"/>
      <c r="USO18" s="493"/>
      <c r="USP18" s="493"/>
      <c r="USQ18" s="493"/>
      <c r="USR18" s="493"/>
      <c r="USS18" s="493"/>
      <c r="UST18" s="493"/>
      <c r="USU18" s="493"/>
      <c r="USV18" s="493"/>
      <c r="USW18" s="493"/>
      <c r="USX18" s="493"/>
      <c r="USY18" s="493"/>
      <c r="USZ18" s="493"/>
      <c r="UTA18" s="493"/>
      <c r="UTB18" s="493"/>
      <c r="UTC18" s="493"/>
      <c r="UTD18" s="493"/>
      <c r="UTE18" s="493"/>
      <c r="UTF18" s="493"/>
      <c r="UTG18" s="493"/>
      <c r="UTH18" s="493"/>
      <c r="UTI18" s="493"/>
      <c r="UTJ18" s="493"/>
      <c r="UTK18" s="493"/>
      <c r="UTL18" s="493"/>
      <c r="UTM18" s="493"/>
      <c r="UTN18" s="493"/>
      <c r="UTO18" s="493"/>
      <c r="UTP18" s="493"/>
      <c r="UTQ18" s="493"/>
      <c r="UTR18" s="493"/>
      <c r="UTS18" s="493"/>
      <c r="UTT18" s="493"/>
      <c r="UTU18" s="493"/>
      <c r="UTV18" s="493"/>
      <c r="UTW18" s="493"/>
      <c r="UTX18" s="493"/>
      <c r="UTY18" s="493"/>
      <c r="UTZ18" s="493"/>
      <c r="UUA18" s="493"/>
      <c r="UUB18" s="493"/>
      <c r="UUC18" s="493"/>
      <c r="UUD18" s="493"/>
      <c r="UUE18" s="493"/>
      <c r="UUF18" s="493"/>
      <c r="UUG18" s="493"/>
      <c r="UUH18" s="493"/>
      <c r="UUI18" s="493"/>
      <c r="UUJ18" s="493"/>
      <c r="UUK18" s="493"/>
      <c r="UUL18" s="493"/>
      <c r="UUM18" s="493"/>
      <c r="UUN18" s="493"/>
      <c r="UUO18" s="493"/>
      <c r="UUP18" s="493"/>
      <c r="UUQ18" s="493"/>
      <c r="UUR18" s="493"/>
      <c r="UUS18" s="493"/>
      <c r="UUT18" s="493"/>
      <c r="UUU18" s="493"/>
      <c r="UUV18" s="493"/>
      <c r="UUW18" s="493"/>
      <c r="UUX18" s="493"/>
      <c r="UUY18" s="493"/>
      <c r="UUZ18" s="493"/>
      <c r="UVA18" s="493"/>
      <c r="UVB18" s="493"/>
      <c r="UVC18" s="493"/>
      <c r="UVD18" s="493"/>
      <c r="UVE18" s="493"/>
      <c r="UVF18" s="493"/>
      <c r="UVG18" s="493"/>
      <c r="UVH18" s="493"/>
      <c r="UVI18" s="493"/>
      <c r="UVJ18" s="493"/>
      <c r="UVK18" s="493"/>
      <c r="UVL18" s="493"/>
      <c r="UVM18" s="493"/>
      <c r="UVN18" s="493"/>
      <c r="UVO18" s="493"/>
      <c r="UVP18" s="493"/>
      <c r="UVQ18" s="493"/>
      <c r="UVR18" s="493"/>
      <c r="UVS18" s="493"/>
      <c r="UVT18" s="493"/>
      <c r="UVU18" s="493"/>
      <c r="UVV18" s="493"/>
      <c r="UVW18" s="493"/>
      <c r="UVX18" s="493"/>
      <c r="UVY18" s="493"/>
      <c r="UVZ18" s="493"/>
      <c r="UWA18" s="493"/>
      <c r="UWB18" s="493"/>
      <c r="UWC18" s="493"/>
      <c r="UWD18" s="493"/>
      <c r="UWE18" s="493"/>
      <c r="UWF18" s="493"/>
      <c r="UWG18" s="493"/>
      <c r="UWH18" s="493"/>
      <c r="UWI18" s="493"/>
      <c r="UWJ18" s="493"/>
      <c r="UWK18" s="493"/>
      <c r="UWL18" s="493"/>
      <c r="UWM18" s="493"/>
      <c r="UWN18" s="493"/>
      <c r="UWO18" s="493"/>
      <c r="UWP18" s="493"/>
      <c r="UWQ18" s="493"/>
      <c r="UWR18" s="493"/>
      <c r="UWS18" s="493"/>
      <c r="UWT18" s="493"/>
      <c r="UWU18" s="493"/>
      <c r="UWV18" s="493"/>
      <c r="UWW18" s="493"/>
      <c r="UWX18" s="493"/>
      <c r="UWY18" s="493"/>
      <c r="UWZ18" s="493"/>
      <c r="UXA18" s="493"/>
      <c r="UXB18" s="493"/>
      <c r="UXC18" s="493"/>
      <c r="UXD18" s="493"/>
      <c r="UXE18" s="493"/>
      <c r="UXF18" s="493"/>
      <c r="UXG18" s="493"/>
      <c r="UXH18" s="493"/>
      <c r="UXI18" s="493"/>
      <c r="UXJ18" s="493"/>
      <c r="UXK18" s="493"/>
      <c r="UXL18" s="493"/>
      <c r="UXM18" s="493"/>
      <c r="UXN18" s="493"/>
      <c r="UXO18" s="493"/>
      <c r="UXP18" s="493"/>
      <c r="UXQ18" s="493"/>
      <c r="UXR18" s="493"/>
      <c r="UXS18" s="493"/>
      <c r="UXT18" s="493"/>
      <c r="UXU18" s="493"/>
      <c r="UXV18" s="493"/>
      <c r="UXW18" s="493"/>
      <c r="UXX18" s="493"/>
      <c r="UXY18" s="493"/>
      <c r="UXZ18" s="493"/>
      <c r="UYA18" s="493"/>
      <c r="UYB18" s="493"/>
      <c r="UYC18" s="493"/>
      <c r="UYD18" s="493"/>
      <c r="UYE18" s="493"/>
      <c r="UYF18" s="493"/>
      <c r="UYG18" s="493"/>
      <c r="UYH18" s="493"/>
      <c r="UYI18" s="493"/>
      <c r="UYJ18" s="493"/>
      <c r="UYK18" s="493"/>
      <c r="UYL18" s="493"/>
      <c r="UYM18" s="493"/>
      <c r="UYN18" s="493"/>
      <c r="UYO18" s="493"/>
      <c r="UYP18" s="493"/>
      <c r="UYQ18" s="493"/>
      <c r="UYR18" s="493"/>
      <c r="UYS18" s="493"/>
      <c r="UYT18" s="493"/>
      <c r="UYU18" s="493"/>
      <c r="UYV18" s="493"/>
      <c r="UYW18" s="493"/>
      <c r="UYX18" s="493"/>
      <c r="UYY18" s="493"/>
      <c r="UYZ18" s="493"/>
      <c r="UZA18" s="493"/>
      <c r="UZB18" s="493"/>
      <c r="UZC18" s="493"/>
      <c r="UZD18" s="493"/>
      <c r="UZE18" s="493"/>
      <c r="UZF18" s="493"/>
      <c r="UZG18" s="493"/>
      <c r="UZH18" s="493"/>
      <c r="UZI18" s="493"/>
      <c r="UZJ18" s="493"/>
      <c r="UZK18" s="493"/>
      <c r="UZL18" s="493"/>
      <c r="UZM18" s="493"/>
      <c r="UZN18" s="493"/>
      <c r="UZO18" s="493"/>
      <c r="UZP18" s="493"/>
      <c r="UZQ18" s="493"/>
      <c r="UZR18" s="493"/>
      <c r="UZS18" s="493"/>
      <c r="UZT18" s="493"/>
      <c r="UZU18" s="493"/>
      <c r="UZV18" s="493"/>
      <c r="UZW18" s="493"/>
      <c r="UZX18" s="493"/>
      <c r="UZY18" s="493"/>
      <c r="UZZ18" s="493"/>
      <c r="VAA18" s="493"/>
      <c r="VAB18" s="493"/>
      <c r="VAC18" s="493"/>
      <c r="VAD18" s="493"/>
      <c r="VAE18" s="493"/>
      <c r="VAF18" s="493"/>
      <c r="VAG18" s="493"/>
      <c r="VAH18" s="493"/>
      <c r="VAI18" s="493"/>
      <c r="VAJ18" s="493"/>
      <c r="VAK18" s="493"/>
      <c r="VAL18" s="493"/>
      <c r="VAM18" s="493"/>
      <c r="VAN18" s="493"/>
      <c r="VAO18" s="493"/>
      <c r="VAP18" s="493"/>
      <c r="VAQ18" s="493"/>
      <c r="VAR18" s="493"/>
      <c r="VAS18" s="493"/>
      <c r="VAT18" s="493"/>
      <c r="VAU18" s="493"/>
      <c r="VAV18" s="493"/>
      <c r="VAW18" s="493"/>
      <c r="VAX18" s="493"/>
      <c r="VAY18" s="493"/>
      <c r="VAZ18" s="493"/>
      <c r="VBA18" s="493"/>
      <c r="VBB18" s="493"/>
      <c r="VBC18" s="493"/>
      <c r="VBD18" s="493"/>
      <c r="VBE18" s="493"/>
      <c r="VBF18" s="493"/>
      <c r="VBG18" s="493"/>
      <c r="VBH18" s="493"/>
      <c r="VBI18" s="493"/>
      <c r="VBJ18" s="493"/>
      <c r="VBK18" s="493"/>
      <c r="VBL18" s="493"/>
      <c r="VBM18" s="493"/>
      <c r="VBN18" s="493"/>
      <c r="VBO18" s="493"/>
      <c r="VBP18" s="493"/>
      <c r="VBQ18" s="493"/>
      <c r="VBR18" s="493"/>
      <c r="VBS18" s="493"/>
      <c r="VBT18" s="493"/>
      <c r="VBU18" s="493"/>
      <c r="VBV18" s="493"/>
      <c r="VBW18" s="493"/>
      <c r="VBX18" s="493"/>
      <c r="VBY18" s="493"/>
      <c r="VBZ18" s="493"/>
      <c r="VCA18" s="493"/>
      <c r="VCB18" s="493"/>
      <c r="VCC18" s="493"/>
      <c r="VCD18" s="493"/>
      <c r="VCE18" s="493"/>
      <c r="VCF18" s="493"/>
      <c r="VCG18" s="493"/>
      <c r="VCH18" s="493"/>
      <c r="VCI18" s="493"/>
      <c r="VCJ18" s="493"/>
      <c r="VCK18" s="493"/>
      <c r="VCL18" s="493"/>
      <c r="VCM18" s="493"/>
      <c r="VCN18" s="493"/>
      <c r="VCO18" s="493"/>
      <c r="VCP18" s="493"/>
      <c r="VCQ18" s="493"/>
      <c r="VCR18" s="493"/>
      <c r="VCS18" s="493"/>
      <c r="VCT18" s="493"/>
      <c r="VCU18" s="493"/>
      <c r="VCV18" s="493"/>
      <c r="VCW18" s="493"/>
      <c r="VCX18" s="493"/>
      <c r="VCY18" s="493"/>
      <c r="VCZ18" s="493"/>
      <c r="VDA18" s="493"/>
      <c r="VDB18" s="493"/>
      <c r="VDC18" s="493"/>
      <c r="VDD18" s="493"/>
      <c r="VDE18" s="493"/>
      <c r="VDF18" s="493"/>
      <c r="VDG18" s="493"/>
      <c r="VDH18" s="493"/>
      <c r="VDI18" s="493"/>
      <c r="VDJ18" s="493"/>
      <c r="VDK18" s="493"/>
      <c r="VDL18" s="493"/>
      <c r="VDM18" s="493"/>
      <c r="VDN18" s="493"/>
      <c r="VDO18" s="493"/>
      <c r="VDP18" s="493"/>
      <c r="VDQ18" s="493"/>
      <c r="VDR18" s="493"/>
      <c r="VDS18" s="493"/>
      <c r="VDT18" s="493"/>
      <c r="VDU18" s="493"/>
      <c r="VDV18" s="493"/>
      <c r="VDW18" s="493"/>
      <c r="VDX18" s="493"/>
      <c r="VDY18" s="493"/>
      <c r="VDZ18" s="493"/>
      <c r="VEA18" s="493"/>
      <c r="VEB18" s="493"/>
      <c r="VEC18" s="493"/>
      <c r="VED18" s="493"/>
      <c r="VEE18" s="493"/>
      <c r="VEF18" s="493"/>
      <c r="VEG18" s="493"/>
      <c r="VEH18" s="493"/>
      <c r="VEI18" s="493"/>
      <c r="VEJ18" s="493"/>
      <c r="VEK18" s="493"/>
      <c r="VEL18" s="493"/>
      <c r="VEM18" s="493"/>
      <c r="VEN18" s="493"/>
      <c r="VEO18" s="493"/>
      <c r="VEP18" s="493"/>
      <c r="VEQ18" s="493"/>
      <c r="VER18" s="493"/>
      <c r="VES18" s="493"/>
      <c r="VET18" s="493"/>
      <c r="VEU18" s="493"/>
      <c r="VEV18" s="493"/>
      <c r="VEW18" s="493"/>
      <c r="VEX18" s="493"/>
      <c r="VEY18" s="493"/>
      <c r="VEZ18" s="493"/>
      <c r="VFA18" s="493"/>
      <c r="VFB18" s="493"/>
      <c r="VFC18" s="493"/>
      <c r="VFD18" s="493"/>
      <c r="VFE18" s="493"/>
      <c r="VFF18" s="493"/>
      <c r="VFG18" s="493"/>
      <c r="VFH18" s="493"/>
      <c r="VFI18" s="493"/>
      <c r="VFJ18" s="493"/>
      <c r="VFK18" s="493"/>
      <c r="VFL18" s="493"/>
      <c r="VFM18" s="493"/>
      <c r="VFN18" s="493"/>
      <c r="VFO18" s="493"/>
      <c r="VFP18" s="493"/>
      <c r="VFQ18" s="493"/>
      <c r="VFR18" s="493"/>
      <c r="VFS18" s="493"/>
      <c r="VFT18" s="493"/>
      <c r="VFU18" s="493"/>
      <c r="VFV18" s="493"/>
      <c r="VFW18" s="493"/>
      <c r="VFX18" s="493"/>
      <c r="VFY18" s="493"/>
      <c r="VFZ18" s="493"/>
      <c r="VGA18" s="493"/>
      <c r="VGB18" s="493"/>
      <c r="VGC18" s="493"/>
      <c r="VGD18" s="493"/>
      <c r="VGE18" s="493"/>
      <c r="VGF18" s="493"/>
      <c r="VGG18" s="493"/>
      <c r="VGH18" s="493"/>
      <c r="VGI18" s="493"/>
      <c r="VGJ18" s="493"/>
      <c r="VGK18" s="493"/>
      <c r="VGL18" s="493"/>
      <c r="VGM18" s="493"/>
      <c r="VGN18" s="493"/>
      <c r="VGO18" s="493"/>
      <c r="VGP18" s="493"/>
      <c r="VGQ18" s="493"/>
      <c r="VGR18" s="493"/>
      <c r="VGS18" s="493"/>
      <c r="VGT18" s="493"/>
      <c r="VGU18" s="493"/>
      <c r="VGV18" s="493"/>
      <c r="VGW18" s="493"/>
      <c r="VGX18" s="493"/>
      <c r="VGY18" s="493"/>
      <c r="VGZ18" s="493"/>
      <c r="VHA18" s="493"/>
      <c r="VHB18" s="493"/>
      <c r="VHC18" s="493"/>
      <c r="VHD18" s="493"/>
      <c r="VHE18" s="493"/>
      <c r="VHF18" s="493"/>
      <c r="VHG18" s="493"/>
      <c r="VHH18" s="493"/>
      <c r="VHI18" s="493"/>
      <c r="VHJ18" s="493"/>
      <c r="VHK18" s="493"/>
      <c r="VHL18" s="493"/>
      <c r="VHM18" s="493"/>
      <c r="VHN18" s="493"/>
      <c r="VHO18" s="493"/>
      <c r="VHP18" s="493"/>
      <c r="VHQ18" s="493"/>
      <c r="VHR18" s="493"/>
      <c r="VHS18" s="493"/>
      <c r="VHT18" s="493"/>
      <c r="VHU18" s="493"/>
      <c r="VHV18" s="493"/>
      <c r="VHW18" s="493"/>
      <c r="VHX18" s="493"/>
      <c r="VHY18" s="493"/>
      <c r="VHZ18" s="493"/>
      <c r="VIA18" s="493"/>
      <c r="VIB18" s="493"/>
      <c r="VIC18" s="493"/>
      <c r="VID18" s="493"/>
      <c r="VIE18" s="493"/>
      <c r="VIF18" s="493"/>
      <c r="VIG18" s="493"/>
      <c r="VIH18" s="493"/>
      <c r="VII18" s="493"/>
      <c r="VIJ18" s="493"/>
      <c r="VIK18" s="493"/>
      <c r="VIL18" s="493"/>
      <c r="VIM18" s="493"/>
      <c r="VIN18" s="493"/>
      <c r="VIO18" s="493"/>
      <c r="VIP18" s="493"/>
      <c r="VIQ18" s="493"/>
      <c r="VIR18" s="493"/>
      <c r="VIS18" s="493"/>
      <c r="VIT18" s="493"/>
      <c r="VIU18" s="493"/>
      <c r="VIV18" s="493"/>
      <c r="VIW18" s="493"/>
      <c r="VIX18" s="493"/>
      <c r="VIY18" s="493"/>
      <c r="VIZ18" s="493"/>
      <c r="VJA18" s="493"/>
      <c r="VJB18" s="493"/>
      <c r="VJC18" s="493"/>
      <c r="VJD18" s="493"/>
      <c r="VJE18" s="493"/>
      <c r="VJF18" s="493"/>
      <c r="VJG18" s="493"/>
      <c r="VJH18" s="493"/>
      <c r="VJI18" s="493"/>
      <c r="VJJ18" s="493"/>
      <c r="VJK18" s="493"/>
      <c r="VJL18" s="493"/>
      <c r="VJM18" s="493"/>
      <c r="VJN18" s="493"/>
      <c r="VJO18" s="493"/>
      <c r="VJP18" s="493"/>
      <c r="VJQ18" s="493"/>
      <c r="VJR18" s="493"/>
      <c r="VJS18" s="493"/>
      <c r="VJT18" s="493"/>
      <c r="VJU18" s="493"/>
      <c r="VJV18" s="493"/>
      <c r="VJW18" s="493"/>
      <c r="VJX18" s="493"/>
      <c r="VJY18" s="493"/>
      <c r="VJZ18" s="493"/>
      <c r="VKA18" s="493"/>
      <c r="VKB18" s="493"/>
      <c r="VKC18" s="493"/>
      <c r="VKD18" s="493"/>
      <c r="VKE18" s="493"/>
      <c r="VKF18" s="493"/>
      <c r="VKG18" s="493"/>
      <c r="VKH18" s="493"/>
      <c r="VKI18" s="493"/>
      <c r="VKJ18" s="493"/>
      <c r="VKK18" s="493"/>
      <c r="VKL18" s="493"/>
      <c r="VKM18" s="493"/>
      <c r="VKN18" s="493"/>
      <c r="VKO18" s="493"/>
      <c r="VKP18" s="493"/>
      <c r="VKQ18" s="493"/>
      <c r="VKR18" s="493"/>
      <c r="VKS18" s="493"/>
      <c r="VKT18" s="493"/>
      <c r="VKU18" s="493"/>
      <c r="VKV18" s="493"/>
      <c r="VKW18" s="493"/>
      <c r="VKX18" s="493"/>
      <c r="VKY18" s="493"/>
      <c r="VKZ18" s="493"/>
      <c r="VLA18" s="493"/>
      <c r="VLB18" s="493"/>
      <c r="VLC18" s="493"/>
      <c r="VLD18" s="493"/>
      <c r="VLE18" s="493"/>
      <c r="VLF18" s="493"/>
      <c r="VLG18" s="493"/>
      <c r="VLH18" s="493"/>
      <c r="VLI18" s="493"/>
      <c r="VLJ18" s="493"/>
      <c r="VLK18" s="493"/>
      <c r="VLL18" s="493"/>
      <c r="VLM18" s="493"/>
      <c r="VLN18" s="493"/>
      <c r="VLO18" s="493"/>
      <c r="VLP18" s="493"/>
      <c r="VLQ18" s="493"/>
      <c r="VLR18" s="493"/>
      <c r="VLS18" s="493"/>
      <c r="VLT18" s="493"/>
      <c r="VLU18" s="493"/>
      <c r="VLV18" s="493"/>
      <c r="VLW18" s="493"/>
      <c r="VLX18" s="493"/>
      <c r="VLY18" s="493"/>
      <c r="VLZ18" s="493"/>
      <c r="VMA18" s="493"/>
      <c r="VMB18" s="493"/>
      <c r="VMC18" s="493"/>
      <c r="VMD18" s="493"/>
      <c r="VME18" s="493"/>
      <c r="VMF18" s="493"/>
      <c r="VMG18" s="493"/>
      <c r="VMH18" s="493"/>
      <c r="VMI18" s="493"/>
      <c r="VMJ18" s="493"/>
      <c r="VMK18" s="493"/>
      <c r="VML18" s="493"/>
      <c r="VMM18" s="493"/>
      <c r="VMN18" s="493"/>
      <c r="VMO18" s="493"/>
      <c r="VMP18" s="493"/>
      <c r="VMQ18" s="493"/>
      <c r="VMR18" s="493"/>
      <c r="VMS18" s="493"/>
      <c r="VMT18" s="493"/>
      <c r="VMU18" s="493"/>
      <c r="VMV18" s="493"/>
      <c r="VMW18" s="493"/>
      <c r="VMX18" s="493"/>
      <c r="VMY18" s="493"/>
      <c r="VMZ18" s="493"/>
      <c r="VNA18" s="493"/>
      <c r="VNB18" s="493"/>
      <c r="VNC18" s="493"/>
      <c r="VND18" s="493"/>
      <c r="VNE18" s="493"/>
      <c r="VNF18" s="493"/>
      <c r="VNG18" s="493"/>
      <c r="VNH18" s="493"/>
      <c r="VNI18" s="493"/>
      <c r="VNJ18" s="493"/>
      <c r="VNK18" s="493"/>
      <c r="VNL18" s="493"/>
      <c r="VNM18" s="493"/>
      <c r="VNN18" s="493"/>
      <c r="VNO18" s="493"/>
      <c r="VNP18" s="493"/>
      <c r="VNQ18" s="493"/>
      <c r="VNR18" s="493"/>
      <c r="VNS18" s="493"/>
      <c r="VNT18" s="493"/>
      <c r="VNU18" s="493"/>
      <c r="VNV18" s="493"/>
      <c r="VNW18" s="493"/>
      <c r="VNX18" s="493"/>
      <c r="VNY18" s="493"/>
      <c r="VNZ18" s="493"/>
      <c r="VOA18" s="493"/>
      <c r="VOB18" s="493"/>
      <c r="VOC18" s="493"/>
      <c r="VOD18" s="493"/>
      <c r="VOE18" s="493"/>
      <c r="VOF18" s="493"/>
      <c r="VOG18" s="493"/>
      <c r="VOH18" s="493"/>
      <c r="VOI18" s="493"/>
      <c r="VOJ18" s="493"/>
      <c r="VOK18" s="493"/>
      <c r="VOL18" s="493"/>
      <c r="VOM18" s="493"/>
      <c r="VON18" s="493"/>
      <c r="VOO18" s="493"/>
      <c r="VOP18" s="493"/>
      <c r="VOQ18" s="493"/>
      <c r="VOR18" s="493"/>
      <c r="VOS18" s="493"/>
      <c r="VOT18" s="493"/>
      <c r="VOU18" s="493"/>
      <c r="VOV18" s="493"/>
      <c r="VOW18" s="493"/>
      <c r="VOX18" s="493"/>
      <c r="VOY18" s="493"/>
      <c r="VOZ18" s="493"/>
      <c r="VPA18" s="493"/>
      <c r="VPB18" s="493"/>
      <c r="VPC18" s="493"/>
      <c r="VPD18" s="493"/>
      <c r="VPE18" s="493"/>
      <c r="VPF18" s="493"/>
      <c r="VPG18" s="493"/>
      <c r="VPH18" s="493"/>
      <c r="VPI18" s="493"/>
      <c r="VPJ18" s="493"/>
      <c r="VPK18" s="493"/>
      <c r="VPL18" s="493"/>
      <c r="VPM18" s="493"/>
      <c r="VPN18" s="493"/>
      <c r="VPO18" s="493"/>
      <c r="VPP18" s="493"/>
      <c r="VPQ18" s="493"/>
      <c r="VPR18" s="493"/>
      <c r="VPS18" s="493"/>
      <c r="VPT18" s="493"/>
      <c r="VPU18" s="493"/>
      <c r="VPV18" s="493"/>
      <c r="VPW18" s="493"/>
      <c r="VPX18" s="493"/>
      <c r="VPY18" s="493"/>
      <c r="VPZ18" s="493"/>
      <c r="VQA18" s="493"/>
      <c r="VQB18" s="493"/>
      <c r="VQC18" s="493"/>
      <c r="VQD18" s="493"/>
      <c r="VQE18" s="493"/>
      <c r="VQF18" s="493"/>
      <c r="VQG18" s="493"/>
      <c r="VQH18" s="493"/>
      <c r="VQI18" s="493"/>
      <c r="VQJ18" s="493"/>
      <c r="VQK18" s="493"/>
      <c r="VQL18" s="493"/>
      <c r="VQM18" s="493"/>
      <c r="VQN18" s="493"/>
      <c r="VQO18" s="493"/>
      <c r="VQP18" s="493"/>
      <c r="VQQ18" s="493"/>
      <c r="VQR18" s="493"/>
      <c r="VQS18" s="493"/>
      <c r="VQT18" s="493"/>
      <c r="VQU18" s="493"/>
      <c r="VQV18" s="493"/>
      <c r="VQW18" s="493"/>
      <c r="VQX18" s="493"/>
      <c r="VQY18" s="493"/>
      <c r="VQZ18" s="493"/>
      <c r="VRA18" s="493"/>
      <c r="VRB18" s="493"/>
      <c r="VRC18" s="493"/>
      <c r="VRD18" s="493"/>
      <c r="VRE18" s="493"/>
      <c r="VRF18" s="493"/>
      <c r="VRG18" s="493"/>
      <c r="VRH18" s="493"/>
      <c r="VRI18" s="493"/>
      <c r="VRJ18" s="493"/>
      <c r="VRK18" s="493"/>
      <c r="VRL18" s="493"/>
      <c r="VRM18" s="493"/>
      <c r="VRN18" s="493"/>
      <c r="VRO18" s="493"/>
      <c r="VRP18" s="493"/>
      <c r="VRQ18" s="493"/>
      <c r="VRR18" s="493"/>
      <c r="VRS18" s="493"/>
      <c r="VRT18" s="493"/>
      <c r="VRU18" s="493"/>
      <c r="VRV18" s="493"/>
      <c r="VRW18" s="493"/>
      <c r="VRX18" s="493"/>
      <c r="VRY18" s="493"/>
      <c r="VRZ18" s="493"/>
      <c r="VSA18" s="493"/>
      <c r="VSB18" s="493"/>
      <c r="VSC18" s="493"/>
      <c r="VSD18" s="493"/>
      <c r="VSE18" s="493"/>
      <c r="VSF18" s="493"/>
      <c r="VSG18" s="493"/>
      <c r="VSH18" s="493"/>
      <c r="VSI18" s="493"/>
      <c r="VSJ18" s="493"/>
      <c r="VSK18" s="493"/>
      <c r="VSL18" s="493"/>
      <c r="VSM18" s="493"/>
      <c r="VSN18" s="493"/>
      <c r="VSO18" s="493"/>
      <c r="VSP18" s="493"/>
      <c r="VSQ18" s="493"/>
      <c r="VSR18" s="493"/>
      <c r="VSS18" s="493"/>
      <c r="VST18" s="493"/>
      <c r="VSU18" s="493"/>
      <c r="VSV18" s="493"/>
      <c r="VSW18" s="493"/>
      <c r="VSX18" s="493"/>
      <c r="VSY18" s="493"/>
      <c r="VSZ18" s="493"/>
      <c r="VTA18" s="493"/>
      <c r="VTB18" s="493"/>
      <c r="VTC18" s="493"/>
      <c r="VTD18" s="493"/>
      <c r="VTE18" s="493"/>
      <c r="VTF18" s="493"/>
      <c r="VTG18" s="493"/>
      <c r="VTH18" s="493"/>
      <c r="VTI18" s="493"/>
      <c r="VTJ18" s="493"/>
      <c r="VTK18" s="493"/>
      <c r="VTL18" s="493"/>
      <c r="VTM18" s="493"/>
      <c r="VTN18" s="493"/>
      <c r="VTO18" s="493"/>
      <c r="VTP18" s="493"/>
      <c r="VTQ18" s="493"/>
      <c r="VTR18" s="493"/>
      <c r="VTS18" s="493"/>
      <c r="VTT18" s="493"/>
      <c r="VTU18" s="493"/>
      <c r="VTV18" s="493"/>
      <c r="VTW18" s="493"/>
      <c r="VTX18" s="493"/>
      <c r="VTY18" s="493"/>
      <c r="VTZ18" s="493"/>
      <c r="VUA18" s="493"/>
      <c r="VUB18" s="493"/>
      <c r="VUC18" s="493"/>
      <c r="VUD18" s="493"/>
      <c r="VUE18" s="493"/>
      <c r="VUF18" s="493"/>
      <c r="VUG18" s="493"/>
      <c r="VUH18" s="493"/>
      <c r="VUI18" s="493"/>
      <c r="VUJ18" s="493"/>
      <c r="VUK18" s="493"/>
      <c r="VUL18" s="493"/>
      <c r="VUM18" s="493"/>
      <c r="VUN18" s="493"/>
      <c r="VUO18" s="493"/>
      <c r="VUP18" s="493"/>
      <c r="VUQ18" s="493"/>
      <c r="VUR18" s="493"/>
      <c r="VUS18" s="493"/>
      <c r="VUT18" s="493"/>
      <c r="VUU18" s="493"/>
      <c r="VUV18" s="493"/>
      <c r="VUW18" s="493"/>
      <c r="VUX18" s="493"/>
      <c r="VUY18" s="493"/>
      <c r="VUZ18" s="493"/>
      <c r="VVA18" s="493"/>
      <c r="VVB18" s="493"/>
      <c r="VVC18" s="493"/>
      <c r="VVD18" s="493"/>
      <c r="VVE18" s="493"/>
      <c r="VVF18" s="493"/>
      <c r="VVG18" s="493"/>
      <c r="VVH18" s="493"/>
      <c r="VVI18" s="493"/>
      <c r="VVJ18" s="493"/>
      <c r="VVK18" s="493"/>
      <c r="VVL18" s="493"/>
      <c r="VVM18" s="493"/>
      <c r="VVN18" s="493"/>
      <c r="VVO18" s="493"/>
      <c r="VVP18" s="493"/>
      <c r="VVQ18" s="493"/>
      <c r="VVR18" s="493"/>
      <c r="VVS18" s="493"/>
      <c r="VVT18" s="493"/>
      <c r="VVU18" s="493"/>
      <c r="VVV18" s="493"/>
      <c r="VVW18" s="493"/>
      <c r="VVX18" s="493"/>
      <c r="VVY18" s="493"/>
      <c r="VVZ18" s="493"/>
      <c r="VWA18" s="493"/>
      <c r="VWB18" s="493"/>
      <c r="VWC18" s="493"/>
      <c r="VWD18" s="493"/>
      <c r="VWE18" s="493"/>
      <c r="VWF18" s="493"/>
      <c r="VWG18" s="493"/>
      <c r="VWH18" s="493"/>
      <c r="VWI18" s="493"/>
      <c r="VWJ18" s="493"/>
      <c r="VWK18" s="493"/>
      <c r="VWL18" s="493"/>
      <c r="VWM18" s="493"/>
      <c r="VWN18" s="493"/>
      <c r="VWO18" s="493"/>
      <c r="VWP18" s="493"/>
      <c r="VWQ18" s="493"/>
      <c r="VWR18" s="493"/>
      <c r="VWS18" s="493"/>
      <c r="VWT18" s="493"/>
      <c r="VWU18" s="493"/>
      <c r="VWV18" s="493"/>
      <c r="VWW18" s="493"/>
      <c r="VWX18" s="493"/>
      <c r="VWY18" s="493"/>
      <c r="VWZ18" s="493"/>
      <c r="VXA18" s="493"/>
      <c r="VXB18" s="493"/>
      <c r="VXC18" s="493"/>
      <c r="VXD18" s="493"/>
      <c r="VXE18" s="493"/>
      <c r="VXF18" s="493"/>
      <c r="VXG18" s="493"/>
      <c r="VXH18" s="493"/>
      <c r="VXI18" s="493"/>
      <c r="VXJ18" s="493"/>
      <c r="VXK18" s="493"/>
      <c r="VXL18" s="493"/>
      <c r="VXM18" s="493"/>
      <c r="VXN18" s="493"/>
      <c r="VXO18" s="493"/>
      <c r="VXP18" s="493"/>
      <c r="VXQ18" s="493"/>
      <c r="VXR18" s="493"/>
      <c r="VXS18" s="493"/>
      <c r="VXT18" s="493"/>
      <c r="VXU18" s="493"/>
      <c r="VXV18" s="493"/>
      <c r="VXW18" s="493"/>
      <c r="VXX18" s="493"/>
      <c r="VXY18" s="493"/>
      <c r="VXZ18" s="493"/>
      <c r="VYA18" s="493"/>
      <c r="VYB18" s="493"/>
      <c r="VYC18" s="493"/>
      <c r="VYD18" s="493"/>
      <c r="VYE18" s="493"/>
      <c r="VYF18" s="493"/>
      <c r="VYG18" s="493"/>
      <c r="VYH18" s="493"/>
      <c r="VYI18" s="493"/>
      <c r="VYJ18" s="493"/>
      <c r="VYK18" s="493"/>
      <c r="VYL18" s="493"/>
      <c r="VYM18" s="493"/>
      <c r="VYN18" s="493"/>
      <c r="VYO18" s="493"/>
      <c r="VYP18" s="493"/>
      <c r="VYQ18" s="493"/>
      <c r="VYR18" s="493"/>
      <c r="VYS18" s="493"/>
      <c r="VYT18" s="493"/>
      <c r="VYU18" s="493"/>
      <c r="VYV18" s="493"/>
      <c r="VYW18" s="493"/>
      <c r="VYX18" s="493"/>
      <c r="VYY18" s="493"/>
      <c r="VYZ18" s="493"/>
      <c r="VZA18" s="493"/>
      <c r="VZB18" s="493"/>
      <c r="VZC18" s="493"/>
      <c r="VZD18" s="493"/>
      <c r="VZE18" s="493"/>
      <c r="VZF18" s="493"/>
      <c r="VZG18" s="493"/>
      <c r="VZH18" s="493"/>
      <c r="VZI18" s="493"/>
      <c r="VZJ18" s="493"/>
      <c r="VZK18" s="493"/>
      <c r="VZL18" s="493"/>
      <c r="VZM18" s="493"/>
      <c r="VZN18" s="493"/>
      <c r="VZO18" s="493"/>
      <c r="VZP18" s="493"/>
      <c r="VZQ18" s="493"/>
      <c r="VZR18" s="493"/>
      <c r="VZS18" s="493"/>
      <c r="VZT18" s="493"/>
      <c r="VZU18" s="493"/>
      <c r="VZV18" s="493"/>
      <c r="VZW18" s="493"/>
      <c r="VZX18" s="493"/>
      <c r="VZY18" s="493"/>
      <c r="VZZ18" s="493"/>
      <c r="WAA18" s="493"/>
      <c r="WAB18" s="493"/>
      <c r="WAC18" s="493"/>
      <c r="WAD18" s="493"/>
      <c r="WAE18" s="493"/>
      <c r="WAF18" s="493"/>
      <c r="WAG18" s="493"/>
      <c r="WAH18" s="493"/>
      <c r="WAI18" s="493"/>
      <c r="WAJ18" s="493"/>
      <c r="WAK18" s="493"/>
      <c r="WAL18" s="493"/>
      <c r="WAM18" s="493"/>
      <c r="WAN18" s="493"/>
      <c r="WAO18" s="493"/>
      <c r="WAP18" s="493"/>
      <c r="WAQ18" s="493"/>
      <c r="WAR18" s="493"/>
      <c r="WAS18" s="493"/>
      <c r="WAT18" s="493"/>
      <c r="WAU18" s="493"/>
      <c r="WAV18" s="493"/>
      <c r="WAW18" s="493"/>
      <c r="WAX18" s="493"/>
      <c r="WAY18" s="493"/>
      <c r="WAZ18" s="493"/>
      <c r="WBA18" s="493"/>
      <c r="WBB18" s="493"/>
      <c r="WBC18" s="493"/>
      <c r="WBD18" s="493"/>
      <c r="WBE18" s="493"/>
      <c r="WBF18" s="493"/>
      <c r="WBG18" s="493"/>
      <c r="WBH18" s="493"/>
      <c r="WBI18" s="493"/>
      <c r="WBJ18" s="493"/>
      <c r="WBK18" s="493"/>
      <c r="WBL18" s="493"/>
      <c r="WBM18" s="493"/>
      <c r="WBN18" s="493"/>
      <c r="WBO18" s="493"/>
      <c r="WBP18" s="493"/>
      <c r="WBQ18" s="493"/>
      <c r="WBR18" s="493"/>
      <c r="WBS18" s="493"/>
      <c r="WBT18" s="493"/>
      <c r="WBU18" s="493"/>
      <c r="WBV18" s="493"/>
      <c r="WBW18" s="493"/>
      <c r="WBX18" s="493"/>
      <c r="WBY18" s="493"/>
      <c r="WBZ18" s="493"/>
      <c r="WCA18" s="493"/>
      <c r="WCB18" s="493"/>
      <c r="WCC18" s="493"/>
      <c r="WCD18" s="493"/>
      <c r="WCE18" s="493"/>
      <c r="WCF18" s="493"/>
      <c r="WCG18" s="493"/>
      <c r="WCH18" s="493"/>
      <c r="WCI18" s="493"/>
      <c r="WCJ18" s="493"/>
      <c r="WCK18" s="493"/>
      <c r="WCL18" s="493"/>
      <c r="WCM18" s="493"/>
      <c r="WCN18" s="493"/>
      <c r="WCO18" s="493"/>
      <c r="WCP18" s="493"/>
      <c r="WCQ18" s="493"/>
      <c r="WCR18" s="493"/>
      <c r="WCS18" s="493"/>
      <c r="WCT18" s="493"/>
      <c r="WCU18" s="493"/>
      <c r="WCV18" s="493"/>
      <c r="WCW18" s="493"/>
      <c r="WCX18" s="493"/>
      <c r="WCY18" s="493"/>
      <c r="WCZ18" s="493"/>
      <c r="WDA18" s="493"/>
      <c r="WDB18" s="493"/>
      <c r="WDC18" s="493"/>
      <c r="WDD18" s="493"/>
      <c r="WDE18" s="493"/>
      <c r="WDF18" s="493"/>
      <c r="WDG18" s="493"/>
      <c r="WDH18" s="493"/>
      <c r="WDI18" s="493"/>
      <c r="WDJ18" s="493"/>
      <c r="WDK18" s="493"/>
      <c r="WDL18" s="493"/>
      <c r="WDM18" s="493"/>
      <c r="WDN18" s="493"/>
      <c r="WDO18" s="493"/>
      <c r="WDP18" s="493"/>
      <c r="WDQ18" s="493"/>
      <c r="WDR18" s="493"/>
      <c r="WDS18" s="493"/>
      <c r="WDT18" s="493"/>
      <c r="WDU18" s="493"/>
      <c r="WDV18" s="493"/>
      <c r="WDW18" s="493"/>
      <c r="WDX18" s="493"/>
      <c r="WDY18" s="493"/>
      <c r="WDZ18" s="493"/>
      <c r="WEA18" s="493"/>
      <c r="WEB18" s="493"/>
      <c r="WEC18" s="493"/>
      <c r="WED18" s="493"/>
      <c r="WEE18" s="493"/>
      <c r="WEF18" s="493"/>
      <c r="WEG18" s="493"/>
      <c r="WEH18" s="493"/>
      <c r="WEI18" s="493"/>
      <c r="WEJ18" s="493"/>
      <c r="WEK18" s="493"/>
      <c r="WEL18" s="493"/>
      <c r="WEM18" s="493"/>
      <c r="WEN18" s="493"/>
      <c r="WEO18" s="493"/>
      <c r="WEP18" s="493"/>
      <c r="WEQ18" s="493"/>
      <c r="WER18" s="493"/>
      <c r="WES18" s="493"/>
      <c r="WET18" s="493"/>
      <c r="WEU18" s="493"/>
      <c r="WEV18" s="493"/>
      <c r="WEW18" s="493"/>
      <c r="WEX18" s="493"/>
      <c r="WEY18" s="493"/>
      <c r="WEZ18" s="493"/>
      <c r="WFA18" s="493"/>
      <c r="WFB18" s="493"/>
      <c r="WFC18" s="493"/>
      <c r="WFD18" s="493"/>
      <c r="WFE18" s="493"/>
      <c r="WFF18" s="493"/>
      <c r="WFG18" s="493"/>
      <c r="WFH18" s="493"/>
      <c r="WFI18" s="493"/>
      <c r="WFJ18" s="493"/>
      <c r="WFK18" s="493"/>
      <c r="WFL18" s="493"/>
      <c r="WFM18" s="493"/>
      <c r="WFN18" s="493"/>
      <c r="WFO18" s="493"/>
      <c r="WFP18" s="493"/>
      <c r="WFQ18" s="493"/>
      <c r="WFR18" s="493"/>
      <c r="WFS18" s="493"/>
      <c r="WFT18" s="493"/>
      <c r="WFU18" s="493"/>
      <c r="WFV18" s="493"/>
      <c r="WFW18" s="493"/>
      <c r="WFX18" s="493"/>
      <c r="WFY18" s="493"/>
      <c r="WFZ18" s="493"/>
      <c r="WGA18" s="493"/>
      <c r="WGB18" s="493"/>
      <c r="WGC18" s="493"/>
      <c r="WGD18" s="493"/>
      <c r="WGE18" s="493"/>
      <c r="WGF18" s="493"/>
      <c r="WGG18" s="493"/>
      <c r="WGH18" s="493"/>
      <c r="WGI18" s="493"/>
      <c r="WGJ18" s="493"/>
      <c r="WGK18" s="493"/>
      <c r="WGL18" s="493"/>
      <c r="WGM18" s="493"/>
      <c r="WGN18" s="493"/>
      <c r="WGO18" s="493"/>
      <c r="WGP18" s="493"/>
      <c r="WGQ18" s="493"/>
      <c r="WGR18" s="493"/>
      <c r="WGS18" s="493"/>
      <c r="WGT18" s="493"/>
      <c r="WGU18" s="493"/>
      <c r="WGV18" s="493"/>
      <c r="WGW18" s="493"/>
      <c r="WGX18" s="493"/>
      <c r="WGY18" s="493"/>
      <c r="WGZ18" s="493"/>
      <c r="WHA18" s="493"/>
      <c r="WHB18" s="493"/>
      <c r="WHC18" s="493"/>
      <c r="WHD18" s="493"/>
      <c r="WHE18" s="493"/>
      <c r="WHF18" s="493"/>
      <c r="WHG18" s="493"/>
      <c r="WHH18" s="493"/>
      <c r="WHI18" s="493"/>
      <c r="WHJ18" s="493"/>
      <c r="WHK18" s="493"/>
      <c r="WHL18" s="493"/>
      <c r="WHM18" s="493"/>
      <c r="WHN18" s="493"/>
      <c r="WHO18" s="493"/>
      <c r="WHP18" s="493"/>
      <c r="WHQ18" s="493"/>
      <c r="WHR18" s="493"/>
      <c r="WHS18" s="493"/>
      <c r="WHT18" s="493"/>
      <c r="WHU18" s="493"/>
      <c r="WHV18" s="493"/>
      <c r="WHW18" s="493"/>
      <c r="WHX18" s="493"/>
      <c r="WHY18" s="493"/>
      <c r="WHZ18" s="493"/>
      <c r="WIA18" s="493"/>
      <c r="WIB18" s="493"/>
      <c r="WIC18" s="493"/>
      <c r="WID18" s="493"/>
      <c r="WIE18" s="493"/>
      <c r="WIF18" s="493"/>
      <c r="WIG18" s="493"/>
      <c r="WIH18" s="493"/>
      <c r="WII18" s="493"/>
      <c r="WIJ18" s="493"/>
      <c r="WIK18" s="493"/>
      <c r="WIL18" s="493"/>
      <c r="WIM18" s="493"/>
      <c r="WIN18" s="493"/>
      <c r="WIO18" s="493"/>
      <c r="WIP18" s="493"/>
      <c r="WIQ18" s="493"/>
      <c r="WIR18" s="493"/>
      <c r="WIS18" s="493"/>
      <c r="WIT18" s="493"/>
      <c r="WIU18" s="493"/>
      <c r="WIV18" s="493"/>
      <c r="WIW18" s="493"/>
      <c r="WIX18" s="493"/>
      <c r="WIY18" s="493"/>
      <c r="WIZ18" s="493"/>
      <c r="WJA18" s="493"/>
      <c r="WJB18" s="493"/>
      <c r="WJC18" s="493"/>
      <c r="WJD18" s="493"/>
      <c r="WJE18" s="493"/>
      <c r="WJF18" s="493"/>
      <c r="WJG18" s="493"/>
      <c r="WJH18" s="493"/>
      <c r="WJI18" s="493"/>
      <c r="WJJ18" s="493"/>
      <c r="WJK18" s="493"/>
      <c r="WJL18" s="493"/>
      <c r="WJM18" s="493"/>
      <c r="WJN18" s="493"/>
      <c r="WJO18" s="493"/>
      <c r="WJP18" s="493"/>
      <c r="WJQ18" s="493"/>
      <c r="WJR18" s="493"/>
      <c r="WJS18" s="493"/>
      <c r="WJT18" s="493"/>
      <c r="WJU18" s="493"/>
      <c r="WJV18" s="493"/>
      <c r="WJW18" s="493"/>
      <c r="WJX18" s="493"/>
      <c r="WJY18" s="493"/>
      <c r="WJZ18" s="493"/>
      <c r="WKA18" s="493"/>
      <c r="WKB18" s="493"/>
      <c r="WKC18" s="493"/>
      <c r="WKD18" s="493"/>
      <c r="WKE18" s="493"/>
      <c r="WKF18" s="493"/>
      <c r="WKG18" s="493"/>
      <c r="WKH18" s="493"/>
      <c r="WKI18" s="493"/>
      <c r="WKJ18" s="493"/>
      <c r="WKK18" s="493"/>
      <c r="WKL18" s="493"/>
      <c r="WKM18" s="493"/>
      <c r="WKN18" s="493"/>
      <c r="WKO18" s="493"/>
      <c r="WKP18" s="493"/>
      <c r="WKQ18" s="493"/>
      <c r="WKR18" s="493"/>
      <c r="WKS18" s="493"/>
      <c r="WKT18" s="493"/>
      <c r="WKU18" s="493"/>
      <c r="WKV18" s="493"/>
      <c r="WKW18" s="493"/>
      <c r="WKX18" s="493"/>
      <c r="WKY18" s="493"/>
      <c r="WKZ18" s="493"/>
      <c r="WLA18" s="493"/>
      <c r="WLB18" s="493"/>
      <c r="WLC18" s="493"/>
      <c r="WLD18" s="493"/>
      <c r="WLE18" s="493"/>
      <c r="WLF18" s="493"/>
      <c r="WLG18" s="493"/>
      <c r="WLH18" s="493"/>
      <c r="WLI18" s="493"/>
      <c r="WLJ18" s="493"/>
      <c r="WLK18" s="493"/>
      <c r="WLL18" s="493"/>
      <c r="WLM18" s="493"/>
      <c r="WLN18" s="493"/>
      <c r="WLO18" s="493"/>
      <c r="WLP18" s="493"/>
      <c r="WLQ18" s="493"/>
      <c r="WLR18" s="493"/>
      <c r="WLS18" s="493"/>
      <c r="WLT18" s="493"/>
      <c r="WLU18" s="493"/>
      <c r="WLV18" s="493"/>
      <c r="WLW18" s="493"/>
      <c r="WLX18" s="493"/>
      <c r="WLY18" s="493"/>
      <c r="WLZ18" s="493"/>
      <c r="WMA18" s="493"/>
      <c r="WMB18" s="493"/>
      <c r="WMC18" s="493"/>
      <c r="WMD18" s="493"/>
      <c r="WME18" s="493"/>
      <c r="WMF18" s="493"/>
      <c r="WMG18" s="493"/>
      <c r="WMH18" s="493"/>
      <c r="WMI18" s="493"/>
      <c r="WMJ18" s="493"/>
      <c r="WMK18" s="493"/>
      <c r="WML18" s="493"/>
      <c r="WMM18" s="493"/>
      <c r="WMN18" s="493"/>
      <c r="WMO18" s="493"/>
      <c r="WMP18" s="493"/>
      <c r="WMQ18" s="493"/>
      <c r="WMR18" s="493"/>
      <c r="WMS18" s="493"/>
      <c r="WMT18" s="493"/>
      <c r="WMU18" s="493"/>
      <c r="WMV18" s="493"/>
      <c r="WMW18" s="493"/>
      <c r="WMX18" s="493"/>
      <c r="WMY18" s="493"/>
      <c r="WMZ18" s="493"/>
      <c r="WNA18" s="493"/>
      <c r="WNB18" s="493"/>
      <c r="WNC18" s="493"/>
      <c r="WND18" s="493"/>
      <c r="WNE18" s="493"/>
      <c r="WNF18" s="493"/>
      <c r="WNG18" s="493"/>
      <c r="WNH18" s="493"/>
      <c r="WNI18" s="493"/>
      <c r="WNJ18" s="493"/>
      <c r="WNK18" s="493"/>
      <c r="WNL18" s="493"/>
      <c r="WNM18" s="493"/>
      <c r="WNN18" s="493"/>
      <c r="WNO18" s="493"/>
      <c r="WNP18" s="493"/>
      <c r="WNQ18" s="493"/>
      <c r="WNR18" s="493"/>
      <c r="WNS18" s="493"/>
      <c r="WNT18" s="493"/>
      <c r="WNU18" s="493"/>
      <c r="WNV18" s="493"/>
      <c r="WNW18" s="493"/>
      <c r="WNX18" s="493"/>
      <c r="WNY18" s="493"/>
      <c r="WNZ18" s="493"/>
      <c r="WOA18" s="493"/>
      <c r="WOB18" s="493"/>
      <c r="WOC18" s="493"/>
      <c r="WOD18" s="493"/>
      <c r="WOE18" s="493"/>
      <c r="WOF18" s="493"/>
      <c r="WOG18" s="493"/>
      <c r="WOH18" s="493"/>
      <c r="WOI18" s="493"/>
      <c r="WOJ18" s="493"/>
      <c r="WOK18" s="493"/>
      <c r="WOL18" s="493"/>
      <c r="WOM18" s="493"/>
      <c r="WON18" s="493"/>
      <c r="WOO18" s="493"/>
      <c r="WOP18" s="493"/>
      <c r="WOQ18" s="493"/>
      <c r="WOR18" s="493"/>
      <c r="WOS18" s="493"/>
      <c r="WOT18" s="493"/>
      <c r="WOU18" s="493"/>
      <c r="WOV18" s="493"/>
      <c r="WOW18" s="493"/>
      <c r="WOX18" s="493"/>
      <c r="WOY18" s="493"/>
      <c r="WOZ18" s="493"/>
      <c r="WPA18" s="493"/>
      <c r="WPB18" s="493"/>
      <c r="WPC18" s="493"/>
      <c r="WPD18" s="493"/>
      <c r="WPE18" s="493"/>
      <c r="WPF18" s="493"/>
      <c r="WPG18" s="493"/>
      <c r="WPH18" s="493"/>
      <c r="WPI18" s="493"/>
      <c r="WPJ18" s="493"/>
      <c r="WPK18" s="493"/>
      <c r="WPL18" s="493"/>
      <c r="WPM18" s="493"/>
      <c r="WPN18" s="493"/>
      <c r="WPO18" s="493"/>
      <c r="WPP18" s="493"/>
      <c r="WPQ18" s="493"/>
      <c r="WPR18" s="493"/>
      <c r="WPS18" s="493"/>
      <c r="WPT18" s="493"/>
      <c r="WPU18" s="493"/>
      <c r="WPV18" s="493"/>
      <c r="WPW18" s="493"/>
      <c r="WPX18" s="493"/>
      <c r="WPY18" s="493"/>
      <c r="WPZ18" s="493"/>
      <c r="WQA18" s="493"/>
      <c r="WQB18" s="493"/>
      <c r="WQC18" s="493"/>
      <c r="WQD18" s="493"/>
      <c r="WQE18" s="493"/>
      <c r="WQF18" s="493"/>
      <c r="WQG18" s="493"/>
      <c r="WQH18" s="493"/>
      <c r="WQI18" s="493"/>
      <c r="WQJ18" s="493"/>
      <c r="WQK18" s="493"/>
      <c r="WQL18" s="493"/>
      <c r="WQM18" s="493"/>
      <c r="WQN18" s="493"/>
      <c r="WQO18" s="493"/>
      <c r="WQP18" s="493"/>
      <c r="WQQ18" s="493"/>
      <c r="WQR18" s="493"/>
      <c r="WQS18" s="493"/>
      <c r="WQT18" s="493"/>
      <c r="WQU18" s="493"/>
      <c r="WQV18" s="493"/>
      <c r="WQW18" s="493"/>
      <c r="WQX18" s="493"/>
      <c r="WQY18" s="493"/>
      <c r="WQZ18" s="493"/>
      <c r="WRA18" s="493"/>
      <c r="WRB18" s="493"/>
      <c r="WRC18" s="493"/>
      <c r="WRD18" s="493"/>
      <c r="WRE18" s="493"/>
      <c r="WRF18" s="493"/>
      <c r="WRG18" s="493"/>
      <c r="WRH18" s="493"/>
      <c r="WRI18" s="493"/>
      <c r="WRJ18" s="493"/>
      <c r="WRK18" s="493"/>
      <c r="WRL18" s="493"/>
      <c r="WRM18" s="493"/>
      <c r="WRN18" s="493"/>
      <c r="WRO18" s="493"/>
      <c r="WRP18" s="493"/>
      <c r="WRQ18" s="493"/>
      <c r="WRR18" s="493"/>
      <c r="WRS18" s="493"/>
      <c r="WRT18" s="493"/>
      <c r="WRU18" s="493"/>
      <c r="WRV18" s="493"/>
      <c r="WRW18" s="493"/>
      <c r="WRX18" s="493"/>
      <c r="WRY18" s="493"/>
      <c r="WRZ18" s="493"/>
      <c r="WSA18" s="493"/>
      <c r="WSB18" s="493"/>
      <c r="WSC18" s="493"/>
      <c r="WSD18" s="493"/>
      <c r="WSE18" s="493"/>
      <c r="WSF18" s="493"/>
      <c r="WSG18" s="493"/>
      <c r="WSH18" s="493"/>
      <c r="WSI18" s="493"/>
      <c r="WSJ18" s="493"/>
      <c r="WSK18" s="493"/>
      <c r="WSL18" s="493"/>
      <c r="WSM18" s="493"/>
      <c r="WSN18" s="493"/>
      <c r="WSO18" s="493"/>
      <c r="WSP18" s="493"/>
      <c r="WSQ18" s="493"/>
      <c r="WSR18" s="493"/>
      <c r="WSS18" s="493"/>
      <c r="WST18" s="493"/>
      <c r="WSU18" s="493"/>
      <c r="WSV18" s="493"/>
      <c r="WSW18" s="493"/>
      <c r="WSX18" s="493"/>
      <c r="WSY18" s="493"/>
      <c r="WSZ18" s="493"/>
      <c r="WTA18" s="493"/>
      <c r="WTB18" s="493"/>
      <c r="WTC18" s="493"/>
      <c r="WTD18" s="493"/>
      <c r="WTE18" s="493"/>
      <c r="WTF18" s="493"/>
      <c r="WTG18" s="493"/>
      <c r="WTH18" s="493"/>
      <c r="WTI18" s="493"/>
      <c r="WTJ18" s="493"/>
      <c r="WTK18" s="493"/>
      <c r="WTL18" s="493"/>
      <c r="WTM18" s="493"/>
      <c r="WTN18" s="493"/>
      <c r="WTO18" s="493"/>
      <c r="WTP18" s="493"/>
      <c r="WTQ18" s="493"/>
      <c r="WTR18" s="493"/>
      <c r="WTS18" s="493"/>
      <c r="WTT18" s="493"/>
      <c r="WTU18" s="493"/>
      <c r="WTV18" s="493"/>
      <c r="WTW18" s="493"/>
      <c r="WTX18" s="493"/>
      <c r="WTY18" s="493"/>
      <c r="WTZ18" s="493"/>
      <c r="WUA18" s="493"/>
      <c r="WUB18" s="493"/>
      <c r="WUC18" s="493"/>
      <c r="WUD18" s="493"/>
      <c r="WUE18" s="493"/>
      <c r="WUF18" s="493"/>
      <c r="WUG18" s="493"/>
      <c r="WUH18" s="493"/>
      <c r="WUI18" s="493"/>
      <c r="WUJ18" s="493"/>
      <c r="WUK18" s="493"/>
      <c r="WUL18" s="493"/>
      <c r="WUM18" s="493"/>
      <c r="WUN18" s="493"/>
      <c r="WUO18" s="493"/>
      <c r="WUP18" s="493"/>
      <c r="WUQ18" s="493"/>
      <c r="WUR18" s="493"/>
      <c r="WUS18" s="493"/>
      <c r="WUT18" s="493"/>
      <c r="WUU18" s="493"/>
      <c r="WUV18" s="493"/>
      <c r="WUW18" s="493"/>
      <c r="WUX18" s="493"/>
      <c r="WUY18" s="493"/>
      <c r="WUZ18" s="493"/>
      <c r="WVA18" s="493"/>
      <c r="WVB18" s="493"/>
      <c r="WVC18" s="493"/>
      <c r="WVD18" s="493"/>
      <c r="WVE18" s="493"/>
      <c r="WVF18" s="493"/>
      <c r="WVG18" s="493"/>
      <c r="WVH18" s="493"/>
      <c r="WVI18" s="493"/>
      <c r="WVJ18" s="493"/>
      <c r="WVK18" s="493"/>
      <c r="WVL18" s="493"/>
      <c r="WVM18" s="493"/>
      <c r="WVN18" s="493"/>
      <c r="WVO18" s="493"/>
      <c r="WVP18" s="493"/>
      <c r="WVQ18" s="493"/>
      <c r="WVR18" s="493"/>
      <c r="WVS18" s="493"/>
      <c r="WVT18" s="493"/>
      <c r="WVU18" s="493"/>
      <c r="WVV18" s="493"/>
      <c r="WVW18" s="493"/>
      <c r="WVX18" s="493"/>
      <c r="WVY18" s="493"/>
      <c r="WVZ18" s="493"/>
      <c r="WWA18" s="493"/>
      <c r="WWB18" s="493"/>
      <c r="WWC18" s="493"/>
      <c r="WWD18" s="493"/>
      <c r="WWE18" s="493"/>
      <c r="WWF18" s="493"/>
      <c r="WWG18" s="493"/>
      <c r="WWH18" s="493"/>
      <c r="WWI18" s="493"/>
      <c r="WWJ18" s="493"/>
      <c r="WWK18" s="493"/>
      <c r="WWL18" s="493"/>
      <c r="WWM18" s="493"/>
      <c r="WWN18" s="493"/>
      <c r="WWO18" s="493"/>
      <c r="WWP18" s="493"/>
      <c r="WWQ18" s="493"/>
      <c r="WWR18" s="493"/>
      <c r="WWS18" s="493"/>
      <c r="WWT18" s="493"/>
      <c r="WWU18" s="493"/>
      <c r="WWV18" s="493"/>
      <c r="WWW18" s="493"/>
      <c r="WWX18" s="493"/>
      <c r="WWY18" s="493"/>
      <c r="WWZ18" s="493"/>
      <c r="WXA18" s="493"/>
      <c r="WXB18" s="493"/>
      <c r="WXC18" s="493"/>
      <c r="WXD18" s="493"/>
      <c r="WXE18" s="493"/>
      <c r="WXF18" s="493"/>
      <c r="WXG18" s="493"/>
      <c r="WXH18" s="493"/>
      <c r="WXI18" s="493"/>
      <c r="WXJ18" s="493"/>
      <c r="WXK18" s="493"/>
      <c r="WXL18" s="493"/>
      <c r="WXM18" s="493"/>
      <c r="WXN18" s="493"/>
      <c r="WXO18" s="493"/>
      <c r="WXP18" s="493"/>
      <c r="WXQ18" s="493"/>
      <c r="WXR18" s="493"/>
      <c r="WXS18" s="493"/>
      <c r="WXT18" s="493"/>
      <c r="WXU18" s="493"/>
      <c r="WXV18" s="493"/>
      <c r="WXW18" s="493"/>
      <c r="WXX18" s="493"/>
      <c r="WXY18" s="493"/>
      <c r="WXZ18" s="493"/>
      <c r="WYA18" s="493"/>
      <c r="WYB18" s="493"/>
      <c r="WYC18" s="493"/>
      <c r="WYD18" s="493"/>
      <c r="WYE18" s="493"/>
      <c r="WYF18" s="493"/>
      <c r="WYG18" s="493"/>
      <c r="WYH18" s="493"/>
      <c r="WYI18" s="493"/>
      <c r="WYJ18" s="493"/>
      <c r="WYK18" s="493"/>
      <c r="WYL18" s="493"/>
      <c r="WYM18" s="493"/>
      <c r="WYN18" s="493"/>
      <c r="WYO18" s="493"/>
      <c r="WYP18" s="493"/>
      <c r="WYQ18" s="493"/>
      <c r="WYR18" s="493"/>
      <c r="WYS18" s="493"/>
      <c r="WYT18" s="493"/>
      <c r="WYU18" s="493"/>
      <c r="WYV18" s="493"/>
      <c r="WYW18" s="493"/>
      <c r="WYX18" s="493"/>
      <c r="WYY18" s="493"/>
      <c r="WYZ18" s="493"/>
      <c r="WZA18" s="493"/>
      <c r="WZB18" s="493"/>
      <c r="WZC18" s="493"/>
      <c r="WZD18" s="493"/>
      <c r="WZE18" s="493"/>
      <c r="WZF18" s="493"/>
      <c r="WZG18" s="493"/>
      <c r="WZH18" s="493"/>
      <c r="WZI18" s="493"/>
      <c r="WZJ18" s="493"/>
      <c r="WZK18" s="493"/>
      <c r="WZL18" s="493"/>
      <c r="WZM18" s="493"/>
      <c r="WZN18" s="493"/>
      <c r="WZO18" s="493"/>
      <c r="WZP18" s="493"/>
      <c r="WZQ18" s="493"/>
      <c r="WZR18" s="493"/>
      <c r="WZS18" s="493"/>
      <c r="WZT18" s="493"/>
      <c r="WZU18" s="493"/>
      <c r="WZV18" s="493"/>
      <c r="WZW18" s="493"/>
      <c r="WZX18" s="493"/>
      <c r="WZY18" s="493"/>
      <c r="WZZ18" s="493"/>
      <c r="XAA18" s="493"/>
      <c r="XAB18" s="493"/>
      <c r="XAC18" s="493"/>
      <c r="XAD18" s="493"/>
      <c r="XAE18" s="493"/>
      <c r="XAF18" s="493"/>
      <c r="XAG18" s="493"/>
      <c r="XAH18" s="493"/>
      <c r="XAI18" s="493"/>
      <c r="XAJ18" s="493"/>
      <c r="XAK18" s="493"/>
      <c r="XAL18" s="493"/>
      <c r="XAM18" s="493"/>
      <c r="XAN18" s="493"/>
      <c r="XAO18" s="493"/>
      <c r="XAP18" s="493"/>
      <c r="XAQ18" s="493"/>
      <c r="XAR18" s="493"/>
      <c r="XAS18" s="493"/>
      <c r="XAT18" s="493"/>
      <c r="XAU18" s="493"/>
      <c r="XAV18" s="493"/>
      <c r="XAW18" s="493"/>
      <c r="XAX18" s="493"/>
      <c r="XAY18" s="493"/>
      <c r="XAZ18" s="493"/>
      <c r="XBA18" s="493"/>
      <c r="XBB18" s="493"/>
      <c r="XBC18" s="493"/>
      <c r="XBD18" s="493"/>
      <c r="XBE18" s="493"/>
      <c r="XBF18" s="493"/>
      <c r="XBG18" s="493"/>
      <c r="XBH18" s="493"/>
      <c r="XBI18" s="493"/>
      <c r="XBJ18" s="493"/>
      <c r="XBK18" s="493"/>
      <c r="XBL18" s="493"/>
      <c r="XBM18" s="493"/>
      <c r="XBN18" s="493"/>
      <c r="XBO18" s="493"/>
      <c r="XBP18" s="493"/>
      <c r="XBQ18" s="493"/>
      <c r="XBR18" s="493"/>
      <c r="XBS18" s="493"/>
      <c r="XBT18" s="493"/>
      <c r="XBU18" s="493"/>
      <c r="XBV18" s="493"/>
      <c r="XBW18" s="493"/>
      <c r="XBX18" s="493"/>
      <c r="XBY18" s="493"/>
      <c r="XBZ18" s="493"/>
      <c r="XCA18" s="493"/>
      <c r="XCB18" s="493"/>
      <c r="XCC18" s="493"/>
      <c r="XCD18" s="493"/>
      <c r="XCE18" s="493"/>
      <c r="XCF18" s="493"/>
      <c r="XCG18" s="493"/>
      <c r="XCH18" s="493"/>
      <c r="XCI18" s="493"/>
      <c r="XCJ18" s="493"/>
      <c r="XCK18" s="493"/>
      <c r="XCL18" s="493"/>
      <c r="XCM18" s="493"/>
      <c r="XCN18" s="493"/>
      <c r="XCO18" s="493"/>
      <c r="XCP18" s="493"/>
      <c r="XCQ18" s="493"/>
      <c r="XCR18" s="493"/>
      <c r="XCS18" s="493"/>
      <c r="XCT18" s="493"/>
      <c r="XCU18" s="493"/>
      <c r="XCV18" s="493"/>
      <c r="XCW18" s="493"/>
      <c r="XCX18" s="493"/>
      <c r="XCY18" s="493"/>
      <c r="XCZ18" s="493"/>
      <c r="XDA18" s="493"/>
      <c r="XDB18" s="493"/>
      <c r="XDC18" s="493"/>
      <c r="XDD18" s="493"/>
      <c r="XDE18" s="493"/>
      <c r="XDF18" s="493"/>
      <c r="XDG18" s="493"/>
      <c r="XDH18" s="493"/>
      <c r="XDI18" s="493"/>
      <c r="XDJ18" s="493"/>
      <c r="XDK18" s="493"/>
      <c r="XDL18" s="493"/>
      <c r="XDM18" s="493"/>
      <c r="XDN18" s="493"/>
      <c r="XDO18" s="493"/>
      <c r="XDP18" s="493"/>
      <c r="XDQ18" s="493"/>
      <c r="XDR18" s="493"/>
      <c r="XDS18" s="493"/>
      <c r="XDT18" s="493"/>
      <c r="XDU18" s="493"/>
      <c r="XDV18" s="493"/>
      <c r="XDW18" s="493"/>
      <c r="XDX18" s="493"/>
      <c r="XDY18" s="493"/>
      <c r="XDZ18" s="493"/>
      <c r="XEA18" s="493"/>
      <c r="XEB18" s="493"/>
      <c r="XEC18" s="493"/>
      <c r="XED18" s="493"/>
      <c r="XEE18" s="493"/>
      <c r="XEF18" s="493"/>
      <c r="XEG18" s="493"/>
      <c r="XEH18" s="493"/>
      <c r="XEI18" s="493"/>
      <c r="XEJ18" s="493"/>
      <c r="XEK18" s="493"/>
      <c r="XEL18" s="493"/>
      <c r="XEM18" s="493"/>
      <c r="XEN18" s="493"/>
      <c r="XEO18" s="493"/>
      <c r="XEP18" s="493"/>
      <c r="XEQ18" s="493"/>
      <c r="XER18" s="493"/>
      <c r="XES18" s="493"/>
      <c r="XET18" s="493"/>
      <c r="XEU18" s="493"/>
      <c r="XEV18" s="493"/>
      <c r="XEW18" s="493"/>
      <c r="XEX18" s="493"/>
      <c r="XEY18" s="493"/>
      <c r="XEZ18" s="493"/>
      <c r="XFA18" s="493"/>
      <c r="XFB18" s="493"/>
      <c r="XFC18" s="493"/>
      <c r="XFD18" s="493"/>
    </row>
    <row r="19" spans="1:16384">
      <c r="A19" s="550" t="s">
        <v>2752</v>
      </c>
      <c r="B19" s="532"/>
      <c r="C19" s="542" t="s">
        <v>5615</v>
      </c>
      <c r="D19" s="549" t="s">
        <v>4358</v>
      </c>
      <c r="E19" s="535" t="s">
        <v>114</v>
      </c>
      <c r="F19" s="379"/>
      <c r="G19" s="379"/>
      <c r="H19" s="379"/>
      <c r="I19" s="379"/>
      <c r="J19" s="379"/>
      <c r="K19" s="2973"/>
      <c r="L19" s="547"/>
      <c r="M19" s="361"/>
      <c r="N19" s="547"/>
      <c r="O19" s="537">
        <f>'3-A. CI Sub-Annex'!P39</f>
        <v>3504.1315</v>
      </c>
      <c r="P19" s="157"/>
      <c r="Q19" s="362"/>
      <c r="R19" s="364">
        <f>'3-A. CI Sub-Annex'!S39</f>
        <v>0</v>
      </c>
      <c r="S19" s="514"/>
    </row>
    <row r="20" spans="1:16384">
      <c r="A20" s="550" t="s">
        <v>2753</v>
      </c>
      <c r="B20" s="532"/>
      <c r="C20" s="542" t="s">
        <v>4875</v>
      </c>
      <c r="D20" s="549" t="s">
        <v>4358</v>
      </c>
      <c r="E20" s="535" t="s">
        <v>146</v>
      </c>
      <c r="F20" s="379"/>
      <c r="G20" s="379"/>
      <c r="H20" s="379"/>
      <c r="I20" s="379"/>
      <c r="J20" s="379"/>
      <c r="K20" s="2973"/>
      <c r="L20" s="547"/>
      <c r="M20" s="361"/>
      <c r="N20" s="547"/>
      <c r="O20" s="537">
        <f>'3-A. CI Sub-Annex'!P47</f>
        <v>124.10000000000002</v>
      </c>
      <c r="P20" s="157"/>
      <c r="Q20" s="362"/>
      <c r="R20" s="364">
        <f>'3-A. CI Sub-Annex'!S47</f>
        <v>0</v>
      </c>
      <c r="S20" s="514"/>
    </row>
    <row r="21" spans="1:16384">
      <c r="A21" s="550" t="s">
        <v>2754</v>
      </c>
      <c r="B21" s="532"/>
      <c r="C21" s="542" t="s">
        <v>2970</v>
      </c>
      <c r="D21" s="548" t="s">
        <v>70</v>
      </c>
      <c r="E21" s="535" t="s">
        <v>2669</v>
      </c>
      <c r="F21" s="543"/>
      <c r="G21" s="544"/>
      <c r="H21" s="545"/>
      <c r="I21" s="545"/>
      <c r="J21" s="543"/>
      <c r="K21" s="2973"/>
      <c r="L21" s="547"/>
      <c r="M21" s="361"/>
      <c r="N21" s="547"/>
      <c r="O21" s="537">
        <f>'3-A. CI Sub-Annex'!P51</f>
        <v>57</v>
      </c>
      <c r="P21" s="157"/>
      <c r="Q21" s="362"/>
      <c r="R21" s="364">
        <f>'3-A. CI Sub-Annex'!S51</f>
        <v>0</v>
      </c>
      <c r="S21" s="514"/>
    </row>
    <row r="22" spans="1:16384">
      <c r="A22" s="531" t="s">
        <v>173</v>
      </c>
      <c r="B22" s="532"/>
      <c r="C22" s="533" t="s">
        <v>4860</v>
      </c>
      <c r="D22" s="548" t="s">
        <v>70</v>
      </c>
      <c r="E22" s="535" t="s">
        <v>2669</v>
      </c>
      <c r="F22" s="379"/>
      <c r="G22" s="379"/>
      <c r="H22" s="379"/>
      <c r="I22" s="379"/>
      <c r="J22" s="379"/>
      <c r="K22" s="608"/>
      <c r="L22" s="379"/>
      <c r="M22" s="537"/>
      <c r="N22" s="538"/>
      <c r="O22" s="539">
        <f>'3-A. CI Sub-Annex'!P53</f>
        <v>1555.3248000000001</v>
      </c>
      <c r="P22" s="157"/>
      <c r="Q22" s="362"/>
      <c r="R22" s="365">
        <f>'3-A. CI Sub-Annex'!S53</f>
        <v>0</v>
      </c>
      <c r="S22" s="514"/>
    </row>
    <row r="23" spans="1:16384">
      <c r="A23" s="531" t="s">
        <v>175</v>
      </c>
      <c r="B23" s="532"/>
      <c r="C23" s="533" t="s">
        <v>203</v>
      </c>
      <c r="D23" s="551" t="s">
        <v>70</v>
      </c>
      <c r="E23" s="535" t="s">
        <v>2669</v>
      </c>
      <c r="F23" s="543"/>
      <c r="G23" s="544"/>
      <c r="H23" s="545"/>
      <c r="I23" s="545"/>
      <c r="J23" s="543"/>
      <c r="K23" s="608"/>
      <c r="L23" s="547"/>
      <c r="M23" s="361"/>
      <c r="N23" s="547"/>
      <c r="O23" s="539">
        <f>'3-A. CI Sub-Annex'!P58</f>
        <v>21600</v>
      </c>
      <c r="P23" s="157"/>
      <c r="Q23" s="362"/>
      <c r="R23" s="365">
        <f>'3-A. CI Sub-Annex'!S58</f>
        <v>0</v>
      </c>
      <c r="S23" s="514"/>
    </row>
    <row r="24" spans="1:16384">
      <c r="A24" s="531" t="s">
        <v>3303</v>
      </c>
      <c r="B24" s="550"/>
      <c r="C24" s="533" t="s">
        <v>4832</v>
      </c>
      <c r="D24" s="551" t="s">
        <v>70</v>
      </c>
      <c r="E24" s="552" t="s">
        <v>2669</v>
      </c>
      <c r="F24" s="379"/>
      <c r="G24" s="379"/>
      <c r="H24" s="379"/>
      <c r="I24" s="379"/>
      <c r="J24" s="379"/>
      <c r="K24" s="608"/>
      <c r="L24" s="547"/>
      <c r="M24" s="361"/>
      <c r="N24" s="547"/>
      <c r="O24" s="539">
        <f>'3-A. CI Sub-Annex'!P59</f>
        <v>473</v>
      </c>
      <c r="P24" s="157"/>
      <c r="Q24" s="362"/>
      <c r="R24" s="365">
        <f>'3-A. CI Sub-Annex'!S59</f>
        <v>0</v>
      </c>
      <c r="S24" s="514"/>
    </row>
    <row r="25" spans="1:16384">
      <c r="A25" s="522" t="s">
        <v>47</v>
      </c>
      <c r="B25" s="523"/>
      <c r="C25" s="524" t="s">
        <v>742</v>
      </c>
      <c r="D25" s="525"/>
      <c r="E25" s="525"/>
      <c r="F25" s="526"/>
      <c r="G25" s="526"/>
      <c r="H25" s="526"/>
      <c r="I25" s="526"/>
      <c r="J25" s="526"/>
      <c r="K25" s="2972"/>
      <c r="L25" s="526"/>
      <c r="M25" s="527"/>
      <c r="N25" s="528"/>
      <c r="O25" s="529">
        <f>SUM(O26:O28)</f>
        <v>4526.3835000000008</v>
      </c>
      <c r="P25" s="225"/>
      <c r="Q25" s="358"/>
      <c r="R25" s="530">
        <f>SUM(R26:R28)</f>
        <v>0</v>
      </c>
      <c r="S25" s="514"/>
    </row>
    <row r="26" spans="1:16384">
      <c r="A26" s="540" t="s">
        <v>225</v>
      </c>
      <c r="B26" s="379"/>
      <c r="C26" s="444" t="s">
        <v>4833</v>
      </c>
      <c r="D26" s="551" t="s">
        <v>70</v>
      </c>
      <c r="E26" s="553" t="s">
        <v>2669</v>
      </c>
      <c r="F26" s="554"/>
      <c r="G26" s="554"/>
      <c r="H26" s="554"/>
      <c r="I26" s="554"/>
      <c r="J26" s="554"/>
      <c r="K26" s="608"/>
      <c r="L26" s="554"/>
      <c r="M26" s="555"/>
      <c r="N26" s="553"/>
      <c r="O26" s="555">
        <f>'3-A. CI Sub-Annex'!P61</f>
        <v>4198.4955</v>
      </c>
      <c r="P26" s="155"/>
      <c r="Q26" s="556"/>
      <c r="R26" s="370">
        <f>'3-A. CI Sub-Annex'!S61</f>
        <v>0</v>
      </c>
    </row>
    <row r="27" spans="1:16384">
      <c r="A27" s="540" t="s">
        <v>228</v>
      </c>
      <c r="B27" s="557"/>
      <c r="C27" s="423" t="s">
        <v>1138</v>
      </c>
      <c r="D27" s="551" t="s">
        <v>70</v>
      </c>
      <c r="E27" s="553" t="s">
        <v>2669</v>
      </c>
      <c r="F27" s="554"/>
      <c r="G27" s="554"/>
      <c r="H27" s="554"/>
      <c r="I27" s="554"/>
      <c r="J27" s="554"/>
      <c r="K27" s="608"/>
      <c r="L27" s="558"/>
      <c r="M27" s="368"/>
      <c r="N27" s="558"/>
      <c r="O27" s="555">
        <f>'3-A. CI Sub-Annex'!P72</f>
        <v>65.52</v>
      </c>
      <c r="P27" s="155"/>
      <c r="Q27" s="369"/>
      <c r="R27" s="370">
        <f>'3-A. CI Sub-Annex'!S72</f>
        <v>0</v>
      </c>
      <c r="S27" s="514"/>
    </row>
    <row r="28" spans="1:16384">
      <c r="A28" s="540" t="s">
        <v>234</v>
      </c>
      <c r="B28" s="559"/>
      <c r="C28" s="155" t="s">
        <v>4514</v>
      </c>
      <c r="D28" s="551" t="s">
        <v>70</v>
      </c>
      <c r="E28" s="553" t="s">
        <v>2669</v>
      </c>
      <c r="F28" s="554"/>
      <c r="G28" s="554"/>
      <c r="H28" s="554"/>
      <c r="I28" s="554"/>
      <c r="J28" s="554"/>
      <c r="K28" s="608"/>
      <c r="L28" s="558"/>
      <c r="M28" s="368"/>
      <c r="N28" s="558"/>
      <c r="O28" s="555">
        <f>'3-A. CI Sub-Annex'!P75</f>
        <v>262.36799999999999</v>
      </c>
      <c r="P28" s="155"/>
      <c r="Q28" s="369"/>
      <c r="R28" s="370">
        <f>'3-A. CI Sub-Annex'!S75</f>
        <v>0</v>
      </c>
      <c r="S28" s="514"/>
    </row>
    <row r="29" spans="1:16384" s="561" customFormat="1">
      <c r="A29" s="522" t="s">
        <v>48</v>
      </c>
      <c r="B29" s="523"/>
      <c r="C29" s="524" t="s">
        <v>4836</v>
      </c>
      <c r="D29" s="525"/>
      <c r="E29" s="525"/>
      <c r="F29" s="526"/>
      <c r="G29" s="526"/>
      <c r="H29" s="526"/>
      <c r="I29" s="526"/>
      <c r="J29" s="526"/>
      <c r="K29" s="2972"/>
      <c r="L29" s="526"/>
      <c r="M29" s="527"/>
      <c r="N29" s="528"/>
      <c r="O29" s="529">
        <f>SUM(O30:O32)</f>
        <v>5388.8160400000006</v>
      </c>
      <c r="P29" s="225"/>
      <c r="Q29" s="371"/>
      <c r="R29" s="372">
        <f>SUM(R30:R32)</f>
        <v>0</v>
      </c>
      <c r="S29" s="560"/>
    </row>
    <row r="30" spans="1:16384">
      <c r="A30" s="550" t="s">
        <v>239</v>
      </c>
      <c r="B30" s="557"/>
      <c r="C30" s="423" t="s">
        <v>4837</v>
      </c>
      <c r="D30" s="562" t="s">
        <v>70</v>
      </c>
      <c r="E30" s="553" t="s">
        <v>2669</v>
      </c>
      <c r="F30" s="563"/>
      <c r="G30" s="564"/>
      <c r="H30" s="565"/>
      <c r="I30" s="565"/>
      <c r="J30" s="563"/>
      <c r="K30" s="608"/>
      <c r="L30" s="558"/>
      <c r="M30" s="368"/>
      <c r="N30" s="558"/>
      <c r="O30" s="555">
        <f>'3-A. CI Sub-Annex'!P77</f>
        <v>5308.1760400000003</v>
      </c>
      <c r="P30" s="155"/>
      <c r="Q30" s="369"/>
      <c r="R30" s="370">
        <f>'3-A. CI Sub-Annex'!S77</f>
        <v>0</v>
      </c>
      <c r="S30" s="566"/>
    </row>
    <row r="31" spans="1:16384">
      <c r="A31" s="550" t="s">
        <v>242</v>
      </c>
      <c r="B31" s="557" t="s">
        <v>4851</v>
      </c>
      <c r="C31" s="423" t="s">
        <v>367</v>
      </c>
      <c r="D31" s="562" t="s">
        <v>70</v>
      </c>
      <c r="E31" s="535" t="s">
        <v>2669</v>
      </c>
      <c r="F31" s="563"/>
      <c r="G31" s="564"/>
      <c r="H31" s="565"/>
      <c r="I31" s="565"/>
      <c r="J31" s="563"/>
      <c r="K31" s="608"/>
      <c r="L31" s="558"/>
      <c r="M31" s="368"/>
      <c r="N31" s="558"/>
      <c r="O31" s="555">
        <f>'3-A. CI Sub-Annex'!P84</f>
        <v>0</v>
      </c>
      <c r="P31" s="155"/>
      <c r="Q31" s="376"/>
      <c r="R31" s="370">
        <f>'3-A. CI Sub-Annex'!S84</f>
        <v>0</v>
      </c>
      <c r="S31" s="514"/>
    </row>
    <row r="32" spans="1:16384">
      <c r="A32" s="550" t="s">
        <v>244</v>
      </c>
      <c r="B32" s="557"/>
      <c r="C32" s="423" t="s">
        <v>4514</v>
      </c>
      <c r="D32" s="562" t="s">
        <v>70</v>
      </c>
      <c r="E32" s="553" t="s">
        <v>2669</v>
      </c>
      <c r="F32" s="563"/>
      <c r="G32" s="564"/>
      <c r="H32" s="565"/>
      <c r="I32" s="565"/>
      <c r="J32" s="563"/>
      <c r="K32" s="608"/>
      <c r="L32" s="558"/>
      <c r="M32" s="368"/>
      <c r="N32" s="558"/>
      <c r="O32" s="555">
        <f>'3-A. CI Sub-Annex'!P85</f>
        <v>80.64</v>
      </c>
      <c r="P32" s="155"/>
      <c r="Q32" s="369"/>
      <c r="R32" s="370">
        <f>'3-A. CI Sub-Annex'!S85</f>
        <v>0</v>
      </c>
      <c r="S32" s="514"/>
    </row>
    <row r="33" spans="1:19">
      <c r="A33" s="515">
        <v>3.2</v>
      </c>
      <c r="B33" s="516"/>
      <c r="C33" s="517" t="s">
        <v>12</v>
      </c>
      <c r="D33" s="518"/>
      <c r="E33" s="518"/>
      <c r="F33" s="519"/>
      <c r="G33" s="519"/>
      <c r="H33" s="519"/>
      <c r="I33" s="519"/>
      <c r="J33" s="519"/>
      <c r="K33" s="2971"/>
      <c r="L33" s="519"/>
      <c r="M33" s="520"/>
      <c r="N33" s="518"/>
      <c r="O33" s="520">
        <f>O34+O37+O45+O47+O48+O40</f>
        <v>6089.3228802000012</v>
      </c>
      <c r="P33" s="75"/>
      <c r="Q33" s="377"/>
      <c r="R33" s="520">
        <f>R34+R37+R45+R47+R48+R40</f>
        <v>0</v>
      </c>
      <c r="S33" s="514"/>
    </row>
    <row r="34" spans="1:19" ht="30.6" customHeight="1">
      <c r="A34" s="567" t="s">
        <v>249</v>
      </c>
      <c r="B34" s="523"/>
      <c r="C34" s="524" t="s">
        <v>4858</v>
      </c>
      <c r="D34" s="568"/>
      <c r="E34" s="568"/>
      <c r="F34" s="569"/>
      <c r="G34" s="569"/>
      <c r="H34" s="569"/>
      <c r="I34" s="569"/>
      <c r="J34" s="569"/>
      <c r="K34" s="2974"/>
      <c r="L34" s="569"/>
      <c r="M34" s="529"/>
      <c r="N34" s="568"/>
      <c r="O34" s="529">
        <f>SUM(O35:O36)</f>
        <v>1804.6000002000003</v>
      </c>
      <c r="P34" s="2977"/>
      <c r="Q34" s="378"/>
      <c r="R34" s="570">
        <f>SUM(R35:R36)</f>
        <v>0</v>
      </c>
      <c r="S34" s="514"/>
    </row>
    <row r="35" spans="1:19" ht="54.75" customHeight="1">
      <c r="A35" s="550" t="s">
        <v>4862</v>
      </c>
      <c r="B35" s="532" t="s">
        <v>250</v>
      </c>
      <c r="C35" s="542" t="s">
        <v>4857</v>
      </c>
      <c r="D35" s="534" t="s">
        <v>90</v>
      </c>
      <c r="E35" s="553" t="s">
        <v>91</v>
      </c>
      <c r="F35" s="563"/>
      <c r="G35" s="563"/>
      <c r="H35" s="563"/>
      <c r="I35" s="563"/>
      <c r="J35" s="563"/>
      <c r="K35" s="608"/>
      <c r="L35" s="558"/>
      <c r="M35" s="368"/>
      <c r="N35" s="558"/>
      <c r="O35" s="555">
        <f>'3-A. CI Sub-Annex'!P88</f>
        <v>1741.9600002000002</v>
      </c>
      <c r="P35" s="155"/>
      <c r="Q35" s="369"/>
      <c r="R35" s="370">
        <f>'3-A. CI Sub-Annex'!S88</f>
        <v>0</v>
      </c>
      <c r="S35" s="514"/>
    </row>
    <row r="36" spans="1:19">
      <c r="A36" s="550" t="s">
        <v>4863</v>
      </c>
      <c r="B36" s="532" t="s">
        <v>252</v>
      </c>
      <c r="C36" s="542" t="s">
        <v>4864</v>
      </c>
      <c r="D36" s="534" t="s">
        <v>90</v>
      </c>
      <c r="E36" s="553" t="s">
        <v>193</v>
      </c>
      <c r="F36" s="563"/>
      <c r="G36" s="564"/>
      <c r="H36" s="565"/>
      <c r="I36" s="565"/>
      <c r="J36" s="571"/>
      <c r="K36" s="608"/>
      <c r="L36" s="558"/>
      <c r="M36" s="368"/>
      <c r="N36" s="558"/>
      <c r="O36" s="555">
        <f>'3-A. CI Sub-Annex'!P90</f>
        <v>62.64</v>
      </c>
      <c r="P36" s="155"/>
      <c r="Q36" s="369"/>
      <c r="R36" s="370">
        <f>'3-A. CI Sub-Annex'!S90</f>
        <v>0</v>
      </c>
      <c r="S36" s="514"/>
    </row>
    <row r="37" spans="1:19" ht="29.45" customHeight="1">
      <c r="A37" s="522" t="s">
        <v>251</v>
      </c>
      <c r="B37" s="523"/>
      <c r="C37" s="524" t="s">
        <v>5598</v>
      </c>
      <c r="D37" s="525"/>
      <c r="E37" s="525"/>
      <c r="F37" s="526"/>
      <c r="G37" s="526"/>
      <c r="H37" s="526"/>
      <c r="I37" s="526"/>
      <c r="J37" s="526"/>
      <c r="K37" s="2972"/>
      <c r="L37" s="526"/>
      <c r="M37" s="527"/>
      <c r="N37" s="528"/>
      <c r="O37" s="529">
        <f>SUM(O38:O39)</f>
        <v>3416.2730400000005</v>
      </c>
      <c r="P37" s="225"/>
      <c r="Q37" s="371"/>
      <c r="R37" s="530">
        <f>SUM(R38:R39)</f>
        <v>0</v>
      </c>
      <c r="S37" s="514"/>
    </row>
    <row r="38" spans="1:19" s="573" customFormat="1">
      <c r="A38" s="550" t="s">
        <v>4872</v>
      </c>
      <c r="B38" s="550"/>
      <c r="C38" s="542" t="s">
        <v>4868</v>
      </c>
      <c r="D38" s="549" t="s">
        <v>4358</v>
      </c>
      <c r="E38" s="535" t="s">
        <v>114</v>
      </c>
      <c r="F38" s="543"/>
      <c r="G38" s="544"/>
      <c r="H38" s="545"/>
      <c r="I38" s="545"/>
      <c r="J38" s="543"/>
      <c r="K38" s="608"/>
      <c r="L38" s="543"/>
      <c r="M38" s="537"/>
      <c r="N38" s="535"/>
      <c r="O38" s="539">
        <f>'3-A. CI Sub-Annex'!P93</f>
        <v>3398.9730400000003</v>
      </c>
      <c r="P38" s="157"/>
      <c r="Q38" s="379"/>
      <c r="R38" s="380">
        <f>'3-A. CI Sub-Annex'!S93</f>
        <v>0</v>
      </c>
      <c r="S38" s="572"/>
    </row>
    <row r="39" spans="1:19" s="573" customFormat="1">
      <c r="A39" s="550" t="s">
        <v>4873</v>
      </c>
      <c r="B39" s="550"/>
      <c r="C39" s="542" t="s">
        <v>4865</v>
      </c>
      <c r="D39" s="549" t="s">
        <v>4358</v>
      </c>
      <c r="E39" s="535" t="s">
        <v>3316</v>
      </c>
      <c r="F39" s="543"/>
      <c r="G39" s="544"/>
      <c r="H39" s="545"/>
      <c r="I39" s="545"/>
      <c r="J39" s="543"/>
      <c r="K39" s="608"/>
      <c r="L39" s="558"/>
      <c r="M39" s="368"/>
      <c r="N39" s="558"/>
      <c r="O39" s="539">
        <f>'3-A. CI Sub-Annex'!P112</f>
        <v>17.3</v>
      </c>
      <c r="P39" s="157"/>
      <c r="Q39" s="362"/>
      <c r="R39" s="365">
        <f>'3-A. CI Sub-Annex'!S112</f>
        <v>0</v>
      </c>
      <c r="S39" s="572"/>
    </row>
    <row r="40" spans="1:19" s="573" customFormat="1" ht="30">
      <c r="A40" s="522" t="s">
        <v>254</v>
      </c>
      <c r="B40" s="523"/>
      <c r="C40" s="524" t="s">
        <v>5599</v>
      </c>
      <c r="D40" s="525"/>
      <c r="E40" s="525"/>
      <c r="F40" s="526"/>
      <c r="G40" s="526"/>
      <c r="H40" s="526"/>
      <c r="I40" s="526"/>
      <c r="J40" s="526"/>
      <c r="K40" s="2972"/>
      <c r="L40" s="526"/>
      <c r="M40" s="527"/>
      <c r="N40" s="528"/>
      <c r="O40" s="529">
        <f>SUM(O41:O44)</f>
        <v>816.69983999999999</v>
      </c>
      <c r="P40" s="225"/>
      <c r="Q40" s="371"/>
      <c r="R40" s="529">
        <f>SUM(R41:R44)</f>
        <v>0</v>
      </c>
      <c r="S40" s="572"/>
    </row>
    <row r="41" spans="1:19" s="573" customFormat="1" ht="45">
      <c r="A41" s="550" t="s">
        <v>4069</v>
      </c>
      <c r="B41" s="550" t="s">
        <v>4377</v>
      </c>
      <c r="C41" s="542" t="s">
        <v>4375</v>
      </c>
      <c r="D41" s="549" t="s">
        <v>4358</v>
      </c>
      <c r="E41" s="535" t="s">
        <v>4674</v>
      </c>
      <c r="F41" s="379">
        <f>'3-A. CI Sub-Annex'!G107</f>
        <v>0</v>
      </c>
      <c r="G41" s="379">
        <f>'3-A. CI Sub-Annex'!H107</f>
        <v>0</v>
      </c>
      <c r="H41" s="379">
        <f>'3-A. CI Sub-Annex'!I107</f>
        <v>500</v>
      </c>
      <c r="I41" s="379">
        <f>'3-A. CI Sub-Annex'!J107</f>
        <v>60.897509999999997</v>
      </c>
      <c r="J41" s="379">
        <f>'3-A. CI Sub-Annex'!K107</f>
        <v>0</v>
      </c>
      <c r="K41" s="213" t="str">
        <f>'3-A. CI Sub-Annex'!L107</f>
        <v>No. of TB patients (incl. INH res. TB) on treatment</v>
      </c>
      <c r="L41" s="536">
        <f>'3-A. CI Sub-Annex'!M107</f>
        <v>1000</v>
      </c>
      <c r="M41" s="242">
        <f>'3-A. CI Sub-Annex'!N107</f>
        <v>0.01</v>
      </c>
      <c r="N41" s="536">
        <f>'3-A. CI Sub-Annex'!O107</f>
        <v>50000</v>
      </c>
      <c r="O41" s="242">
        <f>'3-A. CI Sub-Annex'!P107</f>
        <v>500</v>
      </c>
      <c r="P41" s="2978" t="str">
        <f>'3-A. CI Sub-Annex'!Q107</f>
        <v>Incentive to 50,000 CVs for treatment support to DSTB &amp; H-Mono/Poly Resistant TB cases</v>
      </c>
      <c r="Q41" s="230">
        <f>'3-A. CI Sub-Annex'!R107</f>
        <v>0</v>
      </c>
      <c r="R41" s="242">
        <f>'3-A. CI Sub-Annex'!S107</f>
        <v>0</v>
      </c>
      <c r="S41" s="572"/>
    </row>
    <row r="42" spans="1:19" s="573" customFormat="1" ht="45">
      <c r="A42" s="550" t="s">
        <v>4070</v>
      </c>
      <c r="B42" s="550" t="s">
        <v>4378</v>
      </c>
      <c r="C42" s="542" t="s">
        <v>4376</v>
      </c>
      <c r="D42" s="549" t="s">
        <v>4358</v>
      </c>
      <c r="E42" s="535" t="s">
        <v>4674</v>
      </c>
      <c r="F42" s="379">
        <f>'3-A. CI Sub-Annex'!G108</f>
        <v>0</v>
      </c>
      <c r="G42" s="379">
        <f>'3-A. CI Sub-Annex'!H108</f>
        <v>0</v>
      </c>
      <c r="H42" s="379">
        <f>'3-A. CI Sub-Annex'!I108</f>
        <v>100</v>
      </c>
      <c r="I42" s="379">
        <f>'3-A. CI Sub-Annex'!J108</f>
        <v>6.2733600000000003</v>
      </c>
      <c r="J42" s="379">
        <f>'3-A. CI Sub-Annex'!K108</f>
        <v>0</v>
      </c>
      <c r="K42" s="213" t="str">
        <f>'3-A. CI Sub-Annex'!L108</f>
        <v>No. of MDR/RR-TB patients on treatment</v>
      </c>
      <c r="L42" s="536">
        <f>'3-A. CI Sub-Annex'!M108</f>
        <v>5000</v>
      </c>
      <c r="M42" s="242">
        <f>'3-A. CI Sub-Annex'!N108</f>
        <v>0.05</v>
      </c>
      <c r="N42" s="536">
        <f>'3-A. CI Sub-Annex'!O108</f>
        <v>2000</v>
      </c>
      <c r="O42" s="242">
        <f>'3-A. CI Sub-Annex'!P108</f>
        <v>100</v>
      </c>
      <c r="P42" s="2978" t="str">
        <f>'3-A. CI Sub-Annex'!Q108</f>
        <v>As per the norm Rs 2000 for IP &amp; Rs 3000 for CP for MDR/RR patients of Shorter and Longer regimen</v>
      </c>
      <c r="Q42" s="230">
        <f>'3-A. CI Sub-Annex'!R108</f>
        <v>0</v>
      </c>
      <c r="R42" s="242">
        <f>'3-A. CI Sub-Annex'!S108</f>
        <v>0</v>
      </c>
      <c r="S42" s="572"/>
    </row>
    <row r="43" spans="1:19" s="573" customFormat="1" ht="45">
      <c r="A43" s="550" t="s">
        <v>4547</v>
      </c>
      <c r="B43" s="550"/>
      <c r="C43" s="542" t="s">
        <v>4548</v>
      </c>
      <c r="D43" s="549" t="s">
        <v>4358</v>
      </c>
      <c r="E43" s="535" t="s">
        <v>4674</v>
      </c>
      <c r="F43" s="379">
        <f>'3-A. CI Sub-Annex'!G109</f>
        <v>0</v>
      </c>
      <c r="G43" s="379">
        <f>'3-A. CI Sub-Annex'!H109</f>
        <v>0</v>
      </c>
      <c r="H43" s="379">
        <f>'3-A. CI Sub-Annex'!I109</f>
        <v>131</v>
      </c>
      <c r="I43" s="379">
        <f>'3-A. CI Sub-Annex'!J109</f>
        <v>0</v>
      </c>
      <c r="J43" s="379">
        <f>'3-A. CI Sub-Annex'!K109</f>
        <v>0</v>
      </c>
      <c r="K43" s="213" t="str">
        <f>'3-A. CI Sub-Annex'!L109</f>
        <v>No. of TB patients diagnosed from informant referral</v>
      </c>
      <c r="L43" s="536">
        <f>'3-A. CI Sub-Annex'!M109</f>
        <v>7000000</v>
      </c>
      <c r="M43" s="242">
        <f>'3-A. CI Sub-Annex'!N109</f>
        <v>70</v>
      </c>
      <c r="N43" s="536">
        <f>'3-A. CI Sub-Annex'!O109</f>
        <v>1</v>
      </c>
      <c r="O43" s="242">
        <f>'3-A. CI Sub-Annex'!P109</f>
        <v>70</v>
      </c>
      <c r="P43" s="2978" t="str">
        <f>'3-A. CI Sub-Annex'!Q109</f>
        <v xml:space="preserve">1. Incentive for 1st Informant (20% of public notified cases approx 14000* INR 500) </v>
      </c>
      <c r="Q43" s="230">
        <f>'3-A. CI Sub-Annex'!R109</f>
        <v>0</v>
      </c>
      <c r="R43" s="242">
        <f>'3-A. CI Sub-Annex'!S109</f>
        <v>0</v>
      </c>
      <c r="S43" s="572"/>
    </row>
    <row r="44" spans="1:19" s="573" customFormat="1" ht="28.5" customHeight="1">
      <c r="A44" s="550" t="s">
        <v>5600</v>
      </c>
      <c r="B44" s="550"/>
      <c r="C44" s="542" t="s">
        <v>5601</v>
      </c>
      <c r="D44" s="549" t="s">
        <v>4358</v>
      </c>
      <c r="E44" s="535" t="s">
        <v>4674</v>
      </c>
      <c r="F44" s="543"/>
      <c r="G44" s="544"/>
      <c r="H44" s="545"/>
      <c r="I44" s="545"/>
      <c r="J44" s="543"/>
      <c r="K44" s="608"/>
      <c r="L44" s="558"/>
      <c r="M44" s="368"/>
      <c r="N44" s="558"/>
      <c r="O44" s="539">
        <f>'3-A. CI Sub-Annex'!P110+'3-A. CI Sub-Annex'!P111</f>
        <v>146.69983999999999</v>
      </c>
      <c r="P44" s="157"/>
      <c r="Q44" s="362"/>
      <c r="R44" s="539">
        <f>'3-A. CI Sub-Annex'!S110+'3-A. CI Sub-Annex'!S111</f>
        <v>0</v>
      </c>
      <c r="S44" s="572"/>
    </row>
    <row r="45" spans="1:19" s="573" customFormat="1" ht="30">
      <c r="A45" s="522" t="s">
        <v>2560</v>
      </c>
      <c r="B45" s="523"/>
      <c r="C45" s="524" t="s">
        <v>4869</v>
      </c>
      <c r="D45" s="525"/>
      <c r="E45" s="525"/>
      <c r="F45" s="526"/>
      <c r="G45" s="526"/>
      <c r="H45" s="526"/>
      <c r="I45" s="526"/>
      <c r="J45" s="526"/>
      <c r="K45" s="2972"/>
      <c r="L45" s="526"/>
      <c r="M45" s="527"/>
      <c r="N45" s="528"/>
      <c r="O45" s="529">
        <f>O46</f>
        <v>31</v>
      </c>
      <c r="P45" s="225"/>
      <c r="Q45" s="371"/>
      <c r="R45" s="530">
        <f>R46</f>
        <v>0</v>
      </c>
      <c r="S45" s="572"/>
    </row>
    <row r="46" spans="1:19" s="573" customFormat="1">
      <c r="A46" s="550" t="s">
        <v>2561</v>
      </c>
      <c r="B46" s="550" t="s">
        <v>2351</v>
      </c>
      <c r="C46" s="542" t="s">
        <v>4871</v>
      </c>
      <c r="D46" s="574" t="s">
        <v>85</v>
      </c>
      <c r="E46" s="535" t="s">
        <v>150</v>
      </c>
      <c r="F46" s="543"/>
      <c r="G46" s="544"/>
      <c r="H46" s="545"/>
      <c r="I46" s="545"/>
      <c r="J46" s="543"/>
      <c r="K46" s="608"/>
      <c r="L46" s="543"/>
      <c r="M46" s="537"/>
      <c r="N46" s="535"/>
      <c r="O46" s="539">
        <f>'3-A. CI Sub-Annex'!P116</f>
        <v>31</v>
      </c>
      <c r="P46" s="157"/>
      <c r="Q46" s="379"/>
      <c r="R46" s="380">
        <f>'3-A. CI Sub-Annex'!S116</f>
        <v>0</v>
      </c>
      <c r="S46" s="572"/>
    </row>
    <row r="47" spans="1:19" s="573" customFormat="1">
      <c r="A47" s="531" t="s">
        <v>265</v>
      </c>
      <c r="B47" s="532" t="s">
        <v>255</v>
      </c>
      <c r="C47" s="533" t="s">
        <v>4866</v>
      </c>
      <c r="D47" s="562" t="s">
        <v>70</v>
      </c>
      <c r="E47" s="553" t="s">
        <v>70</v>
      </c>
      <c r="F47" s="379"/>
      <c r="G47" s="379"/>
      <c r="H47" s="379"/>
      <c r="I47" s="379"/>
      <c r="J47" s="379"/>
      <c r="K47" s="608"/>
      <c r="L47" s="379"/>
      <c r="M47" s="537"/>
      <c r="N47" s="538"/>
      <c r="O47" s="539">
        <f>'3-A. CI Sub-Annex'!P119</f>
        <v>20.75</v>
      </c>
      <c r="P47" s="157"/>
      <c r="Q47" s="362"/>
      <c r="R47" s="365">
        <f>'3-A. CI Sub-Annex'!S119</f>
        <v>0</v>
      </c>
      <c r="S47" s="572"/>
    </row>
    <row r="48" spans="1:19">
      <c r="A48" s="575" t="s">
        <v>5602</v>
      </c>
      <c r="B48" s="576"/>
      <c r="C48" s="577" t="s">
        <v>3869</v>
      </c>
      <c r="D48" s="562" t="s">
        <v>70</v>
      </c>
      <c r="E48" s="578" t="s">
        <v>2669</v>
      </c>
      <c r="F48" s="373"/>
      <c r="G48" s="374"/>
      <c r="H48" s="375"/>
      <c r="I48" s="375"/>
      <c r="J48" s="373"/>
      <c r="K48" s="190"/>
      <c r="L48" s="229"/>
      <c r="M48" s="381">
        <f>L48/100000</f>
        <v>0</v>
      </c>
      <c r="N48" s="229"/>
      <c r="O48" s="580">
        <f>M48*N48</f>
        <v>0</v>
      </c>
      <c r="P48" s="2979"/>
      <c r="Q48" s="382"/>
      <c r="R48" s="383"/>
      <c r="S48" s="514"/>
    </row>
    <row r="49" spans="1:19">
      <c r="A49" s="515">
        <v>3.3</v>
      </c>
      <c r="B49" s="516" t="s">
        <v>2721</v>
      </c>
      <c r="C49" s="517" t="s">
        <v>13</v>
      </c>
      <c r="D49" s="518"/>
      <c r="E49" s="518"/>
      <c r="F49" s="353"/>
      <c r="G49" s="353"/>
      <c r="H49" s="353"/>
      <c r="I49" s="353"/>
      <c r="J49" s="353"/>
      <c r="K49" s="2975"/>
      <c r="L49" s="353"/>
      <c r="M49" s="520"/>
      <c r="N49" s="354"/>
      <c r="O49" s="520">
        <f>O50+O51+O52+O56</f>
        <v>9.5</v>
      </c>
      <c r="P49" s="82"/>
      <c r="Q49" s="377"/>
      <c r="R49" s="581">
        <f>R50+R51+R52+R56</f>
        <v>0</v>
      </c>
      <c r="S49" s="514"/>
    </row>
    <row r="50" spans="1:19" ht="28.5" customHeight="1">
      <c r="A50" s="540" t="s">
        <v>282</v>
      </c>
      <c r="B50" s="557" t="s">
        <v>283</v>
      </c>
      <c r="C50" s="444" t="s">
        <v>284</v>
      </c>
      <c r="D50" s="562" t="s">
        <v>70</v>
      </c>
      <c r="E50" s="553" t="s">
        <v>70</v>
      </c>
      <c r="F50" s="366"/>
      <c r="G50" s="366"/>
      <c r="H50" s="366"/>
      <c r="I50" s="366"/>
      <c r="J50" s="366"/>
      <c r="K50" s="190"/>
      <c r="L50" s="367"/>
      <c r="M50" s="368">
        <f>L50/100000</f>
        <v>0</v>
      </c>
      <c r="N50" s="367"/>
      <c r="O50" s="555">
        <f>M50*N50</f>
        <v>0</v>
      </c>
      <c r="P50" s="2979"/>
      <c r="Q50" s="382"/>
      <c r="R50" s="384"/>
      <c r="S50" s="514"/>
    </row>
    <row r="51" spans="1:19" ht="45">
      <c r="A51" s="540" t="s">
        <v>285</v>
      </c>
      <c r="B51" s="557" t="s">
        <v>286</v>
      </c>
      <c r="C51" s="444" t="s">
        <v>287</v>
      </c>
      <c r="D51" s="562" t="s">
        <v>70</v>
      </c>
      <c r="E51" s="553" t="s">
        <v>70</v>
      </c>
      <c r="F51" s="366"/>
      <c r="G51" s="366"/>
      <c r="H51" s="366"/>
      <c r="I51" s="366"/>
      <c r="J51" s="366"/>
      <c r="K51" s="190"/>
      <c r="L51" s="367"/>
      <c r="M51" s="368">
        <f>L51/100000</f>
        <v>0</v>
      </c>
      <c r="N51" s="367"/>
      <c r="O51" s="555">
        <f>M51*N51</f>
        <v>0</v>
      </c>
      <c r="P51" s="2979"/>
      <c r="Q51" s="382"/>
      <c r="R51" s="384"/>
      <c r="S51" s="514"/>
    </row>
    <row r="52" spans="1:19">
      <c r="A52" s="522" t="s">
        <v>288</v>
      </c>
      <c r="B52" s="523"/>
      <c r="C52" s="524" t="s">
        <v>289</v>
      </c>
      <c r="D52" s="525"/>
      <c r="E52" s="525"/>
      <c r="F52" s="356"/>
      <c r="G52" s="356"/>
      <c r="H52" s="356"/>
      <c r="I52" s="356"/>
      <c r="J52" s="356"/>
      <c r="K52" s="2976"/>
      <c r="L52" s="356"/>
      <c r="M52" s="527"/>
      <c r="N52" s="357"/>
      <c r="O52" s="582">
        <f>SUM(O53:O55)</f>
        <v>9.5</v>
      </c>
      <c r="P52" s="2980"/>
      <c r="Q52" s="371"/>
      <c r="R52" s="372">
        <f>SUM(R53:R55)</f>
        <v>0</v>
      </c>
      <c r="S52" s="514"/>
    </row>
    <row r="53" spans="1:19" ht="52.5" customHeight="1">
      <c r="A53" s="540" t="s">
        <v>290</v>
      </c>
      <c r="B53" s="376" t="s">
        <v>291</v>
      </c>
      <c r="C53" s="155" t="s">
        <v>292</v>
      </c>
      <c r="D53" s="549" t="s">
        <v>4358</v>
      </c>
      <c r="E53" s="553" t="s">
        <v>293</v>
      </c>
      <c r="F53" s="366"/>
      <c r="G53" s="366"/>
      <c r="H53" s="366"/>
      <c r="I53" s="366"/>
      <c r="J53" s="366"/>
      <c r="K53" s="190"/>
      <c r="L53" s="367"/>
      <c r="M53" s="368">
        <f>L53/100000</f>
        <v>0</v>
      </c>
      <c r="N53" s="367"/>
      <c r="O53" s="555">
        <f>M53*N53</f>
        <v>0</v>
      </c>
      <c r="P53" s="2979"/>
      <c r="Q53" s="369">
        <f>'Abs8. IDSP'!Q7</f>
        <v>0</v>
      </c>
      <c r="R53" s="583">
        <f>'Abs8. IDSP'!R7</f>
        <v>0</v>
      </c>
      <c r="S53" s="514"/>
    </row>
    <row r="54" spans="1:19" s="1276" customFormat="1" ht="45">
      <c r="A54" s="1264" t="s">
        <v>294</v>
      </c>
      <c r="B54" s="1265" t="s">
        <v>295</v>
      </c>
      <c r="C54" s="1263" t="s">
        <v>296</v>
      </c>
      <c r="D54" s="1266" t="s">
        <v>85</v>
      </c>
      <c r="E54" s="1267" t="s">
        <v>152</v>
      </c>
      <c r="F54" s="1268"/>
      <c r="G54" s="1268"/>
      <c r="H54" s="1268"/>
      <c r="I54" s="1268"/>
      <c r="J54" s="1268"/>
      <c r="K54" s="1269" t="s">
        <v>5831</v>
      </c>
      <c r="L54" s="1270">
        <v>25000</v>
      </c>
      <c r="M54" s="1271">
        <f>L54/100000</f>
        <v>0.25</v>
      </c>
      <c r="N54" s="1270">
        <v>38</v>
      </c>
      <c r="O54" s="1272">
        <f>M54*N54</f>
        <v>9.5</v>
      </c>
      <c r="P54" s="1269" t="s">
        <v>6552</v>
      </c>
      <c r="Q54" s="1273">
        <f>'Abs18. NTCP'!Q10</f>
        <v>0</v>
      </c>
      <c r="R54" s="1274">
        <f>'Abs18. NTCP'!R10</f>
        <v>0</v>
      </c>
      <c r="S54" s="1275"/>
    </row>
    <row r="55" spans="1:19" s="573" customFormat="1" ht="54.75" customHeight="1">
      <c r="A55" s="540" t="s">
        <v>4125</v>
      </c>
      <c r="B55" s="532"/>
      <c r="C55" s="542" t="s">
        <v>4123</v>
      </c>
      <c r="D55" s="460" t="s">
        <v>85</v>
      </c>
      <c r="E55" s="535" t="s">
        <v>4124</v>
      </c>
      <c r="F55" s="359"/>
      <c r="G55" s="359"/>
      <c r="H55" s="359"/>
      <c r="I55" s="359"/>
      <c r="J55" s="359"/>
      <c r="K55" s="193"/>
      <c r="L55" s="367"/>
      <c r="M55" s="368">
        <f>L55/100000</f>
        <v>0</v>
      </c>
      <c r="N55" s="367"/>
      <c r="O55" s="537">
        <f>M55*N55</f>
        <v>0</v>
      </c>
      <c r="P55" s="2979"/>
      <c r="Q55" s="362">
        <f>'Abs21. NPCCHH'!Q7</f>
        <v>0</v>
      </c>
      <c r="R55" s="363">
        <f>'Abs21. NPCCHH'!R7</f>
        <v>0</v>
      </c>
      <c r="S55" s="572"/>
    </row>
    <row r="56" spans="1:19" s="586" customFormat="1" ht="51.75" customHeight="1">
      <c r="A56" s="540" t="s">
        <v>2565</v>
      </c>
      <c r="B56" s="584"/>
      <c r="C56" s="423" t="s">
        <v>1310</v>
      </c>
      <c r="D56" s="562" t="s">
        <v>70</v>
      </c>
      <c r="E56" s="578" t="s">
        <v>70</v>
      </c>
      <c r="F56" s="385"/>
      <c r="G56" s="385"/>
      <c r="H56" s="385"/>
      <c r="I56" s="385"/>
      <c r="J56" s="385"/>
      <c r="K56" s="146"/>
      <c r="L56" s="367"/>
      <c r="M56" s="368">
        <f>L56/100000</f>
        <v>0</v>
      </c>
      <c r="N56" s="367"/>
      <c r="O56" s="580">
        <f>M56*N56</f>
        <v>0</v>
      </c>
      <c r="P56" s="2979"/>
      <c r="Q56" s="386"/>
      <c r="R56" s="384"/>
      <c r="S56" s="514"/>
    </row>
    <row r="57" spans="1:19">
      <c r="B57" s="493"/>
    </row>
  </sheetData>
  <sheetProtection autoFilter="0"/>
  <autoFilter ref="A7:XFD56">
    <filterColumn colId="4"/>
  </autoFilter>
  <mergeCells count="15">
    <mergeCell ref="Q5:R5"/>
    <mergeCell ref="O1:AH1"/>
    <mergeCell ref="AI1:AO1"/>
    <mergeCell ref="AP1:BA1"/>
    <mergeCell ref="F5:J5"/>
    <mergeCell ref="A1:C1"/>
    <mergeCell ref="E1:E2"/>
    <mergeCell ref="F1:N1"/>
    <mergeCell ref="A2:A4"/>
    <mergeCell ref="A5:A6"/>
    <mergeCell ref="B5:B6"/>
    <mergeCell ref="C5:C6"/>
    <mergeCell ref="D5:D6"/>
    <mergeCell ref="E5:E6"/>
    <mergeCell ref="K5:P5"/>
  </mergeCells>
  <phoneticPr fontId="27" type="noConversion"/>
  <pageMargins left="0.7" right="0.7" top="0.75" bottom="0.75" header="0.3" footer="0.3"/>
  <pageSetup paperSize="5" scale="75" orientation="landscape" horizontalDpi="0" verticalDpi="0" r:id="rId1"/>
</worksheet>
</file>

<file path=xl/worksheets/sheet12.xml><?xml version="1.0" encoding="utf-8"?>
<worksheet xmlns="http://schemas.openxmlformats.org/spreadsheetml/2006/main" xmlns:r="http://schemas.openxmlformats.org/officeDocument/2006/relationships">
  <sheetPr codeName="Sheet3"/>
  <dimension ref="A1:BB142"/>
  <sheetViews>
    <sheetView zoomScale="80" zoomScaleNormal="80" workbookViewId="0">
      <pane xSplit="4" ySplit="4" topLeftCell="F8" activePane="bottomRight" state="frozen"/>
      <selection activeCell="Q172" sqref="A1:BE179"/>
      <selection pane="topRight" activeCell="Q172" sqref="A1:BE179"/>
      <selection pane="bottomLeft" activeCell="Q172" sqref="A1:BE179"/>
      <selection pane="bottomRight" activeCell="O8" sqref="O8"/>
    </sheetView>
  </sheetViews>
  <sheetFormatPr defaultColWidth="64.5703125" defaultRowHeight="16.5"/>
  <cols>
    <col min="1" max="1" width="9" style="1809" customWidth="1"/>
    <col min="2" max="2" width="10.7109375" style="1809" customWidth="1"/>
    <col min="3" max="3" width="7.140625" style="1696" customWidth="1"/>
    <col min="4" max="4" width="32" style="1659" customWidth="1"/>
    <col min="5" max="5" width="12.5703125" style="1669" customWidth="1"/>
    <col min="6" max="6" width="18.5703125" style="1809" customWidth="1"/>
    <col min="7" max="7" width="15.85546875" style="1659" hidden="1" customWidth="1"/>
    <col min="8" max="8" width="22.85546875" style="1659" hidden="1" customWidth="1"/>
    <col min="9" max="9" width="15.85546875" style="1659" hidden="1" customWidth="1"/>
    <col min="10" max="10" width="15.140625" style="1659" hidden="1" customWidth="1"/>
    <col min="11" max="11" width="15" style="1659" hidden="1" customWidth="1"/>
    <col min="12" max="12" width="11.7109375" style="3500" customWidth="1"/>
    <col min="13" max="13" width="9.85546875" style="1659" customWidth="1"/>
    <col min="14" max="14" width="9.42578125" style="1344" customWidth="1"/>
    <col min="15" max="15" width="10.28515625" style="1669" customWidth="1"/>
    <col min="16" max="16" width="11" style="1344" customWidth="1"/>
    <col min="17" max="17" width="95.42578125" style="1809" customWidth="1"/>
    <col min="18" max="18" width="47.85546875" style="1811" hidden="1" customWidth="1"/>
    <col min="19" max="19" width="15" style="1812" hidden="1" customWidth="1"/>
    <col min="20" max="20" width="8.7109375" style="1659" bestFit="1" customWidth="1"/>
    <col min="21" max="22" width="6.28515625" style="1659" bestFit="1" customWidth="1"/>
    <col min="23" max="23" width="6.7109375" style="1659" bestFit="1" customWidth="1"/>
    <col min="24" max="24" width="5.85546875" style="1659" bestFit="1" customWidth="1"/>
    <col min="25" max="25" width="8.140625" style="1659" bestFit="1" customWidth="1"/>
    <col min="26" max="26" width="9.42578125" style="1659" bestFit="1" customWidth="1"/>
    <col min="27" max="27" width="11" style="1659" bestFit="1" customWidth="1"/>
    <col min="28" max="28" width="6.28515625" style="1659" bestFit="1" customWidth="1"/>
    <col min="29" max="29" width="11.85546875" style="1659" bestFit="1" customWidth="1"/>
    <col min="30" max="30" width="6.7109375" style="1659" bestFit="1" customWidth="1"/>
    <col min="31" max="31" width="6" style="1659" bestFit="1" customWidth="1"/>
    <col min="32" max="32" width="18.140625" style="1659" bestFit="1" customWidth="1"/>
    <col min="33" max="33" width="6" style="1659" bestFit="1" customWidth="1"/>
    <col min="34" max="34" width="11" style="1659" bestFit="1" customWidth="1"/>
    <col min="35" max="35" width="10.42578125" style="1659" bestFit="1" customWidth="1"/>
    <col min="36" max="36" width="9.85546875" style="1659" bestFit="1" customWidth="1"/>
    <col min="37" max="37" width="9.140625" style="1659" bestFit="1" customWidth="1"/>
    <col min="38" max="38" width="10.85546875" style="1659" bestFit="1" customWidth="1"/>
    <col min="39" max="39" width="11" style="1659" bestFit="1" customWidth="1"/>
    <col min="40" max="40" width="12.140625" style="1659" bestFit="1" customWidth="1"/>
    <col min="41" max="41" width="7.85546875" style="1659" bestFit="1" customWidth="1"/>
    <col min="42" max="42" width="12.5703125" style="1659" bestFit="1" customWidth="1"/>
    <col min="43" max="43" width="8.5703125" style="1659" bestFit="1" customWidth="1"/>
    <col min="44" max="44" width="8.7109375" style="1659" bestFit="1" customWidth="1"/>
    <col min="45" max="45" width="10.85546875" style="1659" bestFit="1" customWidth="1"/>
    <col min="46" max="46" width="9.140625" style="1659" bestFit="1" customWidth="1"/>
    <col min="47" max="47" width="8.7109375" style="1659" bestFit="1" customWidth="1"/>
    <col min="48" max="48" width="9.140625" style="1659" bestFit="1" customWidth="1"/>
    <col min="49" max="49" width="9.5703125" style="1659" bestFit="1" customWidth="1"/>
    <col min="50" max="50" width="10.85546875" style="1659" bestFit="1" customWidth="1"/>
    <col min="51" max="51" width="9" style="1659" bestFit="1" customWidth="1"/>
    <col min="52" max="52" width="12.5703125" style="1659" bestFit="1" customWidth="1"/>
    <col min="53" max="53" width="11.42578125" style="1659" bestFit="1" customWidth="1"/>
    <col min="54" max="54" width="12.85546875" style="1659" bestFit="1" customWidth="1"/>
    <col min="55" max="16384" width="64.5703125" style="1659"/>
  </cols>
  <sheetData>
    <row r="1" spans="1:54">
      <c r="A1" s="4342" t="s">
        <v>5010</v>
      </c>
      <c r="B1" s="4342"/>
      <c r="C1" s="4342"/>
      <c r="D1" s="4342"/>
      <c r="E1" s="1654"/>
      <c r="F1" s="3197"/>
      <c r="G1" s="1656"/>
      <c r="H1" s="1656"/>
      <c r="I1" s="1656"/>
      <c r="J1" s="1656"/>
      <c r="K1" s="1656"/>
      <c r="L1" s="3481"/>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1657"/>
      <c r="AP1" s="1657"/>
      <c r="AQ1" s="1657"/>
      <c r="AR1" s="1657"/>
      <c r="AS1" s="1657"/>
      <c r="AT1" s="1657"/>
      <c r="AU1" s="1657"/>
      <c r="AV1" s="1658"/>
      <c r="AW1" s="1658"/>
      <c r="AX1" s="1658"/>
      <c r="AY1" s="1658"/>
      <c r="AZ1" s="1658"/>
      <c r="BA1" s="1658"/>
      <c r="BB1" s="1658"/>
    </row>
    <row r="2" spans="1:54" s="1668" customFormat="1" ht="49.5">
      <c r="A2" s="1660" t="str">
        <f>HYPERLINK("#Index!A4", "Index Pg")</f>
        <v>Index Pg</v>
      </c>
      <c r="B2" s="1661" t="str">
        <f>HYPERLINK("#'Budget Summary I'!A1:AL1", "Budget Summary I")</f>
        <v>Budget Summary I</v>
      </c>
      <c r="C2" s="1661" t="str">
        <f>HYPERLINK("#'Budget Summary II'!A3:B5", "Budget Summary II")</f>
        <v>Budget Summary II</v>
      </c>
      <c r="D2" s="1662" t="str">
        <f>HYPERLINK("#'Summary of Abstracts'!A2", "Summary of Abst.")</f>
        <v>Summary of Abst.</v>
      </c>
      <c r="E2" s="1663"/>
      <c r="F2" s="3197"/>
      <c r="G2" s="1664"/>
      <c r="H2" s="1664"/>
      <c r="I2" s="1664"/>
      <c r="J2" s="1664"/>
      <c r="K2" s="1664"/>
      <c r="L2" s="3482"/>
      <c r="M2" s="1665"/>
      <c r="N2" s="1665"/>
      <c r="O2" s="1665"/>
      <c r="P2" s="1666"/>
      <c r="Q2" s="1666"/>
      <c r="R2" s="1666"/>
      <c r="S2" s="1666"/>
      <c r="T2" s="1666"/>
      <c r="U2" s="1666"/>
      <c r="V2" s="1666"/>
      <c r="W2" s="1666"/>
      <c r="X2" s="1666"/>
      <c r="Y2" s="1666"/>
      <c r="Z2" s="1666"/>
      <c r="AA2" s="1666"/>
      <c r="AB2" s="1666"/>
      <c r="AC2" s="1666"/>
      <c r="AD2" s="1666"/>
      <c r="AE2" s="1666"/>
      <c r="AF2" s="1666"/>
      <c r="AG2" s="1666"/>
      <c r="AH2" s="1666"/>
      <c r="AI2" s="1666"/>
      <c r="AJ2" s="1666"/>
      <c r="AK2" s="1663"/>
      <c r="AL2" s="1663"/>
      <c r="AM2" s="1663"/>
      <c r="AN2" s="1663"/>
      <c r="AO2" s="1663"/>
      <c r="AP2" s="1663"/>
      <c r="AQ2" s="1663"/>
      <c r="AR2" s="1663"/>
      <c r="AS2" s="1663"/>
      <c r="AT2" s="1663"/>
      <c r="AU2" s="1663"/>
      <c r="AV2" s="1667"/>
      <c r="AW2" s="1667"/>
      <c r="AX2" s="1667"/>
      <c r="AY2" s="1667"/>
      <c r="AZ2" s="1667"/>
      <c r="BA2" s="1667"/>
      <c r="BB2" s="1667"/>
    </row>
    <row r="3" spans="1:54" s="1669" customFormat="1">
      <c r="A3" s="4343" t="s">
        <v>4818</v>
      </c>
      <c r="B3" s="4343" t="s">
        <v>54</v>
      </c>
      <c r="C3" s="4343"/>
      <c r="D3" s="4343" t="s">
        <v>55</v>
      </c>
      <c r="E3" s="4343" t="s">
        <v>56</v>
      </c>
      <c r="F3" s="4344" t="s">
        <v>57</v>
      </c>
      <c r="G3" s="4339" t="s">
        <v>4620</v>
      </c>
      <c r="H3" s="4339"/>
      <c r="I3" s="4339"/>
      <c r="J3" s="4339"/>
      <c r="K3" s="4339"/>
      <c r="L3" s="4339" t="s">
        <v>4631</v>
      </c>
      <c r="M3" s="4339"/>
      <c r="N3" s="4339"/>
      <c r="O3" s="4339"/>
      <c r="P3" s="4339"/>
      <c r="Q3" s="4340"/>
      <c r="R3" s="4341" t="s">
        <v>4661</v>
      </c>
      <c r="S3" s="4341"/>
    </row>
    <row r="4" spans="1:54" s="1669" customFormat="1" ht="66">
      <c r="A4" s="4343"/>
      <c r="B4" s="4343"/>
      <c r="C4" s="4343"/>
      <c r="D4" s="4343"/>
      <c r="E4" s="4343"/>
      <c r="F4" s="4344"/>
      <c r="G4" s="1288" t="s">
        <v>4621</v>
      </c>
      <c r="H4" s="1288" t="s">
        <v>4629</v>
      </c>
      <c r="I4" s="1288" t="s">
        <v>4622</v>
      </c>
      <c r="J4" s="1288" t="s">
        <v>4630</v>
      </c>
      <c r="K4" s="1288" t="s">
        <v>2534</v>
      </c>
      <c r="L4" s="3483" t="s">
        <v>58</v>
      </c>
      <c r="M4" s="1289" t="s">
        <v>59</v>
      </c>
      <c r="N4" s="1290" t="s">
        <v>60</v>
      </c>
      <c r="O4" s="1289" t="s">
        <v>61</v>
      </c>
      <c r="P4" s="1290" t="s">
        <v>62</v>
      </c>
      <c r="Q4" s="1510" t="s">
        <v>5564</v>
      </c>
      <c r="R4" s="1511" t="s">
        <v>2536</v>
      </c>
      <c r="S4" s="1511" t="s">
        <v>4662</v>
      </c>
    </row>
    <row r="5" spans="1:54" s="1669" customFormat="1">
      <c r="A5" s="1296"/>
      <c r="B5" s="1296">
        <v>3.1</v>
      </c>
      <c r="C5" s="1670"/>
      <c r="D5" s="1670" t="s">
        <v>11</v>
      </c>
      <c r="E5" s="1297"/>
      <c r="F5" s="1296"/>
      <c r="G5" s="1670"/>
      <c r="H5" s="1670"/>
      <c r="I5" s="1670"/>
      <c r="J5" s="1670"/>
      <c r="K5" s="1671"/>
      <c r="L5" s="1387"/>
      <c r="M5" s="1672"/>
      <c r="N5" s="1517"/>
      <c r="O5" s="1672"/>
      <c r="P5" s="1673"/>
      <c r="Q5" s="1674"/>
      <c r="R5" s="1518"/>
      <c r="S5" s="1511"/>
    </row>
    <row r="6" spans="1:54" s="1683" customFormat="1">
      <c r="A6" s="4346" t="s">
        <v>4816</v>
      </c>
      <c r="B6" s="4346"/>
      <c r="C6" s="4346"/>
      <c r="D6" s="4346"/>
      <c r="E6" s="1534" t="s">
        <v>90</v>
      </c>
      <c r="F6" s="2218"/>
      <c r="G6" s="1675"/>
      <c r="H6" s="1675"/>
      <c r="I6" s="1675"/>
      <c r="J6" s="1675"/>
      <c r="K6" s="1676"/>
      <c r="L6" s="3484"/>
      <c r="M6" s="1677"/>
      <c r="N6" s="1306"/>
      <c r="O6" s="1678"/>
      <c r="P6" s="1679">
        <f>P7+P12+P20+P23+P33+P36+P37</f>
        <v>28864.134700000002</v>
      </c>
      <c r="Q6" s="1680"/>
      <c r="R6" s="1681"/>
      <c r="S6" s="1682">
        <f>S7+S12+S20+S23+S33+S36+S37</f>
        <v>0</v>
      </c>
    </row>
    <row r="7" spans="1:54" s="1696" customFormat="1">
      <c r="A7" s="1684" t="s">
        <v>4350</v>
      </c>
      <c r="B7" s="1684" t="s">
        <v>164</v>
      </c>
      <c r="C7" s="1685"/>
      <c r="D7" s="1686" t="s">
        <v>4817</v>
      </c>
      <c r="E7" s="1534" t="s">
        <v>90</v>
      </c>
      <c r="F7" s="3198"/>
      <c r="G7" s="1688"/>
      <c r="H7" s="1688"/>
      <c r="I7" s="1688"/>
      <c r="J7" s="1688"/>
      <c r="K7" s="1688"/>
      <c r="L7" s="3485"/>
      <c r="M7" s="1688"/>
      <c r="N7" s="1689"/>
      <c r="O7" s="1690"/>
      <c r="P7" s="1691">
        <f>SUM(P8:P11)</f>
        <v>13204.952000000001</v>
      </c>
      <c r="Q7" s="1692"/>
      <c r="R7" s="1693"/>
      <c r="S7" s="1694">
        <f>SUM(S8:S11)</f>
        <v>0</v>
      </c>
      <c r="T7" s="1695"/>
    </row>
    <row r="8" spans="1:54" ht="121.5" customHeight="1">
      <c r="A8" s="1697">
        <v>1</v>
      </c>
      <c r="B8" s="1530" t="s">
        <v>2733</v>
      </c>
      <c r="C8" s="1698" t="s">
        <v>165</v>
      </c>
      <c r="D8" s="1699" t="s">
        <v>166</v>
      </c>
      <c r="E8" s="1534" t="s">
        <v>90</v>
      </c>
      <c r="F8" s="1533" t="s">
        <v>118</v>
      </c>
      <c r="G8" s="1700"/>
      <c r="H8" s="1542"/>
      <c r="I8" s="1701">
        <f>1172115000/100000</f>
        <v>11721.15</v>
      </c>
      <c r="J8" s="1701">
        <f>286080189/100000</f>
        <v>2860.8018900000002</v>
      </c>
      <c r="K8" s="1543"/>
      <c r="L8" s="3486" t="s">
        <v>6224</v>
      </c>
      <c r="M8" s="3179">
        <v>1161958400</v>
      </c>
      <c r="N8" s="1730">
        <f>M8/100000</f>
        <v>11619.584000000001</v>
      </c>
      <c r="O8" s="3179">
        <v>1</v>
      </c>
      <c r="P8" s="1730">
        <f>N8*O8</f>
        <v>11619.584000000001</v>
      </c>
      <c r="Q8" s="2127" t="s">
        <v>6225</v>
      </c>
      <c r="R8" s="1529">
        <f>'Ab3. ASHA'!Q8</f>
        <v>0</v>
      </c>
      <c r="S8" s="1704">
        <f>'Ab3. ASHA'!R8</f>
        <v>0</v>
      </c>
      <c r="T8" s="1705"/>
    </row>
    <row r="9" spans="1:54" ht="49.5">
      <c r="A9" s="1697">
        <v>2</v>
      </c>
      <c r="B9" s="1530" t="s">
        <v>2740</v>
      </c>
      <c r="C9" s="1698" t="s">
        <v>196</v>
      </c>
      <c r="D9" s="1699" t="s">
        <v>197</v>
      </c>
      <c r="E9" s="1534" t="s">
        <v>90</v>
      </c>
      <c r="F9" s="1533" t="s">
        <v>5565</v>
      </c>
      <c r="G9" s="1557"/>
      <c r="H9" s="1557"/>
      <c r="I9" s="1557"/>
      <c r="J9" s="1557"/>
      <c r="K9" s="1557"/>
      <c r="L9" s="2822" t="s">
        <v>6150</v>
      </c>
      <c r="M9" s="1819">
        <f>12*50</f>
        <v>600</v>
      </c>
      <c r="N9" s="1702">
        <f>M9/100000</f>
        <v>6.0000000000000001E-3</v>
      </c>
      <c r="O9" s="1820">
        <v>88076</v>
      </c>
      <c r="P9" s="1703">
        <f>N9*O9</f>
        <v>528.45600000000002</v>
      </c>
      <c r="Q9" s="1818" t="s">
        <v>6151</v>
      </c>
      <c r="R9" s="1529">
        <f>'Ab3. ASHA'!Q9</f>
        <v>0</v>
      </c>
      <c r="S9" s="1704">
        <f>'Ab3. ASHA'!R9</f>
        <v>0</v>
      </c>
      <c r="T9" s="1705"/>
    </row>
    <row r="10" spans="1:54" ht="60.75" customHeight="1">
      <c r="A10" s="1697">
        <v>3</v>
      </c>
      <c r="B10" s="1530" t="s">
        <v>2741</v>
      </c>
      <c r="C10" s="1698" t="s">
        <v>198</v>
      </c>
      <c r="D10" s="1699" t="s">
        <v>199</v>
      </c>
      <c r="E10" s="1534" t="s">
        <v>90</v>
      </c>
      <c r="F10" s="1533" t="s">
        <v>5565</v>
      </c>
      <c r="G10" s="1706"/>
      <c r="H10" s="1525"/>
      <c r="I10" s="1707"/>
      <c r="J10" s="1707"/>
      <c r="K10" s="1706"/>
      <c r="L10" s="2822" t="s">
        <v>6150</v>
      </c>
      <c r="M10" s="1819">
        <f>12*100</f>
        <v>1200</v>
      </c>
      <c r="N10" s="1702">
        <f>M10/100000</f>
        <v>1.2E-2</v>
      </c>
      <c r="O10" s="1820">
        <v>88076</v>
      </c>
      <c r="P10" s="1703">
        <f>N10*O10</f>
        <v>1056.912</v>
      </c>
      <c r="Q10" s="1818" t="s">
        <v>6152</v>
      </c>
      <c r="R10" s="1529">
        <f>'Ab3. ASHA'!Q10</f>
        <v>0</v>
      </c>
      <c r="S10" s="1704">
        <f>'Ab3. ASHA'!R10</f>
        <v>0</v>
      </c>
      <c r="T10" s="1705"/>
    </row>
    <row r="11" spans="1:54" s="3660" customFormat="1" ht="33">
      <c r="A11" s="3646">
        <v>4</v>
      </c>
      <c r="B11" s="3647" t="s">
        <v>2742</v>
      </c>
      <c r="C11" s="3648" t="s">
        <v>200</v>
      </c>
      <c r="D11" s="3648" t="s">
        <v>201</v>
      </c>
      <c r="E11" s="3649" t="s">
        <v>90</v>
      </c>
      <c r="F11" s="3661" t="s">
        <v>5565</v>
      </c>
      <c r="G11" s="3662"/>
      <c r="H11" s="3663"/>
      <c r="I11" s="3664"/>
      <c r="J11" s="3664"/>
      <c r="K11" s="3662"/>
      <c r="L11" s="3665"/>
      <c r="M11" s="3653"/>
      <c r="N11" s="3654">
        <f>M11/100000</f>
        <v>0</v>
      </c>
      <c r="O11" s="3653"/>
      <c r="P11" s="3655">
        <f>N11*O11</f>
        <v>0</v>
      </c>
      <c r="Q11" s="3666"/>
      <c r="R11" s="3657">
        <f>'Ab3. ASHA'!Q11</f>
        <v>0</v>
      </c>
      <c r="S11" s="3658">
        <f>'Ab3. ASHA'!R11</f>
        <v>0</v>
      </c>
      <c r="T11" s="3659"/>
    </row>
    <row r="12" spans="1:54" s="1696" customFormat="1">
      <c r="A12" s="1684" t="s">
        <v>4351</v>
      </c>
      <c r="B12" s="1684" t="s">
        <v>164</v>
      </c>
      <c r="C12" s="1685"/>
      <c r="D12" s="1686" t="s">
        <v>4820</v>
      </c>
      <c r="E12" s="1534" t="s">
        <v>90</v>
      </c>
      <c r="F12" s="3198"/>
      <c r="G12" s="1708"/>
      <c r="H12" s="1708"/>
      <c r="I12" s="1708"/>
      <c r="J12" s="1708"/>
      <c r="K12" s="1708"/>
      <c r="L12" s="3487"/>
      <c r="M12" s="1708"/>
      <c r="N12" s="1689"/>
      <c r="O12" s="1709"/>
      <c r="P12" s="1691">
        <f>SUM(P13:P19)</f>
        <v>4810</v>
      </c>
      <c r="Q12" s="1710"/>
      <c r="R12" s="1693"/>
      <c r="S12" s="1694">
        <f>SUM(S13:S19)</f>
        <v>0</v>
      </c>
      <c r="T12" s="1695"/>
    </row>
    <row r="13" spans="1:54" ht="49.5">
      <c r="A13" s="1697">
        <v>1</v>
      </c>
      <c r="B13" s="1530" t="s">
        <v>2734</v>
      </c>
      <c r="C13" s="1698" t="s">
        <v>178</v>
      </c>
      <c r="D13" s="1699" t="s">
        <v>179</v>
      </c>
      <c r="E13" s="1534" t="s">
        <v>90</v>
      </c>
      <c r="F13" s="1533" t="s">
        <v>2667</v>
      </c>
      <c r="G13" s="1706"/>
      <c r="H13" s="1525"/>
      <c r="I13" s="1707"/>
      <c r="J13" s="1707"/>
      <c r="K13" s="1706"/>
      <c r="L13" s="1633" t="s">
        <v>6185</v>
      </c>
      <c r="M13" s="1317">
        <v>400</v>
      </c>
      <c r="N13" s="1702">
        <f t="shared" ref="N13:N19" si="0">M13/100000</f>
        <v>4.0000000000000001E-3</v>
      </c>
      <c r="O13" s="1317">
        <v>90000</v>
      </c>
      <c r="P13" s="1703">
        <f t="shared" ref="P13:P19" si="1">N13*O13</f>
        <v>360</v>
      </c>
      <c r="Q13" s="1318" t="s">
        <v>6192</v>
      </c>
      <c r="R13" s="1529">
        <f>'Ab3. ASHA'!Q13</f>
        <v>0</v>
      </c>
      <c r="S13" s="1704">
        <f>'Ab3. ASHA'!R13</f>
        <v>0</v>
      </c>
      <c r="T13" s="1705"/>
    </row>
    <row r="14" spans="1:54" ht="33">
      <c r="A14" s="1697">
        <v>2</v>
      </c>
      <c r="B14" s="1530" t="s">
        <v>2735</v>
      </c>
      <c r="C14" s="1698" t="s">
        <v>174</v>
      </c>
      <c r="D14" s="1699" t="s">
        <v>4080</v>
      </c>
      <c r="E14" s="1534" t="s">
        <v>90</v>
      </c>
      <c r="F14" s="1533" t="s">
        <v>2667</v>
      </c>
      <c r="G14" s="1706"/>
      <c r="H14" s="1525"/>
      <c r="I14" s="1707"/>
      <c r="J14" s="1707"/>
      <c r="K14" s="1706"/>
      <c r="L14" s="1633" t="s">
        <v>6186</v>
      </c>
      <c r="M14" s="1317">
        <v>250</v>
      </c>
      <c r="N14" s="1702">
        <f t="shared" si="0"/>
        <v>2.5000000000000001E-3</v>
      </c>
      <c r="O14" s="1317">
        <v>1200000</v>
      </c>
      <c r="P14" s="1703">
        <f t="shared" si="1"/>
        <v>3000</v>
      </c>
      <c r="Q14" s="1553" t="s">
        <v>6189</v>
      </c>
      <c r="R14" s="1529">
        <f>'Ab3. ASHA'!Q14</f>
        <v>0</v>
      </c>
      <c r="S14" s="1704">
        <f>'Ab3. ASHA'!R14</f>
        <v>0</v>
      </c>
      <c r="T14" s="1705"/>
    </row>
    <row r="15" spans="1:54" ht="54" customHeight="1">
      <c r="A15" s="1697">
        <v>3</v>
      </c>
      <c r="B15" s="1530" t="s">
        <v>2736</v>
      </c>
      <c r="C15" s="1698" t="s">
        <v>176</v>
      </c>
      <c r="D15" s="1699" t="s">
        <v>2524</v>
      </c>
      <c r="E15" s="1534" t="s">
        <v>90</v>
      </c>
      <c r="F15" s="1533" t="s">
        <v>2667</v>
      </c>
      <c r="G15" s="1706"/>
      <c r="H15" s="1525"/>
      <c r="I15" s="1707"/>
      <c r="J15" s="1707"/>
      <c r="K15" s="1706"/>
      <c r="L15" s="1633" t="s">
        <v>6187</v>
      </c>
      <c r="M15" s="1317">
        <v>200</v>
      </c>
      <c r="N15" s="1702">
        <f t="shared" si="0"/>
        <v>2E-3</v>
      </c>
      <c r="O15" s="1317">
        <v>50000</v>
      </c>
      <c r="P15" s="1703">
        <f t="shared" si="1"/>
        <v>100</v>
      </c>
      <c r="Q15" s="1821" t="s">
        <v>6578</v>
      </c>
      <c r="R15" s="1529">
        <f>'Ab3. ASHA'!Q15</f>
        <v>0</v>
      </c>
      <c r="S15" s="1704">
        <f>'Ab3. ASHA'!R15</f>
        <v>0</v>
      </c>
      <c r="T15" s="1705"/>
    </row>
    <row r="16" spans="1:54" s="3873" customFormat="1" ht="198">
      <c r="A16" s="3955">
        <v>4</v>
      </c>
      <c r="B16" s="3843" t="s">
        <v>2737</v>
      </c>
      <c r="C16" s="3781" t="s">
        <v>177</v>
      </c>
      <c r="D16" s="3781" t="s">
        <v>2525</v>
      </c>
      <c r="E16" s="3861" t="s">
        <v>90</v>
      </c>
      <c r="F16" s="3867" t="s">
        <v>2667</v>
      </c>
      <c r="G16" s="3877"/>
      <c r="H16" s="3878"/>
      <c r="I16" s="3956"/>
      <c r="J16" s="3956"/>
      <c r="K16" s="3877"/>
      <c r="L16" s="3882" t="s">
        <v>6188</v>
      </c>
      <c r="M16" s="3739">
        <v>2120000</v>
      </c>
      <c r="N16" s="3808">
        <f t="shared" si="0"/>
        <v>21.2</v>
      </c>
      <c r="O16" s="3739">
        <v>1</v>
      </c>
      <c r="P16" s="3871">
        <f t="shared" si="1"/>
        <v>21.2</v>
      </c>
      <c r="Q16" s="3872" t="s">
        <v>6864</v>
      </c>
      <c r="R16" s="3883">
        <f>'Ab3. ASHA'!Q16</f>
        <v>0</v>
      </c>
      <c r="S16" s="3957">
        <f>'Ab3. ASHA'!R16</f>
        <v>0</v>
      </c>
      <c r="T16" s="3885"/>
    </row>
    <row r="17" spans="1:20" ht="33">
      <c r="A17" s="1697">
        <v>5</v>
      </c>
      <c r="B17" s="1530" t="s">
        <v>2738</v>
      </c>
      <c r="C17" s="1698" t="s">
        <v>180</v>
      </c>
      <c r="D17" s="1699" t="s">
        <v>181</v>
      </c>
      <c r="E17" s="1534" t="s">
        <v>90</v>
      </c>
      <c r="F17" s="1533" t="s">
        <v>2667</v>
      </c>
      <c r="G17" s="1706"/>
      <c r="H17" s="1525"/>
      <c r="I17" s="1707"/>
      <c r="J17" s="1707"/>
      <c r="K17" s="1706"/>
      <c r="L17" s="3488" t="s">
        <v>6185</v>
      </c>
      <c r="M17" s="1317">
        <v>200</v>
      </c>
      <c r="N17" s="1702">
        <f t="shared" si="0"/>
        <v>2E-3</v>
      </c>
      <c r="O17" s="1317">
        <v>91000</v>
      </c>
      <c r="P17" s="1703">
        <f t="shared" si="1"/>
        <v>182</v>
      </c>
      <c r="Q17" s="1318" t="s">
        <v>6190</v>
      </c>
      <c r="R17" s="1529">
        <f>'Ab3. ASHA'!Q17</f>
        <v>0</v>
      </c>
      <c r="S17" s="1704">
        <f>'Ab3. ASHA'!R17</f>
        <v>0</v>
      </c>
      <c r="T17" s="1705"/>
    </row>
    <row r="18" spans="1:20" ht="49.5">
      <c r="A18" s="1697">
        <v>6</v>
      </c>
      <c r="B18" s="1530" t="s">
        <v>2739</v>
      </c>
      <c r="C18" s="1698" t="s">
        <v>182</v>
      </c>
      <c r="D18" s="1699" t="s">
        <v>183</v>
      </c>
      <c r="E18" s="1534" t="s">
        <v>90</v>
      </c>
      <c r="F18" s="1533" t="s">
        <v>2667</v>
      </c>
      <c r="G18" s="1557"/>
      <c r="H18" s="1557"/>
      <c r="I18" s="1557"/>
      <c r="J18" s="1557"/>
      <c r="K18" s="1557"/>
      <c r="L18" s="1633" t="s">
        <v>6185</v>
      </c>
      <c r="M18" s="1317">
        <v>100</v>
      </c>
      <c r="N18" s="1702">
        <f t="shared" si="0"/>
        <v>1E-3</v>
      </c>
      <c r="O18" s="1317">
        <v>91000</v>
      </c>
      <c r="P18" s="1703">
        <f t="shared" si="1"/>
        <v>91</v>
      </c>
      <c r="Q18" s="1318" t="s">
        <v>6191</v>
      </c>
      <c r="R18" s="1529">
        <f>'Ab3. ASHA'!Q18</f>
        <v>0</v>
      </c>
      <c r="S18" s="1704">
        <f>'Ab3. ASHA'!R18</f>
        <v>0</v>
      </c>
      <c r="T18" s="1705"/>
    </row>
    <row r="19" spans="1:20" ht="82.5">
      <c r="A19" s="1697">
        <v>7</v>
      </c>
      <c r="B19" s="1530" t="s">
        <v>2744</v>
      </c>
      <c r="C19" s="1698"/>
      <c r="D19" s="1601" t="s">
        <v>3317</v>
      </c>
      <c r="E19" s="1534" t="s">
        <v>90</v>
      </c>
      <c r="F19" s="1533" t="s">
        <v>2667</v>
      </c>
      <c r="G19" s="1706"/>
      <c r="H19" s="1525"/>
      <c r="I19" s="1707"/>
      <c r="J19" s="1712"/>
      <c r="K19" s="1557"/>
      <c r="L19" s="1590" t="s">
        <v>6185</v>
      </c>
      <c r="M19" s="1714">
        <v>105580000</v>
      </c>
      <c r="N19" s="1702">
        <f t="shared" si="0"/>
        <v>1055.8</v>
      </c>
      <c r="O19" s="1714">
        <v>1</v>
      </c>
      <c r="P19" s="1703">
        <f t="shared" si="1"/>
        <v>1055.8</v>
      </c>
      <c r="Q19" s="1553" t="s">
        <v>6579</v>
      </c>
      <c r="R19" s="1529">
        <f>'Ab3. ASHA'!Q19</f>
        <v>0</v>
      </c>
      <c r="S19" s="1704">
        <f>'Ab3. ASHA'!R19</f>
        <v>0</v>
      </c>
      <c r="T19" s="1705"/>
    </row>
    <row r="20" spans="1:20" s="1696" customFormat="1" ht="33">
      <c r="A20" s="1684" t="s">
        <v>4354</v>
      </c>
      <c r="B20" s="1684" t="s">
        <v>164</v>
      </c>
      <c r="C20" s="1685"/>
      <c r="D20" s="1686" t="s">
        <v>4822</v>
      </c>
      <c r="E20" s="1534" t="s">
        <v>90</v>
      </c>
      <c r="F20" s="3198"/>
      <c r="G20" s="1708"/>
      <c r="H20" s="1708"/>
      <c r="I20" s="1708"/>
      <c r="J20" s="1708"/>
      <c r="K20" s="1708"/>
      <c r="L20" s="3487"/>
      <c r="M20" s="1708"/>
      <c r="N20" s="1689"/>
      <c r="O20" s="1709"/>
      <c r="P20" s="1691">
        <f>P21+P22</f>
        <v>8949.6311999999998</v>
      </c>
      <c r="Q20" s="1710"/>
      <c r="R20" s="1693"/>
      <c r="S20" s="1694">
        <f>S21+S22</f>
        <v>0</v>
      </c>
      <c r="T20" s="1695"/>
    </row>
    <row r="21" spans="1:20" s="3873" customFormat="1" ht="186" customHeight="1">
      <c r="A21" s="3955">
        <v>1</v>
      </c>
      <c r="B21" s="3843" t="s">
        <v>2743</v>
      </c>
      <c r="C21" s="3781" t="s">
        <v>204</v>
      </c>
      <c r="D21" s="3781" t="s">
        <v>4081</v>
      </c>
      <c r="E21" s="3861" t="s">
        <v>90</v>
      </c>
      <c r="F21" s="3867" t="s">
        <v>2670</v>
      </c>
      <c r="G21" s="3877"/>
      <c r="H21" s="3878"/>
      <c r="I21" s="4089">
        <v>7402.24</v>
      </c>
      <c r="J21" s="4089"/>
      <c r="K21" s="3870"/>
      <c r="L21" s="3882" t="s">
        <v>5859</v>
      </c>
      <c r="M21" s="3788">
        <v>304.34160000000003</v>
      </c>
      <c r="N21" s="3808">
        <f>M21/100000</f>
        <v>3.0434160000000002E-3</v>
      </c>
      <c r="O21" s="3739">
        <v>2700000</v>
      </c>
      <c r="P21" s="3871">
        <f>N21*O21</f>
        <v>8217.2232000000004</v>
      </c>
      <c r="Q21" s="3775" t="s">
        <v>6929</v>
      </c>
      <c r="R21" s="3883">
        <f>'Ab3. ASHA'!Q21</f>
        <v>0</v>
      </c>
      <c r="S21" s="3957">
        <f>'Ab3. ASHA'!R21</f>
        <v>0</v>
      </c>
      <c r="T21" s="3885"/>
    </row>
    <row r="22" spans="1:20" s="1716" customFormat="1" ht="115.5">
      <c r="A22" s="1697">
        <v>2</v>
      </c>
      <c r="B22" s="1331" t="s">
        <v>246</v>
      </c>
      <c r="C22" s="1699" t="s">
        <v>247</v>
      </c>
      <c r="D22" s="1699" t="s">
        <v>248</v>
      </c>
      <c r="E22" s="1534" t="s">
        <v>90</v>
      </c>
      <c r="F22" s="1533" t="s">
        <v>2670</v>
      </c>
      <c r="G22" s="1706"/>
      <c r="H22" s="1525"/>
      <c r="I22" s="1712">
        <v>551.16999999999996</v>
      </c>
      <c r="J22" s="1712"/>
      <c r="K22" s="1557"/>
      <c r="L22" s="1633" t="s">
        <v>5860</v>
      </c>
      <c r="M22" s="1312">
        <v>200</v>
      </c>
      <c r="N22" s="1702">
        <f>M22/100000</f>
        <v>2E-3</v>
      </c>
      <c r="O22" s="1317">
        <v>366204</v>
      </c>
      <c r="P22" s="1703">
        <f>N22*O22</f>
        <v>732.40800000000002</v>
      </c>
      <c r="Q22" s="1343" t="s">
        <v>6430</v>
      </c>
      <c r="R22" s="1529">
        <f>'Ab3. ASHA'!Q22</f>
        <v>0</v>
      </c>
      <c r="S22" s="1704">
        <f>'Ab3. ASHA'!R22</f>
        <v>0</v>
      </c>
      <c r="T22" s="1715"/>
    </row>
    <row r="23" spans="1:20" s="1696" customFormat="1">
      <c r="A23" s="1684" t="s">
        <v>4355</v>
      </c>
      <c r="B23" s="1684" t="s">
        <v>167</v>
      </c>
      <c r="C23" s="1685"/>
      <c r="D23" s="1686" t="s">
        <v>2730</v>
      </c>
      <c r="E23" s="1534" t="s">
        <v>90</v>
      </c>
      <c r="F23" s="3198"/>
      <c r="G23" s="1708"/>
      <c r="H23" s="1708"/>
      <c r="I23" s="1708"/>
      <c r="J23" s="1708"/>
      <c r="K23" s="1708"/>
      <c r="L23" s="3487"/>
      <c r="M23" s="1708"/>
      <c r="N23" s="1689"/>
      <c r="O23" s="1709"/>
      <c r="P23" s="1691">
        <f>SUM(P24:P32)</f>
        <v>1811.569</v>
      </c>
      <c r="Q23" s="1710"/>
      <c r="R23" s="1693"/>
      <c r="S23" s="1694">
        <f>SUM(S24:S32)</f>
        <v>0</v>
      </c>
      <c r="T23" s="1695"/>
    </row>
    <row r="24" spans="1:20" ht="66">
      <c r="A24" s="1697">
        <v>1</v>
      </c>
      <c r="B24" s="1530" t="s">
        <v>2745</v>
      </c>
      <c r="C24" s="1699" t="s">
        <v>168</v>
      </c>
      <c r="D24" s="1699" t="s">
        <v>169</v>
      </c>
      <c r="E24" s="1534" t="s">
        <v>90</v>
      </c>
      <c r="F24" s="1533" t="s">
        <v>2666</v>
      </c>
      <c r="G24" s="1557">
        <v>91677</v>
      </c>
      <c r="H24" s="1717">
        <v>2971</v>
      </c>
      <c r="I24" s="1312">
        <v>91.68</v>
      </c>
      <c r="J24" s="1712">
        <v>2.97</v>
      </c>
      <c r="K24" s="1707"/>
      <c r="L24" s="1633" t="s">
        <v>5973</v>
      </c>
      <c r="M24" s="1317">
        <v>100</v>
      </c>
      <c r="N24" s="1702">
        <f t="shared" ref="N24:N31" si="2">M24/100000</f>
        <v>1E-3</v>
      </c>
      <c r="O24" s="1317">
        <v>92037</v>
      </c>
      <c r="P24" s="1703">
        <f t="shared" ref="P24:P31" si="3">N24*O24</f>
        <v>92.037000000000006</v>
      </c>
      <c r="Q24" s="1318" t="s">
        <v>6562</v>
      </c>
      <c r="R24" s="1529">
        <f>'Ab3. ASHA'!Q24</f>
        <v>0</v>
      </c>
      <c r="S24" s="1704">
        <f>'Ab3. ASHA'!R24</f>
        <v>0</v>
      </c>
      <c r="T24" s="1705"/>
    </row>
    <row r="25" spans="1:20" ht="49.5">
      <c r="A25" s="1697">
        <v>2</v>
      </c>
      <c r="B25" s="1530" t="s">
        <v>2746</v>
      </c>
      <c r="C25" s="1699" t="s">
        <v>171</v>
      </c>
      <c r="D25" s="1699" t="s">
        <v>172</v>
      </c>
      <c r="E25" s="1534" t="s">
        <v>90</v>
      </c>
      <c r="F25" s="1533" t="s">
        <v>2666</v>
      </c>
      <c r="G25" s="1557">
        <v>89007</v>
      </c>
      <c r="H25" s="1557">
        <v>2003</v>
      </c>
      <c r="I25" s="1557">
        <v>89.01</v>
      </c>
      <c r="J25" s="1557">
        <v>2</v>
      </c>
      <c r="K25" s="1557"/>
      <c r="L25" s="1633" t="s">
        <v>5974</v>
      </c>
      <c r="M25" s="1317">
        <v>100</v>
      </c>
      <c r="N25" s="1702">
        <f t="shared" si="2"/>
        <v>1E-3</v>
      </c>
      <c r="O25" s="1317">
        <v>88076</v>
      </c>
      <c r="P25" s="1703">
        <f t="shared" si="3"/>
        <v>88.076000000000008</v>
      </c>
      <c r="Q25" s="1318" t="s">
        <v>6563</v>
      </c>
      <c r="R25" s="1529">
        <f>'Ab3. ASHA'!Q25</f>
        <v>0</v>
      </c>
      <c r="S25" s="1704">
        <f>'Ab3. ASHA'!R25</f>
        <v>0</v>
      </c>
      <c r="T25" s="1705"/>
    </row>
    <row r="26" spans="1:20" ht="33">
      <c r="A26" s="1697">
        <v>3</v>
      </c>
      <c r="B26" s="1530" t="s">
        <v>2747</v>
      </c>
      <c r="C26" s="1699"/>
      <c r="D26" s="1699" t="s">
        <v>2484</v>
      </c>
      <c r="E26" s="1534" t="s">
        <v>90</v>
      </c>
      <c r="F26" s="1533" t="s">
        <v>2666</v>
      </c>
      <c r="G26" s="1557">
        <v>89007</v>
      </c>
      <c r="H26" s="1557">
        <v>5980</v>
      </c>
      <c r="I26" s="1557">
        <v>178.01</v>
      </c>
      <c r="J26" s="1557">
        <v>11.96</v>
      </c>
      <c r="K26" s="1557"/>
      <c r="L26" s="1633" t="s">
        <v>5975</v>
      </c>
      <c r="M26" s="1317">
        <v>600</v>
      </c>
      <c r="N26" s="1702">
        <f t="shared" si="2"/>
        <v>6.0000000000000001E-3</v>
      </c>
      <c r="O26" s="1317">
        <v>88076</v>
      </c>
      <c r="P26" s="1703">
        <f t="shared" si="3"/>
        <v>528.45600000000002</v>
      </c>
      <c r="Q26" s="1718" t="s">
        <v>5979</v>
      </c>
      <c r="R26" s="1529">
        <f>'Ab3. ASHA'!Q26</f>
        <v>0</v>
      </c>
      <c r="S26" s="1704">
        <f>'Ab3. ASHA'!R26</f>
        <v>0</v>
      </c>
      <c r="T26" s="1705"/>
    </row>
    <row r="27" spans="1:20" ht="66">
      <c r="A27" s="1697">
        <v>4</v>
      </c>
      <c r="B27" s="1530" t="s">
        <v>2748</v>
      </c>
      <c r="C27" s="1699" t="s">
        <v>184</v>
      </c>
      <c r="D27" s="1699" t="s">
        <v>185</v>
      </c>
      <c r="E27" s="1534" t="s">
        <v>90</v>
      </c>
      <c r="F27" s="1533" t="s">
        <v>2666</v>
      </c>
      <c r="G27" s="1557">
        <v>20000</v>
      </c>
      <c r="H27" s="1312">
        <v>33410</v>
      </c>
      <c r="I27" s="1712">
        <v>300</v>
      </c>
      <c r="J27" s="1712">
        <v>50.11</v>
      </c>
      <c r="K27" s="1557"/>
      <c r="L27" s="1633" t="s">
        <v>5976</v>
      </c>
      <c r="M27" s="1317">
        <v>150</v>
      </c>
      <c r="N27" s="1702">
        <f t="shared" si="2"/>
        <v>1.5E-3</v>
      </c>
      <c r="O27" s="1317">
        <v>200000</v>
      </c>
      <c r="P27" s="1703">
        <f t="shared" si="3"/>
        <v>300</v>
      </c>
      <c r="Q27" s="2113" t="s">
        <v>6420</v>
      </c>
      <c r="R27" s="1529">
        <f>'Ab3. ASHA'!Q27</f>
        <v>0</v>
      </c>
      <c r="S27" s="1704">
        <f>'Ab3. ASHA'!R27</f>
        <v>0</v>
      </c>
      <c r="T27" s="1705"/>
    </row>
    <row r="28" spans="1:20" ht="63.75" customHeight="1">
      <c r="A28" s="1697">
        <v>5</v>
      </c>
      <c r="B28" s="1331" t="s">
        <v>2749</v>
      </c>
      <c r="C28" s="1699" t="s">
        <v>186</v>
      </c>
      <c r="D28" s="1699" t="s">
        <v>187</v>
      </c>
      <c r="E28" s="1534" t="s">
        <v>90</v>
      </c>
      <c r="F28" s="1533" t="s">
        <v>2666</v>
      </c>
      <c r="G28" s="1557">
        <v>2000</v>
      </c>
      <c r="H28" s="1312">
        <v>1653</v>
      </c>
      <c r="I28" s="1712">
        <v>3</v>
      </c>
      <c r="J28" s="1712">
        <v>2.48</v>
      </c>
      <c r="K28" s="1557"/>
      <c r="L28" s="1633" t="s">
        <v>5968</v>
      </c>
      <c r="M28" s="1317">
        <v>150</v>
      </c>
      <c r="N28" s="1702">
        <f t="shared" si="2"/>
        <v>1.5E-3</v>
      </c>
      <c r="O28" s="1317">
        <v>2000</v>
      </c>
      <c r="P28" s="1703">
        <f t="shared" si="3"/>
        <v>3</v>
      </c>
      <c r="Q28" s="2113" t="s">
        <v>6421</v>
      </c>
      <c r="R28" s="1529">
        <f>'Ab3. ASHA'!Q28</f>
        <v>0</v>
      </c>
      <c r="S28" s="1704">
        <f>'Ab3. ASHA'!R28</f>
        <v>0</v>
      </c>
      <c r="T28" s="1705"/>
    </row>
    <row r="29" spans="1:20" ht="82.5">
      <c r="A29" s="1697">
        <v>6</v>
      </c>
      <c r="B29" s="1331" t="s">
        <v>2750</v>
      </c>
      <c r="C29" s="1699" t="s">
        <v>188</v>
      </c>
      <c r="D29" s="1699" t="s">
        <v>189</v>
      </c>
      <c r="E29" s="1534" t="s">
        <v>90</v>
      </c>
      <c r="F29" s="1533" t="s">
        <v>2666</v>
      </c>
      <c r="G29" s="1557">
        <v>20000</v>
      </c>
      <c r="H29" s="1312">
        <v>1870</v>
      </c>
      <c r="I29" s="1712">
        <v>100</v>
      </c>
      <c r="J29" s="1712">
        <v>9.35</v>
      </c>
      <c r="K29" s="1557"/>
      <c r="L29" s="1633" t="s">
        <v>5977</v>
      </c>
      <c r="M29" s="1317">
        <v>500</v>
      </c>
      <c r="N29" s="1702">
        <f t="shared" si="2"/>
        <v>5.0000000000000001E-3</v>
      </c>
      <c r="O29" s="1317">
        <v>20000</v>
      </c>
      <c r="P29" s="1703">
        <f t="shared" si="3"/>
        <v>100</v>
      </c>
      <c r="Q29" s="2113" t="s">
        <v>6422</v>
      </c>
      <c r="R29" s="1529">
        <f>'Ab3. ASHA'!Q29</f>
        <v>0</v>
      </c>
      <c r="S29" s="1704">
        <f>'Ab3. ASHA'!R29</f>
        <v>0</v>
      </c>
      <c r="T29" s="1705"/>
    </row>
    <row r="30" spans="1:20" ht="82.5">
      <c r="A30" s="1697">
        <v>7</v>
      </c>
      <c r="B30" s="1331" t="s">
        <v>2751</v>
      </c>
      <c r="C30" s="1699" t="s">
        <v>190</v>
      </c>
      <c r="D30" s="1699" t="s">
        <v>4082</v>
      </c>
      <c r="E30" s="1534" t="s">
        <v>90</v>
      </c>
      <c r="F30" s="1533" t="s">
        <v>2666</v>
      </c>
      <c r="G30" s="1557">
        <v>36000</v>
      </c>
      <c r="H30" s="1312">
        <v>5897</v>
      </c>
      <c r="I30" s="1712">
        <v>360</v>
      </c>
      <c r="J30" s="1712">
        <v>58.97</v>
      </c>
      <c r="K30" s="1557"/>
      <c r="L30" s="1633" t="s">
        <v>5978</v>
      </c>
      <c r="M30" s="1317">
        <v>1000</v>
      </c>
      <c r="N30" s="1702">
        <f t="shared" si="2"/>
        <v>0.01</v>
      </c>
      <c r="O30" s="1317">
        <v>40000</v>
      </c>
      <c r="P30" s="1703">
        <f t="shared" si="3"/>
        <v>400</v>
      </c>
      <c r="Q30" s="2113" t="s">
        <v>6423</v>
      </c>
      <c r="R30" s="1529">
        <f>'Ab3. ASHA'!Q30</f>
        <v>0</v>
      </c>
      <c r="S30" s="1704">
        <f>'Ab3. ASHA'!R30</f>
        <v>0</v>
      </c>
      <c r="T30" s="1705"/>
    </row>
    <row r="31" spans="1:20" ht="85.5" customHeight="1">
      <c r="A31" s="1697">
        <v>8</v>
      </c>
      <c r="B31" s="1530" t="s">
        <v>3300</v>
      </c>
      <c r="C31" s="1331" t="s">
        <v>3320</v>
      </c>
      <c r="D31" s="1699" t="s">
        <v>3318</v>
      </c>
      <c r="E31" s="1534" t="s">
        <v>90</v>
      </c>
      <c r="F31" s="2244" t="s">
        <v>3882</v>
      </c>
      <c r="G31" s="1557">
        <v>400000</v>
      </c>
      <c r="H31" s="1557">
        <v>13310</v>
      </c>
      <c r="I31" s="1557">
        <v>400</v>
      </c>
      <c r="J31" s="1557">
        <v>13.31</v>
      </c>
      <c r="K31" s="1557"/>
      <c r="L31" s="1590" t="s">
        <v>5969</v>
      </c>
      <c r="M31" s="1714">
        <v>100</v>
      </c>
      <c r="N31" s="1746">
        <f t="shared" si="2"/>
        <v>1E-3</v>
      </c>
      <c r="O31" s="1714">
        <v>300000</v>
      </c>
      <c r="P31" s="1730">
        <f t="shared" si="3"/>
        <v>300</v>
      </c>
      <c r="Q31" s="1713" t="s">
        <v>6424</v>
      </c>
      <c r="R31" s="1529">
        <f>'Ab3. ASHA'!Q31</f>
        <v>0</v>
      </c>
      <c r="S31" s="1704">
        <f>'Ab3. ASHA'!R31</f>
        <v>0</v>
      </c>
      <c r="T31" s="1705"/>
    </row>
    <row r="32" spans="1:20" s="3660" customFormat="1" ht="33">
      <c r="A32" s="3646">
        <v>9</v>
      </c>
      <c r="B32" s="3647"/>
      <c r="C32" s="3647"/>
      <c r="D32" s="3648" t="s">
        <v>2459</v>
      </c>
      <c r="E32" s="3649" t="s">
        <v>90</v>
      </c>
      <c r="F32" s="3650" t="s">
        <v>3882</v>
      </c>
      <c r="G32" s="3651"/>
      <c r="H32" s="3651"/>
      <c r="I32" s="3651"/>
      <c r="J32" s="3651"/>
      <c r="K32" s="3651"/>
      <c r="L32" s="3652"/>
      <c r="M32" s="3653"/>
      <c r="N32" s="3654">
        <f>M32/100000</f>
        <v>0</v>
      </c>
      <c r="O32" s="3653"/>
      <c r="P32" s="3655">
        <f>N32*O32</f>
        <v>0</v>
      </c>
      <c r="Q32" s="3656" t="s">
        <v>6817</v>
      </c>
      <c r="R32" s="3657">
        <f>'Ab3. ASHA'!Q32</f>
        <v>0</v>
      </c>
      <c r="S32" s="3658">
        <f>'Ab3. ASHA'!R32</f>
        <v>0</v>
      </c>
      <c r="T32" s="3659"/>
    </row>
    <row r="33" spans="1:20" s="1696" customFormat="1">
      <c r="A33" s="1684" t="s">
        <v>4356</v>
      </c>
      <c r="B33" s="1684" t="s">
        <v>170</v>
      </c>
      <c r="C33" s="1685"/>
      <c r="D33" s="1686" t="s">
        <v>2731</v>
      </c>
      <c r="E33" s="1534" t="s">
        <v>90</v>
      </c>
      <c r="F33" s="3198"/>
      <c r="G33" s="1708"/>
      <c r="H33" s="1708"/>
      <c r="I33" s="1708"/>
      <c r="J33" s="1708"/>
      <c r="K33" s="1708"/>
      <c r="L33" s="3487"/>
      <c r="M33" s="1708"/>
      <c r="N33" s="1689"/>
      <c r="O33" s="1709"/>
      <c r="P33" s="1691">
        <f>SUM(P34:P35)</f>
        <v>56.112000000000002</v>
      </c>
      <c r="Q33" s="1710"/>
      <c r="R33" s="1693"/>
      <c r="S33" s="1694">
        <f>SUM(S34:S35)</f>
        <v>0</v>
      </c>
      <c r="T33" s="1695"/>
    </row>
    <row r="34" spans="1:20" ht="33">
      <c r="A34" s="1697">
        <v>1</v>
      </c>
      <c r="B34" s="1530" t="s">
        <v>2752</v>
      </c>
      <c r="C34" s="1699" t="s">
        <v>191</v>
      </c>
      <c r="D34" s="1699" t="s">
        <v>192</v>
      </c>
      <c r="E34" s="1281" t="s">
        <v>70</v>
      </c>
      <c r="F34" s="1533" t="s">
        <v>2668</v>
      </c>
      <c r="G34" s="1557"/>
      <c r="H34" s="1557"/>
      <c r="I34" s="1557"/>
      <c r="J34" s="1557"/>
      <c r="K34" s="1557"/>
      <c r="L34" s="1633"/>
      <c r="M34" s="1317"/>
      <c r="N34" s="1702">
        <f>M34/100000</f>
        <v>0</v>
      </c>
      <c r="O34" s="1317"/>
      <c r="P34" s="1703">
        <f>N34*O34</f>
        <v>0</v>
      </c>
      <c r="Q34" s="1318"/>
      <c r="R34" s="1529">
        <f>'Ab3. ASHA'!Q34</f>
        <v>0</v>
      </c>
      <c r="S34" s="1704">
        <f>'Ab3. ASHA'!R34</f>
        <v>0</v>
      </c>
      <c r="T34" s="1705"/>
    </row>
    <row r="35" spans="1:20" ht="82.5">
      <c r="A35" s="1697">
        <v>2</v>
      </c>
      <c r="B35" s="1530" t="s">
        <v>2753</v>
      </c>
      <c r="C35" s="1699" t="s">
        <v>194</v>
      </c>
      <c r="D35" s="1699" t="s">
        <v>195</v>
      </c>
      <c r="E35" s="1281" t="s">
        <v>70</v>
      </c>
      <c r="F35" s="1533" t="s">
        <v>2668</v>
      </c>
      <c r="G35" s="1706"/>
      <c r="H35" s="1525"/>
      <c r="I35" s="1707"/>
      <c r="J35" s="1707"/>
      <c r="K35" s="1720"/>
      <c r="L35" s="1633" t="s">
        <v>5841</v>
      </c>
      <c r="M35" s="1312">
        <v>200</v>
      </c>
      <c r="N35" s="1702">
        <f>M35/100000</f>
        <v>2E-3</v>
      </c>
      <c r="O35" s="1317">
        <v>28056</v>
      </c>
      <c r="P35" s="1703">
        <f>N35*O35</f>
        <v>56.112000000000002</v>
      </c>
      <c r="Q35" s="1318" t="s">
        <v>6159</v>
      </c>
      <c r="R35" s="1529">
        <f>'Ab3. ASHA'!Q35</f>
        <v>0</v>
      </c>
      <c r="S35" s="1704">
        <f>'Ab3. ASHA'!R35</f>
        <v>0</v>
      </c>
      <c r="T35" s="1705"/>
    </row>
    <row r="36" spans="1:20" ht="33">
      <c r="A36" s="1549" t="s">
        <v>4664</v>
      </c>
      <c r="B36" s="1530" t="s">
        <v>3800</v>
      </c>
      <c r="C36" s="1699"/>
      <c r="D36" s="1533" t="s">
        <v>2459</v>
      </c>
      <c r="E36" s="1281" t="s">
        <v>70</v>
      </c>
      <c r="F36" s="1533" t="s">
        <v>2669</v>
      </c>
      <c r="G36" s="1557"/>
      <c r="H36" s="1557"/>
      <c r="I36" s="1557"/>
      <c r="J36" s="1557"/>
      <c r="K36" s="1557"/>
      <c r="L36" s="1633"/>
      <c r="M36" s="1317"/>
      <c r="N36" s="1702">
        <f>M36/100000</f>
        <v>0</v>
      </c>
      <c r="O36" s="1317"/>
      <c r="P36" s="1703">
        <f>N36*O36</f>
        <v>0</v>
      </c>
      <c r="Q36" s="1318"/>
      <c r="R36" s="1529">
        <f>'Ab3. ASHA'!Q36</f>
        <v>0</v>
      </c>
      <c r="S36" s="1704">
        <f>'Ab3. ASHA'!R36</f>
        <v>0</v>
      </c>
      <c r="T36" s="1705"/>
    </row>
    <row r="37" spans="1:20" s="3730" customFormat="1" ht="51" customHeight="1">
      <c r="A37" s="3717" t="s">
        <v>4665</v>
      </c>
      <c r="B37" s="3718" t="s">
        <v>2762</v>
      </c>
      <c r="C37" s="3719" t="s">
        <v>206</v>
      </c>
      <c r="D37" s="3719" t="s">
        <v>207</v>
      </c>
      <c r="E37" s="3720" t="s">
        <v>90</v>
      </c>
      <c r="F37" s="3721" t="s">
        <v>2671</v>
      </c>
      <c r="G37" s="3722">
        <v>30000</v>
      </c>
      <c r="H37" s="3722">
        <v>0</v>
      </c>
      <c r="I37" s="3722">
        <v>22.5</v>
      </c>
      <c r="J37" s="3722">
        <v>0</v>
      </c>
      <c r="K37" s="3722">
        <v>0</v>
      </c>
      <c r="L37" s="3723" t="s">
        <v>6069</v>
      </c>
      <c r="M37" s="3724">
        <v>0.5</v>
      </c>
      <c r="N37" s="1773">
        <f>M37/100000</f>
        <v>5.0000000000000004E-6</v>
      </c>
      <c r="O37" s="3724">
        <v>6374100</v>
      </c>
      <c r="P37" s="3725">
        <f>N37*O37</f>
        <v>31.870500000000003</v>
      </c>
      <c r="Q37" s="3726" t="s">
        <v>6805</v>
      </c>
      <c r="R37" s="3727">
        <f>'Ab3. ASHA'!Q37</f>
        <v>0</v>
      </c>
      <c r="S37" s="3728">
        <f>'Ab3. ASHA'!R37</f>
        <v>0</v>
      </c>
      <c r="T37" s="3729"/>
    </row>
    <row r="38" spans="1:20">
      <c r="A38" s="4346" t="s">
        <v>4823</v>
      </c>
      <c r="B38" s="4346"/>
      <c r="C38" s="4346"/>
      <c r="D38" s="4346"/>
      <c r="E38" s="1537" t="s">
        <v>4358</v>
      </c>
      <c r="F38" s="2218"/>
      <c r="G38" s="1722"/>
      <c r="H38" s="1722"/>
      <c r="I38" s="1722"/>
      <c r="J38" s="1722"/>
      <c r="K38" s="1723"/>
      <c r="L38" s="3229"/>
      <c r="M38" s="1724"/>
      <c r="N38" s="1306"/>
      <c r="O38" s="1725"/>
      <c r="P38" s="1679">
        <f>P39+P47+P51</f>
        <v>3685.2314999999999</v>
      </c>
      <c r="Q38" s="1726"/>
      <c r="R38" s="1681"/>
      <c r="S38" s="1679">
        <f>S39+S47+S51</f>
        <v>0</v>
      </c>
    </row>
    <row r="39" spans="1:20">
      <c r="A39" s="1684" t="s">
        <v>4350</v>
      </c>
      <c r="B39" s="1684" t="s">
        <v>173</v>
      </c>
      <c r="C39" s="1685"/>
      <c r="D39" s="1686" t="s">
        <v>4824</v>
      </c>
      <c r="E39" s="1537" t="s">
        <v>4358</v>
      </c>
      <c r="F39" s="3198"/>
      <c r="G39" s="1708"/>
      <c r="H39" s="1708"/>
      <c r="I39" s="1708"/>
      <c r="J39" s="1708"/>
      <c r="K39" s="1708"/>
      <c r="L39" s="3487"/>
      <c r="M39" s="1708"/>
      <c r="N39" s="1689"/>
      <c r="O39" s="1709"/>
      <c r="P39" s="1691">
        <f>SUM(P40:P46)</f>
        <v>3504.1315</v>
      </c>
      <c r="Q39" s="1710"/>
      <c r="R39" s="1693"/>
      <c r="S39" s="1694">
        <f>SUM(S40:S46)</f>
        <v>0</v>
      </c>
    </row>
    <row r="40" spans="1:20" ht="49.5">
      <c r="A40" s="1727">
        <v>1</v>
      </c>
      <c r="B40" s="1331" t="s">
        <v>2755</v>
      </c>
      <c r="C40" s="1533" t="s">
        <v>209</v>
      </c>
      <c r="D40" s="1533" t="s">
        <v>4441</v>
      </c>
      <c r="E40" s="1537" t="s">
        <v>4358</v>
      </c>
      <c r="F40" s="1314" t="s">
        <v>4975</v>
      </c>
      <c r="G40" s="1728"/>
      <c r="H40" s="1525"/>
      <c r="I40" s="1707"/>
      <c r="J40" s="1707"/>
      <c r="K40" s="1706"/>
      <c r="L40" s="1633" t="s">
        <v>3848</v>
      </c>
      <c r="M40" s="1317">
        <v>200000</v>
      </c>
      <c r="N40" s="1702">
        <f t="shared" ref="N40:N46" si="4">M40/100000</f>
        <v>2</v>
      </c>
      <c r="O40" s="1317">
        <v>38</v>
      </c>
      <c r="P40" s="1703">
        <f t="shared" ref="P40:P46" si="5">N40*O40</f>
        <v>76</v>
      </c>
      <c r="Q40" s="1318" t="s">
        <v>6117</v>
      </c>
      <c r="R40" s="1529">
        <f>'Ab3. ASHA'!Q39</f>
        <v>0</v>
      </c>
      <c r="S40" s="1704">
        <f>'Ab3. ASHA'!R39</f>
        <v>0</v>
      </c>
    </row>
    <row r="41" spans="1:20" ht="33">
      <c r="A41" s="1727">
        <v>2</v>
      </c>
      <c r="B41" s="1331" t="s">
        <v>2756</v>
      </c>
      <c r="C41" s="1533" t="s">
        <v>210</v>
      </c>
      <c r="D41" s="1533" t="s">
        <v>211</v>
      </c>
      <c r="E41" s="1537" t="s">
        <v>4358</v>
      </c>
      <c r="F41" s="3199" t="s">
        <v>4971</v>
      </c>
      <c r="G41" s="1557"/>
      <c r="H41" s="1557"/>
      <c r="I41" s="1557"/>
      <c r="J41" s="1557"/>
      <c r="K41" s="1557"/>
      <c r="L41" s="1633"/>
      <c r="M41" s="1317"/>
      <c r="N41" s="1702">
        <f t="shared" si="4"/>
        <v>0</v>
      </c>
      <c r="O41" s="1317"/>
      <c r="P41" s="1703">
        <f t="shared" si="5"/>
        <v>0</v>
      </c>
      <c r="Q41" s="1318"/>
      <c r="R41" s="1529">
        <f>'Ab3. ASHA'!Q40</f>
        <v>0</v>
      </c>
      <c r="S41" s="1704">
        <f>'Ab3. ASHA'!R40</f>
        <v>0</v>
      </c>
    </row>
    <row r="42" spans="1:20" ht="33">
      <c r="A42" s="1727">
        <v>3</v>
      </c>
      <c r="B42" s="1331" t="s">
        <v>2757</v>
      </c>
      <c r="C42" s="1533" t="s">
        <v>212</v>
      </c>
      <c r="D42" s="1533" t="s">
        <v>213</v>
      </c>
      <c r="E42" s="1537" t="s">
        <v>4358</v>
      </c>
      <c r="F42" s="1533" t="s">
        <v>4972</v>
      </c>
      <c r="G42" s="1557"/>
      <c r="H42" s="1557"/>
      <c r="I42" s="1557"/>
      <c r="J42" s="1557"/>
      <c r="K42" s="1557"/>
      <c r="L42" s="1633"/>
      <c r="M42" s="1317"/>
      <c r="N42" s="1702">
        <f t="shared" si="4"/>
        <v>0</v>
      </c>
      <c r="O42" s="1317"/>
      <c r="P42" s="1703">
        <f t="shared" si="5"/>
        <v>0</v>
      </c>
      <c r="Q42" s="1318"/>
      <c r="R42" s="1529">
        <f>'Ab3. ASHA'!Q41</f>
        <v>0</v>
      </c>
      <c r="S42" s="1704">
        <f>'Ab3. ASHA'!R41</f>
        <v>0</v>
      </c>
    </row>
    <row r="43" spans="1:20" ht="49.5">
      <c r="A43" s="1727">
        <v>4</v>
      </c>
      <c r="B43" s="1331" t="s">
        <v>2758</v>
      </c>
      <c r="C43" s="1533" t="s">
        <v>214</v>
      </c>
      <c r="D43" s="1533" t="s">
        <v>215</v>
      </c>
      <c r="E43" s="1537" t="s">
        <v>4358</v>
      </c>
      <c r="F43" s="1533" t="s">
        <v>4972</v>
      </c>
      <c r="G43" s="1557"/>
      <c r="H43" s="1557"/>
      <c r="I43" s="1557"/>
      <c r="J43" s="1557"/>
      <c r="K43" s="1557"/>
      <c r="L43" s="1590" t="s">
        <v>6118</v>
      </c>
      <c r="M43" s="1714">
        <v>54300</v>
      </c>
      <c r="N43" s="1746">
        <f t="shared" si="4"/>
        <v>0.54300000000000004</v>
      </c>
      <c r="O43" s="1714">
        <v>1</v>
      </c>
      <c r="P43" s="1730">
        <f t="shared" si="5"/>
        <v>0.54300000000000004</v>
      </c>
      <c r="Q43" s="1553" t="s">
        <v>6120</v>
      </c>
      <c r="R43" s="1529">
        <f>'Ab3. ASHA'!Q42</f>
        <v>0</v>
      </c>
      <c r="S43" s="1704">
        <f>'Ab3. ASHA'!R42</f>
        <v>0</v>
      </c>
    </row>
    <row r="44" spans="1:20" s="2467" customFormat="1" ht="39.75" customHeight="1">
      <c r="A44" s="3095">
        <v>5</v>
      </c>
      <c r="B44" s="1453" t="s">
        <v>2759</v>
      </c>
      <c r="C44" s="1606" t="s">
        <v>216</v>
      </c>
      <c r="D44" s="1606" t="s">
        <v>217</v>
      </c>
      <c r="E44" s="1616" t="s">
        <v>4358</v>
      </c>
      <c r="F44" s="1606" t="s">
        <v>4973</v>
      </c>
      <c r="G44" s="2508"/>
      <c r="H44" s="2508"/>
      <c r="I44" s="2508"/>
      <c r="J44" s="2508"/>
      <c r="K44" s="2508"/>
      <c r="L44" s="1633" t="s">
        <v>217</v>
      </c>
      <c r="M44" s="1418">
        <v>333904800</v>
      </c>
      <c r="N44" s="2465">
        <f t="shared" si="4"/>
        <v>3339.0479999999998</v>
      </c>
      <c r="O44" s="1418">
        <v>1</v>
      </c>
      <c r="P44" s="3096">
        <f t="shared" si="5"/>
        <v>3339.0479999999998</v>
      </c>
      <c r="Q44" s="1633" t="s">
        <v>6359</v>
      </c>
      <c r="R44" s="1601">
        <f>'Ab3. ASHA'!Q43</f>
        <v>0</v>
      </c>
      <c r="S44" s="3097">
        <f>'Ab3. ASHA'!R43</f>
        <v>0</v>
      </c>
    </row>
    <row r="45" spans="1:20" ht="49.5">
      <c r="A45" s="1727">
        <v>6</v>
      </c>
      <c r="B45" s="1331" t="s">
        <v>2760</v>
      </c>
      <c r="C45" s="1533" t="s">
        <v>218</v>
      </c>
      <c r="D45" s="1533" t="s">
        <v>4083</v>
      </c>
      <c r="E45" s="1537" t="s">
        <v>4358</v>
      </c>
      <c r="F45" s="1533" t="s">
        <v>4973</v>
      </c>
      <c r="G45" s="1557"/>
      <c r="H45" s="1557"/>
      <c r="I45" s="1557"/>
      <c r="J45" s="1557"/>
      <c r="K45" s="1557"/>
      <c r="L45" s="1633"/>
      <c r="M45" s="1317"/>
      <c r="N45" s="1702">
        <f t="shared" si="4"/>
        <v>0</v>
      </c>
      <c r="O45" s="1317"/>
      <c r="P45" s="1703">
        <f t="shared" si="5"/>
        <v>0</v>
      </c>
      <c r="Q45" s="1318"/>
      <c r="R45" s="1529">
        <f>'Ab3. ASHA'!Q44</f>
        <v>0</v>
      </c>
      <c r="S45" s="1704">
        <f>'Ab3. ASHA'!R44</f>
        <v>0</v>
      </c>
    </row>
    <row r="46" spans="1:20" ht="66">
      <c r="A46" s="1727">
        <v>7</v>
      </c>
      <c r="B46" s="1530" t="s">
        <v>2761</v>
      </c>
      <c r="C46" s="1528"/>
      <c r="D46" s="1528" t="s">
        <v>4838</v>
      </c>
      <c r="E46" s="1537" t="s">
        <v>4358</v>
      </c>
      <c r="F46" s="1528" t="s">
        <v>4974</v>
      </c>
      <c r="G46" s="1713"/>
      <c r="H46" s="1713"/>
      <c r="I46" s="1713"/>
      <c r="J46" s="1713"/>
      <c r="K46" s="1713"/>
      <c r="L46" s="1590" t="s">
        <v>6119</v>
      </c>
      <c r="M46" s="1317">
        <v>402</v>
      </c>
      <c r="N46" s="1702">
        <f t="shared" si="4"/>
        <v>4.0200000000000001E-3</v>
      </c>
      <c r="O46" s="1317">
        <v>22025</v>
      </c>
      <c r="P46" s="1730">
        <f t="shared" si="5"/>
        <v>88.540500000000009</v>
      </c>
      <c r="Q46" s="1318" t="s">
        <v>6121</v>
      </c>
      <c r="R46" s="1529">
        <f>'Ab3. ASHA'!Q45</f>
        <v>0</v>
      </c>
      <c r="S46" s="1704">
        <f>'Ab3. ASHA'!R45</f>
        <v>0</v>
      </c>
    </row>
    <row r="47" spans="1:20">
      <c r="A47" s="1731" t="s">
        <v>4351</v>
      </c>
      <c r="B47" s="1731" t="s">
        <v>3301</v>
      </c>
      <c r="C47" s="1732" t="s">
        <v>219</v>
      </c>
      <c r="D47" s="1732" t="s">
        <v>4499</v>
      </c>
      <c r="E47" s="1537" t="s">
        <v>4358</v>
      </c>
      <c r="F47" s="1684"/>
      <c r="G47" s="1733"/>
      <c r="H47" s="1733"/>
      <c r="I47" s="1733"/>
      <c r="J47" s="1733"/>
      <c r="K47" s="1733"/>
      <c r="L47" s="3489"/>
      <c r="M47" s="1733"/>
      <c r="N47" s="1691"/>
      <c r="O47" s="1709"/>
      <c r="P47" s="1691">
        <f>SUM(P48:P50)</f>
        <v>124.10000000000002</v>
      </c>
      <c r="Q47" s="1734"/>
      <c r="R47" s="1735"/>
      <c r="S47" s="1735">
        <f>SUM(S48:S50)</f>
        <v>0</v>
      </c>
    </row>
    <row r="48" spans="1:20" s="3873" customFormat="1" ht="63" customHeight="1">
      <c r="A48" s="3955">
        <v>1</v>
      </c>
      <c r="B48" s="3843" t="s">
        <v>4583</v>
      </c>
      <c r="C48" s="3867" t="s">
        <v>220</v>
      </c>
      <c r="D48" s="3868" t="s">
        <v>4477</v>
      </c>
      <c r="E48" s="3861" t="s">
        <v>4358</v>
      </c>
      <c r="F48" s="3867" t="s">
        <v>2672</v>
      </c>
      <c r="G48" s="4056"/>
      <c r="H48" s="4056"/>
      <c r="I48" s="4057"/>
      <c r="J48" s="4056"/>
      <c r="K48" s="4056"/>
      <c r="L48" s="4058">
        <v>1</v>
      </c>
      <c r="M48" s="3739">
        <v>250</v>
      </c>
      <c r="N48" s="3808">
        <f>M48/100000</f>
        <v>2.5000000000000001E-3</v>
      </c>
      <c r="O48" s="3739">
        <v>17000</v>
      </c>
      <c r="P48" s="3871">
        <f>N48*O48</f>
        <v>42.5</v>
      </c>
      <c r="Q48" s="3963" t="s">
        <v>6278</v>
      </c>
      <c r="R48" s="3883">
        <f>'Ab3. ASHA'!Q47</f>
        <v>0</v>
      </c>
      <c r="S48" s="3957">
        <f>'Ab3. ASHA'!R47</f>
        <v>0</v>
      </c>
    </row>
    <row r="49" spans="1:20" s="3873" customFormat="1" ht="33">
      <c r="A49" s="3955">
        <v>2</v>
      </c>
      <c r="B49" s="3843" t="s">
        <v>4584</v>
      </c>
      <c r="C49" s="3867" t="s">
        <v>221</v>
      </c>
      <c r="D49" s="3868" t="s">
        <v>4500</v>
      </c>
      <c r="E49" s="3861" t="s">
        <v>4358</v>
      </c>
      <c r="F49" s="3867" t="s">
        <v>2672</v>
      </c>
      <c r="G49" s="4056"/>
      <c r="H49" s="4056"/>
      <c r="I49" s="4057"/>
      <c r="J49" s="4056"/>
      <c r="K49" s="4056"/>
      <c r="L49" s="4058">
        <v>1</v>
      </c>
      <c r="M49" s="3739">
        <v>400</v>
      </c>
      <c r="N49" s="3808">
        <f>M49/100000</f>
        <v>4.0000000000000001E-3</v>
      </c>
      <c r="O49" s="3739">
        <v>10200</v>
      </c>
      <c r="P49" s="3871">
        <f>N49*O49</f>
        <v>40.800000000000004</v>
      </c>
      <c r="Q49" s="3963" t="s">
        <v>6917</v>
      </c>
      <c r="R49" s="3883">
        <f>'Ab3. ASHA'!Q48</f>
        <v>0</v>
      </c>
      <c r="S49" s="3957">
        <f>'Ab3. ASHA'!R48</f>
        <v>0</v>
      </c>
      <c r="T49" s="3885"/>
    </row>
    <row r="50" spans="1:20" s="3873" customFormat="1" ht="33">
      <c r="A50" s="3955">
        <v>3</v>
      </c>
      <c r="B50" s="3843" t="s">
        <v>4585</v>
      </c>
      <c r="C50" s="3867" t="s">
        <v>222</v>
      </c>
      <c r="D50" s="3868" t="s">
        <v>5758</v>
      </c>
      <c r="E50" s="3861" t="s">
        <v>4358</v>
      </c>
      <c r="F50" s="3867" t="s">
        <v>2672</v>
      </c>
      <c r="G50" s="4056"/>
      <c r="H50" s="4056"/>
      <c r="I50" s="4057"/>
      <c r="J50" s="4056"/>
      <c r="K50" s="4056"/>
      <c r="L50" s="4058">
        <v>1</v>
      </c>
      <c r="M50" s="3739">
        <v>600</v>
      </c>
      <c r="N50" s="3808">
        <f>M50/100000</f>
        <v>6.0000000000000001E-3</v>
      </c>
      <c r="O50" s="3739">
        <v>6800</v>
      </c>
      <c r="P50" s="3871">
        <f>N50*O50</f>
        <v>40.800000000000004</v>
      </c>
      <c r="Q50" s="3963" t="s">
        <v>6918</v>
      </c>
      <c r="R50" s="3883">
        <f>'Ab3. ASHA'!Q49</f>
        <v>0</v>
      </c>
      <c r="S50" s="3957">
        <f>'Ab3. ASHA'!R49</f>
        <v>0</v>
      </c>
      <c r="T50" s="3885"/>
    </row>
    <row r="51" spans="1:20" ht="33">
      <c r="A51" s="1721" t="s">
        <v>4355</v>
      </c>
      <c r="B51" s="1721"/>
      <c r="C51" s="1721"/>
      <c r="D51" s="1533" t="s">
        <v>2459</v>
      </c>
      <c r="E51" s="1537" t="s">
        <v>4358</v>
      </c>
      <c r="F51" s="1533" t="s">
        <v>2669</v>
      </c>
      <c r="G51" s="1557"/>
      <c r="H51" s="1557"/>
      <c r="I51" s="1557"/>
      <c r="J51" s="1557"/>
      <c r="K51" s="1557"/>
      <c r="L51" s="1633">
        <v>1</v>
      </c>
      <c r="M51" s="1317">
        <v>100</v>
      </c>
      <c r="N51" s="1702">
        <f>M51/100000</f>
        <v>1E-3</v>
      </c>
      <c r="O51" s="1317">
        <v>57000</v>
      </c>
      <c r="P51" s="1703">
        <f>N51*O51</f>
        <v>57</v>
      </c>
      <c r="Q51" s="1318" t="s">
        <v>6279</v>
      </c>
      <c r="R51" s="1529">
        <f>'Ab3. ASHA'!Q50</f>
        <v>0</v>
      </c>
      <c r="S51" s="1704">
        <f>'Ab3. ASHA'!R50</f>
        <v>0</v>
      </c>
      <c r="T51" s="1705"/>
    </row>
    <row r="52" spans="1:20">
      <c r="A52" s="4346" t="s">
        <v>4823</v>
      </c>
      <c r="B52" s="4346"/>
      <c r="C52" s="4346"/>
      <c r="D52" s="4346"/>
      <c r="E52" s="1537" t="s">
        <v>4358</v>
      </c>
      <c r="F52" s="2218"/>
      <c r="G52" s="1722"/>
      <c r="H52" s="1722"/>
      <c r="I52" s="1722"/>
      <c r="J52" s="1722"/>
      <c r="K52" s="1723"/>
      <c r="L52" s="3229"/>
      <c r="M52" s="1724"/>
      <c r="N52" s="1306"/>
      <c r="O52" s="1725"/>
      <c r="P52" s="1679">
        <f>P53</f>
        <v>1555.3248000000001</v>
      </c>
      <c r="Q52" s="1726"/>
      <c r="R52" s="1681"/>
      <c r="S52" s="1681"/>
    </row>
    <row r="53" spans="1:20">
      <c r="A53" s="1684" t="s">
        <v>4350</v>
      </c>
      <c r="B53" s="1684" t="s">
        <v>175</v>
      </c>
      <c r="C53" s="1685"/>
      <c r="D53" s="1686" t="s">
        <v>3302</v>
      </c>
      <c r="E53" s="1281" t="s">
        <v>70</v>
      </c>
      <c r="F53" s="3198"/>
      <c r="G53" s="1708"/>
      <c r="H53" s="1708"/>
      <c r="I53" s="1708"/>
      <c r="J53" s="1708"/>
      <c r="K53" s="1708"/>
      <c r="L53" s="3487"/>
      <c r="M53" s="1708"/>
      <c r="N53" s="1689"/>
      <c r="O53" s="1709"/>
      <c r="P53" s="1691">
        <f>SUM(P54:P56)</f>
        <v>1555.3248000000001</v>
      </c>
      <c r="Q53" s="1710"/>
      <c r="R53" s="1693"/>
      <c r="S53" s="1694">
        <f>SUM(S54:S56)</f>
        <v>0</v>
      </c>
      <c r="T53" s="1705"/>
    </row>
    <row r="54" spans="1:20" s="1696" customFormat="1" ht="82.5">
      <c r="A54" s="1697">
        <v>1</v>
      </c>
      <c r="B54" s="1530"/>
      <c r="C54" s="1698"/>
      <c r="D54" s="1699" t="s">
        <v>4839</v>
      </c>
      <c r="E54" s="1281" t="s">
        <v>70</v>
      </c>
      <c r="F54" s="1533" t="s">
        <v>2669</v>
      </c>
      <c r="G54" s="1557">
        <v>9426212</v>
      </c>
      <c r="H54" s="1557">
        <v>1027593</v>
      </c>
      <c r="I54" s="1557">
        <v>942.62</v>
      </c>
      <c r="J54" s="1557">
        <v>4.05</v>
      </c>
      <c r="K54" s="1557">
        <v>0</v>
      </c>
      <c r="L54" s="1633" t="s">
        <v>6313</v>
      </c>
      <c r="M54" s="1317">
        <v>10</v>
      </c>
      <c r="N54" s="1702">
        <f>M54/100000</f>
        <v>1E-4</v>
      </c>
      <c r="O54" s="1317">
        <v>9426212</v>
      </c>
      <c r="P54" s="1703">
        <f>N54*O54</f>
        <v>942.62120000000004</v>
      </c>
      <c r="Q54" s="1556" t="s">
        <v>6360</v>
      </c>
      <c r="R54" s="1529">
        <f>'Ab3. ASHA'!Q52</f>
        <v>0</v>
      </c>
      <c r="S54" s="1704">
        <f>'Ab3. ASHA'!R52</f>
        <v>0</v>
      </c>
      <c r="T54" s="1695"/>
    </row>
    <row r="55" spans="1:20" s="1696" customFormat="1" ht="33">
      <c r="A55" s="1697">
        <v>2</v>
      </c>
      <c r="B55" s="1530"/>
      <c r="C55" s="1698"/>
      <c r="D55" s="1699" t="s">
        <v>4840</v>
      </c>
      <c r="E55" s="1281" t="s">
        <v>70</v>
      </c>
      <c r="F55" s="1533" t="s">
        <v>2669</v>
      </c>
      <c r="G55" s="1557">
        <v>282786</v>
      </c>
      <c r="H55" s="1557">
        <v>0</v>
      </c>
      <c r="I55" s="1557">
        <v>141.38999999999999</v>
      </c>
      <c r="J55" s="1557">
        <v>0.6</v>
      </c>
      <c r="K55" s="1557">
        <v>0</v>
      </c>
      <c r="L55" s="1633" t="s">
        <v>6314</v>
      </c>
      <c r="M55" s="1317">
        <v>50</v>
      </c>
      <c r="N55" s="1702">
        <f>M55/100000</f>
        <v>5.0000000000000001E-4</v>
      </c>
      <c r="O55" s="1317">
        <v>282786</v>
      </c>
      <c r="P55" s="1703">
        <f>N55*O55</f>
        <v>141.393</v>
      </c>
      <c r="Q55" s="1318" t="s">
        <v>6431</v>
      </c>
      <c r="R55" s="1529">
        <f>'Ab3. ASHA'!Q53</f>
        <v>0</v>
      </c>
      <c r="S55" s="1704">
        <f>'Ab3. ASHA'!R53</f>
        <v>0</v>
      </c>
      <c r="T55" s="1695"/>
    </row>
    <row r="56" spans="1:20" ht="49.5">
      <c r="A56" s="1697">
        <v>3</v>
      </c>
      <c r="B56" s="1331" t="s">
        <v>2763</v>
      </c>
      <c r="C56" s="1699"/>
      <c r="D56" s="1533" t="s">
        <v>2459</v>
      </c>
      <c r="E56" s="1281" t="s">
        <v>70</v>
      </c>
      <c r="F56" s="1533" t="s">
        <v>2669</v>
      </c>
      <c r="G56" s="1312">
        <v>9426212</v>
      </c>
      <c r="H56" s="1557">
        <v>0</v>
      </c>
      <c r="I56" s="1557">
        <v>942.62</v>
      </c>
      <c r="J56" s="1557">
        <v>0</v>
      </c>
      <c r="K56" s="1557">
        <v>0</v>
      </c>
      <c r="L56" s="3230" t="s">
        <v>6315</v>
      </c>
      <c r="M56" s="1317">
        <v>5</v>
      </c>
      <c r="N56" s="1702">
        <f>M56/100000</f>
        <v>5.0000000000000002E-5</v>
      </c>
      <c r="O56" s="1317">
        <v>9426212</v>
      </c>
      <c r="P56" s="1703">
        <f>N56*O56</f>
        <v>471.31060000000002</v>
      </c>
      <c r="Q56" s="1318" t="s">
        <v>6451</v>
      </c>
      <c r="R56" s="1529">
        <f>'Ab3. ASHA'!Q54</f>
        <v>0</v>
      </c>
      <c r="S56" s="1704">
        <f>'Ab3. ASHA'!R54</f>
        <v>0</v>
      </c>
      <c r="T56" s="1705"/>
    </row>
    <row r="57" spans="1:20" s="1696" customFormat="1">
      <c r="A57" s="4347" t="s">
        <v>2732</v>
      </c>
      <c r="B57" s="4348"/>
      <c r="C57" s="4348"/>
      <c r="D57" s="4349"/>
      <c r="E57" s="1281" t="s">
        <v>70</v>
      </c>
      <c r="F57" s="2218"/>
      <c r="G57" s="1722"/>
      <c r="H57" s="1722"/>
      <c r="I57" s="1722"/>
      <c r="J57" s="1722"/>
      <c r="K57" s="1722"/>
      <c r="L57" s="3229"/>
      <c r="M57" s="1722"/>
      <c r="N57" s="1739"/>
      <c r="O57" s="1538"/>
      <c r="P57" s="1307">
        <f>SUM(P58:P59)</f>
        <v>22073</v>
      </c>
      <c r="Q57" s="1538"/>
      <c r="R57" s="1682"/>
      <c r="S57" s="1681">
        <f>SUM(S58:S59)</f>
        <v>0</v>
      </c>
      <c r="T57" s="1695"/>
    </row>
    <row r="58" spans="1:20" ht="223.5" customHeight="1">
      <c r="A58" s="1727">
        <v>1</v>
      </c>
      <c r="B58" s="1331" t="s">
        <v>3304</v>
      </c>
      <c r="C58" s="1699" t="s">
        <v>202</v>
      </c>
      <c r="D58" s="1740" t="s">
        <v>203</v>
      </c>
      <c r="E58" s="1281" t="s">
        <v>70</v>
      </c>
      <c r="F58" s="1533" t="s">
        <v>2669</v>
      </c>
      <c r="G58" s="1706"/>
      <c r="H58" s="1525"/>
      <c r="I58" s="1707"/>
      <c r="J58" s="1707"/>
      <c r="K58" s="1706"/>
      <c r="L58" s="1590" t="s">
        <v>6069</v>
      </c>
      <c r="M58" s="1714">
        <v>24000</v>
      </c>
      <c r="N58" s="1746">
        <f>M58/100000</f>
        <v>0.24</v>
      </c>
      <c r="O58" s="1714">
        <v>90000</v>
      </c>
      <c r="P58" s="1730">
        <f>N58*O58</f>
        <v>21600</v>
      </c>
      <c r="Q58" s="1713" t="s">
        <v>6070</v>
      </c>
      <c r="R58" s="1750">
        <f>'Ab3. ASHA'!Q56</f>
        <v>0</v>
      </c>
      <c r="S58" s="1704">
        <f>'Ab3. ASHA'!R56</f>
        <v>0</v>
      </c>
      <c r="T58" s="1705"/>
    </row>
    <row r="59" spans="1:20" ht="126" customHeight="1">
      <c r="A59" s="1727">
        <v>2</v>
      </c>
      <c r="B59" s="1331" t="s">
        <v>3803</v>
      </c>
      <c r="C59" s="1533"/>
      <c r="D59" s="1533" t="s">
        <v>2459</v>
      </c>
      <c r="E59" s="1281" t="s">
        <v>70</v>
      </c>
      <c r="F59" s="1533" t="s">
        <v>2669</v>
      </c>
      <c r="G59" s="1557">
        <v>117280</v>
      </c>
      <c r="H59" s="1557"/>
      <c r="I59" s="1557">
        <v>234.56</v>
      </c>
      <c r="J59" s="1557"/>
      <c r="K59" s="1557"/>
      <c r="L59" s="1633" t="s">
        <v>6574</v>
      </c>
      <c r="M59" s="1317">
        <v>47300000</v>
      </c>
      <c r="N59" s="1702">
        <f>M59/100000</f>
        <v>473</v>
      </c>
      <c r="O59" s="1317">
        <v>1</v>
      </c>
      <c r="P59" s="1703">
        <f>N59*O59</f>
        <v>473</v>
      </c>
      <c r="Q59" s="1343" t="s">
        <v>6955</v>
      </c>
      <c r="R59" s="1529">
        <f>'Ab3. ASHA'!Q57</f>
        <v>0</v>
      </c>
      <c r="S59" s="1704">
        <f>'Ab3. ASHA'!R57</f>
        <v>0</v>
      </c>
      <c r="T59" s="1705"/>
    </row>
    <row r="60" spans="1:20">
      <c r="A60" s="4346" t="s">
        <v>742</v>
      </c>
      <c r="B60" s="4346"/>
      <c r="C60" s="4346"/>
      <c r="D60" s="4346"/>
      <c r="E60" s="1281" t="s">
        <v>70</v>
      </c>
      <c r="F60" s="2218"/>
      <c r="G60" s="1722"/>
      <c r="H60" s="1722"/>
      <c r="I60" s="1722"/>
      <c r="J60" s="1722"/>
      <c r="K60" s="1723"/>
      <c r="L60" s="3229"/>
      <c r="M60" s="1724"/>
      <c r="N60" s="1306"/>
      <c r="O60" s="1725"/>
      <c r="P60" s="1679"/>
      <c r="Q60" s="1726"/>
      <c r="R60" s="1681"/>
      <c r="S60" s="1681"/>
    </row>
    <row r="61" spans="1:20">
      <c r="A61" s="1684" t="s">
        <v>4350</v>
      </c>
      <c r="B61" s="1684" t="s">
        <v>47</v>
      </c>
      <c r="C61" s="1685" t="s">
        <v>223</v>
      </c>
      <c r="D61" s="1686" t="s">
        <v>224</v>
      </c>
      <c r="E61" s="1281" t="s">
        <v>70</v>
      </c>
      <c r="F61" s="3198" t="s">
        <v>2669</v>
      </c>
      <c r="G61" s="1708"/>
      <c r="H61" s="1708"/>
      <c r="I61" s="1708"/>
      <c r="J61" s="1708"/>
      <c r="K61" s="1708"/>
      <c r="L61" s="3487"/>
      <c r="M61" s="1708"/>
      <c r="N61" s="1689"/>
      <c r="O61" s="1709"/>
      <c r="P61" s="1691">
        <f>SUM(P62:P67)</f>
        <v>4198.4955</v>
      </c>
      <c r="Q61" s="1710"/>
      <c r="R61" s="1693"/>
      <c r="S61" s="1694">
        <f>SUM(S62:S67)</f>
        <v>0</v>
      </c>
      <c r="T61" s="1705"/>
    </row>
    <row r="62" spans="1:20" ht="49.5">
      <c r="A62" s="1741">
        <v>1</v>
      </c>
      <c r="B62" s="1522" t="s">
        <v>225</v>
      </c>
      <c r="C62" s="1528" t="s">
        <v>229</v>
      </c>
      <c r="D62" s="1742" t="s">
        <v>230</v>
      </c>
      <c r="E62" s="1281" t="s">
        <v>70</v>
      </c>
      <c r="F62" s="1528" t="s">
        <v>2669</v>
      </c>
      <c r="G62" s="1743"/>
      <c r="H62" s="1744"/>
      <c r="I62" s="1745"/>
      <c r="J62" s="1745"/>
      <c r="K62" s="1743"/>
      <c r="L62" s="1590" t="s">
        <v>6071</v>
      </c>
      <c r="M62" s="1714">
        <v>168000</v>
      </c>
      <c r="N62" s="1746">
        <f t="shared" ref="N62:N71" si="6">M62/100000</f>
        <v>1.68</v>
      </c>
      <c r="O62" s="1714">
        <v>237</v>
      </c>
      <c r="P62" s="1730">
        <f>N62*O62</f>
        <v>398.15999999999997</v>
      </c>
      <c r="Q62" s="1713" t="s">
        <v>6073</v>
      </c>
      <c r="R62" s="1529">
        <f>'Ab3. ASHA'!Q59</f>
        <v>0</v>
      </c>
      <c r="S62" s="1704">
        <f>'Ab3. ASHA'!R59</f>
        <v>0</v>
      </c>
      <c r="T62" s="1705"/>
    </row>
    <row r="63" spans="1:20" s="3873" customFormat="1" ht="115.5">
      <c r="A63" s="3915">
        <v>2</v>
      </c>
      <c r="B63" s="3826" t="s">
        <v>228</v>
      </c>
      <c r="C63" s="3867" t="s">
        <v>232</v>
      </c>
      <c r="D63" s="3868" t="s">
        <v>233</v>
      </c>
      <c r="E63" s="3813" t="s">
        <v>70</v>
      </c>
      <c r="F63" s="3867" t="s">
        <v>2669</v>
      </c>
      <c r="G63" s="3877"/>
      <c r="H63" s="3878"/>
      <c r="I63" s="3956"/>
      <c r="J63" s="3956"/>
      <c r="K63" s="3964"/>
      <c r="L63" s="3882" t="s">
        <v>6072</v>
      </c>
      <c r="M63" s="3788">
        <v>262184000</v>
      </c>
      <c r="N63" s="3808">
        <f t="shared" si="6"/>
        <v>2621.84</v>
      </c>
      <c r="O63" s="3788">
        <v>1</v>
      </c>
      <c r="P63" s="3871">
        <f>N63*O63</f>
        <v>2621.84</v>
      </c>
      <c r="Q63" s="3870" t="s">
        <v>6869</v>
      </c>
      <c r="R63" s="3883">
        <f>'Ab3. ASHA'!Q60</f>
        <v>0</v>
      </c>
      <c r="S63" s="3957">
        <f>'Ab3. ASHA'!R60</f>
        <v>0</v>
      </c>
      <c r="T63" s="3885"/>
    </row>
    <row r="64" spans="1:20">
      <c r="A64" s="1741">
        <v>3</v>
      </c>
      <c r="B64" s="1522" t="s">
        <v>234</v>
      </c>
      <c r="C64" s="1319" t="s">
        <v>237</v>
      </c>
      <c r="D64" s="1319" t="s">
        <v>238</v>
      </c>
      <c r="E64" s="1281" t="s">
        <v>70</v>
      </c>
      <c r="F64" s="1528" t="s">
        <v>2669</v>
      </c>
      <c r="G64" s="1747"/>
      <c r="H64" s="1545"/>
      <c r="I64" s="1745"/>
      <c r="J64" s="1745"/>
      <c r="K64" s="1747"/>
      <c r="L64" s="3490"/>
      <c r="M64" s="1317"/>
      <c r="N64" s="1746">
        <f t="shared" si="6"/>
        <v>0</v>
      </c>
      <c r="O64" s="1317"/>
      <c r="P64" s="1730">
        <f>N64*O64</f>
        <v>0</v>
      </c>
      <c r="Q64" s="1318"/>
      <c r="R64" s="1529">
        <f>'Ab3. ASHA'!Q61</f>
        <v>0</v>
      </c>
      <c r="S64" s="1704">
        <f>'Ab3. ASHA'!R61</f>
        <v>0</v>
      </c>
      <c r="T64" s="1705"/>
    </row>
    <row r="65" spans="1:20" ht="49.5">
      <c r="A65" s="1748">
        <v>4</v>
      </c>
      <c r="B65" s="1749" t="s">
        <v>3299</v>
      </c>
      <c r="C65" s="1319"/>
      <c r="D65" s="1750" t="s">
        <v>3319</v>
      </c>
      <c r="E65" s="1281" t="s">
        <v>70</v>
      </c>
      <c r="F65" s="1528" t="s">
        <v>2669</v>
      </c>
      <c r="G65" s="1713"/>
      <c r="H65" s="1713"/>
      <c r="I65" s="1713"/>
      <c r="J65" s="1713"/>
      <c r="K65" s="1713"/>
      <c r="L65" s="1755" t="s">
        <v>6193</v>
      </c>
      <c r="M65" s="1714">
        <v>139865</v>
      </c>
      <c r="N65" s="1746">
        <f t="shared" si="6"/>
        <v>1.3986499999999999</v>
      </c>
      <c r="O65" s="1714">
        <v>590</v>
      </c>
      <c r="P65" s="1730">
        <f>N65*O65</f>
        <v>825.20349999999996</v>
      </c>
      <c r="Q65" s="1822" t="s">
        <v>6580</v>
      </c>
      <c r="R65" s="1529">
        <f>'Ab3. ASHA'!Q62</f>
        <v>0</v>
      </c>
      <c r="S65" s="1704">
        <f>'Ab3. ASHA'!R62</f>
        <v>0</v>
      </c>
    </row>
    <row r="66" spans="1:20" ht="33">
      <c r="A66" s="1748">
        <v>5</v>
      </c>
      <c r="B66" s="1749"/>
      <c r="C66" s="1319"/>
      <c r="D66" s="1751" t="s">
        <v>4841</v>
      </c>
      <c r="E66" s="1281" t="s">
        <v>70</v>
      </c>
      <c r="F66" s="1528" t="s">
        <v>2669</v>
      </c>
      <c r="G66" s="1713"/>
      <c r="H66" s="1713"/>
      <c r="I66" s="1713"/>
      <c r="J66" s="1713"/>
      <c r="K66" s="1713"/>
      <c r="L66" s="1755"/>
      <c r="M66" s="1317"/>
      <c r="N66" s="1746">
        <f t="shared" si="6"/>
        <v>0</v>
      </c>
      <c r="O66" s="1317"/>
      <c r="P66" s="1730">
        <f>N66*O66</f>
        <v>0</v>
      </c>
      <c r="Q66" s="1318"/>
      <c r="R66" s="1529">
        <f>'Ab3. ASHA'!Q63</f>
        <v>0</v>
      </c>
      <c r="S66" s="1704">
        <f>'Ab3. ASHA'!R63</f>
        <v>0</v>
      </c>
    </row>
    <row r="67" spans="1:20" s="1696" customFormat="1" ht="33">
      <c r="A67" s="1748">
        <v>6</v>
      </c>
      <c r="B67" s="1749"/>
      <c r="C67" s="1319"/>
      <c r="D67" s="1752" t="s">
        <v>4842</v>
      </c>
      <c r="E67" s="1281" t="s">
        <v>70</v>
      </c>
      <c r="F67" s="1528" t="s">
        <v>2669</v>
      </c>
      <c r="G67" s="1713"/>
      <c r="H67" s="1713"/>
      <c r="I67" s="1713"/>
      <c r="J67" s="1713"/>
      <c r="K67" s="1713"/>
      <c r="L67" s="1755"/>
      <c r="M67" s="1317"/>
      <c r="N67" s="1746">
        <f t="shared" si="6"/>
        <v>0</v>
      </c>
      <c r="O67" s="1317"/>
      <c r="P67" s="1753">
        <f>SUM(P68:P71)</f>
        <v>353.29200000000003</v>
      </c>
      <c r="Q67" s="1318"/>
      <c r="R67" s="1529"/>
      <c r="S67" s="1753">
        <f>SUM(S68:S71)</f>
        <v>0</v>
      </c>
    </row>
    <row r="68" spans="1:20" ht="33">
      <c r="A68" s="1748">
        <v>7</v>
      </c>
      <c r="B68" s="1522" t="s">
        <v>231</v>
      </c>
      <c r="C68" s="1528" t="s">
        <v>235</v>
      </c>
      <c r="D68" s="1751" t="s">
        <v>4843</v>
      </c>
      <c r="E68" s="1281" t="s">
        <v>70</v>
      </c>
      <c r="F68" s="1528" t="s">
        <v>2669</v>
      </c>
      <c r="G68" s="1743"/>
      <c r="H68" s="1545"/>
      <c r="I68" s="1713"/>
      <c r="J68" s="1713"/>
      <c r="K68" s="1713"/>
      <c r="L68" s="1590"/>
      <c r="M68" s="1317"/>
      <c r="N68" s="1746">
        <f t="shared" si="6"/>
        <v>0</v>
      </c>
      <c r="O68" s="1317"/>
      <c r="P68" s="1730">
        <f>N68*O68</f>
        <v>0</v>
      </c>
      <c r="Q68" s="1318"/>
      <c r="R68" s="1529">
        <f>'Ab3. ASHA'!Q65</f>
        <v>0</v>
      </c>
      <c r="S68" s="1704">
        <f>'Ab3. ASHA'!R65</f>
        <v>0</v>
      </c>
    </row>
    <row r="69" spans="1:20" s="1759" customFormat="1" ht="132">
      <c r="A69" s="1754">
        <v>8</v>
      </c>
      <c r="B69" s="1587" t="s">
        <v>236</v>
      </c>
      <c r="C69" s="1419" t="s">
        <v>226</v>
      </c>
      <c r="D69" s="1419" t="s">
        <v>227</v>
      </c>
      <c r="E69" s="1457" t="s">
        <v>70</v>
      </c>
      <c r="F69" s="1600" t="s">
        <v>2669</v>
      </c>
      <c r="G69" s="1755">
        <v>2136</v>
      </c>
      <c r="H69" s="1755">
        <v>94</v>
      </c>
      <c r="I69" s="1755">
        <v>106.8</v>
      </c>
      <c r="J69" s="1755">
        <v>4.71</v>
      </c>
      <c r="K69" s="1755"/>
      <c r="L69" s="1755" t="s">
        <v>5980</v>
      </c>
      <c r="M69" s="1755">
        <v>5000</v>
      </c>
      <c r="N69" s="1756">
        <f t="shared" si="6"/>
        <v>0.05</v>
      </c>
      <c r="O69" s="1755">
        <v>2136</v>
      </c>
      <c r="P69" s="1448">
        <f>N69*O69</f>
        <v>106.80000000000001</v>
      </c>
      <c r="Q69" s="1823" t="s">
        <v>6432</v>
      </c>
      <c r="R69" s="1406">
        <f>'Ab3. ASHA'!Q66</f>
        <v>0</v>
      </c>
      <c r="S69" s="1757">
        <f>'Ab3. ASHA'!R66</f>
        <v>0</v>
      </c>
      <c r="T69" s="1758"/>
    </row>
    <row r="70" spans="1:20" ht="33">
      <c r="A70" s="1748">
        <v>9</v>
      </c>
      <c r="B70" s="1522" t="s">
        <v>2526</v>
      </c>
      <c r="C70" s="1319" t="s">
        <v>1005</v>
      </c>
      <c r="D70" s="1319" t="s">
        <v>1006</v>
      </c>
      <c r="E70" s="1281" t="s">
        <v>70</v>
      </c>
      <c r="F70" s="1528" t="s">
        <v>2669</v>
      </c>
      <c r="G70" s="1713"/>
      <c r="H70" s="1713"/>
      <c r="I70" s="1713"/>
      <c r="J70" s="1713"/>
      <c r="K70" s="1713"/>
      <c r="L70" s="1755"/>
      <c r="M70" s="1317"/>
      <c r="N70" s="1746">
        <f t="shared" si="6"/>
        <v>0</v>
      </c>
      <c r="O70" s="1317"/>
      <c r="P70" s="1730">
        <f>N70*O70</f>
        <v>0</v>
      </c>
      <c r="Q70" s="1318"/>
      <c r="R70" s="1529">
        <f>'Ab3. ASHA'!Q67</f>
        <v>0</v>
      </c>
      <c r="S70" s="1704">
        <f>'Ab3. ASHA'!R67</f>
        <v>0</v>
      </c>
    </row>
    <row r="71" spans="1:20" ht="89.25" customHeight="1">
      <c r="A71" s="1748">
        <v>10</v>
      </c>
      <c r="B71" s="1749" t="s">
        <v>3799</v>
      </c>
      <c r="C71" s="1319"/>
      <c r="D71" s="1750" t="s">
        <v>4369</v>
      </c>
      <c r="E71" s="1281" t="s">
        <v>70</v>
      </c>
      <c r="F71" s="1528" t="s">
        <v>2669</v>
      </c>
      <c r="G71" s="1713"/>
      <c r="H71" s="1713"/>
      <c r="I71" s="1713"/>
      <c r="J71" s="1713"/>
      <c r="K71" s="1713"/>
      <c r="L71" s="1755" t="s">
        <v>6193</v>
      </c>
      <c r="M71" s="1714">
        <v>33400</v>
      </c>
      <c r="N71" s="1746">
        <f t="shared" si="6"/>
        <v>0.33400000000000002</v>
      </c>
      <c r="O71" s="1714">
        <v>738</v>
      </c>
      <c r="P71" s="1730">
        <f>N71*O71</f>
        <v>246.49200000000002</v>
      </c>
      <c r="Q71" s="1553" t="s">
        <v>6194</v>
      </c>
      <c r="R71" s="1529">
        <f>'Ab3. ASHA'!Q68</f>
        <v>0</v>
      </c>
      <c r="S71" s="1704">
        <f>'Ab3. ASHA'!R68</f>
        <v>0</v>
      </c>
      <c r="T71" s="1705"/>
    </row>
    <row r="72" spans="1:20">
      <c r="A72" s="1761" t="s">
        <v>4351</v>
      </c>
      <c r="B72" s="1761"/>
      <c r="C72" s="1762"/>
      <c r="D72" s="1762" t="s">
        <v>1138</v>
      </c>
      <c r="E72" s="1281" t="s">
        <v>70</v>
      </c>
      <c r="F72" s="3198" t="s">
        <v>2669</v>
      </c>
      <c r="G72" s="1708"/>
      <c r="H72" s="1708"/>
      <c r="I72" s="1708"/>
      <c r="J72" s="1708"/>
      <c r="K72" s="1708"/>
      <c r="L72" s="3491"/>
      <c r="M72" s="1763"/>
      <c r="N72" s="1764"/>
      <c r="O72" s="1763"/>
      <c r="P72" s="1691">
        <f>SUM(P73:P74)</f>
        <v>65.52</v>
      </c>
      <c r="Q72" s="1710"/>
      <c r="R72" s="1693"/>
      <c r="S72" s="1694">
        <f>SUM(S73:S74)</f>
        <v>0</v>
      </c>
      <c r="T72" s="1705"/>
    </row>
    <row r="73" spans="1:20" ht="49.5">
      <c r="A73" s="1741">
        <v>1</v>
      </c>
      <c r="B73" s="1765" t="s">
        <v>2558</v>
      </c>
      <c r="C73" s="1330" t="s">
        <v>1137</v>
      </c>
      <c r="D73" s="1319" t="s">
        <v>1138</v>
      </c>
      <c r="E73" s="1281" t="s">
        <v>70</v>
      </c>
      <c r="F73" s="1528" t="s">
        <v>2669</v>
      </c>
      <c r="G73" s="1766"/>
      <c r="H73" s="1767"/>
      <c r="I73" s="1768"/>
      <c r="J73" s="1768"/>
      <c r="K73" s="1766"/>
      <c r="L73" s="1959" t="s">
        <v>6071</v>
      </c>
      <c r="M73" s="1714">
        <v>42000</v>
      </c>
      <c r="N73" s="1746">
        <f>M73/100000</f>
        <v>0.42</v>
      </c>
      <c r="O73" s="1714">
        <v>156</v>
      </c>
      <c r="P73" s="1730">
        <f>N73*O73</f>
        <v>65.52</v>
      </c>
      <c r="Q73" s="1713" t="s">
        <v>6586</v>
      </c>
      <c r="R73" s="1529">
        <f>'Ab3. ASHA'!Q70</f>
        <v>0</v>
      </c>
      <c r="S73" s="1704">
        <f>'Ab3. ASHA'!R70</f>
        <v>0</v>
      </c>
    </row>
    <row r="74" spans="1:20">
      <c r="A74" s="1741">
        <v>2</v>
      </c>
      <c r="B74" s="1522"/>
      <c r="C74" s="1319"/>
      <c r="D74" s="1319" t="s">
        <v>4844</v>
      </c>
      <c r="E74" s="1281" t="s">
        <v>70</v>
      </c>
      <c r="F74" s="1528" t="s">
        <v>2669</v>
      </c>
      <c r="G74" s="1766"/>
      <c r="H74" s="1767"/>
      <c r="I74" s="1768"/>
      <c r="J74" s="1768"/>
      <c r="K74" s="1766"/>
      <c r="L74" s="3492"/>
      <c r="M74" s="1714"/>
      <c r="N74" s="1746">
        <f>M74/100000</f>
        <v>0</v>
      </c>
      <c r="O74" s="1714"/>
      <c r="P74" s="1730">
        <f>N74*O74</f>
        <v>0</v>
      </c>
      <c r="Q74" s="3202"/>
      <c r="R74" s="1529">
        <f>'Ab3. ASHA'!Q71</f>
        <v>0</v>
      </c>
      <c r="S74" s="1704">
        <f>'Ab3. ASHA'!R71</f>
        <v>0</v>
      </c>
    </row>
    <row r="75" spans="1:20" s="3873" customFormat="1" ht="82.5">
      <c r="A75" s="3959" t="s">
        <v>4355</v>
      </c>
      <c r="B75" s="3959" t="s">
        <v>4368</v>
      </c>
      <c r="C75" s="3960"/>
      <c r="D75" s="3960" t="s">
        <v>1310</v>
      </c>
      <c r="E75" s="3813" t="s">
        <v>70</v>
      </c>
      <c r="F75" s="3867" t="s">
        <v>2669</v>
      </c>
      <c r="G75" s="3877"/>
      <c r="H75" s="3878"/>
      <c r="I75" s="3961"/>
      <c r="J75" s="3961"/>
      <c r="K75" s="3877"/>
      <c r="L75" s="2912" t="s">
        <v>6069</v>
      </c>
      <c r="M75" s="2912">
        <v>26236800</v>
      </c>
      <c r="N75" s="3808">
        <f>M75/100000</f>
        <v>262.36799999999999</v>
      </c>
      <c r="O75" s="3739">
        <v>1</v>
      </c>
      <c r="P75" s="3962">
        <f>N75*O75</f>
        <v>262.36799999999999</v>
      </c>
      <c r="Q75" s="3963" t="s">
        <v>6867</v>
      </c>
      <c r="R75" s="3883">
        <f>'Ab3. ASHA'!Q72</f>
        <v>0</v>
      </c>
      <c r="S75" s="3957">
        <f>'Ab3. ASHA'!R72</f>
        <v>0</v>
      </c>
      <c r="T75" s="3885"/>
    </row>
    <row r="76" spans="1:20">
      <c r="A76" s="4346" t="s">
        <v>4836</v>
      </c>
      <c r="B76" s="4346"/>
      <c r="C76" s="4346"/>
      <c r="D76" s="4346"/>
      <c r="E76" s="1281" t="s">
        <v>70</v>
      </c>
      <c r="F76" s="2218"/>
      <c r="G76" s="1722"/>
      <c r="H76" s="1722"/>
      <c r="I76" s="1722"/>
      <c r="J76" s="1722"/>
      <c r="K76" s="1723"/>
      <c r="L76" s="3229"/>
      <c r="M76" s="1724"/>
      <c r="N76" s="1306"/>
      <c r="O76" s="1725"/>
      <c r="P76" s="1679"/>
      <c r="Q76" s="1726"/>
      <c r="R76" s="1681"/>
      <c r="S76" s="1681"/>
    </row>
    <row r="77" spans="1:20">
      <c r="A77" s="1519" t="s">
        <v>4350</v>
      </c>
      <c r="B77" s="1519" t="s">
        <v>48</v>
      </c>
      <c r="C77" s="1769"/>
      <c r="D77" s="1770" t="s">
        <v>4845</v>
      </c>
      <c r="E77" s="1281" t="s">
        <v>70</v>
      </c>
      <c r="F77" s="2218"/>
      <c r="G77" s="1722"/>
      <c r="H77" s="1722"/>
      <c r="I77" s="1722"/>
      <c r="J77" s="1722"/>
      <c r="K77" s="1722"/>
      <c r="L77" s="3229"/>
      <c r="M77" s="1722"/>
      <c r="N77" s="1739"/>
      <c r="O77" s="1538"/>
      <c r="P77" s="1307">
        <f>SUM(P78:P83)</f>
        <v>5308.1760400000003</v>
      </c>
      <c r="Q77" s="1771"/>
      <c r="R77" s="1682"/>
      <c r="S77" s="1681">
        <f>SUM(S78:S83)</f>
        <v>0</v>
      </c>
      <c r="T77" s="1705"/>
    </row>
    <row r="78" spans="1:20" s="3920" customFormat="1" ht="66">
      <c r="A78" s="3843">
        <v>1</v>
      </c>
      <c r="B78" s="3843" t="s">
        <v>242</v>
      </c>
      <c r="C78" s="3781" t="s">
        <v>243</v>
      </c>
      <c r="D78" s="3781" t="s">
        <v>4846</v>
      </c>
      <c r="E78" s="3813" t="s">
        <v>70</v>
      </c>
      <c r="F78" s="3867" t="s">
        <v>2669</v>
      </c>
      <c r="G78" s="3877"/>
      <c r="H78" s="3878"/>
      <c r="I78" s="3956"/>
      <c r="J78" s="3956"/>
      <c r="K78" s="3877"/>
      <c r="L78" s="3882" t="s">
        <v>6074</v>
      </c>
      <c r="M78" s="3788">
        <v>112406300</v>
      </c>
      <c r="N78" s="3871">
        <f>M78/100000</f>
        <v>1124.0630000000001</v>
      </c>
      <c r="O78" s="3788">
        <v>1</v>
      </c>
      <c r="P78" s="3871">
        <f>N78*O78</f>
        <v>1124.0630000000001</v>
      </c>
      <c r="Q78" s="3870" t="s">
        <v>6868</v>
      </c>
      <c r="R78" s="3883">
        <f>'Ab3. ASHA'!Q74</f>
        <v>0</v>
      </c>
      <c r="S78" s="3957">
        <f>'Ab3. ASHA'!R74</f>
        <v>0</v>
      </c>
      <c r="T78" s="3885"/>
    </row>
    <row r="79" spans="1:20" ht="33">
      <c r="A79" s="1533">
        <v>2</v>
      </c>
      <c r="B79" s="1533"/>
      <c r="C79" s="1742"/>
      <c r="D79" s="1751" t="s">
        <v>4847</v>
      </c>
      <c r="E79" s="1281" t="s">
        <v>70</v>
      </c>
      <c r="F79" s="1533" t="s">
        <v>2669</v>
      </c>
      <c r="G79" s="1557"/>
      <c r="H79" s="1557"/>
      <c r="I79" s="1557"/>
      <c r="J79" s="1557"/>
      <c r="K79" s="1557"/>
      <c r="L79" s="1590" t="s">
        <v>6398</v>
      </c>
      <c r="M79" s="3179">
        <v>50</v>
      </c>
      <c r="N79" s="1730">
        <f t="shared" ref="N79:N84" si="7">M79/100000</f>
        <v>5.0000000000000001E-4</v>
      </c>
      <c r="O79" s="3179">
        <v>7000</v>
      </c>
      <c r="P79" s="1730">
        <f t="shared" ref="P79:P84" si="8">N79*O79</f>
        <v>3.5</v>
      </c>
      <c r="Q79" s="3203" t="s">
        <v>6399</v>
      </c>
      <c r="R79" s="1529">
        <f>'Ab3. ASHA'!Q75</f>
        <v>0</v>
      </c>
      <c r="S79" s="1704">
        <f>'Ab3. ASHA'!R75</f>
        <v>0</v>
      </c>
    </row>
    <row r="80" spans="1:20" s="1540" customFormat="1" ht="33">
      <c r="A80" s="1331">
        <v>3</v>
      </c>
      <c r="B80" s="1331" t="s">
        <v>244</v>
      </c>
      <c r="C80" s="1699" t="s">
        <v>245</v>
      </c>
      <c r="D80" s="1699" t="s">
        <v>4848</v>
      </c>
      <c r="E80" s="1281" t="s">
        <v>70</v>
      </c>
      <c r="F80" s="1533" t="s">
        <v>2669</v>
      </c>
      <c r="G80" s="1706"/>
      <c r="H80" s="1525"/>
      <c r="I80" s="1707"/>
      <c r="J80" s="1707"/>
      <c r="K80" s="1706"/>
      <c r="L80" s="1590" t="s">
        <v>6075</v>
      </c>
      <c r="M80" s="3179">
        <v>3500</v>
      </c>
      <c r="N80" s="1730">
        <f t="shared" si="7"/>
        <v>3.5000000000000003E-2</v>
      </c>
      <c r="O80" s="3179">
        <v>534</v>
      </c>
      <c r="P80" s="1730">
        <f t="shared" si="8"/>
        <v>18.690000000000001</v>
      </c>
      <c r="Q80" s="1351" t="s">
        <v>6400</v>
      </c>
      <c r="R80" s="1529">
        <f>'Ab3. ASHA'!Q76</f>
        <v>0</v>
      </c>
      <c r="S80" s="1704">
        <f>'Ab3. ASHA'!R76</f>
        <v>0</v>
      </c>
      <c r="T80" s="1772"/>
    </row>
    <row r="81" spans="1:20" s="1540" customFormat="1">
      <c r="A81" s="1331">
        <v>4</v>
      </c>
      <c r="B81" s="1331"/>
      <c r="C81" s="1699"/>
      <c r="D81" s="1699" t="s">
        <v>4849</v>
      </c>
      <c r="E81" s="1281" t="s">
        <v>70</v>
      </c>
      <c r="F81" s="1533" t="s">
        <v>2669</v>
      </c>
      <c r="G81" s="1706"/>
      <c r="H81" s="1525"/>
      <c r="I81" s="1707"/>
      <c r="J81" s="1707"/>
      <c r="K81" s="1706"/>
      <c r="L81" s="1590"/>
      <c r="M81" s="3179"/>
      <c r="N81" s="1730">
        <f t="shared" si="7"/>
        <v>0</v>
      </c>
      <c r="O81" s="3179"/>
      <c r="P81" s="1730">
        <f t="shared" si="8"/>
        <v>0</v>
      </c>
      <c r="Q81" s="2127"/>
      <c r="R81" s="1529">
        <f>'Ab3. ASHA'!Q77</f>
        <v>0</v>
      </c>
      <c r="S81" s="1704">
        <f>'Ab3. ASHA'!R77</f>
        <v>0</v>
      </c>
      <c r="T81" s="1772"/>
    </row>
    <row r="82" spans="1:20" s="1540" customFormat="1" ht="132">
      <c r="A82" s="1331">
        <v>5</v>
      </c>
      <c r="B82" s="1331"/>
      <c r="C82" s="1699"/>
      <c r="D82" s="1699" t="s">
        <v>4850</v>
      </c>
      <c r="E82" s="1281" t="s">
        <v>70</v>
      </c>
      <c r="F82" s="1533" t="s">
        <v>2669</v>
      </c>
      <c r="G82" s="1706"/>
      <c r="H82" s="1525"/>
      <c r="I82" s="1707"/>
      <c r="J82" s="1707"/>
      <c r="K82" s="1706"/>
      <c r="L82" s="1590" t="s">
        <v>6401</v>
      </c>
      <c r="M82" s="3179">
        <v>78872304</v>
      </c>
      <c r="N82" s="1730">
        <f t="shared" si="7"/>
        <v>788.72303999999997</v>
      </c>
      <c r="O82" s="3179">
        <v>1</v>
      </c>
      <c r="P82" s="1730">
        <f t="shared" si="8"/>
        <v>788.72303999999997</v>
      </c>
      <c r="Q82" s="2127" t="s">
        <v>6402</v>
      </c>
      <c r="R82" s="1529">
        <f>'Ab3. ASHA'!Q78</f>
        <v>0</v>
      </c>
      <c r="S82" s="1704">
        <f>'Ab3. ASHA'!R78</f>
        <v>0</v>
      </c>
      <c r="T82" s="1772"/>
    </row>
    <row r="83" spans="1:20" ht="33">
      <c r="A83" s="1331">
        <v>6</v>
      </c>
      <c r="B83" s="1331" t="s">
        <v>239</v>
      </c>
      <c r="C83" s="1699" t="s">
        <v>240</v>
      </c>
      <c r="D83" s="1699" t="s">
        <v>241</v>
      </c>
      <c r="E83" s="1281" t="s">
        <v>70</v>
      </c>
      <c r="F83" s="1533" t="s">
        <v>2669</v>
      </c>
      <c r="G83" s="1706"/>
      <c r="H83" s="1525"/>
      <c r="I83" s="1707"/>
      <c r="J83" s="1707"/>
      <c r="K83" s="1706"/>
      <c r="L83" s="1590" t="s">
        <v>6076</v>
      </c>
      <c r="M83" s="3179">
        <v>72000</v>
      </c>
      <c r="N83" s="1730">
        <f t="shared" si="7"/>
        <v>0.72</v>
      </c>
      <c r="O83" s="3179">
        <v>4685</v>
      </c>
      <c r="P83" s="1730">
        <f t="shared" si="8"/>
        <v>3373.2</v>
      </c>
      <c r="Q83" s="1713" t="s">
        <v>6078</v>
      </c>
      <c r="R83" s="1529">
        <f>'Ab3. ASHA'!Q79</f>
        <v>0</v>
      </c>
      <c r="S83" s="1704">
        <f>'Ab3. ASHA'!R79</f>
        <v>0</v>
      </c>
      <c r="T83" s="1705"/>
    </row>
    <row r="84" spans="1:20" ht="49.5">
      <c r="A84" s="1331" t="s">
        <v>4351</v>
      </c>
      <c r="B84" s="1530" t="s">
        <v>242</v>
      </c>
      <c r="C84" s="1699" t="s">
        <v>4851</v>
      </c>
      <c r="D84" s="1699" t="s">
        <v>367</v>
      </c>
      <c r="E84" s="1281" t="s">
        <v>70</v>
      </c>
      <c r="F84" s="1528" t="s">
        <v>2669</v>
      </c>
      <c r="G84" s="1706"/>
      <c r="H84" s="1525"/>
      <c r="I84" s="1707"/>
      <c r="J84" s="1707"/>
      <c r="K84" s="1706"/>
      <c r="L84" s="1590"/>
      <c r="M84" s="3179"/>
      <c r="N84" s="1730">
        <f t="shared" si="7"/>
        <v>0</v>
      </c>
      <c r="O84" s="3179"/>
      <c r="P84" s="1730">
        <f t="shared" si="8"/>
        <v>0</v>
      </c>
      <c r="Q84" s="1959"/>
      <c r="R84" s="1529">
        <f>'Ab3. ASHA'!Q80</f>
        <v>0</v>
      </c>
      <c r="S84" s="1704">
        <f>'Ab3. ASHA'!R80</f>
        <v>0</v>
      </c>
      <c r="T84" s="1705"/>
    </row>
    <row r="85" spans="1:20" s="1784" customFormat="1" ht="115.5">
      <c r="A85" s="1530" t="s">
        <v>4354</v>
      </c>
      <c r="B85" s="1530" t="s">
        <v>2559</v>
      </c>
      <c r="C85" s="1698"/>
      <c r="D85" s="1698" t="s">
        <v>1310</v>
      </c>
      <c r="E85" s="1340" t="s">
        <v>70</v>
      </c>
      <c r="F85" s="1528" t="s">
        <v>2669</v>
      </c>
      <c r="G85" s="1743"/>
      <c r="H85" s="1545"/>
      <c r="I85" s="1745"/>
      <c r="J85" s="1745"/>
      <c r="K85" s="3204"/>
      <c r="L85" s="1590">
        <v>1140</v>
      </c>
      <c r="M85" s="1713">
        <v>672000</v>
      </c>
      <c r="N85" s="1746">
        <f>M85/100000</f>
        <v>6.72</v>
      </c>
      <c r="O85" s="1714">
        <v>12</v>
      </c>
      <c r="P85" s="1753">
        <f>N85*O85</f>
        <v>80.64</v>
      </c>
      <c r="Q85" s="1553" t="s">
        <v>6403</v>
      </c>
      <c r="R85" s="1750">
        <f>'Ab3. ASHA'!Q81</f>
        <v>0</v>
      </c>
      <c r="S85" s="3205">
        <f>'Ab3. ASHA'!R81</f>
        <v>0</v>
      </c>
      <c r="T85" s="1783"/>
    </row>
    <row r="86" spans="1:20" s="1716" customFormat="1">
      <c r="A86" s="1296"/>
      <c r="B86" s="1296">
        <v>3.2</v>
      </c>
      <c r="C86" s="1774"/>
      <c r="D86" s="1670" t="s">
        <v>12</v>
      </c>
      <c r="E86" s="1297"/>
      <c r="F86" s="1296"/>
      <c r="G86" s="1775"/>
      <c r="H86" s="1775"/>
      <c r="I86" s="1775"/>
      <c r="J86" s="1775"/>
      <c r="K86" s="1775"/>
      <c r="L86" s="3493"/>
      <c r="M86" s="1775"/>
      <c r="N86" s="1776"/>
      <c r="O86" s="1531"/>
      <c r="P86" s="1776">
        <f>SUM(P89:P91)+P119+P93</f>
        <v>5286.9630402000003</v>
      </c>
      <c r="Q86" s="1532"/>
      <c r="R86" s="1518"/>
      <c r="S86" s="1777">
        <f>SUM(S89:S91)+S119+S93</f>
        <v>0</v>
      </c>
      <c r="T86" s="1778"/>
    </row>
    <row r="87" spans="1:20" s="1784" customFormat="1">
      <c r="A87" s="4345" t="s">
        <v>4858</v>
      </c>
      <c r="B87" s="4345"/>
      <c r="C87" s="4345"/>
      <c r="D87" s="4345"/>
      <c r="E87" s="1534" t="s">
        <v>90</v>
      </c>
      <c r="F87" s="3194"/>
      <c r="G87" s="1780"/>
      <c r="H87" s="1780"/>
      <c r="I87" s="1780"/>
      <c r="J87" s="1780"/>
      <c r="K87" s="1780"/>
      <c r="L87" s="3494"/>
      <c r="M87" s="1780"/>
      <c r="N87" s="1691"/>
      <c r="O87" s="1781"/>
      <c r="P87" s="1691"/>
      <c r="Q87" s="1782"/>
      <c r="R87" s="1735"/>
      <c r="S87" s="1694"/>
      <c r="T87" s="1783"/>
    </row>
    <row r="88" spans="1:20" s="1784" customFormat="1" ht="33">
      <c r="A88" s="1731" t="s">
        <v>4350</v>
      </c>
      <c r="B88" s="1731"/>
      <c r="C88" s="1685"/>
      <c r="D88" s="1686" t="s">
        <v>4857</v>
      </c>
      <c r="E88" s="1534" t="s">
        <v>90</v>
      </c>
      <c r="F88" s="3194"/>
      <c r="G88" s="1780"/>
      <c r="H88" s="1780"/>
      <c r="I88" s="1780"/>
      <c r="J88" s="1780"/>
      <c r="K88" s="1780"/>
      <c r="L88" s="3494"/>
      <c r="M88" s="1780"/>
      <c r="N88" s="1691"/>
      <c r="O88" s="1781"/>
      <c r="P88" s="1691">
        <f>P89</f>
        <v>1741.9600002000002</v>
      </c>
      <c r="Q88" s="1782"/>
      <c r="R88" s="1735"/>
      <c r="S88" s="1694">
        <f>S89</f>
        <v>0</v>
      </c>
      <c r="T88" s="1783"/>
    </row>
    <row r="89" spans="1:20" s="1716" customFormat="1" ht="115.5">
      <c r="A89" s="1530">
        <v>1</v>
      </c>
      <c r="B89" s="1530" t="s">
        <v>249</v>
      </c>
      <c r="C89" s="1699" t="s">
        <v>250</v>
      </c>
      <c r="D89" s="1699" t="s">
        <v>2485</v>
      </c>
      <c r="E89" s="1534" t="s">
        <v>90</v>
      </c>
      <c r="F89" s="1533" t="s">
        <v>91</v>
      </c>
      <c r="G89" s="1785">
        <v>4</v>
      </c>
      <c r="H89" s="1785">
        <v>2</v>
      </c>
      <c r="I89" s="1785">
        <v>1024.47</v>
      </c>
      <c r="J89" s="1785">
        <v>7.46</v>
      </c>
      <c r="K89" s="1785"/>
      <c r="L89" s="1590" t="s">
        <v>6564</v>
      </c>
      <c r="M89" s="1714">
        <v>58065333.340000004</v>
      </c>
      <c r="N89" s="1746">
        <f>M89/100000</f>
        <v>580.65333340000007</v>
      </c>
      <c r="O89" s="1714">
        <v>3</v>
      </c>
      <c r="P89" s="1730">
        <f>N89*O89</f>
        <v>1741.9600002000002</v>
      </c>
      <c r="Q89" s="1349" t="s">
        <v>6763</v>
      </c>
      <c r="R89" s="1529">
        <f>'Ab1. RMNCH+A'!Q223</f>
        <v>0</v>
      </c>
      <c r="S89" s="1704">
        <f>'Ab1. RMNCH+A'!R223</f>
        <v>0</v>
      </c>
      <c r="T89" s="1778"/>
    </row>
    <row r="90" spans="1:20" s="1716" customFormat="1" ht="33">
      <c r="A90" s="1786" t="s">
        <v>4351</v>
      </c>
      <c r="B90" s="1786"/>
      <c r="C90" s="1685"/>
      <c r="D90" s="1686" t="s">
        <v>4852</v>
      </c>
      <c r="E90" s="1534" t="s">
        <v>90</v>
      </c>
      <c r="F90" s="3198"/>
      <c r="G90" s="1787"/>
      <c r="H90" s="1787"/>
      <c r="I90" s="1787"/>
      <c r="J90" s="1787"/>
      <c r="K90" s="1787"/>
      <c r="L90" s="3495"/>
      <c r="M90" s="1763"/>
      <c r="N90" s="1764"/>
      <c r="O90" s="1763"/>
      <c r="P90" s="1691">
        <f>P91</f>
        <v>62.64</v>
      </c>
      <c r="Q90" s="1710"/>
      <c r="R90" s="1693"/>
      <c r="S90" s="1694">
        <f>S91</f>
        <v>0</v>
      </c>
      <c r="T90" s="1778"/>
    </row>
    <row r="91" spans="1:20" s="1507" customFormat="1" ht="33">
      <c r="A91" s="1530">
        <v>1</v>
      </c>
      <c r="B91" s="1530" t="s">
        <v>251</v>
      </c>
      <c r="C91" s="1699" t="s">
        <v>252</v>
      </c>
      <c r="D91" s="1699" t="s">
        <v>253</v>
      </c>
      <c r="E91" s="1534" t="s">
        <v>90</v>
      </c>
      <c r="F91" s="1533" t="s">
        <v>193</v>
      </c>
      <c r="G91" s="1706"/>
      <c r="H91" s="1525"/>
      <c r="I91" s="1707"/>
      <c r="J91" s="1707"/>
      <c r="K91" s="1788"/>
      <c r="L91" s="1633" t="s">
        <v>5842</v>
      </c>
      <c r="M91" s="1317">
        <v>50</v>
      </c>
      <c r="N91" s="1702">
        <f>M91/100000</f>
        <v>5.0000000000000001E-4</v>
      </c>
      <c r="O91" s="1317">
        <v>125280</v>
      </c>
      <c r="P91" s="1703">
        <f>N91*O91</f>
        <v>62.64</v>
      </c>
      <c r="Q91" s="1318" t="s">
        <v>5843</v>
      </c>
      <c r="R91" s="1529">
        <f>'Ab1. RMNCH+A'!Q301</f>
        <v>0</v>
      </c>
      <c r="S91" s="1704">
        <f>'Ab1. RMNCH+A'!R301</f>
        <v>0</v>
      </c>
      <c r="T91" s="1778"/>
    </row>
    <row r="92" spans="1:20" s="1784" customFormat="1">
      <c r="A92" s="4345" t="s">
        <v>4859</v>
      </c>
      <c r="B92" s="4345"/>
      <c r="C92" s="4345"/>
      <c r="D92" s="4345"/>
      <c r="E92" s="1534" t="s">
        <v>90</v>
      </c>
      <c r="F92" s="3194"/>
      <c r="G92" s="1780"/>
      <c r="H92" s="1780"/>
      <c r="I92" s="1780"/>
      <c r="J92" s="1780"/>
      <c r="K92" s="1780"/>
      <c r="L92" s="3494"/>
      <c r="M92" s="1780"/>
      <c r="N92" s="1691"/>
      <c r="O92" s="1781"/>
      <c r="P92" s="1691"/>
      <c r="Q92" s="1782"/>
      <c r="R92" s="1735"/>
      <c r="S92" s="1694"/>
      <c r="T92" s="1783"/>
    </row>
    <row r="93" spans="1:20" s="1696" customFormat="1" ht="33">
      <c r="A93" s="1684" t="s">
        <v>4350</v>
      </c>
      <c r="B93" s="1684" t="s">
        <v>265</v>
      </c>
      <c r="C93" s="1685"/>
      <c r="D93" s="1686" t="s">
        <v>4867</v>
      </c>
      <c r="E93" s="1537" t="s">
        <v>4358</v>
      </c>
      <c r="F93" s="3198"/>
      <c r="G93" s="1708"/>
      <c r="H93" s="1708"/>
      <c r="I93" s="1708"/>
      <c r="J93" s="1708"/>
      <c r="K93" s="1708"/>
      <c r="L93" s="3487"/>
      <c r="M93" s="1708"/>
      <c r="N93" s="1689"/>
      <c r="O93" s="1709"/>
      <c r="P93" s="1691">
        <f>P94+P101</f>
        <v>3398.9730400000003</v>
      </c>
      <c r="Q93" s="1710"/>
      <c r="R93" s="1693"/>
      <c r="S93" s="1694">
        <f>S94+S101</f>
        <v>0</v>
      </c>
      <c r="T93" s="1695"/>
    </row>
    <row r="94" spans="1:20" s="1696" customFormat="1">
      <c r="A94" s="1684"/>
      <c r="B94" s="1684" t="s">
        <v>266</v>
      </c>
      <c r="C94" s="1684" t="s">
        <v>267</v>
      </c>
      <c r="D94" s="1684" t="s">
        <v>2765</v>
      </c>
      <c r="E94" s="1537" t="s">
        <v>4358</v>
      </c>
      <c r="F94" s="1684"/>
      <c r="G94" s="1709"/>
      <c r="H94" s="1709"/>
      <c r="I94" s="1709"/>
      <c r="J94" s="1709"/>
      <c r="K94" s="1709"/>
      <c r="L94" s="3489"/>
      <c r="M94" s="1709"/>
      <c r="N94" s="1691"/>
      <c r="O94" s="1709"/>
      <c r="P94" s="1691">
        <f>SUM(P95:P100)</f>
        <v>0</v>
      </c>
      <c r="Q94" s="1734"/>
      <c r="R94" s="1735"/>
      <c r="S94" s="1694">
        <f>SUM(S95:S100)</f>
        <v>0</v>
      </c>
      <c r="T94" s="1695"/>
    </row>
    <row r="95" spans="1:20" s="1696" customFormat="1" ht="21" customHeight="1">
      <c r="A95" s="1789">
        <v>1</v>
      </c>
      <c r="B95" s="1790" t="s">
        <v>2773</v>
      </c>
      <c r="C95" s="1791" t="s">
        <v>269</v>
      </c>
      <c r="D95" s="1791" t="s">
        <v>2766</v>
      </c>
      <c r="E95" s="1537" t="s">
        <v>4358</v>
      </c>
      <c r="F95" s="1528" t="s">
        <v>4819</v>
      </c>
      <c r="G95" s="1550"/>
      <c r="H95" s="1550"/>
      <c r="I95" s="1550"/>
      <c r="J95" s="1550"/>
      <c r="K95" s="1550"/>
      <c r="L95" s="3496"/>
      <c r="M95" s="1317"/>
      <c r="N95" s="1746">
        <f t="shared" ref="N95:N100" si="9">M95/100000</f>
        <v>0</v>
      </c>
      <c r="O95" s="1317"/>
      <c r="P95" s="1730">
        <f t="shared" ref="P95:P100" si="10">N95*O95</f>
        <v>0</v>
      </c>
      <c r="Q95" s="1318"/>
      <c r="R95" s="1529">
        <f>'Abs9. NVBDCP'!Q22</f>
        <v>0</v>
      </c>
      <c r="S95" s="1703">
        <f>'Abs9. NVBDCP'!R22</f>
        <v>0</v>
      </c>
      <c r="T95" s="1695"/>
    </row>
    <row r="96" spans="1:20" s="1696" customFormat="1" ht="18" customHeight="1">
      <c r="A96" s="1789">
        <v>2</v>
      </c>
      <c r="B96" s="1790" t="s">
        <v>2774</v>
      </c>
      <c r="C96" s="1791" t="s">
        <v>271</v>
      </c>
      <c r="D96" s="1791" t="s">
        <v>272</v>
      </c>
      <c r="E96" s="1537" t="s">
        <v>4358</v>
      </c>
      <c r="F96" s="1528" t="s">
        <v>4819</v>
      </c>
      <c r="G96" s="1550"/>
      <c r="H96" s="1550"/>
      <c r="I96" s="1550"/>
      <c r="J96" s="1550"/>
      <c r="K96" s="1550"/>
      <c r="L96" s="3496"/>
      <c r="M96" s="1317"/>
      <c r="N96" s="1746">
        <f t="shared" si="9"/>
        <v>0</v>
      </c>
      <c r="O96" s="1317"/>
      <c r="P96" s="1730">
        <f t="shared" si="10"/>
        <v>0</v>
      </c>
      <c r="Q96" s="1318"/>
      <c r="R96" s="1529">
        <f>'Abs9. NVBDCP'!Q23</f>
        <v>0</v>
      </c>
      <c r="S96" s="1703">
        <f>'Abs9. NVBDCP'!R23</f>
        <v>0</v>
      </c>
      <c r="T96" s="1695"/>
    </row>
    <row r="97" spans="1:20" s="1696" customFormat="1" ht="33">
      <c r="A97" s="1789">
        <v>3</v>
      </c>
      <c r="B97" s="1790" t="s">
        <v>2775</v>
      </c>
      <c r="C97" s="1791" t="s">
        <v>273</v>
      </c>
      <c r="D97" s="1791" t="s">
        <v>2767</v>
      </c>
      <c r="E97" s="1537" t="s">
        <v>4358</v>
      </c>
      <c r="F97" s="1528" t="s">
        <v>4819</v>
      </c>
      <c r="G97" s="1550"/>
      <c r="H97" s="1550"/>
      <c r="I97" s="1550"/>
      <c r="J97" s="1550"/>
      <c r="K97" s="1550"/>
      <c r="L97" s="3496"/>
      <c r="M97" s="1317"/>
      <c r="N97" s="1746">
        <f t="shared" si="9"/>
        <v>0</v>
      </c>
      <c r="O97" s="1317"/>
      <c r="P97" s="1730">
        <f t="shared" si="10"/>
        <v>0</v>
      </c>
      <c r="Q97" s="1318"/>
      <c r="R97" s="1529">
        <f>'Abs9. NVBDCP'!Q24</f>
        <v>0</v>
      </c>
      <c r="S97" s="1703">
        <f>'Abs9. NVBDCP'!R24</f>
        <v>0</v>
      </c>
      <c r="T97" s="1695"/>
    </row>
    <row r="98" spans="1:20" s="1696" customFormat="1" ht="33">
      <c r="A98" s="1789">
        <v>4</v>
      </c>
      <c r="B98" s="1790" t="s">
        <v>2776</v>
      </c>
      <c r="C98" s="1791" t="s">
        <v>274</v>
      </c>
      <c r="D98" s="1791" t="s">
        <v>275</v>
      </c>
      <c r="E98" s="1537" t="s">
        <v>4358</v>
      </c>
      <c r="F98" s="1528" t="s">
        <v>4819</v>
      </c>
      <c r="G98" s="1550"/>
      <c r="H98" s="1550"/>
      <c r="I98" s="1550"/>
      <c r="J98" s="1550"/>
      <c r="K98" s="1550"/>
      <c r="L98" s="3496"/>
      <c r="M98" s="1317"/>
      <c r="N98" s="1746">
        <f t="shared" si="9"/>
        <v>0</v>
      </c>
      <c r="O98" s="1317"/>
      <c r="P98" s="1730">
        <f t="shared" si="10"/>
        <v>0</v>
      </c>
      <c r="Q98" s="1318"/>
      <c r="R98" s="1529">
        <f>'Abs9. NVBDCP'!Q25</f>
        <v>0</v>
      </c>
      <c r="S98" s="1703">
        <f>'Abs9. NVBDCP'!R25</f>
        <v>0</v>
      </c>
      <c r="T98" s="1695"/>
    </row>
    <row r="99" spans="1:20" s="1696" customFormat="1">
      <c r="A99" s="1789">
        <v>5</v>
      </c>
      <c r="B99" s="1790" t="s">
        <v>2777</v>
      </c>
      <c r="C99" s="1791" t="s">
        <v>276</v>
      </c>
      <c r="D99" s="1791" t="s">
        <v>277</v>
      </c>
      <c r="E99" s="1537" t="s">
        <v>4358</v>
      </c>
      <c r="F99" s="1528" t="s">
        <v>4819</v>
      </c>
      <c r="G99" s="1550"/>
      <c r="H99" s="1550"/>
      <c r="I99" s="1550"/>
      <c r="J99" s="1550"/>
      <c r="K99" s="1550"/>
      <c r="L99" s="3496"/>
      <c r="M99" s="1317"/>
      <c r="N99" s="1746">
        <f t="shared" si="9"/>
        <v>0</v>
      </c>
      <c r="O99" s="1317"/>
      <c r="P99" s="1730">
        <f t="shared" si="10"/>
        <v>0</v>
      </c>
      <c r="Q99" s="1318"/>
      <c r="R99" s="1529">
        <f>'Abs9. NVBDCP'!Q26</f>
        <v>0</v>
      </c>
      <c r="S99" s="1703">
        <f>'Abs9. NVBDCP'!R26</f>
        <v>0</v>
      </c>
      <c r="T99" s="1695"/>
    </row>
    <row r="100" spans="1:20" s="1696" customFormat="1" ht="33">
      <c r="A100" s="1789">
        <v>6</v>
      </c>
      <c r="B100" s="1790" t="s">
        <v>4442</v>
      </c>
      <c r="C100" s="1791"/>
      <c r="D100" s="1791" t="s">
        <v>4443</v>
      </c>
      <c r="E100" s="1537" t="s">
        <v>4358</v>
      </c>
      <c r="F100" s="1528" t="s">
        <v>4819</v>
      </c>
      <c r="G100" s="1550"/>
      <c r="H100" s="1550"/>
      <c r="I100" s="1550"/>
      <c r="J100" s="1550"/>
      <c r="K100" s="1550"/>
      <c r="L100" s="3496"/>
      <c r="M100" s="1317"/>
      <c r="N100" s="1746">
        <f t="shared" si="9"/>
        <v>0</v>
      </c>
      <c r="O100" s="1317"/>
      <c r="P100" s="1730">
        <f t="shared" si="10"/>
        <v>0</v>
      </c>
      <c r="Q100" s="1318"/>
      <c r="R100" s="1529">
        <f>'Abs9. NVBDCP'!Q27</f>
        <v>0</v>
      </c>
      <c r="S100" s="1703">
        <f>'Abs9. NVBDCP'!R27</f>
        <v>0</v>
      </c>
      <c r="T100" s="1695"/>
    </row>
    <row r="101" spans="1:20" s="1696" customFormat="1" ht="33">
      <c r="A101" s="1684"/>
      <c r="B101" s="1684" t="s">
        <v>268</v>
      </c>
      <c r="C101" s="1684" t="s">
        <v>267</v>
      </c>
      <c r="D101" s="1684" t="s">
        <v>2768</v>
      </c>
      <c r="E101" s="1537" t="s">
        <v>4358</v>
      </c>
      <c r="F101" s="1684"/>
      <c r="G101" s="1709"/>
      <c r="H101" s="1709"/>
      <c r="I101" s="1709"/>
      <c r="J101" s="1709"/>
      <c r="K101" s="1709"/>
      <c r="L101" s="3489"/>
      <c r="M101" s="1709"/>
      <c r="N101" s="1691"/>
      <c r="O101" s="1709"/>
      <c r="P101" s="1691">
        <f>SUM(P102:P105)</f>
        <v>3398.9730400000003</v>
      </c>
      <c r="Q101" s="1734"/>
      <c r="R101" s="1735"/>
      <c r="S101" s="1694">
        <f>SUM(S102:S105)</f>
        <v>0</v>
      </c>
      <c r="T101" s="1695"/>
    </row>
    <row r="102" spans="1:20" s="3873" customFormat="1" ht="99">
      <c r="A102" s="4046">
        <v>7</v>
      </c>
      <c r="B102" s="4047" t="s">
        <v>2778</v>
      </c>
      <c r="C102" s="4048" t="s">
        <v>278</v>
      </c>
      <c r="D102" s="4048" t="s">
        <v>2769</v>
      </c>
      <c r="E102" s="3861" t="s">
        <v>4358</v>
      </c>
      <c r="F102" s="3867" t="s">
        <v>4971</v>
      </c>
      <c r="G102" s="4049"/>
      <c r="H102" s="4049"/>
      <c r="I102" s="3956"/>
      <c r="J102" s="3956"/>
      <c r="K102" s="4049"/>
      <c r="L102" s="4050" t="s">
        <v>6111</v>
      </c>
      <c r="M102" s="3788">
        <v>103158</v>
      </c>
      <c r="N102" s="3871">
        <f>M102/100000</f>
        <v>1.0315799999999999</v>
      </c>
      <c r="O102" s="3788">
        <v>38</v>
      </c>
      <c r="P102" s="3871">
        <f>N102*O102</f>
        <v>39.200040000000001</v>
      </c>
      <c r="Q102" s="2397" t="s">
        <v>6915</v>
      </c>
      <c r="R102" s="3883">
        <f>'Abs9. NVBDCP'!Q28</f>
        <v>0</v>
      </c>
      <c r="S102" s="3871">
        <f>'Abs9. NVBDCP'!R28</f>
        <v>0</v>
      </c>
      <c r="T102" s="3885"/>
    </row>
    <row r="103" spans="1:20" s="1696" customFormat="1" ht="66">
      <c r="A103" s="1789">
        <v>8</v>
      </c>
      <c r="B103" s="1790" t="s">
        <v>2779</v>
      </c>
      <c r="C103" s="1791" t="s">
        <v>279</v>
      </c>
      <c r="D103" s="1791" t="s">
        <v>2770</v>
      </c>
      <c r="E103" s="1537" t="s">
        <v>4358</v>
      </c>
      <c r="F103" s="1528" t="s">
        <v>4972</v>
      </c>
      <c r="G103" s="1550"/>
      <c r="H103" s="1550"/>
      <c r="I103" s="1550"/>
      <c r="J103" s="1550"/>
      <c r="K103" s="1550"/>
      <c r="L103" s="3496" t="s">
        <v>6118</v>
      </c>
      <c r="M103" s="3179">
        <v>115500</v>
      </c>
      <c r="N103" s="1730">
        <f>M103/100000</f>
        <v>1.155</v>
      </c>
      <c r="O103" s="3179">
        <v>1</v>
      </c>
      <c r="P103" s="1730">
        <f>N103*O103</f>
        <v>1.155</v>
      </c>
      <c r="Q103" s="1821" t="s">
        <v>6123</v>
      </c>
      <c r="R103" s="1529">
        <f>'Abs9. NVBDCP'!Q29</f>
        <v>0</v>
      </c>
      <c r="S103" s="1703">
        <f>'Abs9. NVBDCP'!R29</f>
        <v>0</v>
      </c>
      <c r="T103" s="1695"/>
    </row>
    <row r="104" spans="1:20" s="1696" customFormat="1" ht="82.5">
      <c r="A104" s="1789">
        <v>9</v>
      </c>
      <c r="B104" s="1790" t="s">
        <v>2780</v>
      </c>
      <c r="C104" s="1791" t="s">
        <v>280</v>
      </c>
      <c r="D104" s="1791" t="s">
        <v>2771</v>
      </c>
      <c r="E104" s="1537" t="s">
        <v>4358</v>
      </c>
      <c r="F104" s="1528" t="s">
        <v>4974</v>
      </c>
      <c r="G104" s="1550"/>
      <c r="H104" s="1550"/>
      <c r="I104" s="1550"/>
      <c r="J104" s="1550"/>
      <c r="K104" s="1550"/>
      <c r="L104" s="3497" t="s">
        <v>6122</v>
      </c>
      <c r="M104" s="1806">
        <v>290200</v>
      </c>
      <c r="N104" s="1746">
        <f>M104/100000</f>
        <v>2.9020000000000001</v>
      </c>
      <c r="O104" s="1312">
        <v>1151</v>
      </c>
      <c r="P104" s="1730">
        <f>N104*O104</f>
        <v>3340.2020000000002</v>
      </c>
      <c r="Q104" s="1792" t="s">
        <v>6124</v>
      </c>
      <c r="R104" s="1529">
        <f>'Abs9. NVBDCP'!Q30</f>
        <v>0</v>
      </c>
      <c r="S104" s="1703">
        <f>'Abs9. NVBDCP'!R30</f>
        <v>0</v>
      </c>
      <c r="T104" s="1695"/>
    </row>
    <row r="105" spans="1:20" s="1696" customFormat="1" ht="33">
      <c r="A105" s="1789">
        <v>10</v>
      </c>
      <c r="B105" s="1790" t="s">
        <v>2781</v>
      </c>
      <c r="C105" s="1791" t="s">
        <v>281</v>
      </c>
      <c r="D105" s="1791" t="s">
        <v>2772</v>
      </c>
      <c r="E105" s="1537" t="s">
        <v>4358</v>
      </c>
      <c r="F105" s="1528" t="s">
        <v>4974</v>
      </c>
      <c r="G105" s="1550"/>
      <c r="H105" s="1550"/>
      <c r="I105" s="1550"/>
      <c r="J105" s="1550"/>
      <c r="K105" s="1550"/>
      <c r="L105" s="3497" t="s">
        <v>6122</v>
      </c>
      <c r="M105" s="1317">
        <v>1600</v>
      </c>
      <c r="N105" s="1746">
        <f>M105/100000</f>
        <v>1.6E-2</v>
      </c>
      <c r="O105" s="1317">
        <v>1151</v>
      </c>
      <c r="P105" s="1730">
        <f>N105*O105</f>
        <v>18.416</v>
      </c>
      <c r="Q105" s="1318" t="s">
        <v>6125</v>
      </c>
      <c r="R105" s="1529">
        <f>'Abs9. NVBDCP'!Q31</f>
        <v>0</v>
      </c>
      <c r="S105" s="1703">
        <f>'Abs9. NVBDCP'!R31</f>
        <v>0</v>
      </c>
      <c r="T105" s="1695"/>
    </row>
    <row r="106" spans="1:20" s="1797" customFormat="1" ht="33" customHeight="1">
      <c r="A106" s="1731" t="s">
        <v>4351</v>
      </c>
      <c r="B106" s="1731" t="s">
        <v>4010</v>
      </c>
      <c r="C106" s="1731" t="s">
        <v>2351</v>
      </c>
      <c r="D106" s="1731" t="s">
        <v>4853</v>
      </c>
      <c r="E106" s="1537" t="s">
        <v>4358</v>
      </c>
      <c r="F106" s="1684" t="s">
        <v>4674</v>
      </c>
      <c r="G106" s="1793"/>
      <c r="H106" s="1794"/>
      <c r="I106" s="1795"/>
      <c r="J106" s="1795"/>
      <c r="K106" s="1793"/>
      <c r="L106" s="3498"/>
      <c r="M106" s="1793"/>
      <c r="N106" s="1691"/>
      <c r="O106" s="1709"/>
      <c r="P106" s="1691">
        <f>SUM(P107:P111)</f>
        <v>816.69983999999999</v>
      </c>
      <c r="Q106" s="1734"/>
      <c r="R106" s="1735"/>
      <c r="S106" s="1694">
        <f>SUM(S107:S111)</f>
        <v>0</v>
      </c>
      <c r="T106" s="1796"/>
    </row>
    <row r="107" spans="1:20" ht="52.5" customHeight="1">
      <c r="A107" s="1331">
        <v>1</v>
      </c>
      <c r="B107" s="1331" t="s">
        <v>4069</v>
      </c>
      <c r="C107" s="1331" t="s">
        <v>4377</v>
      </c>
      <c r="D107" s="1331" t="s">
        <v>4375</v>
      </c>
      <c r="E107" s="1537" t="s">
        <v>4358</v>
      </c>
      <c r="F107" s="1533" t="s">
        <v>4674</v>
      </c>
      <c r="G107" s="1706"/>
      <c r="H107" s="1525"/>
      <c r="I107" s="1798">
        <v>500</v>
      </c>
      <c r="J107" s="1825">
        <f>6089751/100000</f>
        <v>60.897509999999997</v>
      </c>
      <c r="K107" s="1799"/>
      <c r="L107" s="1827" t="s">
        <v>6024</v>
      </c>
      <c r="M107" s="1329">
        <v>1000</v>
      </c>
      <c r="N107" s="1702">
        <f t="shared" ref="N107:N114" si="11">M107/100000</f>
        <v>0.01</v>
      </c>
      <c r="O107" s="1329">
        <v>50000</v>
      </c>
      <c r="P107" s="1703">
        <f t="shared" ref="P107:P114" si="12">N107*O107</f>
        <v>500</v>
      </c>
      <c r="Q107" s="1614" t="s">
        <v>6027</v>
      </c>
      <c r="R107" s="1529">
        <f>'Abs11. NTEP'!Q13</f>
        <v>0</v>
      </c>
      <c r="S107" s="1800">
        <f>'Abs11. NTEP'!R13</f>
        <v>0</v>
      </c>
      <c r="T107" s="1705"/>
    </row>
    <row r="108" spans="1:20" ht="52.5" customHeight="1">
      <c r="A108" s="1331">
        <v>2</v>
      </c>
      <c r="B108" s="1331" t="s">
        <v>4070</v>
      </c>
      <c r="C108" s="1331" t="s">
        <v>4378</v>
      </c>
      <c r="D108" s="1331" t="s">
        <v>4376</v>
      </c>
      <c r="E108" s="1537" t="s">
        <v>4358</v>
      </c>
      <c r="F108" s="1533" t="s">
        <v>4674</v>
      </c>
      <c r="G108" s="1706"/>
      <c r="H108" s="1525"/>
      <c r="I108" s="1798">
        <v>100</v>
      </c>
      <c r="J108" s="1825">
        <f>627336/100000</f>
        <v>6.2733600000000003</v>
      </c>
      <c r="K108" s="1799"/>
      <c r="L108" s="1827" t="s">
        <v>6025</v>
      </c>
      <c r="M108" s="1329">
        <v>5000</v>
      </c>
      <c r="N108" s="1702">
        <f t="shared" si="11"/>
        <v>0.05</v>
      </c>
      <c r="O108" s="1329">
        <v>2000</v>
      </c>
      <c r="P108" s="1703">
        <f t="shared" si="12"/>
        <v>100</v>
      </c>
      <c r="Q108" s="1614" t="s">
        <v>6028</v>
      </c>
      <c r="R108" s="1529">
        <f>'Abs11. NTEP'!Q14</f>
        <v>0</v>
      </c>
      <c r="S108" s="1800">
        <f>'Abs11. NTEP'!R14</f>
        <v>0</v>
      </c>
      <c r="T108" s="1705"/>
    </row>
    <row r="109" spans="1:20" s="3873" customFormat="1" ht="52.5" customHeight="1">
      <c r="A109" s="3843">
        <v>3</v>
      </c>
      <c r="B109" s="3843" t="s">
        <v>4547</v>
      </c>
      <c r="C109" s="3843"/>
      <c r="D109" s="3843" t="s">
        <v>4548</v>
      </c>
      <c r="E109" s="3861" t="s">
        <v>4358</v>
      </c>
      <c r="F109" s="3867" t="s">
        <v>4674</v>
      </c>
      <c r="G109" s="3877"/>
      <c r="H109" s="3878"/>
      <c r="I109" s="3879">
        <v>131</v>
      </c>
      <c r="J109" s="3880">
        <v>0</v>
      </c>
      <c r="K109" s="3877"/>
      <c r="L109" s="3881" t="s">
        <v>6026</v>
      </c>
      <c r="M109" s="2394">
        <v>7000000</v>
      </c>
      <c r="N109" s="3808">
        <f t="shared" si="11"/>
        <v>70</v>
      </c>
      <c r="O109" s="2394">
        <v>1</v>
      </c>
      <c r="P109" s="3871">
        <f t="shared" si="12"/>
        <v>70</v>
      </c>
      <c r="Q109" s="3882" t="s">
        <v>6361</v>
      </c>
      <c r="R109" s="3883">
        <f>'Abs11. NTEP'!Q15</f>
        <v>0</v>
      </c>
      <c r="S109" s="3884">
        <f>'Abs11. NTEP'!R15</f>
        <v>0</v>
      </c>
      <c r="T109" s="3885"/>
    </row>
    <row r="110" spans="1:20" ht="52.5" customHeight="1">
      <c r="A110" s="1790">
        <v>4</v>
      </c>
      <c r="B110" s="1790" t="s">
        <v>4502</v>
      </c>
      <c r="C110" s="1791"/>
      <c r="D110" s="1791" t="s">
        <v>4503</v>
      </c>
      <c r="E110" s="1537" t="s">
        <v>4358</v>
      </c>
      <c r="F110" s="1528" t="s">
        <v>4674</v>
      </c>
      <c r="G110" s="1550"/>
      <c r="H110" s="1550"/>
      <c r="I110" s="1798">
        <v>1.7199</v>
      </c>
      <c r="J110" s="1826">
        <v>0</v>
      </c>
      <c r="K110" s="1801"/>
      <c r="L110" s="1827" t="s">
        <v>5834</v>
      </c>
      <c r="M110" s="1329">
        <v>5128</v>
      </c>
      <c r="N110" s="1702">
        <f>M110/100000</f>
        <v>5.1279999999999999E-2</v>
      </c>
      <c r="O110" s="1536">
        <v>78</v>
      </c>
      <c r="P110" s="1730">
        <f>N110*O110</f>
        <v>3.9998399999999998</v>
      </c>
      <c r="Q110" s="1827" t="s">
        <v>6029</v>
      </c>
      <c r="R110" s="1529">
        <f>'Abs11. NTEP'!Q16</f>
        <v>0</v>
      </c>
      <c r="S110" s="1529">
        <f>'Abs11. NTEP'!R16</f>
        <v>0</v>
      </c>
      <c r="T110" s="1705"/>
    </row>
    <row r="111" spans="1:20" ht="52.5" customHeight="1">
      <c r="A111" s="1790">
        <v>5</v>
      </c>
      <c r="B111" s="1790" t="s">
        <v>4504</v>
      </c>
      <c r="C111" s="1791"/>
      <c r="D111" s="1791" t="s">
        <v>4505</v>
      </c>
      <c r="E111" s="1537" t="s">
        <v>4358</v>
      </c>
      <c r="F111" s="1528" t="s">
        <v>4674</v>
      </c>
      <c r="G111" s="1550"/>
      <c r="H111" s="1550"/>
      <c r="I111" s="1798">
        <v>26.700000000000003</v>
      </c>
      <c r="J111" s="1826">
        <v>0</v>
      </c>
      <c r="K111" s="1801"/>
      <c r="L111" s="3499"/>
      <c r="M111" s="1828">
        <v>14270000</v>
      </c>
      <c r="N111" s="1702">
        <f>M111/100000</f>
        <v>142.69999999999999</v>
      </c>
      <c r="O111" s="1536">
        <v>1</v>
      </c>
      <c r="P111" s="1730">
        <f>N111*O111</f>
        <v>142.69999999999999</v>
      </c>
      <c r="Q111" s="1556" t="s">
        <v>6030</v>
      </c>
      <c r="R111" s="1529">
        <f>'Abs11. NTEP'!Q17</f>
        <v>0</v>
      </c>
      <c r="S111" s="1529">
        <f>'Abs11. NTEP'!R17</f>
        <v>0</v>
      </c>
      <c r="T111" s="1705"/>
    </row>
    <row r="112" spans="1:20" ht="33">
      <c r="A112" s="1731" t="s">
        <v>4354</v>
      </c>
      <c r="B112" s="1731"/>
      <c r="C112" s="1731"/>
      <c r="D112" s="1731" t="s">
        <v>4856</v>
      </c>
      <c r="E112" s="1537" t="s">
        <v>4358</v>
      </c>
      <c r="F112" s="3198"/>
      <c r="G112" s="1787"/>
      <c r="H112" s="1802"/>
      <c r="I112" s="1803"/>
      <c r="J112" s="1803"/>
      <c r="K112" s="1787"/>
      <c r="L112" s="3495"/>
      <c r="M112" s="1763"/>
      <c r="N112" s="1764"/>
      <c r="O112" s="1763"/>
      <c r="P112" s="1691">
        <f>SUM(P113:P114)</f>
        <v>17.3</v>
      </c>
      <c r="Q112" s="1734"/>
      <c r="R112" s="1735"/>
      <c r="S112" s="1694">
        <f>SUM(S113:S114)</f>
        <v>0</v>
      </c>
      <c r="T112" s="1705"/>
    </row>
    <row r="113" spans="1:20" s="3873" customFormat="1" ht="33" customHeight="1">
      <c r="A113" s="3843">
        <v>1</v>
      </c>
      <c r="B113" s="3843" t="s">
        <v>4011</v>
      </c>
      <c r="C113" s="3843"/>
      <c r="D113" s="3781" t="s">
        <v>3868</v>
      </c>
      <c r="E113" s="3861" t="s">
        <v>4358</v>
      </c>
      <c r="F113" s="3867" t="s">
        <v>3316</v>
      </c>
      <c r="G113" s="3877"/>
      <c r="H113" s="3878"/>
      <c r="I113" s="3956"/>
      <c r="J113" s="3956"/>
      <c r="K113" s="3877"/>
      <c r="L113" s="3975"/>
      <c r="M113" s="3739">
        <v>1680000</v>
      </c>
      <c r="N113" s="3808">
        <f t="shared" si="11"/>
        <v>16.8</v>
      </c>
      <c r="O113" s="3739">
        <v>1</v>
      </c>
      <c r="P113" s="3871">
        <f t="shared" si="12"/>
        <v>16.8</v>
      </c>
      <c r="Q113" s="3963" t="s">
        <v>6873</v>
      </c>
      <c r="R113" s="3883">
        <f>'Abs12. NVHCP'!Q15</f>
        <v>0</v>
      </c>
      <c r="S113" s="3883">
        <f>'Abs12. NVHCP'!R15</f>
        <v>0</v>
      </c>
      <c r="T113" s="3885"/>
    </row>
    <row r="114" spans="1:20" ht="44.25" customHeight="1">
      <c r="A114" s="1331">
        <v>2</v>
      </c>
      <c r="B114" s="1331" t="s">
        <v>4012</v>
      </c>
      <c r="C114" s="1331"/>
      <c r="D114" s="1699" t="s">
        <v>4360</v>
      </c>
      <c r="E114" s="1537" t="s">
        <v>4358</v>
      </c>
      <c r="F114" s="1533" t="s">
        <v>3316</v>
      </c>
      <c r="G114" s="1706"/>
      <c r="H114" s="1525"/>
      <c r="I114" s="1707"/>
      <c r="J114" s="1707"/>
      <c r="K114" s="1706"/>
      <c r="L114" s="1633" t="s">
        <v>5829</v>
      </c>
      <c r="M114" s="1317">
        <v>50000</v>
      </c>
      <c r="N114" s="1702">
        <f t="shared" si="11"/>
        <v>0.5</v>
      </c>
      <c r="O114" s="1317">
        <v>1</v>
      </c>
      <c r="P114" s="1703">
        <f t="shared" si="12"/>
        <v>0.5</v>
      </c>
      <c r="Q114" s="1318" t="s">
        <v>5806</v>
      </c>
      <c r="R114" s="1529">
        <f>'Abs12. NVHCP'!Q16</f>
        <v>0</v>
      </c>
      <c r="S114" s="1529">
        <f>'Abs12. NVHCP'!R16</f>
        <v>0</v>
      </c>
      <c r="T114" s="1705"/>
    </row>
    <row r="115" spans="1:20">
      <c r="A115" s="4345" t="s">
        <v>4869</v>
      </c>
      <c r="B115" s="4345"/>
      <c r="C115" s="4345"/>
      <c r="D115" s="4345"/>
      <c r="E115" s="1690" t="s">
        <v>85</v>
      </c>
      <c r="F115" s="3198"/>
      <c r="G115" s="1708"/>
      <c r="H115" s="1708"/>
      <c r="I115" s="1708"/>
      <c r="J115" s="1708"/>
      <c r="K115" s="1708"/>
      <c r="L115" s="3487"/>
      <c r="M115" s="1708"/>
      <c r="N115" s="1689"/>
      <c r="O115" s="1804"/>
      <c r="P115" s="1689"/>
      <c r="Q115" s="1710"/>
      <c r="R115" s="1693"/>
      <c r="S115" s="1693"/>
    </row>
    <row r="116" spans="1:20" ht="33">
      <c r="A116" s="1731" t="s">
        <v>4350</v>
      </c>
      <c r="B116" s="1731"/>
      <c r="C116" s="1731"/>
      <c r="D116" s="1731" t="s">
        <v>4870</v>
      </c>
      <c r="E116" s="1690" t="s">
        <v>85</v>
      </c>
      <c r="F116" s="3198"/>
      <c r="G116" s="1708"/>
      <c r="H116" s="1708"/>
      <c r="I116" s="1708"/>
      <c r="J116" s="1708"/>
      <c r="K116" s="1708"/>
      <c r="L116" s="3487"/>
      <c r="M116" s="1708"/>
      <c r="N116" s="1689"/>
      <c r="O116" s="1804"/>
      <c r="P116" s="1691">
        <f>P117</f>
        <v>31</v>
      </c>
      <c r="Q116" s="1734"/>
      <c r="R116" s="1735"/>
      <c r="S116" s="1694">
        <f>S117</f>
        <v>0</v>
      </c>
    </row>
    <row r="117" spans="1:20" s="1696" customFormat="1" ht="49.5">
      <c r="A117" s="1790">
        <v>1</v>
      </c>
      <c r="B117" s="1790" t="s">
        <v>270</v>
      </c>
      <c r="C117" s="1528" t="s">
        <v>149</v>
      </c>
      <c r="D117" s="1528" t="s">
        <v>2764</v>
      </c>
      <c r="E117" s="1805" t="s">
        <v>85</v>
      </c>
      <c r="F117" s="1528" t="s">
        <v>150</v>
      </c>
      <c r="G117" s="1553"/>
      <c r="H117" s="1553"/>
      <c r="I117" s="1553"/>
      <c r="J117" s="1553"/>
      <c r="K117" s="1553"/>
      <c r="L117" s="1590" t="s">
        <v>5918</v>
      </c>
      <c r="M117" s="1317">
        <v>100000</v>
      </c>
      <c r="N117" s="1746">
        <f>M117/100000</f>
        <v>1</v>
      </c>
      <c r="O117" s="1317">
        <v>31</v>
      </c>
      <c r="P117" s="1730">
        <f>N117*O117</f>
        <v>31</v>
      </c>
      <c r="Q117" s="1590" t="s">
        <v>5920</v>
      </c>
      <c r="R117" s="1529">
        <f>'Abs16. NMHP'!Q9</f>
        <v>0</v>
      </c>
      <c r="S117" s="1800">
        <f>'Abs16. NMHP'!R9</f>
        <v>0</v>
      </c>
      <c r="T117" s="1695"/>
    </row>
    <row r="118" spans="1:20">
      <c r="A118" s="4345" t="s">
        <v>4866</v>
      </c>
      <c r="B118" s="4345"/>
      <c r="C118" s="4345"/>
      <c r="D118" s="4345"/>
      <c r="E118" s="1281" t="s">
        <v>70</v>
      </c>
      <c r="F118" s="3198"/>
      <c r="G118" s="1787"/>
      <c r="H118" s="1802"/>
      <c r="I118" s="1803"/>
      <c r="J118" s="1803"/>
      <c r="K118" s="1787"/>
      <c r="L118" s="3495"/>
      <c r="M118" s="1763"/>
      <c r="N118" s="1764"/>
      <c r="O118" s="1763"/>
      <c r="P118" s="1689"/>
      <c r="Q118" s="1710"/>
      <c r="R118" s="1693"/>
      <c r="S118" s="1693"/>
      <c r="T118" s="1705"/>
    </row>
    <row r="119" spans="1:20" ht="66">
      <c r="A119" s="1519"/>
      <c r="B119" s="1519" t="s">
        <v>2560</v>
      </c>
      <c r="C119" s="1769" t="s">
        <v>255</v>
      </c>
      <c r="D119" s="1770" t="s">
        <v>256</v>
      </c>
      <c r="E119" s="1281" t="s">
        <v>70</v>
      </c>
      <c r="F119" s="2218"/>
      <c r="G119" s="1722"/>
      <c r="H119" s="1722"/>
      <c r="I119" s="1722"/>
      <c r="J119" s="1722"/>
      <c r="K119" s="1722"/>
      <c r="L119" s="3229"/>
      <c r="M119" s="1722"/>
      <c r="N119" s="1739"/>
      <c r="O119" s="1538"/>
      <c r="P119" s="1307">
        <f>SUM(P120:P123)</f>
        <v>20.75</v>
      </c>
      <c r="Q119" s="1771"/>
      <c r="R119" s="1682"/>
      <c r="S119" s="1521">
        <f>SUM(S120:S123)</f>
        <v>0</v>
      </c>
      <c r="T119" s="1705"/>
    </row>
    <row r="120" spans="1:20">
      <c r="A120" s="1533">
        <v>1</v>
      </c>
      <c r="B120" s="1533" t="s">
        <v>2561</v>
      </c>
      <c r="C120" s="1699" t="s">
        <v>257</v>
      </c>
      <c r="D120" s="1699" t="s">
        <v>258</v>
      </c>
      <c r="E120" s="1281" t="s">
        <v>70</v>
      </c>
      <c r="F120" s="1533" t="s">
        <v>70</v>
      </c>
      <c r="G120" s="1806"/>
      <c r="H120" s="1806"/>
      <c r="I120" s="1807"/>
      <c r="J120" s="1806"/>
      <c r="K120" s="1806"/>
      <c r="L120" s="3497"/>
      <c r="M120" s="1317"/>
      <c r="N120" s="1702">
        <f>M120/100000</f>
        <v>0</v>
      </c>
      <c r="O120" s="1317"/>
      <c r="P120" s="1703">
        <f>N120*O120</f>
        <v>0</v>
      </c>
      <c r="Q120" s="1318"/>
      <c r="R120" s="1524"/>
      <c r="S120" s="1808"/>
      <c r="T120" s="1705"/>
    </row>
    <row r="121" spans="1:20" ht="224.25" customHeight="1">
      <c r="A121" s="1533">
        <v>2</v>
      </c>
      <c r="B121" s="1533" t="s">
        <v>2562</v>
      </c>
      <c r="C121" s="1699" t="s">
        <v>259</v>
      </c>
      <c r="D121" s="1699" t="s">
        <v>260</v>
      </c>
      <c r="E121" s="1281" t="s">
        <v>70</v>
      </c>
      <c r="F121" s="1533" t="s">
        <v>70</v>
      </c>
      <c r="G121" s="1806">
        <v>75</v>
      </c>
      <c r="H121" s="1806"/>
      <c r="I121" s="1806">
        <v>0.3</v>
      </c>
      <c r="J121" s="1806"/>
      <c r="K121" s="1806"/>
      <c r="L121" s="3497" t="s">
        <v>5861</v>
      </c>
      <c r="M121" s="1317">
        <f>23000+2052000</f>
        <v>2075000</v>
      </c>
      <c r="N121" s="1702">
        <f>M121/100000</f>
        <v>20.75</v>
      </c>
      <c r="O121" s="1317">
        <v>1</v>
      </c>
      <c r="P121" s="1703">
        <f>N121*O121</f>
        <v>20.75</v>
      </c>
      <c r="Q121" s="1343" t="s">
        <v>6425</v>
      </c>
      <c r="R121" s="1524"/>
      <c r="S121" s="1808"/>
      <c r="T121" s="1705"/>
    </row>
    <row r="122" spans="1:20" ht="40.5" customHeight="1">
      <c r="A122" s="1533">
        <v>3</v>
      </c>
      <c r="B122" s="1533" t="s">
        <v>2563</v>
      </c>
      <c r="C122" s="1699" t="s">
        <v>261</v>
      </c>
      <c r="D122" s="1699" t="s">
        <v>262</v>
      </c>
      <c r="E122" s="1281" t="s">
        <v>70</v>
      </c>
      <c r="F122" s="1533" t="s">
        <v>70</v>
      </c>
      <c r="G122" s="1806">
        <v>7337</v>
      </c>
      <c r="H122" s="1806"/>
      <c r="I122" s="1806">
        <v>18.64</v>
      </c>
      <c r="J122" s="1806"/>
      <c r="K122" s="1806"/>
      <c r="L122" s="3497"/>
      <c r="M122" s="1317"/>
      <c r="N122" s="1702">
        <f>M122/100000</f>
        <v>0</v>
      </c>
      <c r="O122" s="1317"/>
      <c r="P122" s="1703">
        <f>N122*O122</f>
        <v>0</v>
      </c>
      <c r="Q122" s="1318"/>
      <c r="R122" s="1524"/>
      <c r="S122" s="1808"/>
      <c r="T122" s="1705"/>
    </row>
    <row r="123" spans="1:20" ht="33">
      <c r="A123" s="1533">
        <v>4</v>
      </c>
      <c r="B123" s="1533" t="s">
        <v>2564</v>
      </c>
      <c r="C123" s="1740" t="s">
        <v>263</v>
      </c>
      <c r="D123" s="1740" t="s">
        <v>264</v>
      </c>
      <c r="E123" s="1281" t="s">
        <v>70</v>
      </c>
      <c r="F123" s="1533" t="s">
        <v>70</v>
      </c>
      <c r="G123" s="1806"/>
      <c r="H123" s="1806"/>
      <c r="I123" s="1806"/>
      <c r="J123" s="1806"/>
      <c r="K123" s="1806"/>
      <c r="L123" s="1633"/>
      <c r="M123" s="1317"/>
      <c r="N123" s="1702">
        <f>M123/100000</f>
        <v>0</v>
      </c>
      <c r="O123" s="1317"/>
      <c r="P123" s="1703">
        <f>N123*O123</f>
        <v>0</v>
      </c>
      <c r="Q123" s="1318"/>
      <c r="R123" s="1524"/>
      <c r="S123" s="1808"/>
      <c r="T123" s="1705"/>
    </row>
    <row r="124" spans="1:20">
      <c r="Q124" s="1810"/>
      <c r="T124" s="1705"/>
    </row>
    <row r="125" spans="1:20">
      <c r="Q125" s="1810"/>
      <c r="T125" s="1705"/>
    </row>
    <row r="126" spans="1:20">
      <c r="Q126" s="1810"/>
      <c r="T126" s="1705"/>
    </row>
    <row r="127" spans="1:20">
      <c r="Q127" s="1810"/>
      <c r="T127" s="1705"/>
    </row>
    <row r="128" spans="1:20">
      <c r="Q128" s="1810"/>
      <c r="T128" s="1705"/>
    </row>
    <row r="129" spans="6:20">
      <c r="Q129" s="1810"/>
      <c r="T129" s="1705"/>
    </row>
    <row r="130" spans="6:20" s="1696" customFormat="1">
      <c r="F130" s="3200"/>
      <c r="L130" s="1759"/>
      <c r="N130" s="1813"/>
      <c r="P130" s="1813"/>
      <c r="Q130" s="1814"/>
      <c r="S130" s="1813"/>
      <c r="T130" s="1695"/>
    </row>
    <row r="131" spans="6:20" s="1815" customFormat="1">
      <c r="F131" s="3201"/>
      <c r="L131" s="3501"/>
      <c r="N131" s="1816"/>
      <c r="P131" s="1816"/>
      <c r="Q131" s="1817"/>
      <c r="S131" s="1816"/>
      <c r="T131" s="1705"/>
    </row>
    <row r="132" spans="6:20">
      <c r="Q132" s="1810"/>
    </row>
    <row r="133" spans="6:20">
      <c r="Q133" s="1810"/>
    </row>
    <row r="134" spans="6:20">
      <c r="Q134" s="1810"/>
    </row>
    <row r="135" spans="6:20">
      <c r="Q135" s="1810"/>
    </row>
    <row r="136" spans="6:20">
      <c r="Q136" s="1810"/>
    </row>
    <row r="137" spans="6:20">
      <c r="Q137" s="1810"/>
    </row>
    <row r="138" spans="6:20">
      <c r="Q138" s="1810"/>
    </row>
    <row r="139" spans="6:20">
      <c r="Q139" s="1810"/>
    </row>
    <row r="140" spans="6:20">
      <c r="Q140" s="1810"/>
    </row>
    <row r="141" spans="6:20">
      <c r="Q141" s="1810"/>
    </row>
    <row r="142" spans="6:20">
      <c r="Q142" s="1810"/>
    </row>
  </sheetData>
  <sheetProtection sheet="1" formatCells="0" formatColumns="0" formatRows="0" autoFilter="0"/>
  <mergeCells count="19">
    <mergeCell ref="A87:D87"/>
    <mergeCell ref="A92:D92"/>
    <mergeCell ref="A118:D118"/>
    <mergeCell ref="A115:D115"/>
    <mergeCell ref="A6:D6"/>
    <mergeCell ref="A38:D38"/>
    <mergeCell ref="A52:D52"/>
    <mergeCell ref="A60:D60"/>
    <mergeCell ref="A76:D76"/>
    <mergeCell ref="A57:D57"/>
    <mergeCell ref="L3:Q3"/>
    <mergeCell ref="R3:S3"/>
    <mergeCell ref="A1:D1"/>
    <mergeCell ref="G3:K3"/>
    <mergeCell ref="A3:A4"/>
    <mergeCell ref="D3:D4"/>
    <mergeCell ref="E3:E4"/>
    <mergeCell ref="F3:F4"/>
    <mergeCell ref="B3:C4"/>
  </mergeCells>
  <phoneticPr fontId="27" type="noConversion"/>
  <pageMargins left="0.7" right="0.49" top="0.17" bottom="0.22" header="0.3" footer="0.3"/>
  <pageSetup paperSize="5" scale="7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sheetPr codeName="Sheet14"/>
  <dimension ref="A1:BA15"/>
  <sheetViews>
    <sheetView zoomScale="80" zoomScaleNormal="80" workbookViewId="0">
      <pane xSplit="3" ySplit="7" topLeftCell="D14" activePane="bottomRight" state="frozen"/>
      <selection activeCell="Q172" sqref="A1:BE179"/>
      <selection pane="topRight" activeCell="Q172" sqref="A1:BE179"/>
      <selection pane="bottomLeft" activeCell="Q172" sqref="A1:BE179"/>
      <selection pane="bottomRight" activeCell="C14" activeCellId="1" sqref="A14 C14"/>
    </sheetView>
  </sheetViews>
  <sheetFormatPr defaultColWidth="8.7109375" defaultRowHeight="16.5"/>
  <cols>
    <col min="1" max="1" width="10.140625" style="1830" bestFit="1" customWidth="1"/>
    <col min="2" max="2" width="16.5703125" style="1830" bestFit="1" customWidth="1"/>
    <col min="3" max="3" width="29.85546875" style="1830" customWidth="1"/>
    <col min="4" max="4" width="8.7109375" style="1830"/>
    <col min="5" max="5" width="9.7109375" style="1830" bestFit="1" customWidth="1"/>
    <col min="6" max="6" width="13.85546875" style="1830" hidden="1" customWidth="1"/>
    <col min="7" max="7" width="13.140625" style="1830" hidden="1" customWidth="1"/>
    <col min="8" max="8" width="14" style="1830" hidden="1" customWidth="1"/>
    <col min="9" max="9" width="0" style="1830" hidden="1" customWidth="1"/>
    <col min="10" max="10" width="11.140625" style="1830" hidden="1" customWidth="1"/>
    <col min="11" max="11" width="12" style="1830" customWidth="1"/>
    <col min="12" max="12" width="11.85546875" style="1830" bestFit="1" customWidth="1"/>
    <col min="13" max="13" width="8.85546875" style="1863" customWidth="1"/>
    <col min="14" max="14" width="8.7109375" style="1830"/>
    <col min="15" max="15" width="13.140625" style="1863" bestFit="1" customWidth="1"/>
    <col min="16" max="16" width="89.7109375" style="1830" customWidth="1"/>
    <col min="17" max="17" width="27.85546875" style="1830" hidden="1" customWidth="1"/>
    <col min="18" max="18" width="8.85546875" style="1863" hidden="1" customWidth="1"/>
    <col min="19" max="53" width="0" style="1830" hidden="1" customWidth="1"/>
    <col min="54" max="16384" width="8.7109375" style="1830"/>
  </cols>
  <sheetData>
    <row r="1" spans="1:53" ht="16.5" customHeight="1">
      <c r="A1" s="4361" t="s">
        <v>2869</v>
      </c>
      <c r="B1" s="4362"/>
      <c r="C1" s="4362"/>
      <c r="D1" s="1829"/>
      <c r="E1" s="4368" t="s">
        <v>4709</v>
      </c>
      <c r="F1" s="4369" t="s">
        <v>4707</v>
      </c>
      <c r="G1" s="4370"/>
      <c r="H1" s="4370"/>
      <c r="I1" s="4370"/>
      <c r="J1" s="4370"/>
      <c r="K1" s="4370"/>
      <c r="L1" s="4370"/>
      <c r="M1" s="4370"/>
      <c r="N1" s="4371"/>
      <c r="O1" s="4372" t="s">
        <v>70</v>
      </c>
      <c r="P1" s="4373"/>
      <c r="Q1" s="4373"/>
      <c r="R1" s="4373"/>
      <c r="S1" s="4373"/>
      <c r="T1" s="4373"/>
      <c r="U1" s="4373"/>
      <c r="V1" s="4373"/>
      <c r="W1" s="4373"/>
      <c r="X1" s="4373"/>
      <c r="Y1" s="4373"/>
      <c r="Z1" s="4373"/>
      <c r="AA1" s="4373"/>
      <c r="AB1" s="4373"/>
      <c r="AC1" s="4373"/>
      <c r="AD1" s="4373"/>
      <c r="AE1" s="4373"/>
      <c r="AF1" s="4373"/>
      <c r="AG1" s="4373"/>
      <c r="AH1" s="4373"/>
      <c r="AI1" s="4350" t="s">
        <v>4358</v>
      </c>
      <c r="AJ1" s="4351"/>
      <c r="AK1" s="4351"/>
      <c r="AL1" s="4351"/>
      <c r="AM1" s="4351"/>
      <c r="AN1" s="4351"/>
      <c r="AO1" s="4352"/>
      <c r="AP1" s="4353" t="s">
        <v>85</v>
      </c>
      <c r="AQ1" s="4354"/>
      <c r="AR1" s="4354"/>
      <c r="AS1" s="4354"/>
      <c r="AT1" s="4354"/>
      <c r="AU1" s="4354"/>
      <c r="AV1" s="4354"/>
      <c r="AW1" s="4354"/>
      <c r="AX1" s="4354"/>
      <c r="AY1" s="4354"/>
      <c r="AZ1" s="4354"/>
      <c r="BA1" s="4355"/>
    </row>
    <row r="2" spans="1:53" ht="66">
      <c r="A2" s="4365" t="str">
        <f>HYPERLINK("#Index!A4", "Index Pg")</f>
        <v>Index Pg</v>
      </c>
      <c r="B2" s="1325"/>
      <c r="C2" s="1325"/>
      <c r="D2" s="1831"/>
      <c r="E2" s="4368"/>
      <c r="F2" s="1832" t="s">
        <v>118</v>
      </c>
      <c r="G2" s="1832" t="s">
        <v>131</v>
      </c>
      <c r="H2" s="1832" t="s">
        <v>91</v>
      </c>
      <c r="I2" s="1832" t="s">
        <v>4705</v>
      </c>
      <c r="J2" s="1832" t="s">
        <v>96</v>
      </c>
      <c r="K2" s="1833" t="s">
        <v>4064</v>
      </c>
      <c r="L2" s="1834" t="s">
        <v>4706</v>
      </c>
      <c r="M2" s="1832" t="s">
        <v>4710</v>
      </c>
      <c r="N2" s="1834" t="s">
        <v>208</v>
      </c>
      <c r="O2" s="1835" t="s">
        <v>4357</v>
      </c>
      <c r="P2" s="1836" t="s">
        <v>3848</v>
      </c>
      <c r="Q2" s="1836" t="s">
        <v>4719</v>
      </c>
      <c r="R2" s="1836" t="s">
        <v>4716</v>
      </c>
      <c r="S2" s="1836" t="s">
        <v>4717</v>
      </c>
      <c r="T2" s="1836" t="s">
        <v>4718</v>
      </c>
      <c r="U2" s="1836" t="s">
        <v>4720</v>
      </c>
      <c r="V2" s="1836" t="s">
        <v>4695</v>
      </c>
      <c r="W2" s="1836" t="s">
        <v>4721</v>
      </c>
      <c r="X2" s="1836" t="s">
        <v>33</v>
      </c>
      <c r="Y2" s="1836" t="s">
        <v>4722</v>
      </c>
      <c r="Z2" s="1836" t="s">
        <v>4723</v>
      </c>
      <c r="AA2" s="1836" t="s">
        <v>4713</v>
      </c>
      <c r="AB2" s="1836" t="s">
        <v>742</v>
      </c>
      <c r="AC2" s="1836" t="s">
        <v>4714</v>
      </c>
      <c r="AD2" s="1836" t="s">
        <v>4715</v>
      </c>
      <c r="AE2" s="1836" t="s">
        <v>2379</v>
      </c>
      <c r="AF2" s="1836" t="s">
        <v>4724</v>
      </c>
      <c r="AG2" s="1836" t="s">
        <v>3847</v>
      </c>
      <c r="AH2" s="1836" t="s">
        <v>307</v>
      </c>
      <c r="AI2" s="1837" t="s">
        <v>293</v>
      </c>
      <c r="AJ2" s="1837" t="s">
        <v>114</v>
      </c>
      <c r="AK2" s="1837" t="s">
        <v>146</v>
      </c>
      <c r="AL2" s="1837" t="s">
        <v>4674</v>
      </c>
      <c r="AM2" s="1837" t="s">
        <v>3316</v>
      </c>
      <c r="AN2" s="1837" t="s">
        <v>3986</v>
      </c>
      <c r="AO2" s="1837" t="s">
        <v>4544</v>
      </c>
      <c r="AP2" s="1838" t="s">
        <v>86</v>
      </c>
      <c r="AQ2" s="1838" t="s">
        <v>150</v>
      </c>
      <c r="AR2" s="1838" t="s">
        <v>399</v>
      </c>
      <c r="AS2" s="1838" t="s">
        <v>152</v>
      </c>
      <c r="AT2" s="1838" t="s">
        <v>415</v>
      </c>
      <c r="AU2" s="1838" t="s">
        <v>4598</v>
      </c>
      <c r="AV2" s="1838" t="s">
        <v>4124</v>
      </c>
      <c r="AW2" s="1838" t="s">
        <v>312</v>
      </c>
      <c r="AX2" s="1838" t="s">
        <v>314</v>
      </c>
      <c r="AY2" s="1838" t="s">
        <v>1034</v>
      </c>
      <c r="AZ2" s="1838" t="s">
        <v>1020</v>
      </c>
      <c r="BA2" s="1838" t="s">
        <v>4708</v>
      </c>
    </row>
    <row r="3" spans="1:53">
      <c r="A3" s="4366"/>
      <c r="B3" s="1287" t="str">
        <f>HYPERLINK("#'Budget Summary I'!A1:AL1", "Budget Summary I")</f>
        <v>Budget Summary I</v>
      </c>
      <c r="C3" s="1328" t="s">
        <v>4599</v>
      </c>
      <c r="D3" s="1831"/>
      <c r="E3" s="1839">
        <f>R7</f>
        <v>0</v>
      </c>
      <c r="F3" s="1327"/>
      <c r="G3" s="1327"/>
      <c r="H3" s="1327"/>
      <c r="I3" s="1327"/>
      <c r="J3" s="1327"/>
      <c r="K3" s="1840"/>
      <c r="L3" s="1327"/>
      <c r="M3" s="1327"/>
      <c r="N3" s="1840"/>
      <c r="O3" s="1840"/>
      <c r="P3" s="1840"/>
      <c r="Q3" s="1840"/>
      <c r="R3" s="1840"/>
      <c r="S3" s="1840"/>
      <c r="T3" s="1840"/>
      <c r="U3" s="1840"/>
      <c r="V3" s="1840"/>
      <c r="W3" s="1840">
        <f>R9+R10+R11+R12+R13+R14+R15</f>
        <v>0</v>
      </c>
      <c r="X3" s="1840"/>
      <c r="Y3" s="1840"/>
      <c r="Z3" s="1840"/>
      <c r="AA3" s="1840"/>
      <c r="AB3" s="1840"/>
      <c r="AC3" s="1840"/>
      <c r="AD3" s="1840"/>
      <c r="AE3" s="1840"/>
      <c r="AF3" s="1840"/>
      <c r="AG3" s="1840"/>
      <c r="AH3" s="1840"/>
      <c r="AI3" s="1840"/>
      <c r="AJ3" s="1840"/>
      <c r="AK3" s="1840"/>
      <c r="AL3" s="1840"/>
      <c r="AM3" s="1840"/>
      <c r="AN3" s="1840"/>
      <c r="AO3" s="1840"/>
      <c r="AP3" s="1840"/>
      <c r="AQ3" s="1840"/>
      <c r="AR3" s="1840"/>
      <c r="AS3" s="1840"/>
      <c r="AT3" s="1840"/>
      <c r="AU3" s="1840"/>
      <c r="AV3" s="1840"/>
      <c r="AW3" s="1840"/>
      <c r="AX3" s="1840"/>
      <c r="AY3" s="1840"/>
      <c r="AZ3" s="1840"/>
      <c r="BA3" s="1840"/>
    </row>
    <row r="4" spans="1:53">
      <c r="A4" s="4367"/>
      <c r="B4" s="1287" t="str">
        <f>HYPERLINK("#'Budget Summary II'!A3:B5", "Budget Summary II")</f>
        <v>Budget Summary II</v>
      </c>
      <c r="C4" s="1328" t="s">
        <v>4600</v>
      </c>
      <c r="D4" s="1831"/>
      <c r="E4" s="1839">
        <f>O7</f>
        <v>7413.8649999999998</v>
      </c>
      <c r="F4" s="1327"/>
      <c r="G4" s="1327"/>
      <c r="H4" s="1327"/>
      <c r="I4" s="1327"/>
      <c r="J4" s="1327"/>
      <c r="K4" s="1840"/>
      <c r="L4" s="1327"/>
      <c r="M4" s="1327"/>
      <c r="N4" s="1840"/>
      <c r="O4" s="1840"/>
      <c r="P4" s="1840"/>
      <c r="Q4" s="1840"/>
      <c r="R4" s="1840"/>
      <c r="S4" s="1840"/>
      <c r="T4" s="1840"/>
      <c r="U4" s="1840"/>
      <c r="V4" s="1840"/>
      <c r="W4" s="1840">
        <f>O9+O10+O11+O12+O13+O14+O15</f>
        <v>7413.8649999999998</v>
      </c>
      <c r="X4" s="1840"/>
      <c r="Y4" s="1840"/>
      <c r="Z4" s="1840"/>
      <c r="AA4" s="1840"/>
      <c r="AB4" s="1840"/>
      <c r="AC4" s="1840"/>
      <c r="AD4" s="1840"/>
      <c r="AE4" s="1840"/>
      <c r="AF4" s="1840"/>
      <c r="AG4" s="1840"/>
      <c r="AH4" s="1840"/>
      <c r="AI4" s="1840"/>
      <c r="AJ4" s="1840"/>
      <c r="AK4" s="1840"/>
      <c r="AL4" s="1840"/>
      <c r="AM4" s="1840"/>
      <c r="AN4" s="1840"/>
      <c r="AO4" s="1840"/>
      <c r="AP4" s="1840"/>
      <c r="AQ4" s="1840"/>
      <c r="AR4" s="1840"/>
      <c r="AS4" s="1840"/>
      <c r="AT4" s="1840"/>
      <c r="AU4" s="1840"/>
      <c r="AV4" s="1840"/>
      <c r="AW4" s="1840"/>
      <c r="AX4" s="1840"/>
      <c r="AY4" s="1840"/>
      <c r="AZ4" s="1840"/>
      <c r="BA4" s="1840"/>
    </row>
    <row r="5" spans="1:53" s="1841" customFormat="1" ht="12.75" customHeight="1">
      <c r="A5" s="4364" t="s">
        <v>53</v>
      </c>
      <c r="B5" s="4364" t="s">
        <v>54</v>
      </c>
      <c r="C5" s="4364" t="s">
        <v>55</v>
      </c>
      <c r="D5" s="4364" t="s">
        <v>56</v>
      </c>
      <c r="E5" s="4364" t="s">
        <v>57</v>
      </c>
      <c r="F5" s="4363" t="s">
        <v>4620</v>
      </c>
      <c r="G5" s="4363"/>
      <c r="H5" s="4363"/>
      <c r="I5" s="4363"/>
      <c r="J5" s="4363"/>
      <c r="K5" s="4356" t="s">
        <v>4631</v>
      </c>
      <c r="L5" s="4357"/>
      <c r="M5" s="4357"/>
      <c r="N5" s="4357"/>
      <c r="O5" s="4357"/>
      <c r="P5" s="4358"/>
      <c r="Q5" s="4359" t="s">
        <v>4661</v>
      </c>
      <c r="R5" s="4360"/>
    </row>
    <row r="6" spans="1:53" s="1841" customFormat="1" ht="66">
      <c r="A6" s="4364"/>
      <c r="B6" s="4364"/>
      <c r="C6" s="4364"/>
      <c r="D6" s="4364"/>
      <c r="E6" s="4364"/>
      <c r="F6" s="1842" t="s">
        <v>4621</v>
      </c>
      <c r="G6" s="1842" t="s">
        <v>4629</v>
      </c>
      <c r="H6" s="1842" t="s">
        <v>4622</v>
      </c>
      <c r="I6" s="1842" t="s">
        <v>4630</v>
      </c>
      <c r="J6" s="1842" t="s">
        <v>2534</v>
      </c>
      <c r="K6" s="1843" t="s">
        <v>58</v>
      </c>
      <c r="L6" s="1843" t="s">
        <v>59</v>
      </c>
      <c r="M6" s="1844" t="s">
        <v>60</v>
      </c>
      <c r="N6" s="1843" t="s">
        <v>61</v>
      </c>
      <c r="O6" s="1844" t="s">
        <v>62</v>
      </c>
      <c r="P6" s="1843" t="s">
        <v>5564</v>
      </c>
      <c r="Q6" s="1845" t="s">
        <v>2536</v>
      </c>
      <c r="R6" s="1846" t="s">
        <v>4662</v>
      </c>
    </row>
    <row r="7" spans="1:53">
      <c r="A7" s="1514">
        <v>4</v>
      </c>
      <c r="B7" s="1514"/>
      <c r="C7" s="1514" t="s">
        <v>2722</v>
      </c>
      <c r="D7" s="1514"/>
      <c r="E7" s="1514"/>
      <c r="F7" s="1514"/>
      <c r="G7" s="1514"/>
      <c r="H7" s="1514"/>
      <c r="I7" s="1514"/>
      <c r="J7" s="1514"/>
      <c r="K7" s="1514"/>
      <c r="L7" s="1514"/>
      <c r="M7" s="1847"/>
      <c r="N7" s="1514"/>
      <c r="O7" s="1848">
        <f>O8</f>
        <v>7413.8649999999998</v>
      </c>
      <c r="P7" s="1849"/>
      <c r="Q7" s="1849"/>
      <c r="R7" s="1848">
        <f>R8</f>
        <v>0</v>
      </c>
    </row>
    <row r="8" spans="1:53" ht="49.5">
      <c r="A8" s="1295">
        <v>4.0999999999999996</v>
      </c>
      <c r="B8" s="1295" t="s">
        <v>1573</v>
      </c>
      <c r="C8" s="1295" t="s">
        <v>5589</v>
      </c>
      <c r="D8" s="1295"/>
      <c r="E8" s="1295"/>
      <c r="F8" s="1295"/>
      <c r="G8" s="1295"/>
      <c r="H8" s="1295"/>
      <c r="I8" s="1295"/>
      <c r="J8" s="1295"/>
      <c r="K8" s="1295"/>
      <c r="L8" s="1295"/>
      <c r="M8" s="1850"/>
      <c r="N8" s="1851"/>
      <c r="O8" s="1852">
        <f>SUM(O9:O15)</f>
        <v>7413.8649999999998</v>
      </c>
      <c r="P8" s="1853"/>
      <c r="Q8" s="1853"/>
      <c r="R8" s="1852">
        <f>SUM(R9:R15)</f>
        <v>0</v>
      </c>
    </row>
    <row r="9" spans="1:53" ht="66">
      <c r="A9" s="1854" t="s">
        <v>2723</v>
      </c>
      <c r="B9" s="1855" t="s">
        <v>1574</v>
      </c>
      <c r="C9" s="1855" t="s">
        <v>1575</v>
      </c>
      <c r="D9" s="1835" t="s">
        <v>70</v>
      </c>
      <c r="E9" s="1856" t="s">
        <v>70</v>
      </c>
      <c r="F9" s="1864">
        <v>36</v>
      </c>
      <c r="G9" s="1864">
        <v>36</v>
      </c>
      <c r="H9" s="1864">
        <v>360</v>
      </c>
      <c r="I9" s="1864"/>
      <c r="J9" s="1864"/>
      <c r="K9" s="1865" t="s">
        <v>6247</v>
      </c>
      <c r="L9" s="1554">
        <v>1200000</v>
      </c>
      <c r="M9" s="1857">
        <f t="shared" ref="M9:M15" si="0">L9/100000</f>
        <v>12</v>
      </c>
      <c r="N9" s="1554">
        <v>36</v>
      </c>
      <c r="O9" s="1858">
        <f t="shared" ref="O9:O15" si="1">M9*N9</f>
        <v>432</v>
      </c>
      <c r="P9" s="1866" t="s">
        <v>6252</v>
      </c>
      <c r="Q9" s="1859"/>
      <c r="R9" s="1860"/>
    </row>
    <row r="10" spans="1:53" ht="66">
      <c r="A10" s="1854" t="s">
        <v>2724</v>
      </c>
      <c r="B10" s="1855" t="s">
        <v>1576</v>
      </c>
      <c r="C10" s="1855" t="s">
        <v>305</v>
      </c>
      <c r="D10" s="1835" t="s">
        <v>70</v>
      </c>
      <c r="E10" s="1856" t="s">
        <v>70</v>
      </c>
      <c r="F10" s="1864">
        <v>113</v>
      </c>
      <c r="G10" s="1864">
        <v>113</v>
      </c>
      <c r="H10" s="1864">
        <v>565</v>
      </c>
      <c r="I10" s="1864"/>
      <c r="J10" s="1864"/>
      <c r="K10" s="1865" t="s">
        <v>6248</v>
      </c>
      <c r="L10" s="1867">
        <v>500000</v>
      </c>
      <c r="M10" s="1857">
        <f t="shared" si="0"/>
        <v>5</v>
      </c>
      <c r="N10" s="1554">
        <v>113</v>
      </c>
      <c r="O10" s="1858">
        <f t="shared" si="1"/>
        <v>565</v>
      </c>
      <c r="P10" s="1866" t="s">
        <v>6448</v>
      </c>
      <c r="Q10" s="1859"/>
      <c r="R10" s="1860"/>
    </row>
    <row r="11" spans="1:53" ht="66">
      <c r="A11" s="1854" t="s">
        <v>2725</v>
      </c>
      <c r="B11" s="1855" t="s">
        <v>1577</v>
      </c>
      <c r="C11" s="1855" t="s">
        <v>302</v>
      </c>
      <c r="D11" s="1835" t="s">
        <v>70</v>
      </c>
      <c r="E11" s="1856" t="s">
        <v>70</v>
      </c>
      <c r="F11" s="1864">
        <v>230</v>
      </c>
      <c r="G11" s="1864">
        <v>230</v>
      </c>
      <c r="H11" s="1864">
        <v>1150</v>
      </c>
      <c r="I11" s="1864"/>
      <c r="J11" s="1864"/>
      <c r="K11" s="1865" t="s">
        <v>6249</v>
      </c>
      <c r="L11" s="1554">
        <v>500000</v>
      </c>
      <c r="M11" s="1857">
        <f t="shared" si="0"/>
        <v>5</v>
      </c>
      <c r="N11" s="1554">
        <v>246</v>
      </c>
      <c r="O11" s="1858">
        <f t="shared" si="1"/>
        <v>1230</v>
      </c>
      <c r="P11" s="1866" t="s">
        <v>6449</v>
      </c>
      <c r="Q11" s="1859"/>
      <c r="R11" s="1860"/>
    </row>
    <row r="12" spans="1:53" ht="115.5">
      <c r="A12" s="1854" t="s">
        <v>2726</v>
      </c>
      <c r="B12" s="1855" t="s">
        <v>1578</v>
      </c>
      <c r="C12" s="1855" t="s">
        <v>303</v>
      </c>
      <c r="D12" s="1835" t="s">
        <v>70</v>
      </c>
      <c r="E12" s="1856" t="s">
        <v>70</v>
      </c>
      <c r="F12" s="1864">
        <v>190</v>
      </c>
      <c r="G12" s="1864">
        <v>190</v>
      </c>
      <c r="H12" s="1868">
        <v>332.5</v>
      </c>
      <c r="I12" s="1864"/>
      <c r="J12" s="1864"/>
      <c r="K12" s="1865" t="s">
        <v>6250</v>
      </c>
      <c r="L12" s="1554">
        <v>300000</v>
      </c>
      <c r="M12" s="1857">
        <f t="shared" si="0"/>
        <v>3</v>
      </c>
      <c r="N12" s="1554">
        <v>287</v>
      </c>
      <c r="O12" s="1858">
        <f t="shared" si="1"/>
        <v>861</v>
      </c>
      <c r="P12" s="1866" t="s">
        <v>6253</v>
      </c>
      <c r="Q12" s="1859"/>
      <c r="R12" s="1860"/>
    </row>
    <row r="13" spans="1:53" ht="181.5">
      <c r="A13" s="1854" t="s">
        <v>2727</v>
      </c>
      <c r="B13" s="1855" t="s">
        <v>1579</v>
      </c>
      <c r="C13" s="1855" t="s">
        <v>304</v>
      </c>
      <c r="D13" s="1835" t="s">
        <v>70</v>
      </c>
      <c r="E13" s="1856" t="s">
        <v>70</v>
      </c>
      <c r="F13" s="1864">
        <v>9949</v>
      </c>
      <c r="G13" s="1864">
        <v>9949</v>
      </c>
      <c r="H13" s="1864">
        <v>1394.1</v>
      </c>
      <c r="I13" s="1864"/>
      <c r="J13" s="1864"/>
      <c r="K13" s="1865" t="s">
        <v>6251</v>
      </c>
      <c r="L13" s="1869">
        <v>17129.3597346467</v>
      </c>
      <c r="M13" s="1857">
        <f t="shared" si="0"/>
        <v>0.17129359734646699</v>
      </c>
      <c r="N13" s="1554">
        <v>9949</v>
      </c>
      <c r="O13" s="1858">
        <f t="shared" si="1"/>
        <v>1704.2</v>
      </c>
      <c r="P13" s="1866" t="s">
        <v>6450</v>
      </c>
      <c r="Q13" s="1859"/>
      <c r="R13" s="1860"/>
    </row>
    <row r="14" spans="1:53" s="3989" customFormat="1" ht="233.25" customHeight="1">
      <c r="A14" s="3976" t="s">
        <v>2728</v>
      </c>
      <c r="B14" s="3977" t="s">
        <v>1580</v>
      </c>
      <c r="C14" s="3977" t="s">
        <v>1581</v>
      </c>
      <c r="D14" s="3978" t="s">
        <v>70</v>
      </c>
      <c r="E14" s="3979" t="s">
        <v>70</v>
      </c>
      <c r="F14" s="3980">
        <v>8410</v>
      </c>
      <c r="G14" s="3981"/>
      <c r="H14" s="3982">
        <v>841</v>
      </c>
      <c r="I14" s="3982"/>
      <c r="J14" s="3980"/>
      <c r="K14" s="3983" t="s">
        <v>5862</v>
      </c>
      <c r="L14" s="3653">
        <v>7355.2204050687751</v>
      </c>
      <c r="M14" s="3984">
        <f t="shared" si="0"/>
        <v>7.3552204050687756E-2</v>
      </c>
      <c r="N14" s="3653">
        <v>18466</v>
      </c>
      <c r="O14" s="3985">
        <f t="shared" si="1"/>
        <v>1358.2150000000001</v>
      </c>
      <c r="P14" s="3986" t="s">
        <v>6874</v>
      </c>
      <c r="Q14" s="3987"/>
      <c r="R14" s="3988"/>
    </row>
    <row r="15" spans="1:53" ht="150" customHeight="1">
      <c r="A15" s="1854" t="s">
        <v>2729</v>
      </c>
      <c r="B15" s="1855" t="s">
        <v>1582</v>
      </c>
      <c r="C15" s="1855" t="s">
        <v>1766</v>
      </c>
      <c r="D15" s="1835" t="s">
        <v>70</v>
      </c>
      <c r="E15" s="1856" t="s">
        <v>70</v>
      </c>
      <c r="F15" s="1861"/>
      <c r="G15" s="1861"/>
      <c r="H15" s="1861"/>
      <c r="I15" s="1861"/>
      <c r="J15" s="1861"/>
      <c r="K15" s="1861" t="s">
        <v>5898</v>
      </c>
      <c r="L15" s="1317">
        <f>55815000+70530000</f>
        <v>126345000</v>
      </c>
      <c r="M15" s="1857">
        <f t="shared" si="0"/>
        <v>1263.45</v>
      </c>
      <c r="N15" s="1317">
        <v>1</v>
      </c>
      <c r="O15" s="1858">
        <f t="shared" si="1"/>
        <v>1263.45</v>
      </c>
      <c r="P15" s="1862" t="s">
        <v>6848</v>
      </c>
      <c r="Q15" s="1859"/>
      <c r="R15" s="1860"/>
    </row>
  </sheetData>
  <sheetProtection sheet="1" formatCells="0" formatColumns="0" formatRows="0" autoFilter="0"/>
  <autoFilter ref="A6:R15"/>
  <mergeCells count="15">
    <mergeCell ref="AI1:AO1"/>
    <mergeCell ref="AP1:BA1"/>
    <mergeCell ref="K5:P5"/>
    <mergeCell ref="Q5:R5"/>
    <mergeCell ref="A1:C1"/>
    <mergeCell ref="F5:J5"/>
    <mergeCell ref="A5:A6"/>
    <mergeCell ref="B5:B6"/>
    <mergeCell ref="C5:C6"/>
    <mergeCell ref="D5:D6"/>
    <mergeCell ref="E5:E6"/>
    <mergeCell ref="A2:A4"/>
    <mergeCell ref="E1:E2"/>
    <mergeCell ref="F1:N1"/>
    <mergeCell ref="O1:AH1"/>
  </mergeCells>
  <pageMargins left="0.7" right="0.23" top="0.3" bottom="0.37" header="0.3" footer="0.3"/>
  <pageSetup paperSize="5" scale="70" orientation="landscape" horizontalDpi="0" verticalDpi="0" r:id="rId1"/>
</worksheet>
</file>

<file path=xl/worksheets/sheet14.xml><?xml version="1.0" encoding="utf-8"?>
<worksheet xmlns="http://schemas.openxmlformats.org/spreadsheetml/2006/main" xmlns:r="http://schemas.openxmlformats.org/officeDocument/2006/relationships">
  <sheetPr codeName="Sheet4"/>
  <dimension ref="A1:BA98"/>
  <sheetViews>
    <sheetView zoomScale="80" zoomScaleNormal="80" workbookViewId="0">
      <pane xSplit="5" ySplit="7" topLeftCell="L8" activePane="bottomRight" state="frozen"/>
      <selection activeCell="Q172" sqref="A1:BE179"/>
      <selection pane="topRight" activeCell="Q172" sqref="A1:BE179"/>
      <selection pane="bottomLeft" activeCell="Q172" sqref="A1:BE179"/>
      <selection pane="bottomRight" activeCell="C12" sqref="C12"/>
    </sheetView>
  </sheetViews>
  <sheetFormatPr defaultColWidth="9.140625" defaultRowHeight="16.5"/>
  <cols>
    <col min="1" max="1" width="13.7109375" style="1978" customWidth="1"/>
    <col min="2" max="2" width="10.5703125" style="1967" customWidth="1"/>
    <col min="3" max="3" width="40.7109375" style="1974" customWidth="1"/>
    <col min="4" max="4" width="7.85546875" style="1979" customWidth="1"/>
    <col min="5" max="5" width="15.85546875" style="1979" customWidth="1"/>
    <col min="6" max="6" width="30.140625" style="1974" hidden="1" customWidth="1"/>
    <col min="7" max="7" width="31.140625" style="1974" hidden="1" customWidth="1"/>
    <col min="8" max="8" width="13.85546875" style="1974" hidden="1" customWidth="1"/>
    <col min="9" max="9" width="16.5703125" style="1974" hidden="1" customWidth="1"/>
    <col min="10" max="10" width="16.140625" style="1974" hidden="1" customWidth="1"/>
    <col min="11" max="11" width="18.42578125" style="1974" customWidth="1"/>
    <col min="12" max="12" width="14.28515625" style="1974" customWidth="1"/>
    <col min="13" max="13" width="12.5703125" style="1980" customWidth="1"/>
    <col min="14" max="14" width="13" style="1974" customWidth="1"/>
    <col min="15" max="15" width="22.7109375" style="1980" customWidth="1"/>
    <col min="16" max="16" width="70.85546875" style="1981" customWidth="1"/>
    <col min="17" max="17" width="34" style="1981" hidden="1" customWidth="1"/>
    <col min="18" max="18" width="13.140625" style="1980" hidden="1" customWidth="1"/>
    <col min="19" max="19" width="6.140625" style="1967" hidden="1" customWidth="1"/>
    <col min="20" max="20" width="3.7109375" style="1967" hidden="1" customWidth="1"/>
    <col min="21" max="22" width="4.140625" style="1967" hidden="1" customWidth="1"/>
    <col min="23" max="23" width="3.85546875" style="1967" hidden="1" customWidth="1"/>
    <col min="24" max="24" width="4.5703125" style="1967" hidden="1" customWidth="1"/>
    <col min="25" max="25" width="6.140625" style="1967" hidden="1" customWidth="1"/>
    <col min="26" max="26" width="7.5703125" style="1967" hidden="1" customWidth="1"/>
    <col min="27" max="27" width="4.140625" style="1967" hidden="1" customWidth="1"/>
    <col min="28" max="28" width="8.140625" style="1967" hidden="1" customWidth="1"/>
    <col min="29" max="30" width="4.140625" style="1967" hidden="1" customWidth="1"/>
    <col min="31" max="31" width="7.42578125" style="1967" hidden="1" customWidth="1"/>
    <col min="32" max="32" width="5.5703125" style="1967" hidden="1" customWidth="1"/>
    <col min="33" max="33" width="7.42578125" style="1967" hidden="1" customWidth="1"/>
    <col min="34" max="34" width="7" style="1967" hidden="1" customWidth="1"/>
    <col min="35" max="35" width="4.85546875" style="1967" hidden="1" customWidth="1"/>
    <col min="36" max="36" width="8" style="1967" hidden="1" customWidth="1"/>
    <col min="37" max="37" width="5.140625" style="1967" hidden="1" customWidth="1"/>
    <col min="38" max="38" width="5.5703125" style="1967" hidden="1" customWidth="1"/>
    <col min="39" max="39" width="6.85546875" style="1967" hidden="1" customWidth="1"/>
    <col min="40" max="40" width="5.5703125" style="1967" hidden="1" customWidth="1"/>
    <col min="41" max="41" width="4.85546875" style="1967" hidden="1" customWidth="1"/>
    <col min="42" max="42" width="5.5703125" style="1967" hidden="1" customWidth="1"/>
    <col min="43" max="43" width="6.42578125" style="1967" hidden="1" customWidth="1"/>
    <col min="44" max="44" width="6.7109375" style="1967" hidden="1" customWidth="1"/>
    <col min="45" max="45" width="5.42578125" style="1967" hidden="1" customWidth="1"/>
    <col min="46" max="46" width="7.7109375" style="1967" hidden="1" customWidth="1"/>
    <col min="47" max="47" width="7.42578125" style="1967" hidden="1" customWidth="1"/>
    <col min="48" max="48" width="8" style="1967" hidden="1" customWidth="1"/>
    <col min="49" max="49" width="6" style="1967" hidden="1" customWidth="1"/>
    <col min="50" max="50" width="5.5703125" style="1967" hidden="1" customWidth="1"/>
    <col min="51" max="51" width="6.42578125" style="1967" hidden="1" customWidth="1"/>
    <col min="52" max="52" width="6.7109375" style="1967" hidden="1" customWidth="1"/>
    <col min="53" max="53" width="7.7109375" style="1967" hidden="1" customWidth="1"/>
    <col min="54" max="16384" width="9.140625" style="1967"/>
  </cols>
  <sheetData>
    <row r="1" spans="1:53" s="1966" customFormat="1">
      <c r="A1" s="4384" t="s">
        <v>297</v>
      </c>
      <c r="B1" s="4385"/>
      <c r="C1" s="4385"/>
      <c r="D1" s="1965"/>
      <c r="E1" s="4390" t="s">
        <v>4709</v>
      </c>
      <c r="F1" s="4392" t="s">
        <v>4707</v>
      </c>
      <c r="G1" s="4393"/>
      <c r="H1" s="4393"/>
      <c r="I1" s="4393"/>
      <c r="J1" s="4393"/>
      <c r="K1" s="4393"/>
      <c r="L1" s="4393"/>
      <c r="M1" s="4393"/>
      <c r="N1" s="4394"/>
      <c r="O1" s="4395" t="s">
        <v>70</v>
      </c>
      <c r="P1" s="4396"/>
      <c r="Q1" s="4396"/>
      <c r="R1" s="4396"/>
      <c r="S1" s="4396"/>
      <c r="T1" s="4396"/>
      <c r="U1" s="4396"/>
      <c r="V1" s="4396"/>
      <c r="W1" s="4396"/>
      <c r="X1" s="4396"/>
      <c r="Y1" s="4396"/>
      <c r="Z1" s="4396"/>
      <c r="AA1" s="4396"/>
      <c r="AB1" s="4396"/>
      <c r="AC1" s="4396"/>
      <c r="AD1" s="4396"/>
      <c r="AE1" s="4396"/>
      <c r="AF1" s="4396"/>
      <c r="AG1" s="4396"/>
      <c r="AH1" s="4396"/>
      <c r="AI1" s="4374" t="s">
        <v>4358</v>
      </c>
      <c r="AJ1" s="4375"/>
      <c r="AK1" s="4375"/>
      <c r="AL1" s="4375"/>
      <c r="AM1" s="4375"/>
      <c r="AN1" s="4375"/>
      <c r="AO1" s="4376"/>
      <c r="AP1" s="4377" t="s">
        <v>85</v>
      </c>
      <c r="AQ1" s="4378"/>
      <c r="AR1" s="4378"/>
      <c r="AS1" s="4378"/>
      <c r="AT1" s="4378"/>
      <c r="AU1" s="4378"/>
      <c r="AV1" s="4378"/>
      <c r="AW1" s="4378"/>
      <c r="AX1" s="4378"/>
      <c r="AY1" s="4378"/>
      <c r="AZ1" s="4378"/>
      <c r="BA1" s="4379"/>
    </row>
    <row r="2" spans="1:53" ht="49.5">
      <c r="A2" s="4387" t="str">
        <f>HYPERLINK("#Index!A4", "Index Pg")</f>
        <v>Index Pg</v>
      </c>
      <c r="B2" s="1340"/>
      <c r="C2" s="1340"/>
      <c r="D2" s="1871"/>
      <c r="E2" s="4391"/>
      <c r="F2" s="1279" t="s">
        <v>118</v>
      </c>
      <c r="G2" s="1279" t="s">
        <v>131</v>
      </c>
      <c r="H2" s="1279" t="s">
        <v>91</v>
      </c>
      <c r="I2" s="1279" t="s">
        <v>4705</v>
      </c>
      <c r="J2" s="1279" t="s">
        <v>96</v>
      </c>
      <c r="K2" s="1352" t="s">
        <v>4064</v>
      </c>
      <c r="L2" s="1280" t="s">
        <v>4706</v>
      </c>
      <c r="M2" s="1280" t="s">
        <v>4710</v>
      </c>
      <c r="N2" s="1280" t="s">
        <v>208</v>
      </c>
      <c r="O2" s="1282" t="s">
        <v>4357</v>
      </c>
      <c r="P2" s="1282" t="s">
        <v>3848</v>
      </c>
      <c r="Q2" s="1282" t="s">
        <v>4719</v>
      </c>
      <c r="R2" s="1282" t="s">
        <v>4716</v>
      </c>
      <c r="S2" s="1282" t="s">
        <v>4717</v>
      </c>
      <c r="T2" s="1282" t="s">
        <v>4718</v>
      </c>
      <c r="U2" s="1282" t="s">
        <v>4720</v>
      </c>
      <c r="V2" s="1282" t="s">
        <v>4695</v>
      </c>
      <c r="W2" s="1282" t="s">
        <v>4721</v>
      </c>
      <c r="X2" s="1282" t="s">
        <v>33</v>
      </c>
      <c r="Y2" s="1282" t="s">
        <v>4722</v>
      </c>
      <c r="Z2" s="1282" t="s">
        <v>4723</v>
      </c>
      <c r="AA2" s="1282" t="s">
        <v>4713</v>
      </c>
      <c r="AB2" s="1282" t="s">
        <v>742</v>
      </c>
      <c r="AC2" s="1282" t="s">
        <v>4714</v>
      </c>
      <c r="AD2" s="1282" t="s">
        <v>4715</v>
      </c>
      <c r="AE2" s="1282" t="s">
        <v>2379</v>
      </c>
      <c r="AF2" s="1282" t="s">
        <v>4724</v>
      </c>
      <c r="AG2" s="1282" t="s">
        <v>3847</v>
      </c>
      <c r="AH2" s="1282" t="s">
        <v>307</v>
      </c>
      <c r="AI2" s="1283" t="s">
        <v>293</v>
      </c>
      <c r="AJ2" s="1283" t="s">
        <v>114</v>
      </c>
      <c r="AK2" s="1283" t="s">
        <v>146</v>
      </c>
      <c r="AL2" s="1283" t="s">
        <v>4674</v>
      </c>
      <c r="AM2" s="1283" t="s">
        <v>3316</v>
      </c>
      <c r="AN2" s="1283" t="s">
        <v>3986</v>
      </c>
      <c r="AO2" s="1283" t="s">
        <v>4544</v>
      </c>
      <c r="AP2" s="1284" t="s">
        <v>86</v>
      </c>
      <c r="AQ2" s="1284" t="s">
        <v>150</v>
      </c>
      <c r="AR2" s="1284" t="s">
        <v>399</v>
      </c>
      <c r="AS2" s="1284" t="s">
        <v>152</v>
      </c>
      <c r="AT2" s="1284" t="s">
        <v>415</v>
      </c>
      <c r="AU2" s="1284" t="s">
        <v>4598</v>
      </c>
      <c r="AV2" s="1284" t="s">
        <v>4124</v>
      </c>
      <c r="AW2" s="1284" t="s">
        <v>312</v>
      </c>
      <c r="AX2" s="1284" t="s">
        <v>314</v>
      </c>
      <c r="AY2" s="1284" t="s">
        <v>1034</v>
      </c>
      <c r="AZ2" s="1284" t="s">
        <v>1020</v>
      </c>
      <c r="BA2" s="1284" t="s">
        <v>4708</v>
      </c>
    </row>
    <row r="3" spans="1:53">
      <c r="A3" s="4388"/>
      <c r="B3" s="1287" t="str">
        <f>HYPERLINK("#'Budget Summary I'!A1:AL1", "Budget Summary I")</f>
        <v>Budget Summary I</v>
      </c>
      <c r="C3" s="1286" t="s">
        <v>4599</v>
      </c>
      <c r="D3" s="1871"/>
      <c r="E3" s="1872">
        <f>R7</f>
        <v>0</v>
      </c>
      <c r="F3" s="1338"/>
      <c r="G3" s="1338">
        <f>R66</f>
        <v>0</v>
      </c>
      <c r="H3" s="1338"/>
      <c r="I3" s="1338">
        <f>R65</f>
        <v>0</v>
      </c>
      <c r="J3" s="1338"/>
      <c r="K3" s="1508"/>
      <c r="L3" s="1338">
        <f>R89</f>
        <v>0</v>
      </c>
      <c r="M3" s="1338"/>
      <c r="N3" s="1508">
        <f>R90</f>
        <v>0</v>
      </c>
      <c r="O3" s="1508">
        <f>R28+R29+R30+R41</f>
        <v>0</v>
      </c>
      <c r="P3" s="1508"/>
      <c r="Q3" s="1873">
        <f>R11+R12+R13+R14+R15+R16+R17+R19+R20+R22+R25+R26+R27+R31+R32+R33+R37+R38+R40+R42+R43+R44+R45+R47+R48+R49+R50+R51+R52+R53+R57+R58+R59+R60+R61+R62+R63+R64+R67+R68+R69+R72+R73+R74+R75+R76+R77+R78+R79+R80+R81+R83+R86+R87+R35+R70+R98+R54+R39+R85</f>
        <v>0</v>
      </c>
      <c r="R3" s="1508"/>
      <c r="S3" s="1508"/>
      <c r="T3" s="1508"/>
      <c r="U3" s="1508"/>
      <c r="V3" s="1508"/>
      <c r="W3" s="1508"/>
      <c r="X3" s="1508"/>
      <c r="Y3" s="1508"/>
      <c r="Z3" s="1508"/>
      <c r="AA3" s="1508"/>
      <c r="AB3" s="1508"/>
      <c r="AC3" s="1508"/>
      <c r="AD3" s="1508"/>
      <c r="AE3" s="1508"/>
      <c r="AF3" s="1508">
        <f>R84</f>
        <v>0</v>
      </c>
      <c r="AG3" s="1508"/>
      <c r="AH3" s="1508"/>
      <c r="AI3" s="1508"/>
      <c r="AJ3" s="1508">
        <f>R91+R92+R93</f>
        <v>0</v>
      </c>
      <c r="AK3" s="1508"/>
      <c r="AL3" s="1508">
        <f>R94</f>
        <v>0</v>
      </c>
      <c r="AM3" s="1508"/>
      <c r="AN3" s="1508"/>
      <c r="AO3" s="1508"/>
      <c r="AP3" s="1508">
        <f>R18</f>
        <v>0</v>
      </c>
      <c r="AQ3" s="1508">
        <f>R95</f>
        <v>0</v>
      </c>
      <c r="AR3" s="1508">
        <f>R96</f>
        <v>0</v>
      </c>
      <c r="AS3" s="1508"/>
      <c r="AT3" s="1508">
        <f>R97</f>
        <v>0</v>
      </c>
      <c r="AU3" s="1508"/>
      <c r="AV3" s="1508">
        <f>R34</f>
        <v>0</v>
      </c>
      <c r="AW3" s="1508">
        <f>R23</f>
        <v>0</v>
      </c>
      <c r="AX3" s="1508">
        <f>R24</f>
        <v>0</v>
      </c>
      <c r="AY3" s="1508"/>
      <c r="AZ3" s="1508"/>
      <c r="BA3" s="1508">
        <f>R88</f>
        <v>0</v>
      </c>
    </row>
    <row r="4" spans="1:53">
      <c r="A4" s="4389"/>
      <c r="B4" s="1287" t="str">
        <f>HYPERLINK("#'Budget Summary II'!A3:B5", "Budget Summary II")</f>
        <v>Budget Summary II</v>
      </c>
      <c r="C4" s="1286" t="s">
        <v>4600</v>
      </c>
      <c r="D4" s="1871"/>
      <c r="E4" s="1872">
        <f>O7</f>
        <v>71308.335629999987</v>
      </c>
      <c r="F4" s="1338"/>
      <c r="G4" s="1338">
        <f>O66</f>
        <v>0</v>
      </c>
      <c r="H4" s="1338"/>
      <c r="I4" s="1338">
        <f>O65</f>
        <v>0</v>
      </c>
      <c r="J4" s="1338"/>
      <c r="K4" s="1508"/>
      <c r="L4" s="1338">
        <f>O89</f>
        <v>0</v>
      </c>
      <c r="M4" s="1338"/>
      <c r="N4" s="1508">
        <f>O90</f>
        <v>4</v>
      </c>
      <c r="O4" s="1508">
        <f>O28+O29+O30+O41</f>
        <v>29418</v>
      </c>
      <c r="P4" s="1508"/>
      <c r="Q4" s="1873">
        <f>O11+O12+O13+O14+O15+O16+O17+O19+O20+O22+O25+O26+O27+O31+O32+O33+O37+O38+O40+O42+O43+O44+O45+O47+O48+O49+O50+O51+O52+O53+O57+O58+O59+O60+O61+O62+O63+O64+O67+O68+O69+O72+O73+O74+O75+O76+O77+O78+O79+O80+O81+O83+O86+O87+O98+O70+O35+O39+O54+O85</f>
        <v>41403.155630000001</v>
      </c>
      <c r="R4" s="1508"/>
      <c r="S4" s="1508"/>
      <c r="T4" s="1508"/>
      <c r="U4" s="1508"/>
      <c r="V4" s="1508"/>
      <c r="W4" s="1508"/>
      <c r="X4" s="1508"/>
      <c r="Y4" s="1508"/>
      <c r="Z4" s="1508"/>
      <c r="AA4" s="1508"/>
      <c r="AB4" s="1508"/>
      <c r="AC4" s="1508"/>
      <c r="AD4" s="1508"/>
      <c r="AE4" s="1508"/>
      <c r="AF4" s="1508">
        <f>O84</f>
        <v>50</v>
      </c>
      <c r="AG4" s="1508"/>
      <c r="AH4" s="1508"/>
      <c r="AI4" s="1508"/>
      <c r="AJ4" s="1508">
        <f>O91+O92+O93</f>
        <v>75</v>
      </c>
      <c r="AK4" s="1508"/>
      <c r="AL4" s="1508">
        <f>O94</f>
        <v>281.68</v>
      </c>
      <c r="AM4" s="1508"/>
      <c r="AN4" s="1508"/>
      <c r="AO4" s="1508"/>
      <c r="AP4" s="1508">
        <f>O18</f>
        <v>0</v>
      </c>
      <c r="AQ4" s="1508">
        <f>O95</f>
        <v>21</v>
      </c>
      <c r="AR4" s="1508">
        <f>O96</f>
        <v>0</v>
      </c>
      <c r="AS4" s="1508"/>
      <c r="AT4" s="1508">
        <f>O97</f>
        <v>0</v>
      </c>
      <c r="AU4" s="1508"/>
      <c r="AV4" s="1508">
        <f>O34</f>
        <v>0</v>
      </c>
      <c r="AW4" s="1508">
        <f>O23</f>
        <v>55.5</v>
      </c>
      <c r="AX4" s="1508">
        <f>O24</f>
        <v>0</v>
      </c>
      <c r="AY4" s="1508"/>
      <c r="AZ4" s="1508"/>
      <c r="BA4" s="1508">
        <f>O88</f>
        <v>0</v>
      </c>
    </row>
    <row r="5" spans="1:53" s="1968" customFormat="1">
      <c r="A5" s="4386" t="s">
        <v>53</v>
      </c>
      <c r="B5" s="4343" t="s">
        <v>54</v>
      </c>
      <c r="C5" s="4343" t="s">
        <v>55</v>
      </c>
      <c r="D5" s="4343" t="s">
        <v>56</v>
      </c>
      <c r="E5" s="4343" t="s">
        <v>57</v>
      </c>
      <c r="F5" s="4339" t="s">
        <v>4620</v>
      </c>
      <c r="G5" s="4339"/>
      <c r="H5" s="4339"/>
      <c r="I5" s="4339"/>
      <c r="J5" s="4339"/>
      <c r="K5" s="4340" t="s">
        <v>4631</v>
      </c>
      <c r="L5" s="4380"/>
      <c r="M5" s="4380"/>
      <c r="N5" s="4380"/>
      <c r="O5" s="4380"/>
      <c r="P5" s="4381"/>
      <c r="Q5" s="4382" t="s">
        <v>4661</v>
      </c>
      <c r="R5" s="4383"/>
    </row>
    <row r="6" spans="1:53" s="1968" customFormat="1" ht="49.5">
      <c r="A6" s="4386"/>
      <c r="B6" s="4343"/>
      <c r="C6" s="4343"/>
      <c r="D6" s="4343"/>
      <c r="E6" s="4343"/>
      <c r="F6" s="1288" t="s">
        <v>4621</v>
      </c>
      <c r="G6" s="1288" t="s">
        <v>4629</v>
      </c>
      <c r="H6" s="1288" t="s">
        <v>4622</v>
      </c>
      <c r="I6" s="1288" t="s">
        <v>4630</v>
      </c>
      <c r="J6" s="1288" t="s">
        <v>2534</v>
      </c>
      <c r="K6" s="1289" t="s">
        <v>58</v>
      </c>
      <c r="L6" s="1289" t="s">
        <v>59</v>
      </c>
      <c r="M6" s="1290" t="s">
        <v>60</v>
      </c>
      <c r="N6" s="1289" t="s">
        <v>61</v>
      </c>
      <c r="O6" s="1290" t="s">
        <v>62</v>
      </c>
      <c r="P6" s="1510" t="s">
        <v>5564</v>
      </c>
      <c r="Q6" s="1874" t="s">
        <v>2536</v>
      </c>
      <c r="R6" s="1512" t="s">
        <v>4662</v>
      </c>
    </row>
    <row r="7" spans="1:53">
      <c r="A7" s="1969">
        <v>5</v>
      </c>
      <c r="B7" s="1875"/>
      <c r="C7" s="1513" t="s">
        <v>14</v>
      </c>
      <c r="D7" s="1515"/>
      <c r="E7" s="1515"/>
      <c r="F7" s="1515"/>
      <c r="G7" s="1515"/>
      <c r="H7" s="1515"/>
      <c r="I7" s="1515"/>
      <c r="J7" s="1515"/>
      <c r="K7" s="1515"/>
      <c r="L7" s="1515"/>
      <c r="M7" s="1876"/>
      <c r="N7" s="1877"/>
      <c r="O7" s="1294">
        <f>O8+O55+O82</f>
        <v>71308.335629999987</v>
      </c>
      <c r="P7" s="1516"/>
      <c r="Q7" s="1878"/>
      <c r="R7" s="1879">
        <f>R8+R55+R82</f>
        <v>0</v>
      </c>
    </row>
    <row r="8" spans="1:53" ht="33">
      <c r="A8" s="1970">
        <v>5.0999999999999996</v>
      </c>
      <c r="B8" s="1774"/>
      <c r="C8" s="1670" t="s">
        <v>4345</v>
      </c>
      <c r="D8" s="1881"/>
      <c r="E8" s="1881"/>
      <c r="F8" s="1882"/>
      <c r="G8" s="1882"/>
      <c r="H8" s="1882"/>
      <c r="I8" s="1882"/>
      <c r="J8" s="1882"/>
      <c r="K8" s="1882"/>
      <c r="L8" s="1882"/>
      <c r="M8" s="1883"/>
      <c r="N8" s="1884"/>
      <c r="O8" s="1301">
        <f>O9+O54</f>
        <v>59996.204879999998</v>
      </c>
      <c r="P8" s="1885"/>
      <c r="Q8" s="1886"/>
      <c r="R8" s="1887">
        <f>R9+R54</f>
        <v>0</v>
      </c>
    </row>
    <row r="9" spans="1:53">
      <c r="A9" s="1971" t="s">
        <v>298</v>
      </c>
      <c r="B9" s="1769" t="s">
        <v>299</v>
      </c>
      <c r="C9" s="1770" t="s">
        <v>4798</v>
      </c>
      <c r="D9" s="1520"/>
      <c r="E9" s="1520"/>
      <c r="F9" s="1675"/>
      <c r="G9" s="1675"/>
      <c r="H9" s="1675"/>
      <c r="I9" s="1675"/>
      <c r="J9" s="1675"/>
      <c r="K9" s="1675"/>
      <c r="L9" s="1675"/>
      <c r="M9" s="1888"/>
      <c r="N9" s="1889"/>
      <c r="O9" s="1342">
        <f>O10+O21+O36+O46</f>
        <v>57913.00488</v>
      </c>
      <c r="P9" s="1890"/>
      <c r="Q9" s="1891"/>
      <c r="R9" s="1892">
        <f>R10+R21+R36+R46</f>
        <v>0</v>
      </c>
    </row>
    <row r="10" spans="1:53" ht="82.5">
      <c r="A10" s="1972" t="s">
        <v>300</v>
      </c>
      <c r="B10" s="1893" t="s">
        <v>4876</v>
      </c>
      <c r="C10" s="1894" t="s">
        <v>4878</v>
      </c>
      <c r="D10" s="1895"/>
      <c r="E10" s="1895"/>
      <c r="F10" s="1896"/>
      <c r="G10" s="1896"/>
      <c r="H10" s="1896"/>
      <c r="I10" s="1896"/>
      <c r="J10" s="1896"/>
      <c r="K10" s="1896"/>
      <c r="L10" s="1896"/>
      <c r="M10" s="1897"/>
      <c r="N10" s="1898"/>
      <c r="O10" s="1899">
        <f>SUM(O11:O20)</f>
        <v>8712.5</v>
      </c>
      <c r="P10" s="1900"/>
      <c r="Q10" s="1901"/>
      <c r="R10" s="1902">
        <f>SUM(R11:R20)</f>
        <v>0</v>
      </c>
    </row>
    <row r="11" spans="1:53" s="1974" customFormat="1" ht="44.25" customHeight="1">
      <c r="A11" s="1973" t="s">
        <v>4162</v>
      </c>
      <c r="B11" s="1699" t="s">
        <v>2785</v>
      </c>
      <c r="C11" s="1736" t="s">
        <v>301</v>
      </c>
      <c r="D11" s="1281" t="s">
        <v>70</v>
      </c>
      <c r="E11" s="1335" t="s">
        <v>70</v>
      </c>
      <c r="F11" s="1903"/>
      <c r="G11" s="1904"/>
      <c r="H11" s="1905"/>
      <c r="I11" s="1905"/>
      <c r="J11" s="1906"/>
      <c r="K11" s="1738"/>
      <c r="L11" s="1317"/>
      <c r="M11" s="1702">
        <f t="shared" ref="M11:M20" si="0">L11/100000</f>
        <v>0</v>
      </c>
      <c r="N11" s="1317"/>
      <c r="O11" s="1702">
        <f t="shared" ref="O11:O17" si="1">M11*N11</f>
        <v>0</v>
      </c>
      <c r="P11" s="1907"/>
      <c r="Q11" s="1908"/>
      <c r="R11" s="1909"/>
    </row>
    <row r="12" spans="1:53" s="1974" customFormat="1" ht="44.25" customHeight="1">
      <c r="A12" s="1973" t="s">
        <v>4163</v>
      </c>
      <c r="B12" s="1699" t="s">
        <v>2790</v>
      </c>
      <c r="C12" s="1699" t="s">
        <v>305</v>
      </c>
      <c r="D12" s="1281" t="s">
        <v>70</v>
      </c>
      <c r="E12" s="1335" t="s">
        <v>70</v>
      </c>
      <c r="F12" s="1903"/>
      <c r="G12" s="1904"/>
      <c r="H12" s="1905"/>
      <c r="I12" s="1905"/>
      <c r="J12" s="1910"/>
      <c r="K12" s="1738"/>
      <c r="L12" s="1317"/>
      <c r="M12" s="1702">
        <f t="shared" si="0"/>
        <v>0</v>
      </c>
      <c r="N12" s="1317"/>
      <c r="O12" s="1702">
        <f t="shared" si="1"/>
        <v>0</v>
      </c>
      <c r="P12" s="1907"/>
      <c r="Q12" s="1908"/>
      <c r="R12" s="1909"/>
    </row>
    <row r="13" spans="1:53" s="3888" customFormat="1" ht="50.25" customHeight="1">
      <c r="A13" s="3886" t="s">
        <v>4164</v>
      </c>
      <c r="B13" s="3781" t="s">
        <v>2786</v>
      </c>
      <c r="C13" s="3781" t="s">
        <v>302</v>
      </c>
      <c r="D13" s="3813" t="s">
        <v>70</v>
      </c>
      <c r="E13" s="3869" t="s">
        <v>70</v>
      </c>
      <c r="F13" s="3794"/>
      <c r="G13" s="4074"/>
      <c r="H13" s="4075"/>
      <c r="I13" s="4075"/>
      <c r="J13" s="3838"/>
      <c r="K13" s="2398" t="s">
        <v>6924</v>
      </c>
      <c r="L13" s="4096">
        <v>871250000</v>
      </c>
      <c r="M13" s="3808">
        <f t="shared" si="0"/>
        <v>8712.5</v>
      </c>
      <c r="N13" s="3739">
        <v>1</v>
      </c>
      <c r="O13" s="3808">
        <f t="shared" si="1"/>
        <v>8712.5</v>
      </c>
      <c r="P13" s="4076" t="s">
        <v>6949</v>
      </c>
      <c r="Q13" s="4053"/>
      <c r="R13" s="4077"/>
    </row>
    <row r="14" spans="1:53" s="1974" customFormat="1" ht="44.25" customHeight="1">
      <c r="A14" s="1973" t="s">
        <v>4165</v>
      </c>
      <c r="B14" s="1699" t="s">
        <v>2787</v>
      </c>
      <c r="C14" s="1699" t="s">
        <v>303</v>
      </c>
      <c r="D14" s="1281" t="s">
        <v>70</v>
      </c>
      <c r="E14" s="1335" t="s">
        <v>70</v>
      </c>
      <c r="F14" s="1903"/>
      <c r="G14" s="1904"/>
      <c r="H14" s="1905"/>
      <c r="I14" s="1905"/>
      <c r="J14" s="1910"/>
      <c r="K14" s="1738"/>
      <c r="L14" s="1317"/>
      <c r="M14" s="1702">
        <f t="shared" si="0"/>
        <v>0</v>
      </c>
      <c r="N14" s="1317"/>
      <c r="O14" s="1702">
        <f t="shared" si="1"/>
        <v>0</v>
      </c>
      <c r="P14" s="1907"/>
      <c r="Q14" s="1908"/>
      <c r="R14" s="1909"/>
    </row>
    <row r="15" spans="1:53" s="1974" customFormat="1" ht="44.25" customHeight="1">
      <c r="A15" s="1973" t="s">
        <v>4166</v>
      </c>
      <c r="B15" s="1699" t="s">
        <v>2788</v>
      </c>
      <c r="C15" s="1699" t="s">
        <v>4346</v>
      </c>
      <c r="D15" s="1281" t="s">
        <v>70</v>
      </c>
      <c r="E15" s="1335" t="s">
        <v>70</v>
      </c>
      <c r="F15" s="1903"/>
      <c r="G15" s="1904"/>
      <c r="H15" s="1905"/>
      <c r="I15" s="1905"/>
      <c r="J15" s="1910"/>
      <c r="K15" s="1738"/>
      <c r="L15" s="1317"/>
      <c r="M15" s="1702">
        <f t="shared" si="0"/>
        <v>0</v>
      </c>
      <c r="N15" s="1317"/>
      <c r="O15" s="1702">
        <f t="shared" si="1"/>
        <v>0</v>
      </c>
      <c r="P15" s="1907"/>
      <c r="Q15" s="1908"/>
      <c r="R15" s="1909"/>
    </row>
    <row r="16" spans="1:53" s="1974" customFormat="1" ht="44.25" customHeight="1">
      <c r="A16" s="1973" t="s">
        <v>4167</v>
      </c>
      <c r="B16" s="1699" t="s">
        <v>2789</v>
      </c>
      <c r="C16" s="1699" t="s">
        <v>5610</v>
      </c>
      <c r="D16" s="1281" t="s">
        <v>70</v>
      </c>
      <c r="E16" s="1335" t="s">
        <v>70</v>
      </c>
      <c r="F16" s="1903"/>
      <c r="G16" s="1911"/>
      <c r="H16" s="1905"/>
      <c r="I16" s="1905"/>
      <c r="J16" s="1910"/>
      <c r="K16" s="1903"/>
      <c r="L16" s="1317"/>
      <c r="M16" s="1702">
        <f t="shared" si="0"/>
        <v>0</v>
      </c>
      <c r="N16" s="1317"/>
      <c r="O16" s="1702">
        <f t="shared" si="1"/>
        <v>0</v>
      </c>
      <c r="P16" s="1907"/>
      <c r="Q16" s="1908"/>
      <c r="R16" s="1909"/>
    </row>
    <row r="17" spans="1:18" s="1974" customFormat="1" ht="49.5">
      <c r="A17" s="1973" t="s">
        <v>4168</v>
      </c>
      <c r="B17" s="1699" t="s">
        <v>2791</v>
      </c>
      <c r="C17" s="1699" t="s">
        <v>5611</v>
      </c>
      <c r="D17" s="1281" t="s">
        <v>70</v>
      </c>
      <c r="E17" s="1335" t="s">
        <v>70</v>
      </c>
      <c r="F17" s="1738"/>
      <c r="G17" s="1738"/>
      <c r="H17" s="1738"/>
      <c r="I17" s="1738"/>
      <c r="J17" s="1738"/>
      <c r="K17" s="1903"/>
      <c r="L17" s="1317"/>
      <c r="M17" s="1702">
        <f t="shared" si="0"/>
        <v>0</v>
      </c>
      <c r="N17" s="1317"/>
      <c r="O17" s="1702">
        <f t="shared" si="1"/>
        <v>0</v>
      </c>
      <c r="P17" s="1907"/>
      <c r="Q17" s="1908"/>
      <c r="R17" s="1909"/>
    </row>
    <row r="18" spans="1:18" s="3888" customFormat="1" ht="78" customHeight="1">
      <c r="A18" s="3886" t="s">
        <v>4169</v>
      </c>
      <c r="B18" s="3867" t="s">
        <v>326</v>
      </c>
      <c r="C18" s="3867" t="s">
        <v>327</v>
      </c>
      <c r="D18" s="3747" t="s">
        <v>85</v>
      </c>
      <c r="E18" s="3869" t="s">
        <v>86</v>
      </c>
      <c r="F18" s="2398"/>
      <c r="G18" s="2398"/>
      <c r="H18" s="2398"/>
      <c r="I18" s="2398"/>
      <c r="J18" s="2398"/>
      <c r="K18" s="2398"/>
      <c r="L18" s="3739"/>
      <c r="M18" s="3808">
        <f t="shared" si="0"/>
        <v>0</v>
      </c>
      <c r="N18" s="3739"/>
      <c r="O18" s="3808">
        <f>M18*N18</f>
        <v>0</v>
      </c>
      <c r="P18" s="3839"/>
      <c r="Q18" s="3887">
        <f>'Abs15. NPCB'!Q12</f>
        <v>0</v>
      </c>
      <c r="R18" s="3871">
        <f>'Abs15. NPCB'!R12</f>
        <v>0</v>
      </c>
    </row>
    <row r="19" spans="1:18" s="1974" customFormat="1">
      <c r="A19" s="1973" t="s">
        <v>4170</v>
      </c>
      <c r="B19" s="1699" t="s">
        <v>2799</v>
      </c>
      <c r="C19" s="1699" t="s">
        <v>306</v>
      </c>
      <c r="D19" s="1281" t="s">
        <v>70</v>
      </c>
      <c r="E19" s="1335" t="s">
        <v>70</v>
      </c>
      <c r="F19" s="1738"/>
      <c r="G19" s="1738"/>
      <c r="H19" s="1738"/>
      <c r="I19" s="1738"/>
      <c r="J19" s="1738"/>
      <c r="K19" s="1738"/>
      <c r="L19" s="1317"/>
      <c r="M19" s="1702">
        <f t="shared" si="0"/>
        <v>0</v>
      </c>
      <c r="N19" s="1317"/>
      <c r="O19" s="1702">
        <f>M19*N19</f>
        <v>0</v>
      </c>
      <c r="P19" s="1912"/>
      <c r="Q19" s="1908"/>
      <c r="R19" s="1909"/>
    </row>
    <row r="20" spans="1:18" s="1974" customFormat="1">
      <c r="A20" s="1973" t="s">
        <v>4171</v>
      </c>
      <c r="B20" s="1698"/>
      <c r="C20" s="1699" t="s">
        <v>2970</v>
      </c>
      <c r="D20" s="1281" t="s">
        <v>70</v>
      </c>
      <c r="E20" s="1335" t="s">
        <v>70</v>
      </c>
      <c r="F20" s="1738"/>
      <c r="G20" s="1738"/>
      <c r="H20" s="1738"/>
      <c r="I20" s="1738"/>
      <c r="J20" s="1738"/>
      <c r="K20" s="1738"/>
      <c r="L20" s="1317"/>
      <c r="M20" s="1702">
        <f t="shared" si="0"/>
        <v>0</v>
      </c>
      <c r="N20" s="1317"/>
      <c r="O20" s="1702">
        <f>M20*N20</f>
        <v>0</v>
      </c>
      <c r="P20" s="1912"/>
      <c r="Q20" s="1908"/>
      <c r="R20" s="1909"/>
    </row>
    <row r="21" spans="1:18" ht="66">
      <c r="A21" s="1972" t="s">
        <v>308</v>
      </c>
      <c r="B21" s="1893" t="s">
        <v>4877</v>
      </c>
      <c r="C21" s="1894" t="s">
        <v>309</v>
      </c>
      <c r="D21" s="1895"/>
      <c r="E21" s="1895"/>
      <c r="F21" s="1913"/>
      <c r="G21" s="1913"/>
      <c r="H21" s="1913"/>
      <c r="I21" s="1913"/>
      <c r="J21" s="1913"/>
      <c r="K21" s="1913"/>
      <c r="L21" s="1913"/>
      <c r="M21" s="1899"/>
      <c r="N21" s="1914"/>
      <c r="O21" s="1915">
        <f>SUM(O22:O35)</f>
        <v>20173.5</v>
      </c>
      <c r="P21" s="1916"/>
      <c r="Q21" s="1901"/>
      <c r="R21" s="1902">
        <f>SUM(R22:R35)</f>
        <v>0</v>
      </c>
    </row>
    <row r="22" spans="1:18" s="1974" customFormat="1" ht="33">
      <c r="A22" s="1973" t="s">
        <v>4172</v>
      </c>
      <c r="B22" s="1699" t="s">
        <v>2792</v>
      </c>
      <c r="C22" s="1736" t="s">
        <v>301</v>
      </c>
      <c r="D22" s="1281" t="s">
        <v>70</v>
      </c>
      <c r="E22" s="1335" t="s">
        <v>70</v>
      </c>
      <c r="F22" s="1738"/>
      <c r="G22" s="1904"/>
      <c r="H22" s="1738"/>
      <c r="I22" s="1738"/>
      <c r="J22" s="1738"/>
      <c r="K22" s="1917"/>
      <c r="L22" s="1317"/>
      <c r="M22" s="1702">
        <f t="shared" ref="M22:M35" si="2">L22/100000</f>
        <v>0</v>
      </c>
      <c r="N22" s="1317"/>
      <c r="O22" s="1702">
        <f t="shared" ref="O22:O35" si="3">M22*N22</f>
        <v>0</v>
      </c>
      <c r="P22" s="1917"/>
      <c r="Q22" s="1332"/>
      <c r="R22" s="1333"/>
    </row>
    <row r="23" spans="1:18" s="1974" customFormat="1" ht="190.5" customHeight="1">
      <c r="A23" s="1973" t="s">
        <v>4173</v>
      </c>
      <c r="B23" s="1699" t="s">
        <v>310</v>
      </c>
      <c r="C23" s="1699" t="s">
        <v>311</v>
      </c>
      <c r="D23" s="1285" t="s">
        <v>85</v>
      </c>
      <c r="E23" s="1335" t="s">
        <v>312</v>
      </c>
      <c r="F23" s="1738"/>
      <c r="G23" s="1738"/>
      <c r="H23" s="1738"/>
      <c r="I23" s="1738"/>
      <c r="J23" s="1738"/>
      <c r="K23" s="1917" t="s">
        <v>5943</v>
      </c>
      <c r="L23" s="1317">
        <v>150000</v>
      </c>
      <c r="M23" s="1702">
        <f t="shared" si="2"/>
        <v>1.5</v>
      </c>
      <c r="N23" s="1317">
        <v>37</v>
      </c>
      <c r="O23" s="1702">
        <f t="shared" si="3"/>
        <v>55.5</v>
      </c>
      <c r="P23" s="1918" t="s">
        <v>6739</v>
      </c>
      <c r="Q23" s="1314">
        <f>'Abs24. NOHP'!Q7</f>
        <v>0</v>
      </c>
      <c r="R23" s="1703">
        <f>'Abs24. NOHP'!R7</f>
        <v>0</v>
      </c>
    </row>
    <row r="24" spans="1:18" s="1974" customFormat="1" ht="33">
      <c r="A24" s="1973" t="s">
        <v>4174</v>
      </c>
      <c r="B24" s="1699" t="s">
        <v>313</v>
      </c>
      <c r="C24" s="1699" t="s">
        <v>4880</v>
      </c>
      <c r="D24" s="1285" t="s">
        <v>85</v>
      </c>
      <c r="E24" s="1335" t="s">
        <v>314</v>
      </c>
      <c r="F24" s="1738"/>
      <c r="G24" s="1738"/>
      <c r="H24" s="1738"/>
      <c r="I24" s="1738"/>
      <c r="J24" s="1738"/>
      <c r="K24" s="1917"/>
      <c r="L24" s="1317"/>
      <c r="M24" s="1702">
        <f t="shared" si="2"/>
        <v>0</v>
      </c>
      <c r="N24" s="1317"/>
      <c r="O24" s="1702">
        <f t="shared" si="3"/>
        <v>0</v>
      </c>
      <c r="P24" s="1918"/>
      <c r="Q24" s="1314">
        <f>'Abs25. NPPC'!Q9</f>
        <v>0</v>
      </c>
      <c r="R24" s="1703">
        <f>'Abs25. NPPC'!R9</f>
        <v>0</v>
      </c>
    </row>
    <row r="25" spans="1:18" s="1974" customFormat="1" ht="30.75" customHeight="1">
      <c r="A25" s="1973" t="s">
        <v>4175</v>
      </c>
      <c r="B25" s="1699" t="s">
        <v>2796</v>
      </c>
      <c r="C25" s="1699" t="s">
        <v>305</v>
      </c>
      <c r="D25" s="1281" t="s">
        <v>70</v>
      </c>
      <c r="E25" s="1335" t="s">
        <v>70</v>
      </c>
      <c r="F25" s="1738"/>
      <c r="G25" s="1904"/>
      <c r="H25" s="1738"/>
      <c r="I25" s="1738"/>
      <c r="J25" s="1738"/>
      <c r="K25" s="1917"/>
      <c r="L25" s="1317"/>
      <c r="M25" s="1702">
        <f t="shared" si="2"/>
        <v>0</v>
      </c>
      <c r="N25" s="1317"/>
      <c r="O25" s="1702">
        <f t="shared" si="3"/>
        <v>0</v>
      </c>
      <c r="P25" s="1918"/>
      <c r="Q25" s="1314"/>
      <c r="R25" s="1703"/>
    </row>
    <row r="26" spans="1:18" s="1974" customFormat="1">
      <c r="A26" s="1973" t="s">
        <v>4176</v>
      </c>
      <c r="B26" s="1699" t="s">
        <v>2793</v>
      </c>
      <c r="C26" s="1699" t="s">
        <v>302</v>
      </c>
      <c r="D26" s="1281" t="s">
        <v>70</v>
      </c>
      <c r="E26" s="1335" t="s">
        <v>70</v>
      </c>
      <c r="F26" s="1738"/>
      <c r="G26" s="1738"/>
      <c r="H26" s="1738"/>
      <c r="I26" s="1738"/>
      <c r="J26" s="1738"/>
      <c r="K26" s="1917"/>
      <c r="L26" s="1317"/>
      <c r="M26" s="1702">
        <f t="shared" si="2"/>
        <v>0</v>
      </c>
      <c r="N26" s="1317"/>
      <c r="O26" s="1702">
        <f t="shared" si="3"/>
        <v>0</v>
      </c>
      <c r="P26" s="1957"/>
      <c r="Q26" s="1314"/>
      <c r="R26" s="1703"/>
    </row>
    <row r="27" spans="1:18" s="1974" customFormat="1">
      <c r="A27" s="1973" t="s">
        <v>4177</v>
      </c>
      <c r="B27" s="1699" t="s">
        <v>2794</v>
      </c>
      <c r="C27" s="1699" t="s">
        <v>303</v>
      </c>
      <c r="D27" s="1281" t="s">
        <v>70</v>
      </c>
      <c r="E27" s="1335" t="s">
        <v>70</v>
      </c>
      <c r="F27" s="1738">
        <v>230</v>
      </c>
      <c r="G27" s="1904"/>
      <c r="H27" s="1738">
        <v>345</v>
      </c>
      <c r="I27" s="1738"/>
      <c r="J27" s="1738"/>
      <c r="K27" s="1917"/>
      <c r="L27" s="1317"/>
      <c r="M27" s="1702">
        <f t="shared" si="2"/>
        <v>0</v>
      </c>
      <c r="N27" s="1317"/>
      <c r="O27" s="1702">
        <f t="shared" si="3"/>
        <v>0</v>
      </c>
      <c r="P27" s="1918"/>
      <c r="Q27" s="1314"/>
      <c r="R27" s="1703"/>
    </row>
    <row r="28" spans="1:18" s="1974" customFormat="1">
      <c r="A28" s="1973" t="s">
        <v>4178</v>
      </c>
      <c r="B28" s="1699" t="s">
        <v>2795</v>
      </c>
      <c r="C28" s="1919" t="s">
        <v>5594</v>
      </c>
      <c r="D28" s="1281" t="s">
        <v>70</v>
      </c>
      <c r="E28" s="1335" t="s">
        <v>4357</v>
      </c>
      <c r="F28" s="1738"/>
      <c r="G28" s="1904"/>
      <c r="H28" s="1738"/>
      <c r="I28" s="1738"/>
      <c r="J28" s="1738"/>
      <c r="K28" s="1917"/>
      <c r="L28" s="1317"/>
      <c r="M28" s="1702">
        <f t="shared" si="2"/>
        <v>0</v>
      </c>
      <c r="N28" s="1317"/>
      <c r="O28" s="1702">
        <f t="shared" si="3"/>
        <v>0</v>
      </c>
      <c r="P28" s="1918"/>
      <c r="Q28" s="1314">
        <f>'Abs6. CPHC'!Q9</f>
        <v>0</v>
      </c>
      <c r="R28" s="1535">
        <f>'Abs6. CPHC'!R9</f>
        <v>0</v>
      </c>
    </row>
    <row r="29" spans="1:18" s="1974" customFormat="1" ht="68.25" customHeight="1">
      <c r="A29" s="1973" t="s">
        <v>4179</v>
      </c>
      <c r="B29" s="1736" t="s">
        <v>2037</v>
      </c>
      <c r="C29" s="1736" t="s">
        <v>4602</v>
      </c>
      <c r="D29" s="1281" t="s">
        <v>70</v>
      </c>
      <c r="E29" s="1335" t="s">
        <v>4357</v>
      </c>
      <c r="F29" s="1738"/>
      <c r="G29" s="1738"/>
      <c r="H29" s="1738"/>
      <c r="I29" s="1738"/>
      <c r="J29" s="1738"/>
      <c r="K29" s="1917" t="s">
        <v>5899</v>
      </c>
      <c r="L29" s="1317">
        <v>700000</v>
      </c>
      <c r="M29" s="1702">
        <f t="shared" si="2"/>
        <v>7</v>
      </c>
      <c r="N29" s="1317">
        <v>2874</v>
      </c>
      <c r="O29" s="1702">
        <f t="shared" si="3"/>
        <v>20118</v>
      </c>
      <c r="P29" s="1918" t="s">
        <v>5897</v>
      </c>
      <c r="Q29" s="1314">
        <f>'Abs6. CPHC'!Q10</f>
        <v>0</v>
      </c>
      <c r="R29" s="1535">
        <f>'Abs6. CPHC'!R10</f>
        <v>0</v>
      </c>
    </row>
    <row r="30" spans="1:18">
      <c r="A30" s="1973" t="s">
        <v>4180</v>
      </c>
      <c r="B30" s="1742"/>
      <c r="C30" s="1742" t="s">
        <v>4603</v>
      </c>
      <c r="D30" s="1281" t="s">
        <v>70</v>
      </c>
      <c r="E30" s="1335" t="s">
        <v>4357</v>
      </c>
      <c r="F30" s="1917"/>
      <c r="G30" s="1917"/>
      <c r="H30" s="1917"/>
      <c r="I30" s="1917"/>
      <c r="J30" s="1917"/>
      <c r="K30" s="1917"/>
      <c r="L30" s="1317"/>
      <c r="M30" s="1702">
        <f t="shared" si="2"/>
        <v>0</v>
      </c>
      <c r="N30" s="1317"/>
      <c r="O30" s="1702">
        <f t="shared" si="3"/>
        <v>0</v>
      </c>
      <c r="P30" s="1918"/>
      <c r="Q30" s="1314">
        <f>'Abs6. CPHC'!Q11</f>
        <v>0</v>
      </c>
      <c r="R30" s="1535">
        <f>'Abs6. CPHC'!R11</f>
        <v>0</v>
      </c>
    </row>
    <row r="31" spans="1:18" s="1974" customFormat="1">
      <c r="A31" s="1973" t="s">
        <v>4181</v>
      </c>
      <c r="B31" s="1699" t="s">
        <v>2797</v>
      </c>
      <c r="C31" s="1699" t="s">
        <v>306</v>
      </c>
      <c r="D31" s="1281" t="s">
        <v>70</v>
      </c>
      <c r="E31" s="1335" t="s">
        <v>70</v>
      </c>
      <c r="F31" s="1738"/>
      <c r="G31" s="1738"/>
      <c r="H31" s="1738"/>
      <c r="I31" s="1738"/>
      <c r="J31" s="1738"/>
      <c r="K31" s="1917"/>
      <c r="L31" s="1317"/>
      <c r="M31" s="1702">
        <f t="shared" si="2"/>
        <v>0</v>
      </c>
      <c r="N31" s="1317"/>
      <c r="O31" s="1702">
        <f t="shared" si="3"/>
        <v>0</v>
      </c>
      <c r="P31" s="1918"/>
      <c r="Q31" s="1314"/>
      <c r="R31" s="1703"/>
    </row>
    <row r="32" spans="1:18" s="1974" customFormat="1">
      <c r="A32" s="1973" t="s">
        <v>4182</v>
      </c>
      <c r="B32" s="1698"/>
      <c r="C32" s="1699" t="s">
        <v>2395</v>
      </c>
      <c r="D32" s="1281" t="s">
        <v>70</v>
      </c>
      <c r="E32" s="1335" t="s">
        <v>70</v>
      </c>
      <c r="F32" s="1738"/>
      <c r="G32" s="1738"/>
      <c r="H32" s="1738"/>
      <c r="I32" s="1738"/>
      <c r="J32" s="1738"/>
      <c r="K32" s="1917"/>
      <c r="L32" s="1317"/>
      <c r="M32" s="1702">
        <f t="shared" si="2"/>
        <v>0</v>
      </c>
      <c r="N32" s="1317"/>
      <c r="O32" s="1702">
        <f t="shared" si="3"/>
        <v>0</v>
      </c>
      <c r="P32" s="1918"/>
      <c r="Q32" s="1314"/>
      <c r="R32" s="1703"/>
    </row>
    <row r="33" spans="1:18" s="1974" customFormat="1" ht="49.5">
      <c r="A33" s="1973" t="s">
        <v>4183</v>
      </c>
      <c r="B33" s="1698"/>
      <c r="C33" s="1699" t="s">
        <v>2399</v>
      </c>
      <c r="D33" s="1281" t="s">
        <v>70</v>
      </c>
      <c r="E33" s="1335" t="s">
        <v>2398</v>
      </c>
      <c r="F33" s="1903"/>
      <c r="G33" s="1911"/>
      <c r="H33" s="1905"/>
      <c r="I33" s="1905"/>
      <c r="J33" s="1910"/>
      <c r="K33" s="1920"/>
      <c r="L33" s="1317"/>
      <c r="M33" s="1702">
        <f t="shared" si="2"/>
        <v>0</v>
      </c>
      <c r="N33" s="1317"/>
      <c r="O33" s="1702">
        <f t="shared" si="3"/>
        <v>0</v>
      </c>
      <c r="P33" s="1921"/>
      <c r="Q33" s="1922">
        <f>'Ab1. RMNCH+A'!Q32</f>
        <v>0</v>
      </c>
      <c r="R33" s="1923">
        <f>'Ab1. RMNCH+A'!R32</f>
        <v>0</v>
      </c>
    </row>
    <row r="34" spans="1:18" s="1974" customFormat="1" ht="48" customHeight="1">
      <c r="A34" s="1973" t="s">
        <v>4184</v>
      </c>
      <c r="B34" s="1698"/>
      <c r="C34" s="1699" t="s">
        <v>4127</v>
      </c>
      <c r="D34" s="1284" t="s">
        <v>85</v>
      </c>
      <c r="E34" s="1335" t="s">
        <v>4124</v>
      </c>
      <c r="F34" s="1903"/>
      <c r="G34" s="1911"/>
      <c r="H34" s="1905"/>
      <c r="I34" s="1905"/>
      <c r="J34" s="1910"/>
      <c r="K34" s="1924"/>
      <c r="L34" s="1317"/>
      <c r="M34" s="1702">
        <f t="shared" si="2"/>
        <v>0</v>
      </c>
      <c r="N34" s="1317"/>
      <c r="O34" s="1702">
        <f t="shared" si="3"/>
        <v>0</v>
      </c>
      <c r="P34" s="1958"/>
      <c r="Q34" s="1314">
        <f>'Abs21. NPCCHH'!Q9</f>
        <v>0</v>
      </c>
      <c r="R34" s="1703">
        <f>'Abs21. NPCCHH'!R9</f>
        <v>0</v>
      </c>
    </row>
    <row r="35" spans="1:18" s="1974" customFormat="1" ht="44.25" customHeight="1">
      <c r="A35" s="1973" t="s">
        <v>4184</v>
      </c>
      <c r="B35" s="1742"/>
      <c r="C35" s="1736" t="s">
        <v>4632</v>
      </c>
      <c r="D35" s="1281" t="s">
        <v>70</v>
      </c>
      <c r="E35" s="1335" t="s">
        <v>70</v>
      </c>
      <c r="F35" s="1738"/>
      <c r="G35" s="1738"/>
      <c r="H35" s="1738"/>
      <c r="I35" s="1738"/>
      <c r="J35" s="1738"/>
      <c r="K35" s="1917"/>
      <c r="L35" s="1317"/>
      <c r="M35" s="1702">
        <f t="shared" si="2"/>
        <v>0</v>
      </c>
      <c r="N35" s="1317"/>
      <c r="O35" s="1702">
        <f t="shared" si="3"/>
        <v>0</v>
      </c>
      <c r="P35" s="1959"/>
      <c r="Q35" s="1314"/>
      <c r="R35" s="1703"/>
    </row>
    <row r="36" spans="1:18" ht="115.5">
      <c r="A36" s="1975" t="s">
        <v>315</v>
      </c>
      <c r="B36" s="1893" t="s">
        <v>2807</v>
      </c>
      <c r="C36" s="1894" t="s">
        <v>4545</v>
      </c>
      <c r="D36" s="1895"/>
      <c r="E36" s="1895"/>
      <c r="F36" s="1913"/>
      <c r="G36" s="1913"/>
      <c r="H36" s="1913"/>
      <c r="I36" s="1913"/>
      <c r="J36" s="1913"/>
      <c r="K36" s="1913"/>
      <c r="L36" s="1913"/>
      <c r="M36" s="1897"/>
      <c r="N36" s="1914"/>
      <c r="O36" s="1899">
        <f>SUM(O37:O45)</f>
        <v>27932.00488</v>
      </c>
      <c r="P36" s="1916"/>
      <c r="Q36" s="1901"/>
      <c r="R36" s="1902">
        <f>SUM(R37:R45)</f>
        <v>0</v>
      </c>
    </row>
    <row r="37" spans="1:18" s="1974" customFormat="1" ht="263.25" customHeight="1">
      <c r="A37" s="1976" t="s">
        <v>4185</v>
      </c>
      <c r="B37" s="1699" t="s">
        <v>2800</v>
      </c>
      <c r="C37" s="1736" t="s">
        <v>301</v>
      </c>
      <c r="D37" s="1281" t="s">
        <v>70</v>
      </c>
      <c r="E37" s="1335" t="s">
        <v>70</v>
      </c>
      <c r="F37" s="1903"/>
      <c r="G37" s="1911"/>
      <c r="H37" s="1905"/>
      <c r="I37" s="1905"/>
      <c r="J37" s="1903"/>
      <c r="K37" s="1738" t="s">
        <v>6556</v>
      </c>
      <c r="L37" s="1312">
        <v>1246832100</v>
      </c>
      <c r="M37" s="1702">
        <f t="shared" ref="M37:M45" si="4">L37/100000</f>
        <v>12468.321</v>
      </c>
      <c r="N37" s="1317">
        <v>1</v>
      </c>
      <c r="O37" s="1702">
        <f t="shared" ref="O37:O42" si="5">M37*N37</f>
        <v>12468.321</v>
      </c>
      <c r="P37" s="1912" t="s">
        <v>6735</v>
      </c>
      <c r="Q37" s="1908"/>
      <c r="R37" s="1909"/>
    </row>
    <row r="38" spans="1:18" s="1974" customFormat="1">
      <c r="A38" s="1976" t="s">
        <v>4186</v>
      </c>
      <c r="B38" s="1699" t="s">
        <v>2805</v>
      </c>
      <c r="C38" s="1699" t="s">
        <v>305</v>
      </c>
      <c r="D38" s="1281" t="s">
        <v>70</v>
      </c>
      <c r="E38" s="1335" t="s">
        <v>70</v>
      </c>
      <c r="F38" s="1903"/>
      <c r="G38" s="1911"/>
      <c r="H38" s="1905"/>
      <c r="I38" s="1905"/>
      <c r="J38" s="1903"/>
      <c r="K38" s="1903"/>
      <c r="L38" s="1317"/>
      <c r="M38" s="1702">
        <f t="shared" si="4"/>
        <v>0</v>
      </c>
      <c r="N38" s="1317"/>
      <c r="O38" s="1702">
        <f t="shared" si="5"/>
        <v>0</v>
      </c>
      <c r="P38" s="1925"/>
      <c r="Q38" s="1908"/>
      <c r="R38" s="1909"/>
    </row>
    <row r="39" spans="1:18" s="1974" customFormat="1">
      <c r="A39" s="1976" t="s">
        <v>4187</v>
      </c>
      <c r="B39" s="1699" t="s">
        <v>2801</v>
      </c>
      <c r="C39" s="1699" t="s">
        <v>302</v>
      </c>
      <c r="D39" s="1281" t="s">
        <v>70</v>
      </c>
      <c r="E39" s="1335" t="s">
        <v>70</v>
      </c>
      <c r="F39" s="1903"/>
      <c r="G39" s="1911"/>
      <c r="H39" s="1905"/>
      <c r="I39" s="1905"/>
      <c r="J39" s="1903"/>
      <c r="K39" s="1903"/>
      <c r="L39" s="1317"/>
      <c r="M39" s="1702">
        <f t="shared" si="4"/>
        <v>0</v>
      </c>
      <c r="N39" s="1317"/>
      <c r="O39" s="1702">
        <f t="shared" si="5"/>
        <v>0</v>
      </c>
      <c r="P39" s="1912"/>
      <c r="Q39" s="1908"/>
      <c r="R39" s="1909"/>
    </row>
    <row r="40" spans="1:18" s="1974" customFormat="1">
      <c r="A40" s="1976" t="s">
        <v>4188</v>
      </c>
      <c r="B40" s="1699" t="s">
        <v>2802</v>
      </c>
      <c r="C40" s="1699" t="s">
        <v>303</v>
      </c>
      <c r="D40" s="1281" t="s">
        <v>70</v>
      </c>
      <c r="E40" s="1335" t="s">
        <v>70</v>
      </c>
      <c r="F40" s="1903"/>
      <c r="G40" s="1911"/>
      <c r="H40" s="1905"/>
      <c r="I40" s="1905"/>
      <c r="J40" s="1903"/>
      <c r="K40" s="1903"/>
      <c r="L40" s="1317"/>
      <c r="M40" s="1702">
        <f t="shared" si="4"/>
        <v>0</v>
      </c>
      <c r="N40" s="1317"/>
      <c r="O40" s="1702">
        <f t="shared" si="5"/>
        <v>0</v>
      </c>
      <c r="P40" s="1912"/>
      <c r="Q40" s="1908"/>
      <c r="R40" s="1909"/>
    </row>
    <row r="41" spans="1:18" s="1974" customFormat="1" ht="264">
      <c r="A41" s="1976" t="s">
        <v>4189</v>
      </c>
      <c r="B41" s="1699" t="s">
        <v>2803</v>
      </c>
      <c r="C41" s="1926" t="s">
        <v>5595</v>
      </c>
      <c r="D41" s="1281" t="s">
        <v>70</v>
      </c>
      <c r="E41" s="1335" t="s">
        <v>4357</v>
      </c>
      <c r="F41" s="1903"/>
      <c r="G41" s="1911"/>
      <c r="H41" s="1905"/>
      <c r="I41" s="1905"/>
      <c r="J41" s="1903"/>
      <c r="K41" s="3187" t="s">
        <v>6557</v>
      </c>
      <c r="L41" s="3188">
        <v>930000000</v>
      </c>
      <c r="M41" s="1702">
        <f t="shared" si="4"/>
        <v>9300</v>
      </c>
      <c r="N41" s="1317">
        <v>1</v>
      </c>
      <c r="O41" s="1702">
        <f t="shared" si="5"/>
        <v>9300</v>
      </c>
      <c r="P41" s="1350" t="s">
        <v>6740</v>
      </c>
      <c r="Q41" s="1314">
        <f>'Abs6. CPHC'!Q12</f>
        <v>0</v>
      </c>
      <c r="R41" s="1535">
        <f>'Abs6. CPHC'!R12</f>
        <v>0</v>
      </c>
    </row>
    <row r="42" spans="1:18" s="1974" customFormat="1" ht="209.25" customHeight="1">
      <c r="A42" s="1976" t="s">
        <v>4190</v>
      </c>
      <c r="B42" s="1699" t="s">
        <v>2804</v>
      </c>
      <c r="C42" s="1699" t="s">
        <v>5603</v>
      </c>
      <c r="D42" s="1281" t="s">
        <v>70</v>
      </c>
      <c r="E42" s="1335" t="s">
        <v>2398</v>
      </c>
      <c r="F42" s="1903"/>
      <c r="G42" s="1911"/>
      <c r="H42" s="1905"/>
      <c r="I42" s="1905"/>
      <c r="J42" s="1903"/>
      <c r="K42" s="3187" t="s">
        <v>6558</v>
      </c>
      <c r="L42" s="3188">
        <v>616368388</v>
      </c>
      <c r="M42" s="1702">
        <f t="shared" si="4"/>
        <v>6163.6838799999996</v>
      </c>
      <c r="N42" s="1317">
        <v>1</v>
      </c>
      <c r="O42" s="1702">
        <f t="shared" si="5"/>
        <v>6163.6838799999996</v>
      </c>
      <c r="P42" s="1350" t="s">
        <v>6741</v>
      </c>
      <c r="Q42" s="1922">
        <f>'Ab1. RMNCH+A'!Q33</f>
        <v>0</v>
      </c>
      <c r="R42" s="1923">
        <f>'Ab1. RMNCH+A'!R33</f>
        <v>0</v>
      </c>
    </row>
    <row r="43" spans="1:18" s="1974" customFormat="1" ht="66">
      <c r="A43" s="1976" t="s">
        <v>4191</v>
      </c>
      <c r="B43" s="1698"/>
      <c r="C43" s="1927" t="s">
        <v>5604</v>
      </c>
      <c r="D43" s="1281" t="s">
        <v>70</v>
      </c>
      <c r="E43" s="1335" t="s">
        <v>4879</v>
      </c>
      <c r="F43" s="1903"/>
      <c r="G43" s="1911"/>
      <c r="H43" s="1905"/>
      <c r="I43" s="1905"/>
      <c r="J43" s="1903"/>
      <c r="K43" s="1903"/>
      <c r="L43" s="1317"/>
      <c r="M43" s="1702">
        <f t="shared" si="4"/>
        <v>0</v>
      </c>
      <c r="N43" s="1317"/>
      <c r="O43" s="1702">
        <f>M43*N43</f>
        <v>0</v>
      </c>
      <c r="P43" s="1912"/>
      <c r="Q43" s="1922">
        <f>'Ab1. RMNCH+A'!Q122</f>
        <v>0</v>
      </c>
      <c r="R43" s="1923">
        <f>'Ab1. RMNCH+A'!R122</f>
        <v>0</v>
      </c>
    </row>
    <row r="44" spans="1:18" s="1974" customFormat="1">
      <c r="A44" s="1976" t="s">
        <v>4192</v>
      </c>
      <c r="B44" s="1699" t="s">
        <v>2806</v>
      </c>
      <c r="C44" s="1699" t="s">
        <v>306</v>
      </c>
      <c r="D44" s="1281" t="s">
        <v>70</v>
      </c>
      <c r="E44" s="1335" t="s">
        <v>70</v>
      </c>
      <c r="F44" s="1903"/>
      <c r="G44" s="1911"/>
      <c r="H44" s="1905"/>
      <c r="I44" s="1905"/>
      <c r="J44" s="1903"/>
      <c r="K44" s="1903"/>
      <c r="L44" s="1317"/>
      <c r="M44" s="1702">
        <f t="shared" si="4"/>
        <v>0</v>
      </c>
      <c r="N44" s="1317"/>
      <c r="O44" s="1702">
        <f>M44*N44</f>
        <v>0</v>
      </c>
      <c r="P44" s="1925"/>
      <c r="Q44" s="1908"/>
      <c r="R44" s="1909"/>
    </row>
    <row r="45" spans="1:18" s="1974" customFormat="1">
      <c r="A45" s="1976" t="s">
        <v>4193</v>
      </c>
      <c r="B45" s="1698"/>
      <c r="C45" s="1699" t="s">
        <v>4632</v>
      </c>
      <c r="D45" s="1281" t="s">
        <v>70</v>
      </c>
      <c r="E45" s="1335" t="s">
        <v>70</v>
      </c>
      <c r="F45" s="1903"/>
      <c r="G45" s="1911"/>
      <c r="H45" s="1905"/>
      <c r="I45" s="1905"/>
      <c r="J45" s="1903"/>
      <c r="K45" s="1903"/>
      <c r="L45" s="1317"/>
      <c r="M45" s="1702">
        <f t="shared" si="4"/>
        <v>0</v>
      </c>
      <c r="N45" s="1317"/>
      <c r="O45" s="1702">
        <f t="shared" ref="O45:O52" si="6">M45*N45</f>
        <v>0</v>
      </c>
      <c r="P45" s="1912"/>
      <c r="Q45" s="1908"/>
      <c r="R45" s="1909"/>
    </row>
    <row r="46" spans="1:18" ht="99">
      <c r="A46" s="1972" t="s">
        <v>316</v>
      </c>
      <c r="B46" s="1893" t="s">
        <v>2798</v>
      </c>
      <c r="C46" s="1894" t="s">
        <v>317</v>
      </c>
      <c r="D46" s="1895"/>
      <c r="E46" s="1895"/>
      <c r="F46" s="1913"/>
      <c r="G46" s="1913"/>
      <c r="H46" s="1913"/>
      <c r="I46" s="1913"/>
      <c r="J46" s="1913"/>
      <c r="K46" s="1913"/>
      <c r="L46" s="1913"/>
      <c r="M46" s="1897"/>
      <c r="N46" s="1914"/>
      <c r="O46" s="1899">
        <f>SUM(O47:O53)</f>
        <v>1095</v>
      </c>
      <c r="P46" s="1916"/>
      <c r="Q46" s="1901"/>
      <c r="R46" s="1902">
        <f>SUM(R47:R53)</f>
        <v>0</v>
      </c>
    </row>
    <row r="47" spans="1:18" s="1974" customFormat="1" ht="57" customHeight="1">
      <c r="A47" s="1973" t="s">
        <v>4194</v>
      </c>
      <c r="B47" s="1699" t="s">
        <v>2808</v>
      </c>
      <c r="C47" s="1736" t="s">
        <v>301</v>
      </c>
      <c r="D47" s="1281" t="s">
        <v>70</v>
      </c>
      <c r="E47" s="1335" t="s">
        <v>70</v>
      </c>
      <c r="F47" s="1738"/>
      <c r="G47" s="1738"/>
      <c r="H47" s="1738"/>
      <c r="I47" s="1738"/>
      <c r="J47" s="1738"/>
      <c r="K47" s="3187" t="s">
        <v>6337</v>
      </c>
      <c r="L47" s="3188">
        <f>13000000/2</f>
        <v>6500000</v>
      </c>
      <c r="M47" s="1702">
        <f t="shared" ref="M47:M53" si="7">L47/100000</f>
        <v>65</v>
      </c>
      <c r="N47" s="1317">
        <v>3</v>
      </c>
      <c r="O47" s="1702">
        <f t="shared" si="6"/>
        <v>195</v>
      </c>
      <c r="P47" s="3551" t="s">
        <v>6737</v>
      </c>
      <c r="Q47" s="1908"/>
      <c r="R47" s="1909"/>
    </row>
    <row r="48" spans="1:18" s="1974" customFormat="1">
      <c r="A48" s="1973" t="s">
        <v>4195</v>
      </c>
      <c r="B48" s="1699" t="s">
        <v>2812</v>
      </c>
      <c r="C48" s="1699" t="s">
        <v>305</v>
      </c>
      <c r="D48" s="1281" t="s">
        <v>70</v>
      </c>
      <c r="E48" s="1335" t="s">
        <v>70</v>
      </c>
      <c r="F48" s="1903"/>
      <c r="G48" s="1911"/>
      <c r="H48" s="1905"/>
      <c r="I48" s="1905"/>
      <c r="J48" s="1903"/>
      <c r="K48" s="1738"/>
      <c r="L48" s="1317"/>
      <c r="M48" s="1702">
        <f t="shared" si="7"/>
        <v>0</v>
      </c>
      <c r="N48" s="1317"/>
      <c r="O48" s="1702">
        <f t="shared" si="6"/>
        <v>0</v>
      </c>
      <c r="P48" s="1928"/>
      <c r="Q48" s="1908"/>
      <c r="R48" s="1909"/>
    </row>
    <row r="49" spans="1:18" s="1974" customFormat="1" ht="148.5">
      <c r="A49" s="1973" t="s">
        <v>4196</v>
      </c>
      <c r="B49" s="1699" t="s">
        <v>2809</v>
      </c>
      <c r="C49" s="1699" t="s">
        <v>302</v>
      </c>
      <c r="D49" s="1281" t="s">
        <v>70</v>
      </c>
      <c r="E49" s="1335" t="s">
        <v>70</v>
      </c>
      <c r="F49" s="1903"/>
      <c r="G49" s="1911"/>
      <c r="H49" s="1905"/>
      <c r="I49" s="1905"/>
      <c r="J49" s="1903"/>
      <c r="K49" s="1738" t="s">
        <v>6782</v>
      </c>
      <c r="L49" s="1317">
        <f>15000000/2</f>
        <v>7500000</v>
      </c>
      <c r="M49" s="1702">
        <f t="shared" si="7"/>
        <v>75</v>
      </c>
      <c r="N49" s="1317">
        <v>10</v>
      </c>
      <c r="O49" s="1702">
        <f t="shared" si="6"/>
        <v>750</v>
      </c>
      <c r="P49" s="1928" t="s">
        <v>6784</v>
      </c>
      <c r="Q49" s="1908"/>
      <c r="R49" s="1909"/>
    </row>
    <row r="50" spans="1:18" s="1974" customFormat="1" ht="142.5" customHeight="1">
      <c r="A50" s="1973" t="s">
        <v>4197</v>
      </c>
      <c r="B50" s="1699" t="s">
        <v>2810</v>
      </c>
      <c r="C50" s="1699" t="s">
        <v>303</v>
      </c>
      <c r="D50" s="1281" t="s">
        <v>70</v>
      </c>
      <c r="E50" s="1335" t="s">
        <v>70</v>
      </c>
      <c r="F50" s="1903"/>
      <c r="G50" s="1911"/>
      <c r="H50" s="1905"/>
      <c r="I50" s="1905"/>
      <c r="J50" s="1903"/>
      <c r="K50" s="1738" t="s">
        <v>6783</v>
      </c>
      <c r="L50" s="1317">
        <f>15000000/2</f>
        <v>7500000</v>
      </c>
      <c r="M50" s="1702">
        <f t="shared" si="7"/>
        <v>75</v>
      </c>
      <c r="N50" s="1317">
        <v>2</v>
      </c>
      <c r="O50" s="1702">
        <f t="shared" si="6"/>
        <v>150</v>
      </c>
      <c r="P50" s="3620" t="s">
        <v>6785</v>
      </c>
      <c r="Q50" s="1908"/>
      <c r="R50" s="1909"/>
    </row>
    <row r="51" spans="1:18" s="1974" customFormat="1">
      <c r="A51" s="1973" t="s">
        <v>4198</v>
      </c>
      <c r="B51" s="1699" t="s">
        <v>2811</v>
      </c>
      <c r="C51" s="1699" t="s">
        <v>304</v>
      </c>
      <c r="D51" s="1281" t="s">
        <v>70</v>
      </c>
      <c r="E51" s="1335" t="s">
        <v>70</v>
      </c>
      <c r="F51" s="1903"/>
      <c r="G51" s="1911"/>
      <c r="H51" s="1905"/>
      <c r="I51" s="1905"/>
      <c r="J51" s="1903"/>
      <c r="K51" s="1903"/>
      <c r="L51" s="1317"/>
      <c r="M51" s="1702">
        <f t="shared" si="7"/>
        <v>0</v>
      </c>
      <c r="N51" s="1317"/>
      <c r="O51" s="1702">
        <f t="shared" si="6"/>
        <v>0</v>
      </c>
      <c r="P51" s="1912"/>
      <c r="Q51" s="1908"/>
      <c r="R51" s="1909"/>
    </row>
    <row r="52" spans="1:18" s="1974" customFormat="1" ht="33">
      <c r="A52" s="1973" t="s">
        <v>4199</v>
      </c>
      <c r="B52" s="1699" t="s">
        <v>2813</v>
      </c>
      <c r="C52" s="1699" t="s">
        <v>2814</v>
      </c>
      <c r="D52" s="1281" t="s">
        <v>70</v>
      </c>
      <c r="E52" s="1335" t="s">
        <v>70</v>
      </c>
      <c r="F52" s="1929"/>
      <c r="G52" s="1930"/>
      <c r="H52" s="1905"/>
      <c r="I52" s="1905"/>
      <c r="J52" s="1929"/>
      <c r="K52" s="1903"/>
      <c r="L52" s="1317"/>
      <c r="M52" s="1702">
        <f t="shared" si="7"/>
        <v>0</v>
      </c>
      <c r="N52" s="1317"/>
      <c r="O52" s="1702">
        <f t="shared" si="6"/>
        <v>0</v>
      </c>
      <c r="P52" s="1928"/>
      <c r="Q52" s="1908"/>
      <c r="R52" s="1909"/>
    </row>
    <row r="53" spans="1:18" s="1974" customFormat="1">
      <c r="A53" s="1973" t="s">
        <v>4200</v>
      </c>
      <c r="B53" s="1698"/>
      <c r="C53" s="1699" t="s">
        <v>4632</v>
      </c>
      <c r="D53" s="1281" t="s">
        <v>70</v>
      </c>
      <c r="E53" s="1335" t="s">
        <v>70</v>
      </c>
      <c r="F53" s="1931"/>
      <c r="G53" s="1931"/>
      <c r="H53" s="1931"/>
      <c r="I53" s="1931"/>
      <c r="J53" s="1931"/>
      <c r="K53" s="1931"/>
      <c r="L53" s="1317"/>
      <c r="M53" s="1702">
        <f t="shared" si="7"/>
        <v>0</v>
      </c>
      <c r="N53" s="1317"/>
      <c r="O53" s="1702">
        <f>M53*N53</f>
        <v>0</v>
      </c>
      <c r="P53" s="1932"/>
      <c r="Q53" s="1908"/>
      <c r="R53" s="1909"/>
    </row>
    <row r="54" spans="1:18" s="1974" customFormat="1" ht="181.5">
      <c r="A54" s="1971" t="s">
        <v>318</v>
      </c>
      <c r="B54" s="1769" t="s">
        <v>328</v>
      </c>
      <c r="C54" s="1770" t="s">
        <v>329</v>
      </c>
      <c r="D54" s="1281" t="s">
        <v>70</v>
      </c>
      <c r="E54" s="1520" t="s">
        <v>70</v>
      </c>
      <c r="F54" s="1725"/>
      <c r="G54" s="1725"/>
      <c r="H54" s="1725"/>
      <c r="I54" s="1725"/>
      <c r="J54" s="1725"/>
      <c r="K54" s="1725" t="s">
        <v>6338</v>
      </c>
      <c r="L54" s="1933">
        <v>60000</v>
      </c>
      <c r="M54" s="1342">
        <f>L54/100000</f>
        <v>0.6</v>
      </c>
      <c r="N54" s="1934">
        <v>3472</v>
      </c>
      <c r="O54" s="1342">
        <f>M54*N54</f>
        <v>2083.1999999999998</v>
      </c>
      <c r="P54" s="1722" t="s">
        <v>6736</v>
      </c>
      <c r="Q54" s="1891"/>
      <c r="R54" s="1935"/>
    </row>
    <row r="55" spans="1:18">
      <c r="A55" s="1970">
        <v>5.2</v>
      </c>
      <c r="B55" s="1880"/>
      <c r="C55" s="1670" t="s">
        <v>16</v>
      </c>
      <c r="D55" s="1881"/>
      <c r="E55" s="1881"/>
      <c r="F55" s="1936"/>
      <c r="G55" s="1936"/>
      <c r="H55" s="1936"/>
      <c r="I55" s="1936"/>
      <c r="J55" s="1936"/>
      <c r="K55" s="1936"/>
      <c r="L55" s="1936"/>
      <c r="M55" s="1883"/>
      <c r="N55" s="1937"/>
      <c r="O55" s="1301">
        <f>O56+O71</f>
        <v>10880.45075</v>
      </c>
      <c r="P55" s="1938"/>
      <c r="Q55" s="1886"/>
      <c r="R55" s="1887">
        <f>R56+R71</f>
        <v>0</v>
      </c>
    </row>
    <row r="56" spans="1:18" ht="148.5">
      <c r="A56" s="1972" t="s">
        <v>330</v>
      </c>
      <c r="B56" s="1893" t="s">
        <v>2815</v>
      </c>
      <c r="C56" s="1894" t="s">
        <v>4347</v>
      </c>
      <c r="D56" s="1895"/>
      <c r="E56" s="1895"/>
      <c r="F56" s="1913"/>
      <c r="G56" s="1913"/>
      <c r="H56" s="1913"/>
      <c r="I56" s="1913"/>
      <c r="J56" s="1913"/>
      <c r="K56" s="1913"/>
      <c r="L56" s="1913"/>
      <c r="M56" s="1897"/>
      <c r="N56" s="1914"/>
      <c r="O56" s="1899">
        <f>SUM(O57:O70)</f>
        <v>10600</v>
      </c>
      <c r="P56" s="1916"/>
      <c r="Q56" s="1901"/>
      <c r="R56" s="1902">
        <f>SUM(R57:R70)</f>
        <v>0</v>
      </c>
    </row>
    <row r="57" spans="1:18" s="1974" customFormat="1" ht="82.5">
      <c r="A57" s="1973" t="s">
        <v>331</v>
      </c>
      <c r="B57" s="1699" t="s">
        <v>2821</v>
      </c>
      <c r="C57" s="1699" t="s">
        <v>342</v>
      </c>
      <c r="D57" s="1281" t="s">
        <v>70</v>
      </c>
      <c r="E57" s="1335" t="s">
        <v>70</v>
      </c>
      <c r="F57" s="1738"/>
      <c r="G57" s="1738"/>
      <c r="H57" s="1738"/>
      <c r="I57" s="1738"/>
      <c r="J57" s="1738"/>
      <c r="K57" s="1738" t="s">
        <v>6790</v>
      </c>
      <c r="L57" s="1317">
        <v>400000000</v>
      </c>
      <c r="M57" s="1702">
        <f t="shared" ref="M57:M70" si="8">L57/100000</f>
        <v>4000</v>
      </c>
      <c r="N57" s="1317">
        <v>1</v>
      </c>
      <c r="O57" s="1702">
        <f t="shared" ref="O57:O62" si="9">M57*N57</f>
        <v>4000</v>
      </c>
      <c r="P57" s="1912" t="s">
        <v>6791</v>
      </c>
      <c r="Q57" s="1908"/>
      <c r="R57" s="1909"/>
    </row>
    <row r="58" spans="1:18" s="1974" customFormat="1">
      <c r="A58" s="1973" t="s">
        <v>332</v>
      </c>
      <c r="B58" s="1699" t="s">
        <v>2820</v>
      </c>
      <c r="C58" s="1699" t="s">
        <v>305</v>
      </c>
      <c r="D58" s="1281" t="s">
        <v>70</v>
      </c>
      <c r="E58" s="1335" t="s">
        <v>70</v>
      </c>
      <c r="F58" s="1738"/>
      <c r="G58" s="1738"/>
      <c r="H58" s="1738"/>
      <c r="I58" s="1738"/>
      <c r="J58" s="1738"/>
      <c r="K58" s="1738"/>
      <c r="L58" s="1317"/>
      <c r="M58" s="1702">
        <f t="shared" si="8"/>
        <v>0</v>
      </c>
      <c r="N58" s="1317"/>
      <c r="O58" s="1702">
        <f t="shared" si="9"/>
        <v>0</v>
      </c>
      <c r="P58" s="1912"/>
      <c r="Q58" s="1908"/>
      <c r="R58" s="1909"/>
    </row>
    <row r="59" spans="1:18" s="4143" customFormat="1" ht="99">
      <c r="A59" s="4131" t="s">
        <v>333</v>
      </c>
      <c r="B59" s="3648" t="s">
        <v>2816</v>
      </c>
      <c r="C59" s="3648" t="s">
        <v>302</v>
      </c>
      <c r="D59" s="4132" t="s">
        <v>70</v>
      </c>
      <c r="E59" s="4133" t="s">
        <v>70</v>
      </c>
      <c r="F59" s="4134"/>
      <c r="G59" s="4135"/>
      <c r="H59" s="4136"/>
      <c r="I59" s="4136"/>
      <c r="J59" s="4137"/>
      <c r="K59" s="4138" t="s">
        <v>6786</v>
      </c>
      <c r="L59" s="4139">
        <v>187500000</v>
      </c>
      <c r="M59" s="3654">
        <f t="shared" si="8"/>
        <v>1875</v>
      </c>
      <c r="N59" s="3653">
        <v>1</v>
      </c>
      <c r="O59" s="3654">
        <f t="shared" si="9"/>
        <v>1875</v>
      </c>
      <c r="P59" s="4140" t="s">
        <v>6947</v>
      </c>
      <c r="Q59" s="4141"/>
      <c r="R59" s="4142"/>
    </row>
    <row r="60" spans="1:18" s="1974" customFormat="1" ht="62.25" customHeight="1">
      <c r="A60" s="1973" t="s">
        <v>335</v>
      </c>
      <c r="B60" s="1699" t="s">
        <v>2817</v>
      </c>
      <c r="C60" s="1699" t="s">
        <v>303</v>
      </c>
      <c r="D60" s="1281" t="s">
        <v>70</v>
      </c>
      <c r="E60" s="1335" t="s">
        <v>70</v>
      </c>
      <c r="F60" s="1903"/>
      <c r="G60" s="1904"/>
      <c r="H60" s="1905"/>
      <c r="I60" s="1905"/>
      <c r="J60" s="1906"/>
      <c r="K60" s="1738" t="s">
        <v>6339</v>
      </c>
      <c r="L60" s="1317">
        <f>13000000/2</f>
        <v>6500000</v>
      </c>
      <c r="M60" s="1702">
        <f t="shared" si="8"/>
        <v>65</v>
      </c>
      <c r="N60" s="1317">
        <v>15</v>
      </c>
      <c r="O60" s="1702">
        <f t="shared" si="9"/>
        <v>975</v>
      </c>
      <c r="P60" s="1931" t="s">
        <v>6738</v>
      </c>
      <c r="Q60" s="1908"/>
      <c r="R60" s="1909"/>
    </row>
    <row r="61" spans="1:18" s="3888" customFormat="1" ht="87.75" customHeight="1">
      <c r="A61" s="3886" t="s">
        <v>336</v>
      </c>
      <c r="B61" s="3781" t="s">
        <v>2818</v>
      </c>
      <c r="C61" s="3781" t="s">
        <v>334</v>
      </c>
      <c r="D61" s="3813" t="s">
        <v>70</v>
      </c>
      <c r="E61" s="3869" t="s">
        <v>70</v>
      </c>
      <c r="F61" s="3794"/>
      <c r="G61" s="4074"/>
      <c r="H61" s="4075"/>
      <c r="I61" s="4075"/>
      <c r="J61" s="3795"/>
      <c r="K61" s="2398" t="s">
        <v>6925</v>
      </c>
      <c r="L61" s="4096">
        <v>375000000</v>
      </c>
      <c r="M61" s="3808">
        <f t="shared" si="8"/>
        <v>3750</v>
      </c>
      <c r="N61" s="3739">
        <v>1</v>
      </c>
      <c r="O61" s="3808">
        <f t="shared" si="9"/>
        <v>3750</v>
      </c>
      <c r="P61" s="4078" t="s">
        <v>6948</v>
      </c>
      <c r="Q61" s="4053"/>
      <c r="R61" s="4077"/>
    </row>
    <row r="62" spans="1:18" s="1974" customFormat="1">
      <c r="A62" s="1973" t="s">
        <v>339</v>
      </c>
      <c r="B62" s="1699" t="s">
        <v>2823</v>
      </c>
      <c r="C62" s="1699" t="s">
        <v>5605</v>
      </c>
      <c r="D62" s="1281" t="s">
        <v>70</v>
      </c>
      <c r="E62" s="1335" t="s">
        <v>2398</v>
      </c>
      <c r="F62" s="1738"/>
      <c r="G62" s="1738"/>
      <c r="H62" s="1738"/>
      <c r="I62" s="1738"/>
      <c r="J62" s="1738"/>
      <c r="K62" s="1738"/>
      <c r="L62" s="1317"/>
      <c r="M62" s="1702">
        <f t="shared" si="8"/>
        <v>0</v>
      </c>
      <c r="N62" s="1317"/>
      <c r="O62" s="1702">
        <f t="shared" si="9"/>
        <v>0</v>
      </c>
      <c r="P62" s="1912"/>
      <c r="Q62" s="1922">
        <f>'Ab1. RMNCH+A'!Q34</f>
        <v>0</v>
      </c>
      <c r="R62" s="1923">
        <f>'Ab1. RMNCH+A'!R34</f>
        <v>0</v>
      </c>
    </row>
    <row r="63" spans="1:18" s="1974" customFormat="1" ht="33">
      <c r="A63" s="1973" t="s">
        <v>340</v>
      </c>
      <c r="B63" s="1736" t="s">
        <v>2819</v>
      </c>
      <c r="C63" s="1699" t="s">
        <v>5606</v>
      </c>
      <c r="D63" s="1281" t="s">
        <v>70</v>
      </c>
      <c r="E63" s="1335" t="s">
        <v>4879</v>
      </c>
      <c r="F63" s="1939"/>
      <c r="G63" s="1939"/>
      <c r="H63" s="1939"/>
      <c r="I63" s="1939"/>
      <c r="J63" s="1939"/>
      <c r="K63" s="1738"/>
      <c r="L63" s="1317"/>
      <c r="M63" s="1702">
        <f t="shared" si="8"/>
        <v>0</v>
      </c>
      <c r="N63" s="1317"/>
      <c r="O63" s="1702">
        <f t="shared" ref="O63:O70" si="10">M63*N63</f>
        <v>0</v>
      </c>
      <c r="P63" s="1912"/>
      <c r="Q63" s="1922">
        <f>'Ab1. RMNCH+A'!Q123</f>
        <v>0</v>
      </c>
      <c r="R63" s="1923">
        <f>'Ab1. RMNCH+A'!R123</f>
        <v>0</v>
      </c>
    </row>
    <row r="64" spans="1:18" s="1974" customFormat="1">
      <c r="A64" s="1973" t="s">
        <v>341</v>
      </c>
      <c r="B64" s="1699" t="s">
        <v>2822</v>
      </c>
      <c r="C64" s="1699" t="s">
        <v>5607</v>
      </c>
      <c r="D64" s="1281" t="s">
        <v>70</v>
      </c>
      <c r="E64" s="1335" t="s">
        <v>96</v>
      </c>
      <c r="F64" s="1738"/>
      <c r="G64" s="1738"/>
      <c r="H64" s="1738"/>
      <c r="I64" s="1738"/>
      <c r="J64" s="1738"/>
      <c r="K64" s="1738"/>
      <c r="L64" s="1317"/>
      <c r="M64" s="1702">
        <f t="shared" si="8"/>
        <v>0</v>
      </c>
      <c r="N64" s="1317"/>
      <c r="O64" s="1702">
        <f t="shared" si="10"/>
        <v>0</v>
      </c>
      <c r="P64" s="1912"/>
      <c r="Q64" s="1922">
        <f>'Ab1. RMNCH+A'!Q352</f>
        <v>0</v>
      </c>
      <c r="R64" s="1923">
        <f>'Ab1. RMNCH+A'!R352</f>
        <v>0</v>
      </c>
    </row>
    <row r="65" spans="1:18" s="1974" customFormat="1">
      <c r="A65" s="1973" t="s">
        <v>343</v>
      </c>
      <c r="B65" s="1699" t="s">
        <v>346</v>
      </c>
      <c r="C65" s="1699" t="s">
        <v>347</v>
      </c>
      <c r="D65" s="1534" t="s">
        <v>90</v>
      </c>
      <c r="E65" s="1335" t="s">
        <v>193</v>
      </c>
      <c r="F65" s="1738"/>
      <c r="G65" s="1738"/>
      <c r="H65" s="1738"/>
      <c r="I65" s="1738"/>
      <c r="J65" s="1738"/>
      <c r="K65" s="1738"/>
      <c r="L65" s="1317"/>
      <c r="M65" s="1702">
        <f t="shared" si="8"/>
        <v>0</v>
      </c>
      <c r="N65" s="1317"/>
      <c r="O65" s="1702">
        <f t="shared" si="10"/>
        <v>0</v>
      </c>
      <c r="P65" s="1912"/>
      <c r="Q65" s="1314">
        <f>'Ab1. RMNCH+A'!Q303</f>
        <v>0</v>
      </c>
      <c r="R65" s="1535">
        <f>'Ab1. RMNCH+A'!R303</f>
        <v>0</v>
      </c>
    </row>
    <row r="66" spans="1:18" s="1974" customFormat="1">
      <c r="A66" s="1973" t="s">
        <v>344</v>
      </c>
      <c r="B66" s="1699" t="s">
        <v>349</v>
      </c>
      <c r="C66" s="1699" t="s">
        <v>350</v>
      </c>
      <c r="D66" s="1534" t="s">
        <v>90</v>
      </c>
      <c r="E66" s="1335" t="s">
        <v>131</v>
      </c>
      <c r="F66" s="1738"/>
      <c r="G66" s="1738"/>
      <c r="H66" s="1738"/>
      <c r="I66" s="1738"/>
      <c r="J66" s="1738"/>
      <c r="K66" s="1738"/>
      <c r="L66" s="1317"/>
      <c r="M66" s="1702">
        <f t="shared" si="8"/>
        <v>0</v>
      </c>
      <c r="N66" s="1317"/>
      <c r="O66" s="1702">
        <f t="shared" si="10"/>
        <v>0</v>
      </c>
      <c r="P66" s="1912"/>
      <c r="Q66" s="1314">
        <f>'Ab1. RMNCH+A'!Q124</f>
        <v>0</v>
      </c>
      <c r="R66" s="1535">
        <f>'Ab1. RMNCH+A'!R124</f>
        <v>0</v>
      </c>
    </row>
    <row r="67" spans="1:18" s="1974" customFormat="1">
      <c r="A67" s="1973" t="s">
        <v>345</v>
      </c>
      <c r="B67" s="1698"/>
      <c r="C67" s="1699" t="s">
        <v>2395</v>
      </c>
      <c r="D67" s="1281" t="s">
        <v>70</v>
      </c>
      <c r="E67" s="1335" t="s">
        <v>70</v>
      </c>
      <c r="F67" s="1738"/>
      <c r="G67" s="1738"/>
      <c r="H67" s="1738"/>
      <c r="I67" s="1738"/>
      <c r="J67" s="1738"/>
      <c r="K67" s="1738"/>
      <c r="L67" s="1317"/>
      <c r="M67" s="1702">
        <f t="shared" si="8"/>
        <v>0</v>
      </c>
      <c r="N67" s="1317"/>
      <c r="O67" s="1702">
        <f t="shared" si="10"/>
        <v>0</v>
      </c>
      <c r="P67" s="1912"/>
      <c r="Q67" s="1908"/>
      <c r="R67" s="1909"/>
    </row>
    <row r="68" spans="1:18" s="1974" customFormat="1">
      <c r="A68" s="1973" t="s">
        <v>348</v>
      </c>
      <c r="B68" s="1699" t="s">
        <v>337</v>
      </c>
      <c r="C68" s="1699" t="s">
        <v>338</v>
      </c>
      <c r="D68" s="1281" t="s">
        <v>70</v>
      </c>
      <c r="E68" s="1335" t="s">
        <v>70</v>
      </c>
      <c r="F68" s="1738"/>
      <c r="G68" s="1738"/>
      <c r="H68" s="1738"/>
      <c r="I68" s="1738"/>
      <c r="J68" s="1738"/>
      <c r="K68" s="1738"/>
      <c r="L68" s="1317"/>
      <c r="M68" s="1702">
        <f t="shared" si="8"/>
        <v>0</v>
      </c>
      <c r="N68" s="1317"/>
      <c r="O68" s="1702">
        <f t="shared" si="10"/>
        <v>0</v>
      </c>
      <c r="P68" s="1912"/>
      <c r="Q68" s="1908"/>
      <c r="R68" s="1909"/>
    </row>
    <row r="69" spans="1:18" s="1974" customFormat="1" ht="33">
      <c r="A69" s="1973" t="s">
        <v>351</v>
      </c>
      <c r="B69" s="1699" t="s">
        <v>2824</v>
      </c>
      <c r="C69" s="1699" t="s">
        <v>306</v>
      </c>
      <c r="D69" s="1281" t="s">
        <v>70</v>
      </c>
      <c r="E69" s="1335" t="s">
        <v>70</v>
      </c>
      <c r="F69" s="1738"/>
      <c r="G69" s="1738"/>
      <c r="H69" s="1738"/>
      <c r="I69" s="1738"/>
      <c r="J69" s="1738"/>
      <c r="K69" s="1738"/>
      <c r="L69" s="1317"/>
      <c r="M69" s="1702">
        <f t="shared" si="8"/>
        <v>0</v>
      </c>
      <c r="N69" s="1317"/>
      <c r="O69" s="1702">
        <f t="shared" si="10"/>
        <v>0</v>
      </c>
      <c r="P69" s="1912"/>
      <c r="Q69" s="1908"/>
      <c r="R69" s="1909"/>
    </row>
    <row r="70" spans="1:18" s="1974" customFormat="1">
      <c r="A70" s="1973" t="s">
        <v>2396</v>
      </c>
      <c r="B70" s="1698"/>
      <c r="C70" s="1699" t="s">
        <v>307</v>
      </c>
      <c r="D70" s="1281" t="s">
        <v>70</v>
      </c>
      <c r="E70" s="1335" t="s">
        <v>70</v>
      </c>
      <c r="F70" s="1903"/>
      <c r="G70" s="1911"/>
      <c r="H70" s="1905"/>
      <c r="I70" s="1905"/>
      <c r="J70" s="1903"/>
      <c r="K70" s="1903"/>
      <c r="L70" s="1317"/>
      <c r="M70" s="1702">
        <f t="shared" si="8"/>
        <v>0</v>
      </c>
      <c r="N70" s="1317"/>
      <c r="O70" s="1702">
        <f t="shared" si="10"/>
        <v>0</v>
      </c>
      <c r="P70" s="1940"/>
      <c r="Q70" s="1908"/>
      <c r="R70" s="1909"/>
    </row>
    <row r="71" spans="1:18" ht="99">
      <c r="A71" s="1972" t="s">
        <v>352</v>
      </c>
      <c r="B71" s="1941" t="s">
        <v>2825</v>
      </c>
      <c r="C71" s="1942" t="s">
        <v>353</v>
      </c>
      <c r="D71" s="1895"/>
      <c r="E71" s="1895"/>
      <c r="F71" s="1913"/>
      <c r="G71" s="1913"/>
      <c r="H71" s="1913"/>
      <c r="I71" s="1913"/>
      <c r="J71" s="1913"/>
      <c r="K71" s="1913"/>
      <c r="L71" s="1913"/>
      <c r="M71" s="1897"/>
      <c r="N71" s="1914"/>
      <c r="O71" s="1899">
        <f>SUM(O72:O81)</f>
        <v>280.45075000000003</v>
      </c>
      <c r="P71" s="1916"/>
      <c r="Q71" s="1901"/>
      <c r="R71" s="1902">
        <f>SUM(R72:R81)</f>
        <v>0</v>
      </c>
    </row>
    <row r="72" spans="1:18" s="1974" customFormat="1">
      <c r="A72" s="1973" t="s">
        <v>354</v>
      </c>
      <c r="B72" s="1699" t="s">
        <v>2832</v>
      </c>
      <c r="C72" s="1699" t="s">
        <v>342</v>
      </c>
      <c r="D72" s="1281" t="s">
        <v>70</v>
      </c>
      <c r="E72" s="1335" t="s">
        <v>70</v>
      </c>
      <c r="F72" s="1903"/>
      <c r="G72" s="1911"/>
      <c r="H72" s="1905"/>
      <c r="I72" s="1905"/>
      <c r="J72" s="1903"/>
      <c r="K72" s="1903"/>
      <c r="L72" s="1317"/>
      <c r="M72" s="1702">
        <f t="shared" ref="M72:M81" si="11">L72/100000</f>
        <v>0</v>
      </c>
      <c r="N72" s="1317"/>
      <c r="O72" s="1702">
        <f>M72*N72</f>
        <v>0</v>
      </c>
      <c r="P72" s="1912"/>
      <c r="Q72" s="1908"/>
      <c r="R72" s="1909"/>
    </row>
    <row r="73" spans="1:18" s="1974" customFormat="1">
      <c r="A73" s="1973" t="s">
        <v>355</v>
      </c>
      <c r="B73" s="1699" t="s">
        <v>2831</v>
      </c>
      <c r="C73" s="1699" t="s">
        <v>305</v>
      </c>
      <c r="D73" s="1281" t="s">
        <v>70</v>
      </c>
      <c r="E73" s="1335" t="s">
        <v>70</v>
      </c>
      <c r="F73" s="1903"/>
      <c r="G73" s="1911"/>
      <c r="H73" s="1905"/>
      <c r="I73" s="1905"/>
      <c r="J73" s="1903"/>
      <c r="K73" s="1903"/>
      <c r="L73" s="1317"/>
      <c r="M73" s="1702">
        <f t="shared" si="11"/>
        <v>0</v>
      </c>
      <c r="N73" s="1317"/>
      <c r="O73" s="1702">
        <f>M73*N73</f>
        <v>0</v>
      </c>
      <c r="P73" s="1912"/>
      <c r="Q73" s="1908"/>
      <c r="R73" s="1909"/>
    </row>
    <row r="74" spans="1:18" s="1974" customFormat="1">
      <c r="A74" s="1973" t="s">
        <v>356</v>
      </c>
      <c r="B74" s="1699" t="s">
        <v>2826</v>
      </c>
      <c r="C74" s="1699" t="s">
        <v>302</v>
      </c>
      <c r="D74" s="1281" t="s">
        <v>70</v>
      </c>
      <c r="E74" s="1335" t="s">
        <v>70</v>
      </c>
      <c r="F74" s="1903"/>
      <c r="G74" s="1911"/>
      <c r="H74" s="1905"/>
      <c r="I74" s="1905"/>
      <c r="J74" s="1903"/>
      <c r="K74" s="1903"/>
      <c r="L74" s="1317"/>
      <c r="M74" s="1702">
        <f t="shared" si="11"/>
        <v>0</v>
      </c>
      <c r="N74" s="1317"/>
      <c r="O74" s="1702">
        <f>M74*N74</f>
        <v>0</v>
      </c>
      <c r="P74" s="1912"/>
      <c r="Q74" s="1908"/>
      <c r="R74" s="1909"/>
    </row>
    <row r="75" spans="1:18" s="1974" customFormat="1">
      <c r="A75" s="1973" t="s">
        <v>357</v>
      </c>
      <c r="B75" s="1699" t="s">
        <v>2827</v>
      </c>
      <c r="C75" s="1699" t="s">
        <v>303</v>
      </c>
      <c r="D75" s="1281" t="s">
        <v>70</v>
      </c>
      <c r="E75" s="1335" t="s">
        <v>70</v>
      </c>
      <c r="F75" s="1903"/>
      <c r="G75" s="1911"/>
      <c r="H75" s="1905"/>
      <c r="I75" s="1905"/>
      <c r="J75" s="1903"/>
      <c r="K75" s="1903"/>
      <c r="L75" s="1317"/>
      <c r="M75" s="1702">
        <f t="shared" si="11"/>
        <v>0</v>
      </c>
      <c r="N75" s="1317"/>
      <c r="O75" s="1702">
        <f>M75*N75</f>
        <v>0</v>
      </c>
      <c r="P75" s="1912"/>
      <c r="Q75" s="1908"/>
      <c r="R75" s="1909"/>
    </row>
    <row r="76" spans="1:18" s="1974" customFormat="1">
      <c r="A76" s="1973" t="s">
        <v>358</v>
      </c>
      <c r="B76" s="1699" t="s">
        <v>2828</v>
      </c>
      <c r="C76" s="1699" t="s">
        <v>334</v>
      </c>
      <c r="D76" s="1281" t="s">
        <v>70</v>
      </c>
      <c r="E76" s="1335" t="s">
        <v>70</v>
      </c>
      <c r="F76" s="1903"/>
      <c r="G76" s="1911"/>
      <c r="H76" s="1903"/>
      <c r="I76" s="1903"/>
      <c r="J76" s="1903"/>
      <c r="K76" s="1903"/>
      <c r="L76" s="1317"/>
      <c r="M76" s="1702">
        <f t="shared" si="11"/>
        <v>0</v>
      </c>
      <c r="N76" s="1317"/>
      <c r="O76" s="1702">
        <f t="shared" ref="O76:O81" si="12">M76*N76</f>
        <v>0</v>
      </c>
      <c r="P76" s="1912"/>
      <c r="Q76" s="1908"/>
      <c r="R76" s="1909"/>
    </row>
    <row r="77" spans="1:18" s="1974" customFormat="1" ht="66">
      <c r="A77" s="1973" t="s">
        <v>359</v>
      </c>
      <c r="B77" s="1699" t="s">
        <v>2829</v>
      </c>
      <c r="C77" s="1943" t="s">
        <v>5609</v>
      </c>
      <c r="D77" s="1281" t="s">
        <v>70</v>
      </c>
      <c r="E77" s="1335" t="s">
        <v>4879</v>
      </c>
      <c r="F77" s="1738"/>
      <c r="G77" s="1738"/>
      <c r="H77" s="1903"/>
      <c r="I77" s="1903"/>
      <c r="J77" s="1738"/>
      <c r="K77" s="1738"/>
      <c r="L77" s="1317"/>
      <c r="M77" s="1702">
        <f t="shared" si="11"/>
        <v>0</v>
      </c>
      <c r="N77" s="1317"/>
      <c r="O77" s="1702">
        <f t="shared" si="12"/>
        <v>0</v>
      </c>
      <c r="P77" s="1912"/>
      <c r="Q77" s="1922">
        <f>'Ab1. RMNCH+A'!Q125</f>
        <v>0</v>
      </c>
      <c r="R77" s="1923">
        <f>'Ab1. RMNCH+A'!R125</f>
        <v>0</v>
      </c>
    </row>
    <row r="78" spans="1:18" s="1974" customFormat="1" ht="307.5" customHeight="1">
      <c r="A78" s="1973" t="s">
        <v>360</v>
      </c>
      <c r="B78" s="1699" t="s">
        <v>2833</v>
      </c>
      <c r="C78" s="1699" t="s">
        <v>5608</v>
      </c>
      <c r="D78" s="1281" t="s">
        <v>70</v>
      </c>
      <c r="E78" s="1335" t="s">
        <v>96</v>
      </c>
      <c r="F78" s="1960">
        <v>9</v>
      </c>
      <c r="G78" s="1960">
        <v>9</v>
      </c>
      <c r="H78" s="1961">
        <v>0</v>
      </c>
      <c r="I78" s="1962"/>
      <c r="J78" s="1960"/>
      <c r="K78" s="1960" t="s">
        <v>6254</v>
      </c>
      <c r="L78" s="1346">
        <v>5609015</v>
      </c>
      <c r="M78" s="1702">
        <f t="shared" si="11"/>
        <v>56.090150000000001</v>
      </c>
      <c r="N78" s="1317">
        <v>5</v>
      </c>
      <c r="O78" s="1702">
        <f t="shared" si="12"/>
        <v>280.45075000000003</v>
      </c>
      <c r="P78" s="2429" t="s">
        <v>6742</v>
      </c>
      <c r="Q78" s="1922">
        <f>'Ab1. RMNCH+A'!Q353</f>
        <v>0</v>
      </c>
      <c r="R78" s="1923">
        <f>'Ab1. RMNCH+A'!R353</f>
        <v>0</v>
      </c>
    </row>
    <row r="79" spans="1:18" s="1974" customFormat="1">
      <c r="A79" s="1973" t="s">
        <v>361</v>
      </c>
      <c r="B79" s="1699" t="s">
        <v>337</v>
      </c>
      <c r="C79" s="1699" t="s">
        <v>338</v>
      </c>
      <c r="D79" s="1281" t="s">
        <v>70</v>
      </c>
      <c r="E79" s="1335" t="s">
        <v>70</v>
      </c>
      <c r="F79" s="1738"/>
      <c r="G79" s="1738"/>
      <c r="H79" s="1903"/>
      <c r="I79" s="1903"/>
      <c r="J79" s="1738"/>
      <c r="K79" s="1738"/>
      <c r="L79" s="1317"/>
      <c r="M79" s="1702">
        <f t="shared" si="11"/>
        <v>0</v>
      </c>
      <c r="N79" s="1317"/>
      <c r="O79" s="1702">
        <f>M79*N79</f>
        <v>0</v>
      </c>
      <c r="P79" s="1912"/>
      <c r="Q79" s="1908"/>
      <c r="R79" s="1909"/>
    </row>
    <row r="80" spans="1:18" s="1974" customFormat="1">
      <c r="A80" s="1973" t="s">
        <v>362</v>
      </c>
      <c r="B80" s="1699" t="s">
        <v>2830</v>
      </c>
      <c r="C80" s="1699" t="s">
        <v>306</v>
      </c>
      <c r="D80" s="1281" t="s">
        <v>70</v>
      </c>
      <c r="E80" s="1335" t="s">
        <v>70</v>
      </c>
      <c r="F80" s="1903"/>
      <c r="G80" s="1911"/>
      <c r="H80" s="1903"/>
      <c r="I80" s="1903"/>
      <c r="J80" s="1903"/>
      <c r="K80" s="1903"/>
      <c r="L80" s="1317"/>
      <c r="M80" s="1702">
        <f t="shared" si="11"/>
        <v>0</v>
      </c>
      <c r="N80" s="1317"/>
      <c r="O80" s="1702">
        <f t="shared" si="12"/>
        <v>0</v>
      </c>
      <c r="P80" s="1925"/>
      <c r="Q80" s="1908"/>
      <c r="R80" s="1909"/>
    </row>
    <row r="81" spans="1:18" s="1974" customFormat="1">
      <c r="A81" s="1973" t="s">
        <v>363</v>
      </c>
      <c r="B81" s="1698"/>
      <c r="C81" s="1699" t="s">
        <v>307</v>
      </c>
      <c r="D81" s="1281" t="s">
        <v>70</v>
      </c>
      <c r="E81" s="1335" t="s">
        <v>70</v>
      </c>
      <c r="F81" s="1903"/>
      <c r="G81" s="1911"/>
      <c r="H81" s="1903"/>
      <c r="I81" s="1903"/>
      <c r="J81" s="1903"/>
      <c r="K81" s="1903"/>
      <c r="L81" s="1317"/>
      <c r="M81" s="1702">
        <f t="shared" si="11"/>
        <v>0</v>
      </c>
      <c r="N81" s="1317"/>
      <c r="O81" s="1702">
        <f t="shared" si="12"/>
        <v>0</v>
      </c>
      <c r="P81" s="1912"/>
      <c r="Q81" s="1908"/>
      <c r="R81" s="1909"/>
    </row>
    <row r="82" spans="1:18" ht="33">
      <c r="A82" s="1970">
        <v>5.3</v>
      </c>
      <c r="B82" s="1774"/>
      <c r="C82" s="1670" t="s">
        <v>4464</v>
      </c>
      <c r="D82" s="1881"/>
      <c r="E82" s="1881"/>
      <c r="F82" s="1936"/>
      <c r="G82" s="1936"/>
      <c r="H82" s="1936"/>
      <c r="I82" s="1936"/>
      <c r="J82" s="1936"/>
      <c r="K82" s="1936"/>
      <c r="L82" s="1936"/>
      <c r="M82" s="1883"/>
      <c r="N82" s="1937"/>
      <c r="O82" s="1301">
        <f>SUM(O83:O98)</f>
        <v>431.68</v>
      </c>
      <c r="P82" s="1938"/>
      <c r="Q82" s="1886"/>
      <c r="R82" s="1887">
        <f>SUM(R83:R98)</f>
        <v>0</v>
      </c>
    </row>
    <row r="83" spans="1:18" s="1974" customFormat="1">
      <c r="A83" s="1973" t="s">
        <v>364</v>
      </c>
      <c r="B83" s="1699" t="s">
        <v>365</v>
      </c>
      <c r="C83" s="1699" t="s">
        <v>366</v>
      </c>
      <c r="D83" s="1281" t="s">
        <v>70</v>
      </c>
      <c r="E83" s="1335" t="s">
        <v>70</v>
      </c>
      <c r="F83" s="1903"/>
      <c r="G83" s="1911"/>
      <c r="H83" s="1905"/>
      <c r="I83" s="1905"/>
      <c r="J83" s="1903"/>
      <c r="K83" s="1903"/>
      <c r="L83" s="1317"/>
      <c r="M83" s="1702">
        <f t="shared" ref="M83:M98" si="13">L83/100000</f>
        <v>0</v>
      </c>
      <c r="N83" s="1317"/>
      <c r="O83" s="1702">
        <f>M83*N83</f>
        <v>0</v>
      </c>
      <c r="P83" s="1928"/>
      <c r="Q83" s="1908"/>
      <c r="R83" s="1909"/>
    </row>
    <row r="84" spans="1:18" s="1974" customFormat="1" ht="66">
      <c r="A84" s="1973" t="s">
        <v>368</v>
      </c>
      <c r="B84" s="1699" t="s">
        <v>369</v>
      </c>
      <c r="C84" s="1736" t="s">
        <v>3887</v>
      </c>
      <c r="D84" s="1281" t="s">
        <v>70</v>
      </c>
      <c r="E84" s="1335" t="s">
        <v>2936</v>
      </c>
      <c r="F84" s="1903"/>
      <c r="G84" s="1911"/>
      <c r="H84" s="1905"/>
      <c r="I84" s="1905"/>
      <c r="J84" s="1903"/>
      <c r="K84" s="1903"/>
      <c r="L84" s="1317">
        <v>5000000</v>
      </c>
      <c r="M84" s="1702">
        <f t="shared" si="13"/>
        <v>50</v>
      </c>
      <c r="N84" s="1317">
        <v>1</v>
      </c>
      <c r="O84" s="1702">
        <f>M84*N84</f>
        <v>50</v>
      </c>
      <c r="P84" s="1912" t="s">
        <v>6306</v>
      </c>
      <c r="Q84" s="1314">
        <f>'Abs5. Blood services &amp; Disorder'!Q13</f>
        <v>0</v>
      </c>
      <c r="R84" s="1535">
        <f>'Abs5. Blood services &amp; Disorder'!R13</f>
        <v>0</v>
      </c>
    </row>
    <row r="85" spans="1:18" s="1974" customFormat="1">
      <c r="A85" s="1973" t="s">
        <v>370</v>
      </c>
      <c r="B85" s="1699" t="s">
        <v>371</v>
      </c>
      <c r="C85" s="1699" t="s">
        <v>372</v>
      </c>
      <c r="D85" s="1281" t="s">
        <v>70</v>
      </c>
      <c r="E85" s="1335" t="s">
        <v>70</v>
      </c>
      <c r="F85" s="1738"/>
      <c r="G85" s="1738"/>
      <c r="H85" s="1738"/>
      <c r="I85" s="1738"/>
      <c r="J85" s="1738"/>
      <c r="K85" s="1738"/>
      <c r="L85" s="1317"/>
      <c r="M85" s="1702">
        <f t="shared" si="13"/>
        <v>0</v>
      </c>
      <c r="N85" s="1317"/>
      <c r="O85" s="1702">
        <f>M85*N85</f>
        <v>0</v>
      </c>
      <c r="P85" s="1912"/>
      <c r="Q85" s="1908"/>
      <c r="R85" s="1909"/>
    </row>
    <row r="86" spans="1:18" s="1974" customFormat="1">
      <c r="A86" s="1973" t="s">
        <v>373</v>
      </c>
      <c r="B86" s="1699" t="s">
        <v>374</v>
      </c>
      <c r="C86" s="1699" t="s">
        <v>375</v>
      </c>
      <c r="D86" s="1281" t="s">
        <v>70</v>
      </c>
      <c r="E86" s="1335" t="s">
        <v>70</v>
      </c>
      <c r="F86" s="1738"/>
      <c r="G86" s="1738"/>
      <c r="H86" s="1738"/>
      <c r="I86" s="1738"/>
      <c r="J86" s="1738"/>
      <c r="K86" s="1738"/>
      <c r="L86" s="1317"/>
      <c r="M86" s="1702">
        <f t="shared" si="13"/>
        <v>0</v>
      </c>
      <c r="N86" s="1317"/>
      <c r="O86" s="1702">
        <f>M86*N86</f>
        <v>0</v>
      </c>
      <c r="P86" s="1912"/>
      <c r="Q86" s="1908"/>
      <c r="R86" s="1909"/>
    </row>
    <row r="87" spans="1:18" s="1974" customFormat="1" ht="33">
      <c r="A87" s="1973" t="s">
        <v>376</v>
      </c>
      <c r="B87" s="1699" t="s">
        <v>377</v>
      </c>
      <c r="C87" s="1699" t="s">
        <v>378</v>
      </c>
      <c r="D87" s="1281" t="s">
        <v>70</v>
      </c>
      <c r="E87" s="1335" t="s">
        <v>70</v>
      </c>
      <c r="F87" s="1738"/>
      <c r="G87" s="1738"/>
      <c r="H87" s="1738"/>
      <c r="I87" s="1738"/>
      <c r="J87" s="1738"/>
      <c r="K87" s="1738"/>
      <c r="L87" s="1317"/>
      <c r="M87" s="1702">
        <f t="shared" si="13"/>
        <v>0</v>
      </c>
      <c r="N87" s="1317"/>
      <c r="O87" s="1702">
        <f>M87*N87</f>
        <v>0</v>
      </c>
      <c r="P87" s="1912"/>
      <c r="Q87" s="1908"/>
      <c r="R87" s="1909"/>
    </row>
    <row r="88" spans="1:18" s="1974" customFormat="1" ht="33">
      <c r="A88" s="1973" t="s">
        <v>380</v>
      </c>
      <c r="B88" s="1699" t="s">
        <v>379</v>
      </c>
      <c r="C88" s="1699" t="s">
        <v>2834</v>
      </c>
      <c r="D88" s="1285" t="s">
        <v>85</v>
      </c>
      <c r="E88" s="1697" t="s">
        <v>4708</v>
      </c>
      <c r="F88" s="1738"/>
      <c r="G88" s="1738"/>
      <c r="H88" s="1738"/>
      <c r="I88" s="1738"/>
      <c r="J88" s="1738"/>
      <c r="K88" s="1738"/>
      <c r="L88" s="1317"/>
      <c r="M88" s="1702">
        <f t="shared" si="13"/>
        <v>0</v>
      </c>
      <c r="N88" s="1317"/>
      <c r="O88" s="1702">
        <f t="shared" ref="O88:O95" si="14">M88*N88</f>
        <v>0</v>
      </c>
      <c r="P88" s="1912"/>
      <c r="Q88" s="1314">
        <f>'Abs26. Burns &amp; Injury'!Q7</f>
        <v>0</v>
      </c>
      <c r="R88" s="1703">
        <f>'Abs26. Burns &amp; Injury'!R7</f>
        <v>0</v>
      </c>
    </row>
    <row r="89" spans="1:18" s="1974" customFormat="1">
      <c r="A89" s="1973" t="s">
        <v>383</v>
      </c>
      <c r="B89" s="1736" t="s">
        <v>381</v>
      </c>
      <c r="C89" s="1736" t="s">
        <v>382</v>
      </c>
      <c r="D89" s="1534" t="s">
        <v>90</v>
      </c>
      <c r="E89" s="1335" t="s">
        <v>205</v>
      </c>
      <c r="F89" s="1738"/>
      <c r="G89" s="1738"/>
      <c r="H89" s="1738"/>
      <c r="I89" s="1738"/>
      <c r="J89" s="1738"/>
      <c r="K89" s="1738"/>
      <c r="L89" s="1317"/>
      <c r="M89" s="1702">
        <f t="shared" si="13"/>
        <v>0</v>
      </c>
      <c r="N89" s="1317"/>
      <c r="O89" s="1702">
        <f t="shared" si="14"/>
        <v>0</v>
      </c>
      <c r="P89" s="1912"/>
      <c r="Q89" s="1314">
        <f>'Ab1. RMNCH+A'!Q408</f>
        <v>0</v>
      </c>
      <c r="R89" s="1535">
        <f>'Ab1. RMNCH+A'!R408</f>
        <v>0</v>
      </c>
    </row>
    <row r="90" spans="1:18" s="1974" customFormat="1" ht="181.5">
      <c r="A90" s="1973" t="s">
        <v>386</v>
      </c>
      <c r="B90" s="1736" t="s">
        <v>384</v>
      </c>
      <c r="C90" s="1736" t="s">
        <v>385</v>
      </c>
      <c r="D90" s="1534" t="s">
        <v>90</v>
      </c>
      <c r="E90" s="1335" t="s">
        <v>208</v>
      </c>
      <c r="F90" s="1738"/>
      <c r="G90" s="1738"/>
      <c r="H90" s="1738"/>
      <c r="I90" s="1738"/>
      <c r="J90" s="1738"/>
      <c r="K90" s="1738" t="s">
        <v>6316</v>
      </c>
      <c r="L90" s="1317">
        <v>400000</v>
      </c>
      <c r="M90" s="1702">
        <f t="shared" si="13"/>
        <v>4</v>
      </c>
      <c r="N90" s="1317">
        <v>1</v>
      </c>
      <c r="O90" s="1702">
        <f t="shared" si="14"/>
        <v>4</v>
      </c>
      <c r="P90" s="1348" t="s">
        <v>6317</v>
      </c>
      <c r="Q90" s="1314">
        <f>'Ab2. NIDDCP'!Q9</f>
        <v>0</v>
      </c>
      <c r="R90" s="1535">
        <f>'Ab2. NIDDCP'!R9</f>
        <v>0</v>
      </c>
    </row>
    <row r="91" spans="1:18" s="1974" customFormat="1">
      <c r="A91" s="1973" t="s">
        <v>389</v>
      </c>
      <c r="B91" s="1533" t="s">
        <v>387</v>
      </c>
      <c r="C91" s="1533" t="s">
        <v>388</v>
      </c>
      <c r="D91" s="1537" t="s">
        <v>4358</v>
      </c>
      <c r="E91" s="1335" t="s">
        <v>4819</v>
      </c>
      <c r="F91" s="1903"/>
      <c r="G91" s="1911"/>
      <c r="H91" s="1905"/>
      <c r="I91" s="1905"/>
      <c r="J91" s="1903"/>
      <c r="K91" s="1903"/>
      <c r="L91" s="1317"/>
      <c r="M91" s="1702">
        <f t="shared" si="13"/>
        <v>0</v>
      </c>
      <c r="N91" s="1317"/>
      <c r="O91" s="1702">
        <f t="shared" si="14"/>
        <v>0</v>
      </c>
      <c r="P91" s="1940"/>
      <c r="Q91" s="1314">
        <f>'Abs9. NVBDCP'!Q33</f>
        <v>0</v>
      </c>
      <c r="R91" s="1703">
        <f>'Abs9. NVBDCP'!R33</f>
        <v>0</v>
      </c>
    </row>
    <row r="92" spans="1:18" s="1974" customFormat="1" ht="33">
      <c r="A92" s="1973" t="s">
        <v>392</v>
      </c>
      <c r="B92" s="1533" t="s">
        <v>390</v>
      </c>
      <c r="C92" s="1533" t="s">
        <v>391</v>
      </c>
      <c r="D92" s="1537" t="s">
        <v>4358</v>
      </c>
      <c r="E92" s="1335" t="s">
        <v>1548</v>
      </c>
      <c r="F92" s="1738"/>
      <c r="G92" s="1738"/>
      <c r="H92" s="1738"/>
      <c r="I92" s="1738"/>
      <c r="J92" s="1738"/>
      <c r="K92" s="1738"/>
      <c r="L92" s="1317"/>
      <c r="M92" s="1702">
        <f t="shared" si="13"/>
        <v>0</v>
      </c>
      <c r="N92" s="1317"/>
      <c r="O92" s="1702">
        <f t="shared" si="14"/>
        <v>0</v>
      </c>
      <c r="P92" s="1912"/>
      <c r="Q92" s="1314">
        <f>'Abs9. NVBDCP'!Q34</f>
        <v>0</v>
      </c>
      <c r="R92" s="1703">
        <f>'Abs9. NVBDCP'!R34</f>
        <v>0</v>
      </c>
    </row>
    <row r="93" spans="1:18" s="3888" customFormat="1" ht="82.5">
      <c r="A93" s="3886" t="s">
        <v>393</v>
      </c>
      <c r="B93" s="3867" t="s">
        <v>2103</v>
      </c>
      <c r="C93" s="3867" t="s">
        <v>2104</v>
      </c>
      <c r="D93" s="3861" t="s">
        <v>4358</v>
      </c>
      <c r="E93" s="3869" t="s">
        <v>4972</v>
      </c>
      <c r="F93" s="2398"/>
      <c r="G93" s="2398"/>
      <c r="H93" s="2398"/>
      <c r="I93" s="2398"/>
      <c r="J93" s="2398"/>
      <c r="K93" s="2398" t="s">
        <v>6126</v>
      </c>
      <c r="L93" s="3739">
        <v>7500000</v>
      </c>
      <c r="M93" s="3808">
        <f t="shared" si="13"/>
        <v>75</v>
      </c>
      <c r="N93" s="3739">
        <v>1</v>
      </c>
      <c r="O93" s="3808">
        <f t="shared" si="14"/>
        <v>75</v>
      </c>
      <c r="P93" s="3839" t="s">
        <v>6896</v>
      </c>
      <c r="Q93" s="3887">
        <f>'Abs9. NVBDCP'!Q35</f>
        <v>0</v>
      </c>
      <c r="R93" s="3871">
        <f>'Abs9. NVBDCP'!R35</f>
        <v>0</v>
      </c>
    </row>
    <row r="94" spans="1:18" s="1974" customFormat="1" ht="132">
      <c r="A94" s="1973" t="s">
        <v>395</v>
      </c>
      <c r="B94" s="1533" t="s">
        <v>394</v>
      </c>
      <c r="C94" s="1533" t="s">
        <v>4881</v>
      </c>
      <c r="D94" s="1537" t="s">
        <v>4358</v>
      </c>
      <c r="E94" s="1335" t="s">
        <v>4674</v>
      </c>
      <c r="F94" s="1903"/>
      <c r="G94" s="1911"/>
      <c r="H94" s="1944">
        <v>155.18</v>
      </c>
      <c r="I94" s="1944">
        <v>28.06</v>
      </c>
      <c r="J94" s="1945"/>
      <c r="K94" s="1963" t="s">
        <v>6031</v>
      </c>
      <c r="L94" s="1963">
        <v>28168000</v>
      </c>
      <c r="M94" s="1702">
        <f t="shared" si="13"/>
        <v>281.68</v>
      </c>
      <c r="N94" s="1317">
        <v>1</v>
      </c>
      <c r="O94" s="1702">
        <f t="shared" si="14"/>
        <v>281.68</v>
      </c>
      <c r="P94" s="1964" t="s">
        <v>6833</v>
      </c>
      <c r="Q94" s="1314">
        <f>'Abs11. NTEP'!Q19</f>
        <v>0</v>
      </c>
      <c r="R94" s="1703">
        <f>'Abs11. NTEP'!R19</f>
        <v>0</v>
      </c>
    </row>
    <row r="95" spans="1:18" s="1974" customFormat="1" ht="49.5">
      <c r="A95" s="1973" t="s">
        <v>397</v>
      </c>
      <c r="B95" s="1736" t="s">
        <v>396</v>
      </c>
      <c r="C95" s="1736" t="s">
        <v>4084</v>
      </c>
      <c r="D95" s="1284" t="s">
        <v>85</v>
      </c>
      <c r="E95" s="1335" t="s">
        <v>150</v>
      </c>
      <c r="F95" s="1738"/>
      <c r="G95" s="1738"/>
      <c r="H95" s="1738"/>
      <c r="I95" s="1738"/>
      <c r="J95" s="1738"/>
      <c r="K95" s="1738" t="s">
        <v>5921</v>
      </c>
      <c r="L95" s="1317">
        <v>300000</v>
      </c>
      <c r="M95" s="1702">
        <f t="shared" si="13"/>
        <v>3</v>
      </c>
      <c r="N95" s="1317">
        <v>7</v>
      </c>
      <c r="O95" s="1702">
        <f t="shared" si="14"/>
        <v>21</v>
      </c>
      <c r="P95" s="1553" t="s">
        <v>6614</v>
      </c>
      <c r="Q95" s="1314">
        <f>'Abs16. NMHP'!Q11</f>
        <v>0</v>
      </c>
      <c r="R95" s="1703">
        <f>'Abs16. NMHP'!R11</f>
        <v>0</v>
      </c>
    </row>
    <row r="96" spans="1:18" s="1974" customFormat="1" ht="72" customHeight="1">
      <c r="A96" s="1973" t="s">
        <v>2105</v>
      </c>
      <c r="B96" s="1946" t="s">
        <v>398</v>
      </c>
      <c r="C96" s="1977" t="s">
        <v>4413</v>
      </c>
      <c r="D96" s="1284" t="s">
        <v>85</v>
      </c>
      <c r="E96" s="1948" t="s">
        <v>399</v>
      </c>
      <c r="F96" s="1949"/>
      <c r="G96" s="1949"/>
      <c r="H96" s="1949"/>
      <c r="I96" s="1949"/>
      <c r="J96" s="1949"/>
      <c r="K96" s="1950"/>
      <c r="L96" s="1317"/>
      <c r="M96" s="1702">
        <f t="shared" si="13"/>
        <v>0</v>
      </c>
      <c r="N96" s="1317"/>
      <c r="O96" s="1951">
        <f>N96*M96</f>
        <v>0</v>
      </c>
      <c r="P96" s="1952"/>
      <c r="Q96" s="1953">
        <f>'Abs17. NPHCE'!Q9</f>
        <v>0</v>
      </c>
      <c r="R96" s="1954">
        <f>'Abs17. NPHCE'!R9</f>
        <v>0</v>
      </c>
    </row>
    <row r="97" spans="1:18" s="1974" customFormat="1">
      <c r="A97" s="1973" t="s">
        <v>2470</v>
      </c>
      <c r="B97" s="1533" t="s">
        <v>1668</v>
      </c>
      <c r="C97" s="1533" t="s">
        <v>2106</v>
      </c>
      <c r="D97" s="1284" t="s">
        <v>85</v>
      </c>
      <c r="E97" s="1335" t="s">
        <v>415</v>
      </c>
      <c r="F97" s="1738"/>
      <c r="G97" s="1738"/>
      <c r="H97" s="1738"/>
      <c r="I97" s="1738"/>
      <c r="J97" s="1738"/>
      <c r="K97" s="1738"/>
      <c r="L97" s="1317"/>
      <c r="M97" s="1702">
        <f t="shared" si="13"/>
        <v>0</v>
      </c>
      <c r="N97" s="1317"/>
      <c r="O97" s="1702">
        <f>M97*N97</f>
        <v>0</v>
      </c>
      <c r="P97" s="1912"/>
      <c r="Q97" s="1314">
        <f>'Abs19. NPCDCS'!Q16</f>
        <v>0</v>
      </c>
      <c r="R97" s="1703">
        <f>'Abs19. NPCDCS'!R16</f>
        <v>0</v>
      </c>
    </row>
    <row r="98" spans="1:18" s="1974" customFormat="1" ht="41.25" customHeight="1">
      <c r="A98" s="1973" t="s">
        <v>2471</v>
      </c>
      <c r="B98" s="1742"/>
      <c r="C98" s="1736" t="s">
        <v>1310</v>
      </c>
      <c r="D98" s="1281" t="s">
        <v>70</v>
      </c>
      <c r="E98" s="1335" t="s">
        <v>70</v>
      </c>
      <c r="F98" s="1738"/>
      <c r="G98" s="1738"/>
      <c r="H98" s="1738"/>
      <c r="I98" s="1738"/>
      <c r="J98" s="1738"/>
      <c r="K98" s="1738"/>
      <c r="L98" s="1317"/>
      <c r="M98" s="1702">
        <f t="shared" si="13"/>
        <v>0</v>
      </c>
      <c r="N98" s="1317"/>
      <c r="O98" s="1702">
        <f>M98*N98</f>
        <v>0</v>
      </c>
      <c r="P98" s="1912"/>
      <c r="Q98" s="1955"/>
      <c r="R98" s="1956"/>
    </row>
  </sheetData>
  <sheetProtection sheet="1" formatCells="0" formatColumns="0" formatRows="0" autoFilter="0"/>
  <autoFilter ref="A6:R98">
    <filterColumn colId="4"/>
  </autoFilter>
  <mergeCells count="15">
    <mergeCell ref="AI1:AO1"/>
    <mergeCell ref="AP1:BA1"/>
    <mergeCell ref="K5:P5"/>
    <mergeCell ref="Q5:R5"/>
    <mergeCell ref="A1:C1"/>
    <mergeCell ref="F5:J5"/>
    <mergeCell ref="A5:A6"/>
    <mergeCell ref="B5:B6"/>
    <mergeCell ref="C5:C6"/>
    <mergeCell ref="D5:D6"/>
    <mergeCell ref="E5:E6"/>
    <mergeCell ref="A2:A4"/>
    <mergeCell ref="E1:E2"/>
    <mergeCell ref="F1:N1"/>
    <mergeCell ref="O1:AH1"/>
  </mergeCells>
  <phoneticPr fontId="27" type="noConversion"/>
  <pageMargins left="0.7" right="0.16" top="0.59" bottom="0.16" header="0.53" footer="0.3"/>
  <pageSetup paperSize="5" scale="70"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dimension ref="A1:BA87"/>
  <sheetViews>
    <sheetView zoomScale="70" zoomScaleNormal="70" workbookViewId="0">
      <pane xSplit="5" ySplit="7" topLeftCell="N20"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66.85546875" defaultRowHeight="15"/>
  <cols>
    <col min="1" max="1" width="12.140625" style="654" customWidth="1"/>
    <col min="2" max="2" width="12.28515625" style="653" customWidth="1"/>
    <col min="3" max="3" width="68.28515625" style="654" customWidth="1"/>
    <col min="4" max="4" width="8.85546875" style="671" customWidth="1"/>
    <col min="5" max="5" width="20.140625" style="672" customWidth="1"/>
    <col min="6" max="6" width="17.85546875" style="651" customWidth="1"/>
    <col min="7" max="7" width="21.5703125" style="651" customWidth="1"/>
    <col min="8" max="10" width="17.85546875" style="651" customWidth="1"/>
    <col min="11" max="11" width="9.140625" style="671" bestFit="1" customWidth="1"/>
    <col min="12" max="12" width="9.85546875" style="671" bestFit="1" customWidth="1"/>
    <col min="13" max="13" width="12.140625" style="673" bestFit="1" customWidth="1"/>
    <col min="14" max="14" width="10.5703125" style="671" bestFit="1" customWidth="1"/>
    <col min="15" max="15" width="36.28515625" style="673" customWidth="1"/>
    <col min="16" max="16" width="56.5703125" style="674" customWidth="1"/>
    <col min="17" max="17" width="35.28515625" style="674" customWidth="1"/>
    <col min="18" max="18" width="12.85546875" style="673" customWidth="1"/>
    <col min="19" max="19" width="6" style="654" bestFit="1" customWidth="1"/>
    <col min="20" max="20" width="3.7109375" style="654" bestFit="1" customWidth="1"/>
    <col min="21" max="21" width="4" style="654" bestFit="1" customWidth="1"/>
    <col min="22" max="22" width="3.85546875" style="654" bestFit="1" customWidth="1"/>
    <col min="23" max="23" width="3.5703125" style="654" bestFit="1" customWidth="1"/>
    <col min="24" max="24" width="4.5703125" style="654" bestFit="1" customWidth="1"/>
    <col min="25" max="25" width="5.85546875" style="654" bestFit="1" customWidth="1"/>
    <col min="26" max="26" width="7.140625" style="654" bestFit="1" customWidth="1"/>
    <col min="27" max="27" width="3.7109375" style="654" bestFit="1" customWidth="1"/>
    <col min="28" max="28" width="8" style="654" bestFit="1" customWidth="1"/>
    <col min="29" max="29" width="4.140625" style="654" bestFit="1" customWidth="1"/>
    <col min="30" max="30" width="3.85546875" style="654" bestFit="1" customWidth="1"/>
    <col min="31" max="31" width="11.7109375" style="654" bestFit="1" customWidth="1"/>
    <col min="32" max="32" width="5.5703125" style="654" bestFit="1" customWidth="1"/>
    <col min="33" max="34" width="7.140625" style="654" bestFit="1" customWidth="1"/>
    <col min="35" max="35" width="5.5703125" style="654" bestFit="1" customWidth="1"/>
    <col min="36" max="36" width="8" style="654" bestFit="1" customWidth="1"/>
    <col min="37" max="38" width="5.28515625" style="654" bestFit="1" customWidth="1"/>
    <col min="39" max="39" width="6.85546875" style="654" bestFit="1" customWidth="1"/>
    <col min="40" max="42" width="5.5703125" style="654" bestFit="1" customWidth="1"/>
    <col min="43" max="43" width="6.28515625" style="654" bestFit="1" customWidth="1"/>
    <col min="44" max="44" width="6.5703125" style="654" bestFit="1" customWidth="1"/>
    <col min="45" max="45" width="5.42578125" style="654" bestFit="1" customWidth="1"/>
    <col min="46" max="46" width="7.5703125" style="654" bestFit="1" customWidth="1"/>
    <col min="47" max="47" width="7.42578125" style="654" bestFit="1" customWidth="1"/>
    <col min="48" max="48" width="8" style="654" bestFit="1" customWidth="1"/>
    <col min="49" max="49" width="6" style="654" bestFit="1" customWidth="1"/>
    <col min="50" max="50" width="5.5703125" style="654" bestFit="1" customWidth="1"/>
    <col min="51" max="51" width="6.42578125" style="654" bestFit="1" customWidth="1"/>
    <col min="52" max="52" width="6.7109375" style="654" bestFit="1" customWidth="1"/>
    <col min="53" max="53" width="7.5703125" style="654" bestFit="1" customWidth="1"/>
    <col min="54" max="16384" width="66.85546875" style="654"/>
  </cols>
  <sheetData>
    <row r="1" spans="1:53" s="632" customFormat="1" ht="13.5" customHeight="1">
      <c r="A1" s="4397" t="s">
        <v>1583</v>
      </c>
      <c r="B1" s="4398"/>
      <c r="C1" s="4399"/>
      <c r="D1" s="616"/>
      <c r="E1" s="4400" t="s">
        <v>4709</v>
      </c>
      <c r="F1" s="4401" t="s">
        <v>4707</v>
      </c>
      <c r="G1" s="4402"/>
      <c r="H1" s="4402"/>
      <c r="I1" s="4402"/>
      <c r="J1" s="4402"/>
      <c r="K1" s="4402"/>
      <c r="L1" s="4402"/>
      <c r="M1" s="4402"/>
      <c r="N1" s="4403"/>
      <c r="O1" s="4404" t="s">
        <v>70</v>
      </c>
      <c r="P1" s="4405"/>
      <c r="Q1" s="4405"/>
      <c r="R1" s="4405"/>
      <c r="S1" s="4405"/>
      <c r="T1" s="4405"/>
      <c r="U1" s="4405"/>
      <c r="V1" s="4405"/>
      <c r="W1" s="4405"/>
      <c r="X1" s="4405"/>
      <c r="Y1" s="4405"/>
      <c r="Z1" s="4405"/>
      <c r="AA1" s="4405"/>
      <c r="AB1" s="4405"/>
      <c r="AC1" s="4405"/>
      <c r="AD1" s="4405"/>
      <c r="AE1" s="4405"/>
      <c r="AF1" s="4405"/>
      <c r="AG1" s="4405"/>
      <c r="AH1" s="4405"/>
      <c r="AI1" s="4406" t="s">
        <v>4358</v>
      </c>
      <c r="AJ1" s="4407"/>
      <c r="AK1" s="4407"/>
      <c r="AL1" s="4407"/>
      <c r="AM1" s="4407"/>
      <c r="AN1" s="4407"/>
      <c r="AO1" s="4408"/>
      <c r="AP1" s="4335" t="s">
        <v>85</v>
      </c>
      <c r="AQ1" s="4336"/>
      <c r="AR1" s="4336"/>
      <c r="AS1" s="4336"/>
      <c r="AT1" s="4336"/>
      <c r="AU1" s="4336"/>
      <c r="AV1" s="4336"/>
      <c r="AW1" s="4336"/>
      <c r="AX1" s="4336"/>
      <c r="AY1" s="4336"/>
      <c r="AZ1" s="4336"/>
      <c r="BA1" s="4337"/>
    </row>
    <row r="2" spans="1:53" s="633" customFormat="1" ht="45">
      <c r="A2" s="4281" t="str">
        <f>HYPERLINK("#Index!A4", "Index Pg")</f>
        <v>Index Pg</v>
      </c>
      <c r="B2" s="481"/>
      <c r="C2" s="481"/>
      <c r="D2" s="618"/>
      <c r="E2" s="4400"/>
      <c r="F2" s="455" t="s">
        <v>118</v>
      </c>
      <c r="G2" s="455" t="s">
        <v>131</v>
      </c>
      <c r="H2" s="455" t="s">
        <v>91</v>
      </c>
      <c r="I2" s="455" t="s">
        <v>4705</v>
      </c>
      <c r="J2" s="455" t="s">
        <v>96</v>
      </c>
      <c r="K2" s="619" t="s">
        <v>4064</v>
      </c>
      <c r="L2" s="456" t="s">
        <v>4706</v>
      </c>
      <c r="M2" s="456" t="s">
        <v>4710</v>
      </c>
      <c r="N2" s="456" t="s">
        <v>208</v>
      </c>
      <c r="O2" s="458" t="s">
        <v>4357</v>
      </c>
      <c r="P2" s="458" t="s">
        <v>3848</v>
      </c>
      <c r="Q2" s="458" t="s">
        <v>4719</v>
      </c>
      <c r="R2" s="458" t="s">
        <v>4716</v>
      </c>
      <c r="S2" s="458" t="s">
        <v>4717</v>
      </c>
      <c r="T2" s="458" t="s">
        <v>4718</v>
      </c>
      <c r="U2" s="458" t="s">
        <v>4720</v>
      </c>
      <c r="V2" s="458" t="s">
        <v>4695</v>
      </c>
      <c r="W2" s="458" t="s">
        <v>4721</v>
      </c>
      <c r="X2" s="458" t="s">
        <v>33</v>
      </c>
      <c r="Y2" s="458" t="s">
        <v>4722</v>
      </c>
      <c r="Z2" s="458" t="s">
        <v>4723</v>
      </c>
      <c r="AA2" s="458" t="s">
        <v>4713</v>
      </c>
      <c r="AB2" s="458" t="s">
        <v>742</v>
      </c>
      <c r="AC2" s="458" t="s">
        <v>4714</v>
      </c>
      <c r="AD2" s="458" t="s">
        <v>4715</v>
      </c>
      <c r="AE2" s="458" t="s">
        <v>2379</v>
      </c>
      <c r="AF2" s="458" t="s">
        <v>4724</v>
      </c>
      <c r="AG2" s="458" t="s">
        <v>3847</v>
      </c>
      <c r="AH2" s="458" t="s">
        <v>307</v>
      </c>
      <c r="AI2" s="459" t="s">
        <v>293</v>
      </c>
      <c r="AJ2" s="459" t="s">
        <v>114</v>
      </c>
      <c r="AK2" s="459" t="s">
        <v>146</v>
      </c>
      <c r="AL2" s="459" t="s">
        <v>4674</v>
      </c>
      <c r="AM2" s="459" t="s">
        <v>3316</v>
      </c>
      <c r="AN2" s="459" t="s">
        <v>3986</v>
      </c>
      <c r="AO2" s="459" t="s">
        <v>4544</v>
      </c>
      <c r="AP2" s="460" t="s">
        <v>86</v>
      </c>
      <c r="AQ2" s="460" t="s">
        <v>150</v>
      </c>
      <c r="AR2" s="460" t="s">
        <v>399</v>
      </c>
      <c r="AS2" s="460" t="s">
        <v>152</v>
      </c>
      <c r="AT2" s="460" t="s">
        <v>415</v>
      </c>
      <c r="AU2" s="460" t="s">
        <v>4598</v>
      </c>
      <c r="AV2" s="460" t="s">
        <v>4124</v>
      </c>
      <c r="AW2" s="460" t="s">
        <v>312</v>
      </c>
      <c r="AX2" s="460" t="s">
        <v>314</v>
      </c>
      <c r="AY2" s="460" t="s">
        <v>1034</v>
      </c>
      <c r="AZ2" s="460" t="s">
        <v>1020</v>
      </c>
      <c r="BA2" s="460" t="s">
        <v>4708</v>
      </c>
    </row>
    <row r="3" spans="1:53" s="633" customFormat="1">
      <c r="A3" s="4282"/>
      <c r="B3" s="462" t="str">
        <f>HYPERLINK("#'Budget Summary I'!A1:AL1", "Budget Summary I")</f>
        <v>Budget Summary I</v>
      </c>
      <c r="C3" s="404" t="s">
        <v>4599</v>
      </c>
      <c r="D3" s="618"/>
      <c r="E3" s="620">
        <f>R7</f>
        <v>0</v>
      </c>
      <c r="F3" s="135">
        <f>R10+R27+R56</f>
        <v>0</v>
      </c>
      <c r="G3" s="135">
        <f>R11+R57+R28</f>
        <v>0</v>
      </c>
      <c r="H3" s="135">
        <f>R12+R47+R58</f>
        <v>0</v>
      </c>
      <c r="I3" s="135">
        <f>R13+R59</f>
        <v>0</v>
      </c>
      <c r="J3" s="135">
        <f>R14+R60</f>
        <v>0</v>
      </c>
      <c r="K3" s="135"/>
      <c r="L3" s="135">
        <f>R15+R61</f>
        <v>0</v>
      </c>
      <c r="M3" s="135"/>
      <c r="N3" s="135">
        <f>R16+R62</f>
        <v>0</v>
      </c>
      <c r="O3" s="135">
        <f>R23+R69</f>
        <v>0</v>
      </c>
      <c r="P3" s="135">
        <f>R64</f>
        <v>0</v>
      </c>
      <c r="Q3" s="135"/>
      <c r="R3" s="135"/>
      <c r="S3" s="483"/>
      <c r="T3" s="483"/>
      <c r="U3" s="483"/>
      <c r="V3" s="483"/>
      <c r="W3" s="483"/>
      <c r="X3" s="483"/>
      <c r="Y3" s="483">
        <f>R68</f>
        <v>0</v>
      </c>
      <c r="Z3" s="483">
        <f>R26</f>
        <v>0</v>
      </c>
      <c r="AA3" s="483"/>
      <c r="AB3" s="483"/>
      <c r="AC3" s="483"/>
      <c r="AD3" s="483"/>
      <c r="AE3" s="483">
        <f>R24</f>
        <v>0</v>
      </c>
      <c r="AF3" s="483">
        <f>R20+R65</f>
        <v>0</v>
      </c>
      <c r="AG3" s="483">
        <f>R19+R67</f>
        <v>0</v>
      </c>
      <c r="AH3" s="483">
        <f>R18+R21+R22+R52+R53+R66+R70</f>
        <v>0</v>
      </c>
      <c r="AI3" s="483">
        <f>R30+R48</f>
        <v>0</v>
      </c>
      <c r="AJ3" s="483">
        <f>R31+R50+R72</f>
        <v>0</v>
      </c>
      <c r="AK3" s="483">
        <f>R32+R73</f>
        <v>0</v>
      </c>
      <c r="AL3" s="483">
        <f>R33+R49+R74+R87</f>
        <v>0</v>
      </c>
      <c r="AM3" s="483">
        <f>R75</f>
        <v>0</v>
      </c>
      <c r="AN3" s="483">
        <f>R34+R76</f>
        <v>0</v>
      </c>
      <c r="AO3" s="483">
        <f>R77</f>
        <v>0</v>
      </c>
      <c r="AP3" s="483">
        <f>R36+R51+R79</f>
        <v>0</v>
      </c>
      <c r="AQ3" s="483">
        <f>R37+R80</f>
        <v>0</v>
      </c>
      <c r="AR3" s="483">
        <f>R38+R81</f>
        <v>0</v>
      </c>
      <c r="AS3" s="483">
        <f>R39+R82</f>
        <v>0</v>
      </c>
      <c r="AT3" s="483">
        <f>R40+R83</f>
        <v>0</v>
      </c>
      <c r="AU3" s="483">
        <f>R41+R84</f>
        <v>0</v>
      </c>
      <c r="AV3" s="483"/>
      <c r="AW3" s="483">
        <f>R43+R85</f>
        <v>0</v>
      </c>
      <c r="AX3" s="483">
        <f>R44</f>
        <v>0</v>
      </c>
      <c r="AY3" s="483"/>
      <c r="AZ3" s="483">
        <f>R42</f>
        <v>0</v>
      </c>
      <c r="BA3" s="483">
        <f>R45</f>
        <v>0</v>
      </c>
    </row>
    <row r="4" spans="1:53" s="633" customFormat="1">
      <c r="A4" s="4283"/>
      <c r="B4" s="403" t="str">
        <f>HYPERLINK("#'Budget Summary II'!A3:B5", "Budget Summary II")</f>
        <v>Budget Summary II</v>
      </c>
      <c r="C4" s="404" t="s">
        <v>4600</v>
      </c>
      <c r="D4" s="618"/>
      <c r="E4" s="620">
        <f>O7</f>
        <v>48033.7473914</v>
      </c>
      <c r="F4" s="135">
        <f>O10+O27+O56</f>
        <v>6390.0212199999996</v>
      </c>
      <c r="G4" s="135">
        <f>O11+O57+O28</f>
        <v>6769.5305049999988</v>
      </c>
      <c r="H4" s="135">
        <f>O12+O47+O58</f>
        <v>707.07609000000002</v>
      </c>
      <c r="I4" s="135">
        <f>O13+O59</f>
        <v>1040.8356415999999</v>
      </c>
      <c r="J4" s="135">
        <f>O14+O60</f>
        <v>322.08622079999998</v>
      </c>
      <c r="K4" s="135"/>
      <c r="L4" s="135">
        <f>O15+O61</f>
        <v>200.70083999999997</v>
      </c>
      <c r="M4" s="135"/>
      <c r="N4" s="135">
        <f>O16+O62</f>
        <v>34.3705</v>
      </c>
      <c r="O4" s="135">
        <f>O23+O69</f>
        <v>439.34999999999997</v>
      </c>
      <c r="P4" s="135">
        <f>O64</f>
        <v>151.14000000000001</v>
      </c>
      <c r="Q4" s="135"/>
      <c r="R4" s="135"/>
      <c r="S4" s="483"/>
      <c r="T4" s="483"/>
      <c r="U4" s="483"/>
      <c r="V4" s="483"/>
      <c r="W4" s="483"/>
      <c r="X4" s="483"/>
      <c r="Y4" s="483">
        <f>O68</f>
        <v>16000</v>
      </c>
      <c r="Z4" s="483">
        <f>O26</f>
        <v>7424.8819999999996</v>
      </c>
      <c r="AA4" s="483"/>
      <c r="AB4" s="483"/>
      <c r="AC4" s="483"/>
      <c r="AD4" s="483"/>
      <c r="AE4" s="483">
        <f>O24</f>
        <v>60</v>
      </c>
      <c r="AF4" s="483">
        <f>O20+O65</f>
        <v>186.95</v>
      </c>
      <c r="AG4" s="483">
        <f>O19+O67</f>
        <v>0</v>
      </c>
      <c r="AH4" s="483">
        <f>O18+O21+O22+O52+O53+O66+O70</f>
        <v>2964.31</v>
      </c>
      <c r="AI4" s="483">
        <f>O30+O48</f>
        <v>0</v>
      </c>
      <c r="AJ4" s="483">
        <f>O31+O50+O72</f>
        <v>145.10816400000002</v>
      </c>
      <c r="AK4" s="483">
        <f>O32+O73</f>
        <v>126.35</v>
      </c>
      <c r="AL4" s="483">
        <f>O33+O49+O74+O87</f>
        <v>1847.4199999999998</v>
      </c>
      <c r="AM4" s="483">
        <f>O75</f>
        <v>387.38364999999999</v>
      </c>
      <c r="AN4" s="483">
        <f>O34+O76</f>
        <v>200</v>
      </c>
      <c r="AO4" s="483">
        <f>O77</f>
        <v>0</v>
      </c>
      <c r="AP4" s="483">
        <f>O36+O51+O79</f>
        <v>435</v>
      </c>
      <c r="AQ4" s="483">
        <f>O37+O80</f>
        <v>200.5</v>
      </c>
      <c r="AR4" s="483">
        <f>O38+O81</f>
        <v>0</v>
      </c>
      <c r="AS4" s="483">
        <f>O39+O82</f>
        <v>57</v>
      </c>
      <c r="AT4" s="483">
        <f>O40+O83</f>
        <v>1329.7800000000002</v>
      </c>
      <c r="AU4" s="483">
        <f>O41+O84</f>
        <v>0</v>
      </c>
      <c r="AV4" s="483"/>
      <c r="AW4" s="483">
        <f>O43+O85</f>
        <v>271</v>
      </c>
      <c r="AX4" s="483">
        <f>O44</f>
        <v>0</v>
      </c>
      <c r="AY4" s="483"/>
      <c r="AZ4" s="483">
        <f>O42</f>
        <v>342.95256000000001</v>
      </c>
      <c r="BA4" s="483">
        <f>O45</f>
        <v>0</v>
      </c>
    </row>
    <row r="5" spans="1:53" s="634" customFormat="1" ht="12.75" customHeight="1">
      <c r="A5" s="4323" t="s">
        <v>53</v>
      </c>
      <c r="B5" s="4323" t="s">
        <v>54</v>
      </c>
      <c r="C5" s="4323" t="s">
        <v>55</v>
      </c>
      <c r="D5" s="4323" t="s">
        <v>56</v>
      </c>
      <c r="E5" s="4323" t="s">
        <v>57</v>
      </c>
      <c r="F5" s="4409" t="s">
        <v>4620</v>
      </c>
      <c r="G5" s="4409"/>
      <c r="H5" s="4409"/>
      <c r="I5" s="4409"/>
      <c r="J5" s="4409"/>
      <c r="K5" s="4409" t="s">
        <v>4631</v>
      </c>
      <c r="L5" s="4409"/>
      <c r="M5" s="4409"/>
      <c r="N5" s="4409"/>
      <c r="O5" s="4409"/>
      <c r="P5" s="4409"/>
      <c r="Q5" s="4323" t="s">
        <v>4661</v>
      </c>
      <c r="R5" s="4323"/>
    </row>
    <row r="6" spans="1:53" s="635" customFormat="1" ht="45">
      <c r="A6" s="4323"/>
      <c r="B6" s="4323"/>
      <c r="C6" s="4323"/>
      <c r="D6" s="4323"/>
      <c r="E6" s="4323"/>
      <c r="F6" s="464" t="s">
        <v>4621</v>
      </c>
      <c r="G6" s="464" t="s">
        <v>4629</v>
      </c>
      <c r="H6" s="464" t="s">
        <v>4622</v>
      </c>
      <c r="I6" s="464" t="s">
        <v>4630</v>
      </c>
      <c r="J6" s="464" t="s">
        <v>2534</v>
      </c>
      <c r="K6" s="465" t="s">
        <v>58</v>
      </c>
      <c r="L6" s="465" t="s">
        <v>59</v>
      </c>
      <c r="M6" s="466" t="s">
        <v>60</v>
      </c>
      <c r="N6" s="465" t="s">
        <v>61</v>
      </c>
      <c r="O6" s="466" t="s">
        <v>62</v>
      </c>
      <c r="P6" s="465" t="s">
        <v>5564</v>
      </c>
      <c r="Q6" s="467" t="s">
        <v>2536</v>
      </c>
      <c r="R6" s="468" t="s">
        <v>4662</v>
      </c>
    </row>
    <row r="7" spans="1:53" s="640" customFormat="1">
      <c r="A7" s="231">
        <v>6</v>
      </c>
      <c r="B7" s="231"/>
      <c r="C7" s="231" t="s">
        <v>18</v>
      </c>
      <c r="D7" s="636"/>
      <c r="E7" s="636"/>
      <c r="F7" s="637"/>
      <c r="G7" s="637"/>
      <c r="H7" s="637"/>
      <c r="I7" s="637"/>
      <c r="J7" s="637"/>
      <c r="K7" s="638"/>
      <c r="L7" s="638"/>
      <c r="M7" s="639"/>
      <c r="N7" s="638"/>
      <c r="O7" s="639">
        <f>O8+O54+O86</f>
        <v>48033.7473914</v>
      </c>
      <c r="P7" s="637"/>
      <c r="Q7" s="637"/>
      <c r="R7" s="639">
        <f>R8+R54+R86</f>
        <v>0</v>
      </c>
    </row>
    <row r="8" spans="1:53" s="632" customFormat="1">
      <c r="A8" s="641">
        <v>6.1</v>
      </c>
      <c r="B8" s="642" t="s">
        <v>1584</v>
      </c>
      <c r="C8" s="641" t="s">
        <v>1585</v>
      </c>
      <c r="D8" s="470"/>
      <c r="E8" s="470"/>
      <c r="F8" s="75"/>
      <c r="G8" s="75"/>
      <c r="H8" s="75"/>
      <c r="I8" s="75"/>
      <c r="J8" s="75"/>
      <c r="K8" s="469"/>
      <c r="L8" s="469"/>
      <c r="M8" s="341"/>
      <c r="N8" s="469"/>
      <c r="O8" s="341">
        <f>O9+O17+O25+O29+O35+O46</f>
        <v>15142.120104</v>
      </c>
      <c r="P8" s="75"/>
      <c r="Q8" s="75"/>
      <c r="R8" s="341">
        <f>R9+R17+R25+R29+R35+R46</f>
        <v>0</v>
      </c>
    </row>
    <row r="9" spans="1:53" s="651" customFormat="1">
      <c r="A9" s="643" t="s">
        <v>1586</v>
      </c>
      <c r="B9" s="644"/>
      <c r="C9" s="645" t="s">
        <v>4935</v>
      </c>
      <c r="D9" s="646"/>
      <c r="E9" s="646"/>
      <c r="F9" s="647"/>
      <c r="G9" s="647"/>
      <c r="H9" s="647"/>
      <c r="I9" s="647"/>
      <c r="J9" s="647"/>
      <c r="K9" s="648"/>
      <c r="L9" s="648"/>
      <c r="M9" s="649"/>
      <c r="N9" s="648"/>
      <c r="O9" s="649">
        <f>SUM(O10:O16)</f>
        <v>2307.4775999999997</v>
      </c>
      <c r="P9" s="650"/>
      <c r="Q9" s="650"/>
      <c r="R9" s="649">
        <f>SUM(R10:R16)</f>
        <v>0</v>
      </c>
    </row>
    <row r="10" spans="1:53">
      <c r="A10" s="238" t="s">
        <v>1587</v>
      </c>
      <c r="B10" s="238" t="s">
        <v>1588</v>
      </c>
      <c r="C10" s="238" t="s">
        <v>4921</v>
      </c>
      <c r="D10" s="652" t="s">
        <v>90</v>
      </c>
      <c r="E10" s="603" t="s">
        <v>118</v>
      </c>
      <c r="F10" s="198"/>
      <c r="G10" s="198"/>
      <c r="H10" s="198"/>
      <c r="I10" s="198"/>
      <c r="J10" s="198"/>
      <c r="K10" s="199"/>
      <c r="L10" s="199"/>
      <c r="M10" s="675"/>
      <c r="N10" s="199"/>
      <c r="O10" s="152">
        <f>'6-A. Proc. Sub-Annex'!P7</f>
        <v>1208.9615999999999</v>
      </c>
      <c r="P10" s="126"/>
      <c r="Q10" s="486"/>
      <c r="R10" s="152">
        <f>'6-A. Proc. Sub-Annex'!S7</f>
        <v>0</v>
      </c>
      <c r="S10" s="653"/>
    </row>
    <row r="11" spans="1:53">
      <c r="A11" s="238" t="s">
        <v>1592</v>
      </c>
      <c r="B11" s="238" t="s">
        <v>1593</v>
      </c>
      <c r="C11" s="238" t="s">
        <v>4938</v>
      </c>
      <c r="D11" s="652" t="s">
        <v>90</v>
      </c>
      <c r="E11" s="603" t="s">
        <v>131</v>
      </c>
      <c r="F11" s="198"/>
      <c r="G11" s="198"/>
      <c r="H11" s="198"/>
      <c r="I11" s="198"/>
      <c r="J11" s="198"/>
      <c r="K11" s="199"/>
      <c r="L11" s="199"/>
      <c r="M11" s="675"/>
      <c r="N11" s="199"/>
      <c r="O11" s="152">
        <f>'6-A. Proc. Sub-Annex'!P13</f>
        <v>421.86</v>
      </c>
      <c r="P11" s="126"/>
      <c r="Q11" s="486"/>
      <c r="R11" s="152">
        <f>'6-A. Proc. Sub-Annex'!S13</f>
        <v>0</v>
      </c>
      <c r="S11" s="653"/>
    </row>
    <row r="12" spans="1:53">
      <c r="A12" s="238" t="s">
        <v>1596</v>
      </c>
      <c r="B12" s="238" t="s">
        <v>1597</v>
      </c>
      <c r="C12" s="238" t="s">
        <v>4939</v>
      </c>
      <c r="D12" s="652" t="s">
        <v>90</v>
      </c>
      <c r="E12" s="603" t="s">
        <v>91</v>
      </c>
      <c r="F12" s="198"/>
      <c r="G12" s="198"/>
      <c r="H12" s="198"/>
      <c r="I12" s="198"/>
      <c r="J12" s="198"/>
      <c r="K12" s="199"/>
      <c r="L12" s="199"/>
      <c r="M12" s="675"/>
      <c r="N12" s="199"/>
      <c r="O12" s="152">
        <f>'6-A. Proc. Sub-Annex'!P19</f>
        <v>475.63600000000002</v>
      </c>
      <c r="P12" s="126"/>
      <c r="Q12" s="486"/>
      <c r="R12" s="152">
        <f>'6-A. Proc. Sub-Annex'!S19</f>
        <v>0</v>
      </c>
      <c r="S12" s="653"/>
    </row>
    <row r="13" spans="1:53">
      <c r="A13" s="238" t="s">
        <v>1610</v>
      </c>
      <c r="B13" s="238" t="s">
        <v>1611</v>
      </c>
      <c r="C13" s="238" t="s">
        <v>4940</v>
      </c>
      <c r="D13" s="652" t="s">
        <v>90</v>
      </c>
      <c r="E13" s="655" t="s">
        <v>193</v>
      </c>
      <c r="F13" s="198"/>
      <c r="G13" s="198"/>
      <c r="H13" s="198"/>
      <c r="I13" s="198"/>
      <c r="J13" s="198"/>
      <c r="K13" s="199"/>
      <c r="L13" s="199"/>
      <c r="M13" s="675"/>
      <c r="N13" s="199"/>
      <c r="O13" s="152">
        <f>'6-A. Proc. Sub-Annex'!P26</f>
        <v>0</v>
      </c>
      <c r="P13" s="126"/>
      <c r="Q13" s="486"/>
      <c r="R13" s="152">
        <f>'6-A. Proc. Sub-Annex'!S26</f>
        <v>0</v>
      </c>
      <c r="S13" s="653"/>
    </row>
    <row r="14" spans="1:53">
      <c r="A14" s="238" t="s">
        <v>1614</v>
      </c>
      <c r="B14" s="238" t="s">
        <v>1615</v>
      </c>
      <c r="C14" s="238" t="s">
        <v>4941</v>
      </c>
      <c r="D14" s="652" t="s">
        <v>90</v>
      </c>
      <c r="E14" s="603" t="s">
        <v>96</v>
      </c>
      <c r="F14" s="198"/>
      <c r="G14" s="198"/>
      <c r="H14" s="198"/>
      <c r="I14" s="198"/>
      <c r="J14" s="198"/>
      <c r="K14" s="199"/>
      <c r="L14" s="199"/>
      <c r="M14" s="675"/>
      <c r="N14" s="199"/>
      <c r="O14" s="152">
        <f>'6-A. Proc. Sub-Annex'!P29</f>
        <v>98.52</v>
      </c>
      <c r="P14" s="126"/>
      <c r="Q14" s="486"/>
      <c r="R14" s="152">
        <f>'6-A. Proc. Sub-Annex'!S29</f>
        <v>0</v>
      </c>
      <c r="S14" s="653"/>
    </row>
    <row r="15" spans="1:53">
      <c r="A15" s="238" t="s">
        <v>1624</v>
      </c>
      <c r="B15" s="238"/>
      <c r="C15" s="238" t="s">
        <v>4895</v>
      </c>
      <c r="D15" s="652" t="s">
        <v>90</v>
      </c>
      <c r="E15" s="603" t="s">
        <v>205</v>
      </c>
      <c r="F15" s="198"/>
      <c r="G15" s="198"/>
      <c r="H15" s="198"/>
      <c r="I15" s="198"/>
      <c r="J15" s="198"/>
      <c r="K15" s="199"/>
      <c r="L15" s="199"/>
      <c r="M15" s="675"/>
      <c r="N15" s="199"/>
      <c r="O15" s="152">
        <f>'6-A. Proc. Sub-Annex'!P35</f>
        <v>100</v>
      </c>
      <c r="P15" s="126"/>
      <c r="Q15" s="486"/>
      <c r="R15" s="152">
        <f>'6-A. Proc. Sub-Annex'!S35</f>
        <v>0</v>
      </c>
      <c r="S15" s="653"/>
    </row>
    <row r="16" spans="1:53">
      <c r="A16" s="238" t="s">
        <v>1628</v>
      </c>
      <c r="B16" s="239"/>
      <c r="C16" s="238" t="s">
        <v>4896</v>
      </c>
      <c r="D16" s="652" t="s">
        <v>90</v>
      </c>
      <c r="E16" s="655" t="s">
        <v>208</v>
      </c>
      <c r="F16" s="198"/>
      <c r="G16" s="198"/>
      <c r="H16" s="198"/>
      <c r="I16" s="198"/>
      <c r="J16" s="198"/>
      <c r="K16" s="199"/>
      <c r="L16" s="199"/>
      <c r="M16" s="675"/>
      <c r="N16" s="199"/>
      <c r="O16" s="152">
        <f>'6-A. Proc. Sub-Annex'!P38</f>
        <v>2.5</v>
      </c>
      <c r="P16" s="126"/>
      <c r="Q16" s="486"/>
      <c r="R16" s="152">
        <f>'6-A. Proc. Sub-Annex'!S38</f>
        <v>0</v>
      </c>
      <c r="S16" s="653"/>
    </row>
    <row r="17" spans="1:18" s="651" customFormat="1">
      <c r="A17" s="643" t="s">
        <v>1676</v>
      </c>
      <c r="B17" s="644"/>
      <c r="C17" s="645" t="s">
        <v>4936</v>
      </c>
      <c r="D17" s="646"/>
      <c r="E17" s="646"/>
      <c r="F17" s="261"/>
      <c r="G17" s="261"/>
      <c r="H17" s="261"/>
      <c r="I17" s="261"/>
      <c r="J17" s="261"/>
      <c r="K17" s="263"/>
      <c r="L17" s="263"/>
      <c r="M17" s="676"/>
      <c r="N17" s="263"/>
      <c r="O17" s="649">
        <f>SUM(O18:O24)</f>
        <v>2661.5</v>
      </c>
      <c r="P17" s="262"/>
      <c r="Q17" s="650"/>
      <c r="R17" s="649">
        <f>SUM(R18:R24)</f>
        <v>0</v>
      </c>
    </row>
    <row r="18" spans="1:18" ht="30">
      <c r="A18" s="238" t="s">
        <v>1677</v>
      </c>
      <c r="B18" s="238" t="s">
        <v>1625</v>
      </c>
      <c r="C18" s="238" t="s">
        <v>4897</v>
      </c>
      <c r="D18" s="457" t="s">
        <v>70</v>
      </c>
      <c r="E18" s="603" t="s">
        <v>4951</v>
      </c>
      <c r="F18" s="198"/>
      <c r="G18" s="198"/>
      <c r="H18" s="198"/>
      <c r="I18" s="198"/>
      <c r="J18" s="198"/>
      <c r="K18" s="199"/>
      <c r="L18" s="199"/>
      <c r="M18" s="675"/>
      <c r="N18" s="199"/>
      <c r="O18" s="152">
        <f>'6-A. Proc. Sub-Annex'!P42</f>
        <v>410</v>
      </c>
      <c r="P18" s="132"/>
      <c r="Q18" s="605"/>
      <c r="R18" s="152">
        <f>'6-A. Proc. Sub-Annex'!S42</f>
        <v>0</v>
      </c>
    </row>
    <row r="19" spans="1:18">
      <c r="A19" s="238" t="s">
        <v>1678</v>
      </c>
      <c r="B19" s="238" t="s">
        <v>1629</v>
      </c>
      <c r="C19" s="656" t="s">
        <v>4937</v>
      </c>
      <c r="D19" s="457" t="s">
        <v>70</v>
      </c>
      <c r="E19" s="603" t="s">
        <v>70</v>
      </c>
      <c r="F19" s="198"/>
      <c r="G19" s="198"/>
      <c r="H19" s="198"/>
      <c r="I19" s="198"/>
      <c r="J19" s="198"/>
      <c r="K19" s="199"/>
      <c r="L19" s="199"/>
      <c r="M19" s="675"/>
      <c r="N19" s="199"/>
      <c r="O19" s="152">
        <f>'6-A. Proc. Sub-Annex'!P47</f>
        <v>0</v>
      </c>
      <c r="P19" s="132"/>
      <c r="Q19" s="605"/>
      <c r="R19" s="152">
        <f>'6-A. Proc. Sub-Annex'!S47</f>
        <v>0</v>
      </c>
    </row>
    <row r="20" spans="1:18">
      <c r="A20" s="238" t="s">
        <v>1687</v>
      </c>
      <c r="B20" s="238" t="s">
        <v>1631</v>
      </c>
      <c r="C20" s="238" t="s">
        <v>4898</v>
      </c>
      <c r="D20" s="457" t="s">
        <v>70</v>
      </c>
      <c r="E20" s="631" t="s">
        <v>3305</v>
      </c>
      <c r="F20" s="198"/>
      <c r="G20" s="198"/>
      <c r="H20" s="198"/>
      <c r="I20" s="198"/>
      <c r="J20" s="198"/>
      <c r="K20" s="199"/>
      <c r="L20" s="199"/>
      <c r="M20" s="675"/>
      <c r="N20" s="199"/>
      <c r="O20" s="152">
        <f>'6-A. Proc. Sub-Annex'!P50</f>
        <v>0</v>
      </c>
      <c r="P20" s="132"/>
      <c r="Q20" s="605"/>
      <c r="R20" s="152">
        <f>'6-A. Proc. Sub-Annex'!S50</f>
        <v>0</v>
      </c>
    </row>
    <row r="21" spans="1:18">
      <c r="A21" s="238" t="s">
        <v>1692</v>
      </c>
      <c r="B21" s="238" t="s">
        <v>1633</v>
      </c>
      <c r="C21" s="238" t="s">
        <v>1634</v>
      </c>
      <c r="D21" s="457" t="s">
        <v>70</v>
      </c>
      <c r="E21" s="603" t="s">
        <v>70</v>
      </c>
      <c r="F21" s="196"/>
      <c r="G21" s="196"/>
      <c r="H21" s="196"/>
      <c r="I21" s="196"/>
      <c r="J21" s="196"/>
      <c r="K21" s="264"/>
      <c r="L21" s="264"/>
      <c r="M21" s="342"/>
      <c r="N21" s="264"/>
      <c r="O21" s="152">
        <f>'6-A. Proc. Sub-Annex'!P53</f>
        <v>1478</v>
      </c>
      <c r="P21" s="126"/>
      <c r="Q21" s="486"/>
      <c r="R21" s="152">
        <f>'6-A. Proc. Sub-Annex'!S53</f>
        <v>0</v>
      </c>
    </row>
    <row r="22" spans="1:18">
      <c r="A22" s="238" t="s">
        <v>1694</v>
      </c>
      <c r="B22" s="238"/>
      <c r="C22" s="238" t="s">
        <v>1695</v>
      </c>
      <c r="D22" s="457" t="s">
        <v>70</v>
      </c>
      <c r="E22" s="655" t="s">
        <v>70</v>
      </c>
      <c r="F22" s="196"/>
      <c r="G22" s="196"/>
      <c r="H22" s="196"/>
      <c r="I22" s="196"/>
      <c r="J22" s="196"/>
      <c r="K22" s="264"/>
      <c r="L22" s="264"/>
      <c r="M22" s="342"/>
      <c r="N22" s="264"/>
      <c r="O22" s="152">
        <f>'6-A. Proc. Sub-Annex'!P55</f>
        <v>274.14999999999998</v>
      </c>
      <c r="P22" s="126"/>
      <c r="Q22" s="486"/>
      <c r="R22" s="152">
        <f>'6-A. Proc. Sub-Annex'!S55</f>
        <v>0</v>
      </c>
    </row>
    <row r="23" spans="1:18">
      <c r="A23" s="238" t="s">
        <v>2391</v>
      </c>
      <c r="B23" s="238"/>
      <c r="C23" s="238" t="s">
        <v>5009</v>
      </c>
      <c r="D23" s="457" t="s">
        <v>70</v>
      </c>
      <c r="E23" s="655" t="s">
        <v>4357</v>
      </c>
      <c r="F23" s="196"/>
      <c r="G23" s="196"/>
      <c r="H23" s="196"/>
      <c r="I23" s="196"/>
      <c r="J23" s="196"/>
      <c r="K23" s="264"/>
      <c r="L23" s="264"/>
      <c r="M23" s="342"/>
      <c r="N23" s="264"/>
      <c r="O23" s="152">
        <f>'6-A. Proc. Sub-Annex'!P59</f>
        <v>439.34999999999997</v>
      </c>
      <c r="P23" s="126"/>
      <c r="Q23" s="486"/>
      <c r="R23" s="152">
        <f>'6-A. Proc. Sub-Annex'!S59</f>
        <v>0</v>
      </c>
    </row>
    <row r="24" spans="1:18">
      <c r="A24" s="238" t="s">
        <v>5007</v>
      </c>
      <c r="B24" s="238"/>
      <c r="C24" s="238" t="s">
        <v>2411</v>
      </c>
      <c r="D24" s="457" t="s">
        <v>70</v>
      </c>
      <c r="E24" s="655" t="s">
        <v>2379</v>
      </c>
      <c r="F24" s="196"/>
      <c r="G24" s="196"/>
      <c r="H24" s="196"/>
      <c r="I24" s="196"/>
      <c r="J24" s="196"/>
      <c r="K24" s="264"/>
      <c r="L24" s="264"/>
      <c r="M24" s="342"/>
      <c r="N24" s="264"/>
      <c r="O24" s="152">
        <f>'6-A. Proc. Sub-Annex'!P61</f>
        <v>60</v>
      </c>
      <c r="P24" s="126"/>
      <c r="Q24" s="486"/>
      <c r="R24" s="152">
        <f>'6-A. Proc. Sub-Annex'!S61</f>
        <v>0</v>
      </c>
    </row>
    <row r="25" spans="1:18" s="651" customFormat="1">
      <c r="A25" s="643" t="s">
        <v>1696</v>
      </c>
      <c r="B25" s="644"/>
      <c r="C25" s="645" t="s">
        <v>4949</v>
      </c>
      <c r="D25" s="646"/>
      <c r="E25" s="646"/>
      <c r="F25" s="261"/>
      <c r="G25" s="261"/>
      <c r="H25" s="261"/>
      <c r="I25" s="261"/>
      <c r="J25" s="261"/>
      <c r="K25" s="263"/>
      <c r="L25" s="263"/>
      <c r="M25" s="676"/>
      <c r="N25" s="263"/>
      <c r="O25" s="649">
        <f>SUM(O26:O28)</f>
        <v>7424.8819999999996</v>
      </c>
      <c r="P25" s="262"/>
      <c r="Q25" s="650"/>
      <c r="R25" s="649">
        <f>SUM(R26:R28)</f>
        <v>0</v>
      </c>
    </row>
    <row r="26" spans="1:18">
      <c r="A26" s="238" t="s">
        <v>1697</v>
      </c>
      <c r="B26" s="238"/>
      <c r="C26" s="238" t="s">
        <v>1936</v>
      </c>
      <c r="D26" s="457" t="s">
        <v>70</v>
      </c>
      <c r="E26" s="655" t="s">
        <v>4915</v>
      </c>
      <c r="F26" s="198"/>
      <c r="G26" s="198"/>
      <c r="H26" s="198"/>
      <c r="I26" s="198"/>
      <c r="J26" s="198"/>
      <c r="K26" s="199"/>
      <c r="L26" s="199"/>
      <c r="M26" s="675"/>
      <c r="N26" s="199"/>
      <c r="O26" s="152">
        <f>'6-A. Proc. Sub-Annex'!P65</f>
        <v>7424.8819999999996</v>
      </c>
      <c r="P26" s="132"/>
      <c r="Q26" s="605"/>
      <c r="R26" s="152">
        <f>'6-A. Proc. Sub-Annex'!S65</f>
        <v>0</v>
      </c>
    </row>
    <row r="27" spans="1:18">
      <c r="A27" s="238" t="s">
        <v>1705</v>
      </c>
      <c r="B27" s="238"/>
      <c r="C27" s="238" t="s">
        <v>4948</v>
      </c>
      <c r="D27" s="652" t="s">
        <v>90</v>
      </c>
      <c r="E27" s="655" t="s">
        <v>118</v>
      </c>
      <c r="F27" s="198"/>
      <c r="G27" s="198"/>
      <c r="H27" s="198"/>
      <c r="I27" s="198"/>
      <c r="J27" s="198"/>
      <c r="K27" s="199"/>
      <c r="L27" s="199"/>
      <c r="M27" s="675"/>
      <c r="N27" s="199"/>
      <c r="O27" s="152">
        <f>'6-A. Proc. Sub-Annex'!P70</f>
        <v>0</v>
      </c>
      <c r="P27" s="132"/>
      <c r="Q27" s="605"/>
      <c r="R27" s="152">
        <f>'6-A. Proc. Sub-Annex'!S70</f>
        <v>0</v>
      </c>
    </row>
    <row r="28" spans="1:18">
      <c r="A28" s="238" t="s">
        <v>1705</v>
      </c>
      <c r="B28" s="238"/>
      <c r="C28" s="238" t="s">
        <v>4948</v>
      </c>
      <c r="D28" s="652" t="s">
        <v>90</v>
      </c>
      <c r="E28" s="657" t="s">
        <v>131</v>
      </c>
      <c r="F28" s="198"/>
      <c r="G28" s="198"/>
      <c r="H28" s="198"/>
      <c r="I28" s="198"/>
      <c r="J28" s="198"/>
      <c r="K28" s="199"/>
      <c r="L28" s="199"/>
      <c r="M28" s="675"/>
      <c r="N28" s="199"/>
      <c r="O28" s="152">
        <f>'6-A. Proc. Sub-Annex'!P71</f>
        <v>0</v>
      </c>
      <c r="P28" s="132"/>
      <c r="Q28" s="605"/>
      <c r="R28" s="152">
        <f>'6-A. Proc. Sub-Annex'!S71</f>
        <v>0</v>
      </c>
    </row>
    <row r="29" spans="1:18">
      <c r="A29" s="643" t="s">
        <v>4950</v>
      </c>
      <c r="B29" s="644"/>
      <c r="C29" s="645" t="s">
        <v>4947</v>
      </c>
      <c r="D29" s="646"/>
      <c r="E29" s="646"/>
      <c r="F29" s="261"/>
      <c r="G29" s="261"/>
      <c r="H29" s="261"/>
      <c r="I29" s="261"/>
      <c r="J29" s="261"/>
      <c r="K29" s="263"/>
      <c r="L29" s="263"/>
      <c r="M29" s="676"/>
      <c r="N29" s="263"/>
      <c r="O29" s="649">
        <f>SUM(O30:O34)</f>
        <v>558.707944</v>
      </c>
      <c r="P29" s="262"/>
      <c r="Q29" s="650"/>
      <c r="R29" s="649">
        <f>SUM(R30:R34)</f>
        <v>0</v>
      </c>
    </row>
    <row r="30" spans="1:18">
      <c r="A30" s="238" t="s">
        <v>4952</v>
      </c>
      <c r="B30" s="238"/>
      <c r="C30" s="238" t="s">
        <v>4899</v>
      </c>
      <c r="D30" s="658" t="s">
        <v>4358</v>
      </c>
      <c r="E30" s="603" t="s">
        <v>293</v>
      </c>
      <c r="F30" s="198"/>
      <c r="G30" s="198"/>
      <c r="H30" s="198"/>
      <c r="I30" s="198"/>
      <c r="J30" s="198"/>
      <c r="K30" s="199"/>
      <c r="L30" s="199"/>
      <c r="M30" s="675"/>
      <c r="N30" s="199"/>
      <c r="O30" s="152">
        <f>'6-A. Proc. Sub-Annex'!P73</f>
        <v>0</v>
      </c>
      <c r="P30" s="132"/>
      <c r="Q30" s="605"/>
      <c r="R30" s="152">
        <f>'6-A. Proc. Sub-Annex'!S73</f>
        <v>0</v>
      </c>
    </row>
    <row r="31" spans="1:18">
      <c r="A31" s="238" t="s">
        <v>4953</v>
      </c>
      <c r="B31" s="238"/>
      <c r="C31" s="238" t="s">
        <v>4900</v>
      </c>
      <c r="D31" s="658" t="s">
        <v>4358</v>
      </c>
      <c r="E31" s="603" t="s">
        <v>114</v>
      </c>
      <c r="F31" s="198"/>
      <c r="G31" s="198"/>
      <c r="H31" s="198"/>
      <c r="I31" s="198"/>
      <c r="J31" s="198"/>
      <c r="K31" s="199"/>
      <c r="L31" s="199"/>
      <c r="M31" s="675"/>
      <c r="N31" s="199"/>
      <c r="O31" s="152">
        <f>'6-A. Proc. Sub-Annex'!P76</f>
        <v>14.207944000000001</v>
      </c>
      <c r="P31" s="132"/>
      <c r="Q31" s="605"/>
      <c r="R31" s="152">
        <f>'6-A. Proc. Sub-Annex'!S76</f>
        <v>0</v>
      </c>
    </row>
    <row r="32" spans="1:18">
      <c r="A32" s="238" t="s">
        <v>4954</v>
      </c>
      <c r="B32" s="238"/>
      <c r="C32" s="238" t="s">
        <v>4901</v>
      </c>
      <c r="D32" s="658" t="s">
        <v>4358</v>
      </c>
      <c r="E32" s="603" t="s">
        <v>146</v>
      </c>
      <c r="F32" s="198"/>
      <c r="G32" s="198"/>
      <c r="H32" s="198"/>
      <c r="I32" s="198"/>
      <c r="J32" s="198"/>
      <c r="K32" s="199"/>
      <c r="L32" s="199"/>
      <c r="M32" s="675"/>
      <c r="N32" s="199"/>
      <c r="O32" s="152">
        <f>'6-A. Proc. Sub-Annex'!P83</f>
        <v>89.5</v>
      </c>
      <c r="P32" s="132"/>
      <c r="Q32" s="605"/>
      <c r="R32" s="152">
        <f>'6-A. Proc. Sub-Annex'!S83</f>
        <v>0</v>
      </c>
    </row>
    <row r="33" spans="1:18">
      <c r="A33" s="238" t="s">
        <v>4955</v>
      </c>
      <c r="B33" s="238"/>
      <c r="C33" s="238" t="s">
        <v>4902</v>
      </c>
      <c r="D33" s="658" t="s">
        <v>4358</v>
      </c>
      <c r="E33" s="603" t="s">
        <v>4674</v>
      </c>
      <c r="F33" s="198"/>
      <c r="G33" s="198"/>
      <c r="H33" s="198"/>
      <c r="I33" s="198"/>
      <c r="J33" s="198"/>
      <c r="K33" s="199"/>
      <c r="L33" s="199"/>
      <c r="M33" s="675"/>
      <c r="N33" s="199"/>
      <c r="O33" s="152">
        <f>'6-A. Proc. Sub-Annex'!P88</f>
        <v>455</v>
      </c>
      <c r="P33" s="132"/>
      <c r="Q33" s="605"/>
      <c r="R33" s="152">
        <f>'6-A. Proc. Sub-Annex'!S88</f>
        <v>0</v>
      </c>
    </row>
    <row r="34" spans="1:18">
      <c r="A34" s="238" t="s">
        <v>4956</v>
      </c>
      <c r="B34" s="238"/>
      <c r="C34" s="238" t="s">
        <v>4942</v>
      </c>
      <c r="D34" s="658" t="s">
        <v>4358</v>
      </c>
      <c r="E34" s="603" t="s">
        <v>3986</v>
      </c>
      <c r="F34" s="198"/>
      <c r="G34" s="198"/>
      <c r="H34" s="198"/>
      <c r="I34" s="198"/>
      <c r="J34" s="198"/>
      <c r="K34" s="199"/>
      <c r="L34" s="199"/>
      <c r="M34" s="675"/>
      <c r="N34" s="199"/>
      <c r="O34" s="152">
        <f>'6-A. Proc. Sub-Annex'!P90</f>
        <v>0</v>
      </c>
      <c r="P34" s="132"/>
      <c r="Q34" s="605"/>
      <c r="R34" s="152">
        <f>'6-A. Proc. Sub-Annex'!S90</f>
        <v>0</v>
      </c>
    </row>
    <row r="35" spans="1:18">
      <c r="A35" s="643" t="s">
        <v>4958</v>
      </c>
      <c r="B35" s="644"/>
      <c r="C35" s="645" t="s">
        <v>4957</v>
      </c>
      <c r="D35" s="646"/>
      <c r="E35" s="646"/>
      <c r="F35" s="261"/>
      <c r="G35" s="261"/>
      <c r="H35" s="261"/>
      <c r="I35" s="261"/>
      <c r="J35" s="261"/>
      <c r="K35" s="263"/>
      <c r="L35" s="263"/>
      <c r="M35" s="676"/>
      <c r="N35" s="263"/>
      <c r="O35" s="649">
        <f>SUM(O36:O45)</f>
        <v>1447.6525600000002</v>
      </c>
      <c r="P35" s="262"/>
      <c r="Q35" s="650"/>
      <c r="R35" s="649">
        <f>SUM(R36:R45)</f>
        <v>0</v>
      </c>
    </row>
    <row r="36" spans="1:18">
      <c r="A36" s="238" t="s">
        <v>4959</v>
      </c>
      <c r="B36" s="238"/>
      <c r="C36" s="238" t="s">
        <v>4903</v>
      </c>
      <c r="D36" s="460" t="s">
        <v>85</v>
      </c>
      <c r="E36" s="655" t="s">
        <v>86</v>
      </c>
      <c r="F36" s="196"/>
      <c r="G36" s="196"/>
      <c r="H36" s="196"/>
      <c r="I36" s="196"/>
      <c r="J36" s="196"/>
      <c r="K36" s="264"/>
      <c r="L36" s="264"/>
      <c r="M36" s="342"/>
      <c r="N36" s="264"/>
      <c r="O36" s="152">
        <f>'6-A. Proc. Sub-Annex'!P93</f>
        <v>200</v>
      </c>
      <c r="P36" s="126"/>
      <c r="Q36" s="486"/>
      <c r="R36" s="152">
        <f>'6-A. Proc. Sub-Annex'!S93</f>
        <v>0</v>
      </c>
    </row>
    <row r="37" spans="1:18">
      <c r="A37" s="238" t="s">
        <v>4960</v>
      </c>
      <c r="B37" s="238"/>
      <c r="C37" s="238" t="s">
        <v>4908</v>
      </c>
      <c r="D37" s="460" t="s">
        <v>85</v>
      </c>
      <c r="E37" s="655" t="s">
        <v>150</v>
      </c>
      <c r="F37" s="196"/>
      <c r="G37" s="196"/>
      <c r="H37" s="196"/>
      <c r="I37" s="196"/>
      <c r="J37" s="196"/>
      <c r="K37" s="264"/>
      <c r="L37" s="264"/>
      <c r="M37" s="342"/>
      <c r="N37" s="264"/>
      <c r="O37" s="152">
        <f>'6-A. Proc. Sub-Annex'!P99</f>
        <v>10.5</v>
      </c>
      <c r="P37" s="126"/>
      <c r="Q37" s="486"/>
      <c r="R37" s="152">
        <f>'6-A. Proc. Sub-Annex'!S99</f>
        <v>0</v>
      </c>
    </row>
    <row r="38" spans="1:18">
      <c r="A38" s="238" t="s">
        <v>4961</v>
      </c>
      <c r="B38" s="238" t="s">
        <v>1656</v>
      </c>
      <c r="C38" s="238" t="s">
        <v>4909</v>
      </c>
      <c r="D38" s="460" t="s">
        <v>85</v>
      </c>
      <c r="E38" s="655" t="s">
        <v>399</v>
      </c>
      <c r="F38" s="196"/>
      <c r="G38" s="196"/>
      <c r="H38" s="196"/>
      <c r="I38" s="196"/>
      <c r="J38" s="196"/>
      <c r="K38" s="264"/>
      <c r="L38" s="264"/>
      <c r="M38" s="342"/>
      <c r="N38" s="264"/>
      <c r="O38" s="152">
        <f>'6-A. Proc. Sub-Annex'!P101</f>
        <v>0</v>
      </c>
      <c r="P38" s="126"/>
      <c r="Q38" s="486"/>
      <c r="R38" s="152">
        <f>'6-A. Proc. Sub-Annex'!S101</f>
        <v>0</v>
      </c>
    </row>
    <row r="39" spans="1:18">
      <c r="A39" s="238" t="s">
        <v>4962</v>
      </c>
      <c r="B39" s="238"/>
      <c r="C39" s="238" t="s">
        <v>4910</v>
      </c>
      <c r="D39" s="460" t="s">
        <v>85</v>
      </c>
      <c r="E39" s="655" t="s">
        <v>152</v>
      </c>
      <c r="F39" s="196"/>
      <c r="G39" s="196"/>
      <c r="H39" s="196"/>
      <c r="I39" s="196"/>
      <c r="J39" s="196"/>
      <c r="K39" s="264"/>
      <c r="L39" s="264"/>
      <c r="M39" s="342"/>
      <c r="N39" s="264"/>
      <c r="O39" s="152">
        <f>'6-A. Proc. Sub-Annex'!P109</f>
        <v>38</v>
      </c>
      <c r="P39" s="126"/>
      <c r="Q39" s="486"/>
      <c r="R39" s="152">
        <f>'6-A. Proc. Sub-Annex'!S109</f>
        <v>0</v>
      </c>
    </row>
    <row r="40" spans="1:18">
      <c r="A40" s="238" t="s">
        <v>4963</v>
      </c>
      <c r="B40" s="238"/>
      <c r="C40" s="238" t="s">
        <v>4911</v>
      </c>
      <c r="D40" s="460" t="s">
        <v>85</v>
      </c>
      <c r="E40" s="655" t="s">
        <v>415</v>
      </c>
      <c r="F40" s="196"/>
      <c r="G40" s="196"/>
      <c r="H40" s="196"/>
      <c r="I40" s="196"/>
      <c r="J40" s="196"/>
      <c r="K40" s="264"/>
      <c r="L40" s="264"/>
      <c r="M40" s="342"/>
      <c r="N40" s="264"/>
      <c r="O40" s="152">
        <f>'6-A. Proc. Sub-Annex'!P113</f>
        <v>747.80000000000007</v>
      </c>
      <c r="P40" s="126"/>
      <c r="Q40" s="486"/>
      <c r="R40" s="152">
        <f>'6-A. Proc. Sub-Annex'!S113</f>
        <v>0</v>
      </c>
    </row>
    <row r="41" spans="1:18" ht="30">
      <c r="A41" s="238" t="s">
        <v>4964</v>
      </c>
      <c r="B41" s="238" t="s">
        <v>1338</v>
      </c>
      <c r="C41" s="238" t="s">
        <v>4912</v>
      </c>
      <c r="D41" s="460" t="s">
        <v>85</v>
      </c>
      <c r="E41" s="603" t="s">
        <v>4915</v>
      </c>
      <c r="F41" s="196"/>
      <c r="G41" s="196"/>
      <c r="H41" s="196"/>
      <c r="I41" s="196"/>
      <c r="J41" s="196"/>
      <c r="K41" s="264"/>
      <c r="L41" s="264"/>
      <c r="M41" s="342"/>
      <c r="N41" s="264"/>
      <c r="O41" s="152">
        <f>'6-A. Proc. Sub-Annex'!P120</f>
        <v>0</v>
      </c>
      <c r="P41" s="126"/>
      <c r="Q41" s="486"/>
      <c r="R41" s="152">
        <f>'6-A. Proc. Sub-Annex'!S120</f>
        <v>0</v>
      </c>
    </row>
    <row r="42" spans="1:18">
      <c r="A42" s="238" t="s">
        <v>4965</v>
      </c>
      <c r="B42" s="238" t="s">
        <v>1638</v>
      </c>
      <c r="C42" s="238" t="s">
        <v>4904</v>
      </c>
      <c r="D42" s="460" t="s">
        <v>85</v>
      </c>
      <c r="E42" s="603" t="s">
        <v>1020</v>
      </c>
      <c r="F42" s="196"/>
      <c r="G42" s="196"/>
      <c r="H42" s="196"/>
      <c r="I42" s="196"/>
      <c r="J42" s="196"/>
      <c r="K42" s="264"/>
      <c r="L42" s="264"/>
      <c r="M42" s="342"/>
      <c r="N42" s="264"/>
      <c r="O42" s="152">
        <f>'6-A. Proc. Sub-Annex'!P123</f>
        <v>342.95256000000001</v>
      </c>
      <c r="P42" s="126"/>
      <c r="Q42" s="486"/>
      <c r="R42" s="152">
        <f>'6-A. Proc. Sub-Annex'!S123</f>
        <v>0</v>
      </c>
    </row>
    <row r="43" spans="1:18">
      <c r="A43" s="238" t="s">
        <v>4989</v>
      </c>
      <c r="B43" s="238"/>
      <c r="C43" s="238" t="s">
        <v>4905</v>
      </c>
      <c r="D43" s="460" t="s">
        <v>85</v>
      </c>
      <c r="E43" s="603" t="s">
        <v>312</v>
      </c>
      <c r="F43" s="196"/>
      <c r="G43" s="196"/>
      <c r="H43" s="196"/>
      <c r="I43" s="196"/>
      <c r="J43" s="196"/>
      <c r="K43" s="264"/>
      <c r="L43" s="264"/>
      <c r="M43" s="342"/>
      <c r="N43" s="264"/>
      <c r="O43" s="152">
        <f>'6-A. Proc. Sub-Annex'!P126</f>
        <v>108.4</v>
      </c>
      <c r="P43" s="126"/>
      <c r="Q43" s="486"/>
      <c r="R43" s="152">
        <f>'6-A. Proc. Sub-Annex'!S126</f>
        <v>0</v>
      </c>
    </row>
    <row r="44" spans="1:18">
      <c r="A44" s="238" t="s">
        <v>4990</v>
      </c>
      <c r="B44" s="238"/>
      <c r="C44" s="238" t="s">
        <v>4906</v>
      </c>
      <c r="D44" s="460" t="s">
        <v>85</v>
      </c>
      <c r="E44" s="603" t="s">
        <v>314</v>
      </c>
      <c r="F44" s="196"/>
      <c r="G44" s="196"/>
      <c r="H44" s="196"/>
      <c r="I44" s="196"/>
      <c r="J44" s="196"/>
      <c r="K44" s="264"/>
      <c r="L44" s="264"/>
      <c r="M44" s="342"/>
      <c r="N44" s="264"/>
      <c r="O44" s="152">
        <f>'6-A. Proc. Sub-Annex'!P129</f>
        <v>0</v>
      </c>
      <c r="P44" s="126"/>
      <c r="Q44" s="486"/>
      <c r="R44" s="152">
        <f>'6-A. Proc. Sub-Annex'!S129</f>
        <v>0</v>
      </c>
    </row>
    <row r="45" spans="1:18">
      <c r="A45" s="238" t="s">
        <v>4991</v>
      </c>
      <c r="B45" s="238"/>
      <c r="C45" s="238" t="s">
        <v>4907</v>
      </c>
      <c r="D45" s="460" t="s">
        <v>85</v>
      </c>
      <c r="E45" s="603" t="s">
        <v>4708</v>
      </c>
      <c r="F45" s="196"/>
      <c r="G45" s="196"/>
      <c r="H45" s="196"/>
      <c r="I45" s="196"/>
      <c r="J45" s="196"/>
      <c r="K45" s="264"/>
      <c r="L45" s="264"/>
      <c r="M45" s="342"/>
      <c r="N45" s="264"/>
      <c r="O45" s="152">
        <f>'6-A. Proc. Sub-Annex'!P132</f>
        <v>0</v>
      </c>
      <c r="P45" s="126"/>
      <c r="Q45" s="486"/>
      <c r="R45" s="152">
        <f>'6-A. Proc. Sub-Annex'!S132</f>
        <v>0</v>
      </c>
    </row>
    <row r="46" spans="1:18">
      <c r="A46" s="643" t="s">
        <v>4988</v>
      </c>
      <c r="B46" s="644"/>
      <c r="C46" s="645" t="s">
        <v>4943</v>
      </c>
      <c r="D46" s="646"/>
      <c r="E46" s="646"/>
      <c r="F46" s="261"/>
      <c r="G46" s="261"/>
      <c r="H46" s="261"/>
      <c r="I46" s="261"/>
      <c r="J46" s="261"/>
      <c r="K46" s="263"/>
      <c r="L46" s="263"/>
      <c r="M46" s="676"/>
      <c r="N46" s="263"/>
      <c r="O46" s="649">
        <f>SUM(O47:O53)</f>
        <v>741.9</v>
      </c>
      <c r="P46" s="262"/>
      <c r="Q46" s="650"/>
      <c r="R46" s="649">
        <f>SUM(R47:R53)</f>
        <v>0</v>
      </c>
    </row>
    <row r="47" spans="1:18">
      <c r="A47" s="238" t="s">
        <v>4992</v>
      </c>
      <c r="B47" s="659" t="s">
        <v>1698</v>
      </c>
      <c r="C47" s="238" t="s">
        <v>1699</v>
      </c>
      <c r="D47" s="652" t="s">
        <v>90</v>
      </c>
      <c r="E47" s="631" t="s">
        <v>91</v>
      </c>
      <c r="F47" s="198"/>
      <c r="G47" s="198"/>
      <c r="H47" s="198"/>
      <c r="I47" s="198"/>
      <c r="J47" s="198"/>
      <c r="K47" s="264">
        <f>'6-A. Proc. Sub-Annex'!L137</f>
        <v>0</v>
      </c>
      <c r="L47" s="264"/>
      <c r="M47" s="660">
        <f>'6-A. Proc. Sub-Annex'!N137</f>
        <v>0</v>
      </c>
      <c r="N47" s="264"/>
      <c r="O47" s="660">
        <f>'6-A. Proc. Sub-Annex'!P137</f>
        <v>0</v>
      </c>
      <c r="P47" s="126">
        <f>'6-A. Proc. Sub-Annex'!Q137</f>
        <v>0</v>
      </c>
      <c r="Q47" s="486">
        <f>'6-A. Proc. Sub-Annex'!R137</f>
        <v>0</v>
      </c>
      <c r="R47" s="660">
        <f>'6-A. Proc. Sub-Annex'!S137</f>
        <v>0</v>
      </c>
    </row>
    <row r="48" spans="1:18">
      <c r="A48" s="238" t="s">
        <v>4993</v>
      </c>
      <c r="B48" s="238" t="s">
        <v>1700</v>
      </c>
      <c r="C48" s="238" t="s">
        <v>1701</v>
      </c>
      <c r="D48" s="488" t="s">
        <v>4358</v>
      </c>
      <c r="E48" s="631" t="s">
        <v>293</v>
      </c>
      <c r="F48" s="198"/>
      <c r="G48" s="198"/>
      <c r="H48" s="198"/>
      <c r="I48" s="198"/>
      <c r="J48" s="198"/>
      <c r="K48" s="264">
        <f>'6-A. Proc. Sub-Annex'!L138</f>
        <v>0</v>
      </c>
      <c r="L48" s="264"/>
      <c r="M48" s="660">
        <f>'6-A. Proc. Sub-Annex'!N138</f>
        <v>0</v>
      </c>
      <c r="N48" s="264"/>
      <c r="O48" s="660">
        <f>'6-A. Proc. Sub-Annex'!P138</f>
        <v>0</v>
      </c>
      <c r="P48" s="126">
        <f>'6-A. Proc. Sub-Annex'!Q138</f>
        <v>0</v>
      </c>
      <c r="Q48" s="486">
        <f>'6-A. Proc. Sub-Annex'!R138</f>
        <v>0</v>
      </c>
      <c r="R48" s="660">
        <f>'6-A. Proc. Sub-Annex'!S138</f>
        <v>0</v>
      </c>
    </row>
    <row r="49" spans="1:18" ht="45">
      <c r="A49" s="238" t="s">
        <v>4994</v>
      </c>
      <c r="B49" s="238" t="s">
        <v>1702</v>
      </c>
      <c r="C49" s="238" t="s">
        <v>1703</v>
      </c>
      <c r="D49" s="488" t="s">
        <v>4358</v>
      </c>
      <c r="E49" s="631" t="s">
        <v>4674</v>
      </c>
      <c r="F49" s="198"/>
      <c r="G49" s="198"/>
      <c r="H49" s="198"/>
      <c r="I49" s="198"/>
      <c r="J49" s="198"/>
      <c r="K49" s="264" t="str">
        <f>'6-A. Proc. Sub-Annex'!L139</f>
        <v>No. of Equipment</v>
      </c>
      <c r="L49" s="264"/>
      <c r="M49" s="660">
        <f>'6-A. Proc. Sub-Annex'!N139</f>
        <v>83.9</v>
      </c>
      <c r="N49" s="264"/>
      <c r="O49" s="660">
        <f>'6-A. Proc. Sub-Annex'!P139</f>
        <v>83.9</v>
      </c>
      <c r="P49" s="126" t="str">
        <f>'6-A. Proc. Sub-Annex'!Q139</f>
        <v>1. AMC/ CMC of the IRL and 3 C&amp;DST Labs in the state (shifted from FIND) 2. For Office equipments, Lab. Equp. Etc. State and District level (Annexure attached).</v>
      </c>
      <c r="Q49" s="486">
        <f>'6-A. Proc. Sub-Annex'!R139</f>
        <v>0</v>
      </c>
      <c r="R49" s="660">
        <f>'6-A. Proc. Sub-Annex'!S139</f>
        <v>0</v>
      </c>
    </row>
    <row r="50" spans="1:18">
      <c r="A50" s="238" t="s">
        <v>4995</v>
      </c>
      <c r="B50" s="238"/>
      <c r="C50" s="238" t="s">
        <v>4438</v>
      </c>
      <c r="D50" s="488" t="s">
        <v>4358</v>
      </c>
      <c r="E50" s="655" t="s">
        <v>114</v>
      </c>
      <c r="F50" s="198"/>
      <c r="G50" s="198"/>
      <c r="H50" s="198"/>
      <c r="I50" s="198"/>
      <c r="J50" s="198"/>
      <c r="K50" s="264">
        <f>'6-A. Proc. Sub-Annex'!L140</f>
        <v>0</v>
      </c>
      <c r="L50" s="264"/>
      <c r="M50" s="660">
        <f>'6-A. Proc. Sub-Annex'!N140</f>
        <v>0</v>
      </c>
      <c r="N50" s="264"/>
      <c r="O50" s="660">
        <f>'6-A. Proc. Sub-Annex'!P140</f>
        <v>0</v>
      </c>
      <c r="P50" s="126">
        <f>'6-A. Proc. Sub-Annex'!Q140</f>
        <v>0</v>
      </c>
      <c r="Q50" s="486">
        <f>'6-A. Proc. Sub-Annex'!R140</f>
        <v>0</v>
      </c>
      <c r="R50" s="660">
        <f>'6-A. Proc. Sub-Annex'!S140</f>
        <v>0</v>
      </c>
    </row>
    <row r="51" spans="1:18">
      <c r="A51" s="238" t="s">
        <v>4996</v>
      </c>
      <c r="B51" s="244" t="s">
        <v>1704</v>
      </c>
      <c r="C51" s="244" t="s">
        <v>2847</v>
      </c>
      <c r="D51" s="460" t="s">
        <v>85</v>
      </c>
      <c r="E51" s="631" t="s">
        <v>86</v>
      </c>
      <c r="F51" s="132"/>
      <c r="G51" s="132"/>
      <c r="H51" s="132"/>
      <c r="I51" s="132"/>
      <c r="J51" s="132"/>
      <c r="K51" s="264">
        <f>'6-A. Proc. Sub-Annex'!L141</f>
        <v>0</v>
      </c>
      <c r="L51" s="264"/>
      <c r="M51" s="660">
        <f>'6-A. Proc. Sub-Annex'!N141</f>
        <v>0</v>
      </c>
      <c r="N51" s="264"/>
      <c r="O51" s="660">
        <f>'6-A. Proc. Sub-Annex'!P141</f>
        <v>0</v>
      </c>
      <c r="P51" s="126">
        <f>'6-A. Proc. Sub-Annex'!Q141</f>
        <v>0</v>
      </c>
      <c r="Q51" s="486">
        <f>'6-A. Proc. Sub-Annex'!R141</f>
        <v>0</v>
      </c>
      <c r="R51" s="660">
        <f>'6-A. Proc. Sub-Annex'!S141</f>
        <v>0</v>
      </c>
    </row>
    <row r="52" spans="1:18" ht="195">
      <c r="A52" s="238" t="s">
        <v>4997</v>
      </c>
      <c r="B52" s="238"/>
      <c r="C52" s="238" t="s">
        <v>4437</v>
      </c>
      <c r="D52" s="457" t="s">
        <v>70</v>
      </c>
      <c r="E52" s="655" t="s">
        <v>4915</v>
      </c>
      <c r="F52" s="198"/>
      <c r="G52" s="198"/>
      <c r="H52" s="198"/>
      <c r="I52" s="198"/>
      <c r="J52" s="198"/>
      <c r="K52" s="264" t="str">
        <f>'6-A. Proc. Sub-Annex'!L142</f>
        <v>19475 equipments</v>
      </c>
      <c r="L52" s="264"/>
      <c r="M52" s="660">
        <f>'6-A. Proc. Sub-Annex'!N142</f>
        <v>658</v>
      </c>
      <c r="N52" s="264"/>
      <c r="O52" s="660">
        <f>'6-A. Proc. Sub-Annex'!P142</f>
        <v>658</v>
      </c>
      <c r="P52" s="126" t="str">
        <f>'6-A. Proc. Sub-Annex'!Q142</f>
        <v>The mapping of bio-medical equipment was done in 2015-16 by the agency M/s HLL in which the agency had mapped 19475 equipments costing about Rs. 94 crores. As per estimation, the cost of CMC @ 7% shall be approximately 6.58 crore per annum for all the facilities (District Hospitals and below). Last year, 50% of this amount was approved. However, the tender counld not be finalised. 
Currently, we are in the process of e-tendering for BMMP in PPP mode through our procurement agengy BMSICL. The contract is expected to get executed soon. 
We are proposing a budget of Rs. 6.58 Cr in the PIP. Any additional amount, if needed after finalization of contract, will be demanded in supplementary PIP.</v>
      </c>
      <c r="Q52" s="486">
        <f>'6-A. Proc. Sub-Annex'!R142</f>
        <v>0</v>
      </c>
      <c r="R52" s="660">
        <f>'6-A. Proc. Sub-Annex'!S142</f>
        <v>0</v>
      </c>
    </row>
    <row r="53" spans="1:18">
      <c r="A53" s="238" t="s">
        <v>4998</v>
      </c>
      <c r="B53" s="238"/>
      <c r="C53" s="238" t="s">
        <v>1310</v>
      </c>
      <c r="D53" s="457" t="s">
        <v>70</v>
      </c>
      <c r="E53" s="631" t="s">
        <v>4915</v>
      </c>
      <c r="F53" s="198"/>
      <c r="G53" s="198"/>
      <c r="H53" s="198"/>
      <c r="I53" s="198"/>
      <c r="J53" s="198"/>
      <c r="K53" s="264">
        <f>'6-A. Proc. Sub-Annex'!L143</f>
        <v>0</v>
      </c>
      <c r="L53" s="264"/>
      <c r="M53" s="660">
        <f>'6-A. Proc. Sub-Annex'!N143</f>
        <v>0</v>
      </c>
      <c r="N53" s="264"/>
      <c r="O53" s="660">
        <f>'6-A. Proc. Sub-Annex'!P143</f>
        <v>0</v>
      </c>
      <c r="P53" s="126">
        <f>'6-A. Proc. Sub-Annex'!Q143</f>
        <v>0</v>
      </c>
      <c r="Q53" s="486">
        <f>'6-A. Proc. Sub-Annex'!R143</f>
        <v>0</v>
      </c>
      <c r="R53" s="660">
        <f>'6-A. Proc. Sub-Annex'!S143</f>
        <v>0</v>
      </c>
    </row>
    <row r="54" spans="1:18" s="632" customFormat="1">
      <c r="A54" s="641">
        <v>6.2</v>
      </c>
      <c r="B54" s="642" t="s">
        <v>1706</v>
      </c>
      <c r="C54" s="641" t="s">
        <v>4987</v>
      </c>
      <c r="D54" s="470"/>
      <c r="E54" s="470"/>
      <c r="F54" s="82"/>
      <c r="G54" s="82"/>
      <c r="H54" s="82"/>
      <c r="I54" s="82"/>
      <c r="J54" s="82"/>
      <c r="K54" s="127"/>
      <c r="L54" s="127"/>
      <c r="M54" s="346"/>
      <c r="N54" s="127"/>
      <c r="O54" s="341">
        <f>O55+O63+O71+O78</f>
        <v>32602.907287399998</v>
      </c>
      <c r="P54" s="82"/>
      <c r="Q54" s="75"/>
      <c r="R54" s="341">
        <f>R55+R63+R71+R78</f>
        <v>0</v>
      </c>
    </row>
    <row r="55" spans="1:18" s="651" customFormat="1">
      <c r="A55" s="643" t="s">
        <v>1708</v>
      </c>
      <c r="B55" s="644"/>
      <c r="C55" s="645" t="s">
        <v>4944</v>
      </c>
      <c r="D55" s="646"/>
      <c r="E55" s="646"/>
      <c r="F55" s="261"/>
      <c r="G55" s="261"/>
      <c r="H55" s="261"/>
      <c r="I55" s="261"/>
      <c r="J55" s="261"/>
      <c r="K55" s="263"/>
      <c r="L55" s="263"/>
      <c r="M55" s="676"/>
      <c r="N55" s="263"/>
      <c r="O55" s="649">
        <f>SUM(O56:O62)</f>
        <v>13157.143417399999</v>
      </c>
      <c r="P55" s="262"/>
      <c r="Q55" s="650"/>
      <c r="R55" s="649">
        <f>SUM(R56:R62)</f>
        <v>0</v>
      </c>
    </row>
    <row r="56" spans="1:18">
      <c r="A56" s="661" t="s">
        <v>1711</v>
      </c>
      <c r="B56" s="238"/>
      <c r="C56" s="238" t="s">
        <v>1710</v>
      </c>
      <c r="D56" s="652" t="s">
        <v>90</v>
      </c>
      <c r="E56" s="603" t="s">
        <v>118</v>
      </c>
      <c r="F56" s="198"/>
      <c r="G56" s="198"/>
      <c r="H56" s="198"/>
      <c r="I56" s="198"/>
      <c r="J56" s="198"/>
      <c r="K56" s="265"/>
      <c r="L56" s="199"/>
      <c r="M56" s="675"/>
      <c r="N56" s="199"/>
      <c r="O56" s="152">
        <f>'6-A. Proc. Sub-Annex'!P146</f>
        <v>5181.05962</v>
      </c>
      <c r="P56" s="132"/>
      <c r="Q56" s="605"/>
      <c r="R56" s="152">
        <f>'6-A. Proc. Sub-Annex'!S146</f>
        <v>0</v>
      </c>
    </row>
    <row r="57" spans="1:18">
      <c r="A57" s="661" t="s">
        <v>1714</v>
      </c>
      <c r="B57" s="238"/>
      <c r="C57" s="238" t="s">
        <v>1741</v>
      </c>
      <c r="D57" s="652" t="s">
        <v>90</v>
      </c>
      <c r="E57" s="603" t="s">
        <v>131</v>
      </c>
      <c r="F57" s="198"/>
      <c r="G57" s="198"/>
      <c r="H57" s="198"/>
      <c r="I57" s="198"/>
      <c r="J57" s="198"/>
      <c r="K57" s="265"/>
      <c r="L57" s="199"/>
      <c r="M57" s="675"/>
      <c r="N57" s="199"/>
      <c r="O57" s="152">
        <f>'6-A. Proc. Sub-Annex'!P160</f>
        <v>6347.6705049999991</v>
      </c>
      <c r="P57" s="132"/>
      <c r="Q57" s="605"/>
      <c r="R57" s="152">
        <f>'6-A. Proc. Sub-Annex'!S160</f>
        <v>0</v>
      </c>
    </row>
    <row r="58" spans="1:18">
      <c r="A58" s="661" t="s">
        <v>1716</v>
      </c>
      <c r="B58" s="238"/>
      <c r="C58" s="238" t="s">
        <v>1770</v>
      </c>
      <c r="D58" s="652" t="s">
        <v>90</v>
      </c>
      <c r="E58" s="603" t="s">
        <v>91</v>
      </c>
      <c r="F58" s="198"/>
      <c r="G58" s="198"/>
      <c r="H58" s="198"/>
      <c r="I58" s="198"/>
      <c r="J58" s="198"/>
      <c r="K58" s="265"/>
      <c r="L58" s="199"/>
      <c r="M58" s="675"/>
      <c r="N58" s="199"/>
      <c r="O58" s="152">
        <f>'6-A. Proc. Sub-Annex'!P173</f>
        <v>231.44009</v>
      </c>
      <c r="P58" s="132"/>
      <c r="Q58" s="605"/>
      <c r="R58" s="152">
        <f>'6-A. Proc. Sub-Annex'!S173</f>
        <v>0</v>
      </c>
    </row>
    <row r="59" spans="1:18">
      <c r="A59" s="661" t="s">
        <v>1719</v>
      </c>
      <c r="B59" s="238"/>
      <c r="C59" s="238" t="s">
        <v>1774</v>
      </c>
      <c r="D59" s="652" t="s">
        <v>90</v>
      </c>
      <c r="E59" s="603" t="s">
        <v>193</v>
      </c>
      <c r="F59" s="198"/>
      <c r="G59" s="198"/>
      <c r="H59" s="198"/>
      <c r="I59" s="198"/>
      <c r="J59" s="198"/>
      <c r="K59" s="265"/>
      <c r="L59" s="199"/>
      <c r="M59" s="675"/>
      <c r="N59" s="199"/>
      <c r="O59" s="152">
        <f>'6-A. Proc. Sub-Annex'!P176</f>
        <v>1040.8356415999999</v>
      </c>
      <c r="P59" s="132"/>
      <c r="Q59" s="605"/>
      <c r="R59" s="152">
        <f>'6-A. Proc. Sub-Annex'!S176</f>
        <v>0</v>
      </c>
    </row>
    <row r="60" spans="1:18">
      <c r="A60" s="661" t="s">
        <v>1722</v>
      </c>
      <c r="B60" s="238"/>
      <c r="C60" s="238" t="s">
        <v>1784</v>
      </c>
      <c r="D60" s="652" t="s">
        <v>90</v>
      </c>
      <c r="E60" s="603" t="s">
        <v>96</v>
      </c>
      <c r="F60" s="208"/>
      <c r="G60" s="208"/>
      <c r="H60" s="208"/>
      <c r="I60" s="208"/>
      <c r="J60" s="208"/>
      <c r="K60" s="260"/>
      <c r="L60" s="193"/>
      <c r="M60" s="337"/>
      <c r="N60" s="193"/>
      <c r="O60" s="537">
        <f>'6-A. Proc. Sub-Annex'!P181</f>
        <v>223.5662208</v>
      </c>
      <c r="P60" s="206"/>
      <c r="Q60" s="662"/>
      <c r="R60" s="537">
        <f>'6-A. Proc. Sub-Annex'!S181</f>
        <v>0</v>
      </c>
    </row>
    <row r="61" spans="1:18">
      <c r="A61" s="661" t="s">
        <v>1725</v>
      </c>
      <c r="B61" s="238"/>
      <c r="C61" s="238" t="s">
        <v>4986</v>
      </c>
      <c r="D61" s="652" t="s">
        <v>90</v>
      </c>
      <c r="E61" s="603" t="s">
        <v>205</v>
      </c>
      <c r="F61" s="208"/>
      <c r="G61" s="208"/>
      <c r="H61" s="208"/>
      <c r="I61" s="208"/>
      <c r="J61" s="208"/>
      <c r="K61" s="260"/>
      <c r="L61" s="193"/>
      <c r="M61" s="337"/>
      <c r="N61" s="193"/>
      <c r="O61" s="537">
        <f>'6-A. Proc. Sub-Annex'!P184</f>
        <v>100.70083999999999</v>
      </c>
      <c r="P61" s="206"/>
      <c r="Q61" s="662"/>
      <c r="R61" s="537">
        <f>'6-A. Proc. Sub-Annex'!S184</f>
        <v>0</v>
      </c>
    </row>
    <row r="62" spans="1:18">
      <c r="A62" s="661" t="s">
        <v>1728</v>
      </c>
      <c r="B62" s="238"/>
      <c r="C62" s="238" t="s">
        <v>1826</v>
      </c>
      <c r="D62" s="652" t="s">
        <v>90</v>
      </c>
      <c r="E62" s="603" t="s">
        <v>208</v>
      </c>
      <c r="F62" s="208"/>
      <c r="G62" s="208"/>
      <c r="H62" s="208"/>
      <c r="I62" s="208"/>
      <c r="J62" s="208"/>
      <c r="K62" s="260"/>
      <c r="L62" s="193"/>
      <c r="M62" s="337"/>
      <c r="N62" s="193"/>
      <c r="O62" s="537">
        <f>'6-A. Proc. Sub-Annex'!P187</f>
        <v>31.8705</v>
      </c>
      <c r="P62" s="206"/>
      <c r="Q62" s="662"/>
      <c r="R62" s="537">
        <f>'6-A. Proc. Sub-Annex'!S187</f>
        <v>0</v>
      </c>
    </row>
    <row r="63" spans="1:18" s="651" customFormat="1">
      <c r="A63" s="643" t="s">
        <v>1739</v>
      </c>
      <c r="B63" s="644"/>
      <c r="C63" s="645" t="s">
        <v>4966</v>
      </c>
      <c r="D63" s="646"/>
      <c r="E63" s="646"/>
      <c r="F63" s="261"/>
      <c r="G63" s="261"/>
      <c r="H63" s="261"/>
      <c r="I63" s="261"/>
      <c r="J63" s="261"/>
      <c r="K63" s="263"/>
      <c r="L63" s="263"/>
      <c r="M63" s="676"/>
      <c r="N63" s="263"/>
      <c r="O63" s="649">
        <f>SUM(O64:O70)</f>
        <v>16482.25</v>
      </c>
      <c r="P63" s="262"/>
      <c r="Q63" s="650"/>
      <c r="R63" s="649">
        <f>SUM(R64:R70)</f>
        <v>0</v>
      </c>
    </row>
    <row r="64" spans="1:18">
      <c r="A64" s="661" t="s">
        <v>1742</v>
      </c>
      <c r="B64" s="238"/>
      <c r="C64" s="238" t="s">
        <v>1790</v>
      </c>
      <c r="D64" s="457" t="s">
        <v>70</v>
      </c>
      <c r="E64" s="603" t="s">
        <v>4985</v>
      </c>
      <c r="F64" s="198"/>
      <c r="G64" s="198"/>
      <c r="H64" s="198"/>
      <c r="I64" s="198"/>
      <c r="J64" s="198"/>
      <c r="K64" s="265"/>
      <c r="L64" s="199"/>
      <c r="M64" s="675"/>
      <c r="N64" s="199"/>
      <c r="O64" s="152">
        <f>'6-A. Proc. Sub-Annex'!P191</f>
        <v>151.14000000000001</v>
      </c>
      <c r="P64" s="132"/>
      <c r="Q64" s="605"/>
      <c r="R64" s="152">
        <f>'6-A. Proc. Sub-Annex'!S191</f>
        <v>0</v>
      </c>
    </row>
    <row r="65" spans="1:18">
      <c r="A65" s="661" t="s">
        <v>1744</v>
      </c>
      <c r="B65" s="238"/>
      <c r="C65" s="238" t="s">
        <v>2567</v>
      </c>
      <c r="D65" s="457" t="s">
        <v>70</v>
      </c>
      <c r="E65" s="603" t="s">
        <v>3305</v>
      </c>
      <c r="F65" s="198"/>
      <c r="G65" s="198"/>
      <c r="H65" s="198"/>
      <c r="I65" s="198"/>
      <c r="J65" s="198"/>
      <c r="K65" s="265"/>
      <c r="L65" s="199"/>
      <c r="M65" s="675"/>
      <c r="N65" s="199"/>
      <c r="O65" s="152">
        <f>'6-A. Proc. Sub-Annex'!P197</f>
        <v>186.95</v>
      </c>
      <c r="P65" s="132"/>
      <c r="Q65" s="605"/>
      <c r="R65" s="152">
        <f>'6-A. Proc. Sub-Annex'!S197</f>
        <v>0</v>
      </c>
    </row>
    <row r="66" spans="1:18">
      <c r="A66" s="661" t="s">
        <v>1747</v>
      </c>
      <c r="B66" s="238"/>
      <c r="C66" s="238" t="s">
        <v>1807</v>
      </c>
      <c r="D66" s="457" t="s">
        <v>70</v>
      </c>
      <c r="E66" s="603" t="s">
        <v>70</v>
      </c>
      <c r="F66" s="198"/>
      <c r="G66" s="198"/>
      <c r="H66" s="198"/>
      <c r="I66" s="198"/>
      <c r="J66" s="198"/>
      <c r="K66" s="265"/>
      <c r="L66" s="199"/>
      <c r="M66" s="675"/>
      <c r="N66" s="199"/>
      <c r="O66" s="152">
        <f>'6-A. Proc. Sub-Annex'!P200</f>
        <v>144.16</v>
      </c>
      <c r="P66" s="132"/>
      <c r="Q66" s="605"/>
      <c r="R66" s="152">
        <f>'6-A. Proc. Sub-Annex'!S200</f>
        <v>0</v>
      </c>
    </row>
    <row r="67" spans="1:18">
      <c r="A67" s="661" t="s">
        <v>1750</v>
      </c>
      <c r="B67" s="238" t="s">
        <v>1816</v>
      </c>
      <c r="C67" s="238" t="s">
        <v>1817</v>
      </c>
      <c r="D67" s="457" t="s">
        <v>70</v>
      </c>
      <c r="E67" s="603" t="s">
        <v>70</v>
      </c>
      <c r="F67" s="198"/>
      <c r="G67" s="198"/>
      <c r="H67" s="198"/>
      <c r="I67" s="198"/>
      <c r="J67" s="198"/>
      <c r="K67" s="265"/>
      <c r="L67" s="199"/>
      <c r="M67" s="675"/>
      <c r="N67" s="199"/>
      <c r="O67" s="152">
        <f>'6-A. Proc. Sub-Annex'!P202</f>
        <v>0</v>
      </c>
      <c r="P67" s="132"/>
      <c r="Q67" s="605"/>
      <c r="R67" s="152">
        <f>'6-A. Proc. Sub-Annex'!S202</f>
        <v>0</v>
      </c>
    </row>
    <row r="68" spans="1:18">
      <c r="A68" s="661" t="s">
        <v>1753</v>
      </c>
      <c r="B68" s="238" t="s">
        <v>1926</v>
      </c>
      <c r="C68" s="238" t="s">
        <v>1927</v>
      </c>
      <c r="D68" s="457" t="s">
        <v>70</v>
      </c>
      <c r="E68" s="603" t="s">
        <v>70</v>
      </c>
      <c r="F68" s="198"/>
      <c r="G68" s="198"/>
      <c r="H68" s="198"/>
      <c r="I68" s="198"/>
      <c r="J68" s="198"/>
      <c r="K68" s="265"/>
      <c r="L68" s="199"/>
      <c r="M68" s="675"/>
      <c r="N68" s="199"/>
      <c r="O68" s="152">
        <f>'6-A. Proc. Sub-Annex'!P205</f>
        <v>16000</v>
      </c>
      <c r="P68" s="132"/>
      <c r="Q68" s="605"/>
      <c r="R68" s="152">
        <f>'6-A. Proc. Sub-Annex'!S205</f>
        <v>0</v>
      </c>
    </row>
    <row r="69" spans="1:18">
      <c r="A69" s="661" t="s">
        <v>1755</v>
      </c>
      <c r="B69" s="238" t="s">
        <v>2037</v>
      </c>
      <c r="C69" s="238" t="s">
        <v>2568</v>
      </c>
      <c r="D69" s="457" t="s">
        <v>70</v>
      </c>
      <c r="E69" s="603" t="s">
        <v>4357</v>
      </c>
      <c r="F69" s="198"/>
      <c r="G69" s="198"/>
      <c r="H69" s="198"/>
      <c r="I69" s="198"/>
      <c r="J69" s="198"/>
      <c r="K69" s="265"/>
      <c r="L69" s="199"/>
      <c r="M69" s="675"/>
      <c r="N69" s="199"/>
      <c r="O69" s="152">
        <f>'6-A. Proc. Sub-Annex'!P208</f>
        <v>0</v>
      </c>
      <c r="P69" s="132"/>
      <c r="Q69" s="605"/>
      <c r="R69" s="152">
        <f>'6-A. Proc. Sub-Annex'!S208</f>
        <v>0</v>
      </c>
    </row>
    <row r="70" spans="1:18">
      <c r="A70" s="661" t="s">
        <v>1757</v>
      </c>
      <c r="B70" s="238"/>
      <c r="C70" s="238" t="s">
        <v>4486</v>
      </c>
      <c r="D70" s="457" t="s">
        <v>70</v>
      </c>
      <c r="E70" s="603" t="s">
        <v>70</v>
      </c>
      <c r="F70" s="198"/>
      <c r="G70" s="198"/>
      <c r="H70" s="198"/>
      <c r="I70" s="198"/>
      <c r="J70" s="198"/>
      <c r="K70" s="265"/>
      <c r="L70" s="199"/>
      <c r="M70" s="675"/>
      <c r="N70" s="199"/>
      <c r="O70" s="152">
        <f>'6-A. Proc. Sub-Annex'!P211</f>
        <v>0</v>
      </c>
      <c r="P70" s="132"/>
      <c r="Q70" s="605"/>
      <c r="R70" s="152">
        <f>'6-A. Proc. Sub-Annex'!S211</f>
        <v>0</v>
      </c>
    </row>
    <row r="71" spans="1:18" s="651" customFormat="1">
      <c r="A71" s="643" t="s">
        <v>1768</v>
      </c>
      <c r="B71" s="644"/>
      <c r="C71" s="645" t="s">
        <v>4969</v>
      </c>
      <c r="D71" s="646"/>
      <c r="E71" s="646"/>
      <c r="F71" s="261"/>
      <c r="G71" s="261"/>
      <c r="H71" s="261"/>
      <c r="I71" s="261"/>
      <c r="J71" s="261"/>
      <c r="K71" s="263"/>
      <c r="L71" s="263"/>
      <c r="M71" s="676"/>
      <c r="N71" s="263"/>
      <c r="O71" s="649">
        <f>SUM(O72:O77)</f>
        <v>1774.9338700000001</v>
      </c>
      <c r="P71" s="262"/>
      <c r="Q71" s="650"/>
      <c r="R71" s="649">
        <f>SUM(R72:R77)</f>
        <v>0</v>
      </c>
    </row>
    <row r="72" spans="1:18">
      <c r="A72" s="661" t="s">
        <v>1771</v>
      </c>
      <c r="B72" s="238"/>
      <c r="C72" s="238" t="s">
        <v>1831</v>
      </c>
      <c r="D72" s="488" t="s">
        <v>4358</v>
      </c>
      <c r="E72" s="631" t="s">
        <v>114</v>
      </c>
      <c r="F72" s="198"/>
      <c r="G72" s="198"/>
      <c r="H72" s="198"/>
      <c r="I72" s="198"/>
      <c r="J72" s="198"/>
      <c r="K72" s="265"/>
      <c r="L72" s="199"/>
      <c r="M72" s="675"/>
      <c r="N72" s="199"/>
      <c r="O72" s="152">
        <f>'6-A. Proc. Sub-Annex'!P214</f>
        <v>130.90022000000002</v>
      </c>
      <c r="P72" s="132"/>
      <c r="Q72" s="605"/>
      <c r="R72" s="152">
        <f>'6-A. Proc. Sub-Annex'!S214</f>
        <v>0</v>
      </c>
    </row>
    <row r="73" spans="1:18">
      <c r="A73" s="661" t="s">
        <v>1772</v>
      </c>
      <c r="B73" s="238"/>
      <c r="C73" s="238" t="s">
        <v>1879</v>
      </c>
      <c r="D73" s="488" t="s">
        <v>4358</v>
      </c>
      <c r="E73" s="603" t="s">
        <v>146</v>
      </c>
      <c r="F73" s="198"/>
      <c r="G73" s="198"/>
      <c r="H73" s="198"/>
      <c r="I73" s="198"/>
      <c r="J73" s="198"/>
      <c r="K73" s="265"/>
      <c r="L73" s="199"/>
      <c r="M73" s="675"/>
      <c r="N73" s="199"/>
      <c r="O73" s="152">
        <f>'6-A. Proc. Sub-Annex'!P232</f>
        <v>36.85</v>
      </c>
      <c r="P73" s="132"/>
      <c r="Q73" s="605"/>
      <c r="R73" s="152">
        <f>'6-A. Proc. Sub-Annex'!S232</f>
        <v>0</v>
      </c>
    </row>
    <row r="74" spans="1:18">
      <c r="A74" s="661" t="s">
        <v>4999</v>
      </c>
      <c r="B74" s="238"/>
      <c r="C74" s="238" t="s">
        <v>4883</v>
      </c>
      <c r="D74" s="488" t="s">
        <v>4358</v>
      </c>
      <c r="E74" s="603" t="s">
        <v>4674</v>
      </c>
      <c r="F74" s="198"/>
      <c r="G74" s="198"/>
      <c r="H74" s="198"/>
      <c r="I74" s="198"/>
      <c r="J74" s="198"/>
      <c r="K74" s="265"/>
      <c r="L74" s="199"/>
      <c r="M74" s="675"/>
      <c r="N74" s="199"/>
      <c r="O74" s="152">
        <f>'6-A. Proc. Sub-Annex'!P235</f>
        <v>1019.8</v>
      </c>
      <c r="P74" s="132"/>
      <c r="Q74" s="605"/>
      <c r="R74" s="152">
        <f>'6-A. Proc. Sub-Annex'!S235</f>
        <v>0</v>
      </c>
    </row>
    <row r="75" spans="1:18">
      <c r="A75" s="661" t="s">
        <v>5000</v>
      </c>
      <c r="B75" s="238"/>
      <c r="C75" s="238" t="s">
        <v>3323</v>
      </c>
      <c r="D75" s="488" t="s">
        <v>4358</v>
      </c>
      <c r="E75" s="603" t="s">
        <v>3316</v>
      </c>
      <c r="F75" s="198"/>
      <c r="G75" s="198"/>
      <c r="H75" s="198"/>
      <c r="I75" s="198"/>
      <c r="J75" s="198"/>
      <c r="K75" s="265"/>
      <c r="L75" s="199"/>
      <c r="M75" s="675"/>
      <c r="N75" s="199"/>
      <c r="O75" s="152">
        <f>'6-A. Proc. Sub-Annex'!P239</f>
        <v>387.38364999999999</v>
      </c>
      <c r="P75" s="132"/>
      <c r="Q75" s="605"/>
      <c r="R75" s="152">
        <f>'6-A. Proc. Sub-Annex'!S239</f>
        <v>0</v>
      </c>
    </row>
    <row r="76" spans="1:18">
      <c r="A76" s="661" t="s">
        <v>5001</v>
      </c>
      <c r="B76" s="663"/>
      <c r="C76" s="663" t="s">
        <v>4945</v>
      </c>
      <c r="D76" s="488" t="s">
        <v>4358</v>
      </c>
      <c r="E76" s="655" t="s">
        <v>3986</v>
      </c>
      <c r="F76" s="208"/>
      <c r="G76" s="208"/>
      <c r="H76" s="208"/>
      <c r="I76" s="208"/>
      <c r="J76" s="205"/>
      <c r="K76" s="143"/>
      <c r="L76" s="193"/>
      <c r="M76" s="337"/>
      <c r="N76" s="193"/>
      <c r="O76" s="537">
        <f>'6-A. Proc. Sub-Annex'!P244</f>
        <v>200</v>
      </c>
      <c r="P76" s="206"/>
      <c r="Q76" s="662"/>
      <c r="R76" s="537">
        <f>'6-A. Proc. Sub-Annex'!S244</f>
        <v>0</v>
      </c>
    </row>
    <row r="77" spans="1:18">
      <c r="A77" s="661" t="s">
        <v>5002</v>
      </c>
      <c r="B77" s="663"/>
      <c r="C77" s="663" t="s">
        <v>4946</v>
      </c>
      <c r="D77" s="488" t="s">
        <v>4358</v>
      </c>
      <c r="E77" s="655" t="s">
        <v>4544</v>
      </c>
      <c r="F77" s="208"/>
      <c r="G77" s="208"/>
      <c r="H77" s="208"/>
      <c r="I77" s="208"/>
      <c r="J77" s="205"/>
      <c r="K77" s="143"/>
      <c r="L77" s="193"/>
      <c r="M77" s="337"/>
      <c r="N77" s="193"/>
      <c r="O77" s="537">
        <f>'6-A. Proc. Sub-Annex'!P246</f>
        <v>0</v>
      </c>
      <c r="P77" s="206"/>
      <c r="Q77" s="662"/>
      <c r="R77" s="537">
        <f>'6-A. Proc. Sub-Annex'!S246</f>
        <v>0</v>
      </c>
    </row>
    <row r="78" spans="1:18" s="651" customFormat="1">
      <c r="A78" s="643" t="s">
        <v>1773</v>
      </c>
      <c r="B78" s="644"/>
      <c r="C78" s="645" t="s">
        <v>4970</v>
      </c>
      <c r="D78" s="646"/>
      <c r="E78" s="646"/>
      <c r="F78" s="261"/>
      <c r="G78" s="261"/>
      <c r="H78" s="261"/>
      <c r="I78" s="261"/>
      <c r="J78" s="261"/>
      <c r="K78" s="263"/>
      <c r="L78" s="263"/>
      <c r="M78" s="676"/>
      <c r="N78" s="263"/>
      <c r="O78" s="649">
        <f>SUM(O79:O85)</f>
        <v>1188.58</v>
      </c>
      <c r="P78" s="262"/>
      <c r="Q78" s="650"/>
      <c r="R78" s="649">
        <f>SUM(R79:R85)</f>
        <v>0</v>
      </c>
    </row>
    <row r="79" spans="1:18">
      <c r="A79" s="661" t="s">
        <v>1775</v>
      </c>
      <c r="B79" s="238" t="s">
        <v>1891</v>
      </c>
      <c r="C79" s="238" t="s">
        <v>1892</v>
      </c>
      <c r="D79" s="664" t="s">
        <v>85</v>
      </c>
      <c r="E79" s="603" t="s">
        <v>86</v>
      </c>
      <c r="F79" s="198"/>
      <c r="G79" s="198"/>
      <c r="H79" s="198"/>
      <c r="I79" s="198"/>
      <c r="J79" s="198"/>
      <c r="K79" s="265"/>
      <c r="L79" s="199"/>
      <c r="M79" s="675"/>
      <c r="N79" s="199"/>
      <c r="O79" s="152">
        <f>'6-A. Proc. Sub-Annex'!P250</f>
        <v>235</v>
      </c>
      <c r="P79" s="132"/>
      <c r="Q79" s="605"/>
      <c r="R79" s="152">
        <f>'6-A. Proc. Sub-Annex'!S250</f>
        <v>0</v>
      </c>
    </row>
    <row r="80" spans="1:18">
      <c r="A80" s="661" t="s">
        <v>1777</v>
      </c>
      <c r="B80" s="238" t="s">
        <v>1897</v>
      </c>
      <c r="C80" s="238" t="s">
        <v>1898</v>
      </c>
      <c r="D80" s="664" t="s">
        <v>85</v>
      </c>
      <c r="E80" s="603" t="s">
        <v>150</v>
      </c>
      <c r="F80" s="198"/>
      <c r="G80" s="198"/>
      <c r="H80" s="198"/>
      <c r="I80" s="198"/>
      <c r="J80" s="198"/>
      <c r="K80" s="265"/>
      <c r="L80" s="199"/>
      <c r="M80" s="675"/>
      <c r="N80" s="199"/>
      <c r="O80" s="152">
        <f>'6-A. Proc. Sub-Annex'!P253</f>
        <v>190</v>
      </c>
      <c r="P80" s="132"/>
      <c r="Q80" s="605"/>
      <c r="R80" s="152">
        <f>'6-A. Proc. Sub-Annex'!S253</f>
        <v>0</v>
      </c>
    </row>
    <row r="81" spans="1:18">
      <c r="A81" s="661" t="s">
        <v>1779</v>
      </c>
      <c r="B81" s="661" t="s">
        <v>1902</v>
      </c>
      <c r="C81" s="661" t="s">
        <v>1903</v>
      </c>
      <c r="D81" s="664" t="s">
        <v>85</v>
      </c>
      <c r="E81" s="665" t="s">
        <v>399</v>
      </c>
      <c r="F81" s="259"/>
      <c r="G81" s="259"/>
      <c r="H81" s="259"/>
      <c r="I81" s="259"/>
      <c r="J81" s="259"/>
      <c r="K81" s="265"/>
      <c r="L81" s="265"/>
      <c r="M81" s="677"/>
      <c r="N81" s="265"/>
      <c r="O81" s="152">
        <f>'6-A. Proc. Sub-Annex'!P256</f>
        <v>0</v>
      </c>
      <c r="P81" s="259"/>
      <c r="Q81" s="666"/>
      <c r="R81" s="152">
        <f>'6-A. Proc. Sub-Annex'!S256</f>
        <v>0</v>
      </c>
    </row>
    <row r="82" spans="1:18">
      <c r="A82" s="661" t="s">
        <v>1782</v>
      </c>
      <c r="B82" s="244"/>
      <c r="C82" s="667" t="s">
        <v>1907</v>
      </c>
      <c r="D82" s="664" t="s">
        <v>85</v>
      </c>
      <c r="E82" s="603" t="s">
        <v>152</v>
      </c>
      <c r="F82" s="132"/>
      <c r="G82" s="132"/>
      <c r="H82" s="132"/>
      <c r="I82" s="132"/>
      <c r="J82" s="132"/>
      <c r="K82" s="199"/>
      <c r="L82" s="199"/>
      <c r="M82" s="675"/>
      <c r="N82" s="199"/>
      <c r="O82" s="152">
        <f>'6-A. Proc. Sub-Annex'!P259</f>
        <v>19</v>
      </c>
      <c r="P82" s="132"/>
      <c r="Q82" s="605"/>
      <c r="R82" s="152">
        <f>'6-A. Proc. Sub-Annex'!S259</f>
        <v>0</v>
      </c>
    </row>
    <row r="83" spans="1:18">
      <c r="A83" s="661" t="s">
        <v>5003</v>
      </c>
      <c r="B83" s="244" t="s">
        <v>1913</v>
      </c>
      <c r="C83" s="244" t="s">
        <v>1914</v>
      </c>
      <c r="D83" s="664" t="s">
        <v>85</v>
      </c>
      <c r="E83" s="603" t="s">
        <v>415</v>
      </c>
      <c r="F83" s="132"/>
      <c r="G83" s="132"/>
      <c r="H83" s="132"/>
      <c r="I83" s="132"/>
      <c r="J83" s="132"/>
      <c r="K83" s="199"/>
      <c r="L83" s="199"/>
      <c r="M83" s="675"/>
      <c r="N83" s="199"/>
      <c r="O83" s="152">
        <f>'6-A. Proc. Sub-Annex'!P262</f>
        <v>581.98</v>
      </c>
      <c r="P83" s="132"/>
      <c r="Q83" s="605"/>
      <c r="R83" s="152">
        <f>'6-A. Proc. Sub-Annex'!S262</f>
        <v>0</v>
      </c>
    </row>
    <row r="84" spans="1:18">
      <c r="A84" s="661" t="s">
        <v>5004</v>
      </c>
      <c r="B84" s="244" t="s">
        <v>1338</v>
      </c>
      <c r="C84" s="244" t="s">
        <v>2387</v>
      </c>
      <c r="D84" s="664" t="s">
        <v>85</v>
      </c>
      <c r="E84" s="603" t="s">
        <v>4915</v>
      </c>
      <c r="F84" s="132"/>
      <c r="G84" s="132"/>
      <c r="H84" s="132"/>
      <c r="I84" s="132"/>
      <c r="J84" s="132"/>
      <c r="K84" s="199"/>
      <c r="L84" s="199"/>
      <c r="M84" s="675"/>
      <c r="N84" s="199"/>
      <c r="O84" s="152">
        <f>'6-A. Proc. Sub-Annex'!P271</f>
        <v>0</v>
      </c>
      <c r="P84" s="132"/>
      <c r="Q84" s="605"/>
      <c r="R84" s="152">
        <f>'6-A. Proc. Sub-Annex'!S271</f>
        <v>0</v>
      </c>
    </row>
    <row r="85" spans="1:18">
      <c r="A85" s="661" t="s">
        <v>5005</v>
      </c>
      <c r="B85" s="244"/>
      <c r="C85" s="244" t="s">
        <v>1821</v>
      </c>
      <c r="D85" s="664" t="s">
        <v>85</v>
      </c>
      <c r="E85" s="603" t="s">
        <v>312</v>
      </c>
      <c r="F85" s="132"/>
      <c r="G85" s="132"/>
      <c r="H85" s="132"/>
      <c r="I85" s="132"/>
      <c r="J85" s="132"/>
      <c r="K85" s="199"/>
      <c r="L85" s="199"/>
      <c r="M85" s="675"/>
      <c r="N85" s="199"/>
      <c r="O85" s="152">
        <f>'6-A. Proc. Sub-Annex'!P274</f>
        <v>162.6</v>
      </c>
      <c r="P85" s="132"/>
      <c r="Q85" s="605"/>
      <c r="R85" s="152">
        <f>'6-A. Proc. Sub-Annex'!S274</f>
        <v>0</v>
      </c>
    </row>
    <row r="86" spans="1:18" s="632" customFormat="1">
      <c r="A86" s="641">
        <v>6.3</v>
      </c>
      <c r="B86" s="642"/>
      <c r="C86" s="641" t="s">
        <v>4929</v>
      </c>
      <c r="D86" s="470"/>
      <c r="E86" s="470"/>
      <c r="F86" s="82"/>
      <c r="G86" s="82"/>
      <c r="H86" s="82"/>
      <c r="I86" s="82"/>
      <c r="J86" s="82"/>
      <c r="K86" s="127"/>
      <c r="L86" s="127"/>
      <c r="M86" s="346"/>
      <c r="N86" s="127"/>
      <c r="O86" s="341">
        <f>O87</f>
        <v>288.72000000000003</v>
      </c>
      <c r="P86" s="82"/>
      <c r="Q86" s="75"/>
      <c r="R86" s="341">
        <f>R87</f>
        <v>0</v>
      </c>
    </row>
    <row r="87" spans="1:18">
      <c r="A87" s="668" t="s">
        <v>1933</v>
      </c>
      <c r="B87" s="668"/>
      <c r="C87" s="669" t="s">
        <v>43</v>
      </c>
      <c r="D87" s="488" t="s">
        <v>4358</v>
      </c>
      <c r="E87" s="603" t="s">
        <v>4674</v>
      </c>
      <c r="F87" s="207"/>
      <c r="G87" s="207"/>
      <c r="H87" s="207"/>
      <c r="I87" s="207"/>
      <c r="J87" s="207"/>
      <c r="K87" s="678"/>
      <c r="L87" s="678"/>
      <c r="M87" s="679"/>
      <c r="N87" s="678"/>
      <c r="O87" s="381">
        <f>'6-A. Proc. Sub-Annex'!P277</f>
        <v>288.72000000000003</v>
      </c>
      <c r="P87" s="680"/>
      <c r="Q87" s="670"/>
      <c r="R87" s="381">
        <f>'6-A. Proc. Sub-Annex'!S277</f>
        <v>0</v>
      </c>
    </row>
  </sheetData>
  <sheetProtection autoFilter="0"/>
  <autoFilter ref="A6:BA87"/>
  <mergeCells count="15">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s>
  <phoneticPr fontId="27" type="noConversion"/>
  <pageMargins left="0.7" right="0.16" top="0.75" bottom="0.28000000000000003" header="0.3" footer="0.3"/>
  <pageSetup scale="75" orientation="landscape" horizontalDpi="0" verticalDpi="0" r:id="rId1"/>
</worksheet>
</file>

<file path=xl/worksheets/sheet16.xml><?xml version="1.0" encoding="utf-8"?>
<worksheet xmlns="http://schemas.openxmlformats.org/spreadsheetml/2006/main" xmlns:r="http://schemas.openxmlformats.org/officeDocument/2006/relationships">
  <sheetPr codeName="Sheet41"/>
  <dimension ref="A1:BC281"/>
  <sheetViews>
    <sheetView zoomScale="80" zoomScaleNormal="80" workbookViewId="0">
      <pane xSplit="6" ySplit="4" topLeftCell="M152" activePane="bottomRight" state="frozen"/>
      <selection activeCell="Q172" sqref="A1:BE179"/>
      <selection pane="topRight" activeCell="Q172" sqref="A1:BE179"/>
      <selection pane="bottomLeft" activeCell="Q172" sqref="A1:BE179"/>
      <selection pane="bottomRight" activeCell="P158" sqref="P158"/>
    </sheetView>
  </sheetViews>
  <sheetFormatPr defaultColWidth="66.85546875" defaultRowHeight="16.5"/>
  <cols>
    <col min="1" max="1" width="11.28515625" style="2105" customWidth="1"/>
    <col min="2" max="2" width="11.85546875" style="2009" customWidth="1"/>
    <col min="3" max="3" width="11.5703125" style="2032" customWidth="1"/>
    <col min="4" max="4" width="45.140625" style="2009" customWidth="1"/>
    <col min="5" max="5" width="8.85546875" style="2106" customWidth="1"/>
    <col min="6" max="6" width="20.140625" style="2107" customWidth="1"/>
    <col min="7" max="7" width="17.85546875" style="2111" hidden="1" customWidth="1"/>
    <col min="8" max="8" width="21.5703125" style="2111" hidden="1" customWidth="1"/>
    <col min="9" max="11" width="17.85546875" style="2111" hidden="1" customWidth="1"/>
    <col min="12" max="12" width="9.140625" style="2106" customWidth="1"/>
    <col min="13" max="13" width="12.85546875" style="2109" customWidth="1"/>
    <col min="14" max="14" width="12.140625" style="2110" bestFit="1" customWidth="1"/>
    <col min="15" max="15" width="11.85546875" style="2009" customWidth="1"/>
    <col min="16" max="16" width="13.28515625" style="2110" customWidth="1"/>
    <col min="17" max="17" width="72" style="2109" customWidth="1"/>
    <col min="18" max="18" width="35.28515625" style="2109" hidden="1" customWidth="1"/>
    <col min="19" max="19" width="12.85546875" style="2110" hidden="1" customWidth="1"/>
    <col min="20" max="20" width="24.42578125" style="2009" customWidth="1"/>
    <col min="21" max="21" width="25.5703125" style="2009" customWidth="1"/>
    <col min="22" max="16384" width="66.85546875" style="2009"/>
  </cols>
  <sheetData>
    <row r="1" spans="1:55" s="1659" customFormat="1" ht="14.45" customHeight="1">
      <c r="A1" s="4411" t="s">
        <v>5011</v>
      </c>
      <c r="B1" s="4412"/>
      <c r="C1" s="4412"/>
      <c r="D1" s="4413"/>
      <c r="E1" s="1506"/>
      <c r="G1" s="1655"/>
      <c r="H1" s="1656"/>
      <c r="I1" s="1656"/>
      <c r="J1" s="1656"/>
      <c r="K1" s="1656"/>
      <c r="L1" s="3238"/>
      <c r="M1" s="3225"/>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1656"/>
      <c r="AP1" s="1657"/>
      <c r="AQ1" s="1657"/>
      <c r="AR1" s="1657"/>
      <c r="AS1" s="1657"/>
      <c r="AT1" s="1657"/>
      <c r="AU1" s="1657"/>
      <c r="AV1" s="1657"/>
      <c r="AW1" s="1982"/>
      <c r="AX1" s="1982"/>
      <c r="AY1" s="1982"/>
      <c r="AZ1" s="1982"/>
      <c r="BA1" s="1982"/>
      <c r="BB1" s="1982"/>
      <c r="BC1" s="1982"/>
    </row>
    <row r="2" spans="1:55" s="1668" customFormat="1" ht="14.45" customHeight="1">
      <c r="A2" s="1983" t="str">
        <f>HYPERLINK("#Index!A4", "Index Pg")</f>
        <v>Index Pg</v>
      </c>
      <c r="B2" s="1287" t="str">
        <f>HYPERLINK("#'Budget Summary I'!A1:AL1", "Budget Summary I")</f>
        <v>Budget Summary I</v>
      </c>
      <c r="C2" s="1287" t="str">
        <f>HYPERLINK("#'Budget Summary II'!A3:B5", "Budget Summary II")</f>
        <v>Budget Summary II</v>
      </c>
      <c r="D2" s="1984" t="str">
        <f>HYPERLINK("#'Summary of Abstracts'!A2", "Summary of Abst.")</f>
        <v>Summary of Abst.</v>
      </c>
      <c r="E2" s="1506"/>
      <c r="G2" s="1655"/>
      <c r="H2" s="1664"/>
      <c r="I2" s="1664"/>
      <c r="J2" s="1664"/>
      <c r="K2" s="1664"/>
      <c r="L2" s="1664"/>
      <c r="M2" s="3226"/>
      <c r="N2" s="1665"/>
      <c r="O2" s="1665"/>
      <c r="P2" s="1665"/>
      <c r="Q2" s="1666"/>
      <c r="R2" s="1666"/>
      <c r="S2" s="1666"/>
      <c r="T2" s="1666"/>
      <c r="U2" s="1666"/>
      <c r="V2" s="1666"/>
      <c r="W2" s="1666"/>
      <c r="X2" s="1666"/>
      <c r="Y2" s="1666"/>
      <c r="Z2" s="1666"/>
      <c r="AA2" s="1666"/>
      <c r="AB2" s="1666"/>
      <c r="AC2" s="1666"/>
      <c r="AD2" s="1666"/>
      <c r="AE2" s="1666"/>
      <c r="AF2" s="1666"/>
      <c r="AG2" s="1666"/>
      <c r="AH2" s="1666"/>
      <c r="AI2" s="1666"/>
      <c r="AJ2" s="1666"/>
      <c r="AK2" s="1666"/>
      <c r="AL2" s="1663"/>
      <c r="AM2" s="1663"/>
      <c r="AN2" s="1663"/>
      <c r="AO2" s="1663"/>
      <c r="AP2" s="1663"/>
      <c r="AQ2" s="1663"/>
      <c r="AR2" s="1663"/>
      <c r="AS2" s="1663"/>
      <c r="AT2" s="1663"/>
      <c r="AU2" s="1663"/>
      <c r="AV2" s="1663"/>
      <c r="AW2" s="1985"/>
      <c r="AX2" s="1985"/>
      <c r="AY2" s="1985"/>
      <c r="AZ2" s="1985"/>
      <c r="BA2" s="1985"/>
      <c r="BB2" s="1985"/>
      <c r="BC2" s="1985"/>
    </row>
    <row r="3" spans="1:55" s="1986" customFormat="1">
      <c r="A3" s="4343" t="s">
        <v>4818</v>
      </c>
      <c r="B3" s="4382" t="s">
        <v>54</v>
      </c>
      <c r="C3" s="4383"/>
      <c r="D3" s="4343" t="s">
        <v>55</v>
      </c>
      <c r="E3" s="4343" t="s">
        <v>56</v>
      </c>
      <c r="F3" s="4343" t="s">
        <v>57</v>
      </c>
      <c r="G3" s="4339" t="s">
        <v>4620</v>
      </c>
      <c r="H3" s="4339"/>
      <c r="I3" s="4339"/>
      <c r="J3" s="4339"/>
      <c r="K3" s="4339"/>
      <c r="L3" s="4339" t="s">
        <v>4631</v>
      </c>
      <c r="M3" s="4339"/>
      <c r="N3" s="4339"/>
      <c r="O3" s="4339"/>
      <c r="P3" s="4339"/>
      <c r="Q3" s="4339"/>
      <c r="R3" s="4343" t="s">
        <v>4661</v>
      </c>
      <c r="S3" s="4343"/>
    </row>
    <row r="4" spans="1:55" s="1989" customFormat="1" ht="49.5">
      <c r="A4" s="4343"/>
      <c r="B4" s="4414"/>
      <c r="C4" s="4415"/>
      <c r="D4" s="4343"/>
      <c r="E4" s="4343"/>
      <c r="F4" s="4343"/>
      <c r="G4" s="1288" t="s">
        <v>4621</v>
      </c>
      <c r="H4" s="1288" t="s">
        <v>4629</v>
      </c>
      <c r="I4" s="1288" t="s">
        <v>4622</v>
      </c>
      <c r="J4" s="1288" t="s">
        <v>4630</v>
      </c>
      <c r="K4" s="1288" t="s">
        <v>2534</v>
      </c>
      <c r="L4" s="1289" t="s">
        <v>58</v>
      </c>
      <c r="M4" s="3227" t="s">
        <v>59</v>
      </c>
      <c r="N4" s="1987" t="s">
        <v>60</v>
      </c>
      <c r="O4" s="1289" t="s">
        <v>61</v>
      </c>
      <c r="P4" s="1987" t="s">
        <v>62</v>
      </c>
      <c r="Q4" s="1289" t="s">
        <v>5564</v>
      </c>
      <c r="R4" s="1291" t="s">
        <v>2536</v>
      </c>
      <c r="S4" s="1988" t="s">
        <v>4662</v>
      </c>
    </row>
    <row r="5" spans="1:55" s="1996" customFormat="1" ht="34.5" customHeight="1">
      <c r="A5" s="1990" t="s">
        <v>4774</v>
      </c>
      <c r="B5" s="1991">
        <v>6.1</v>
      </c>
      <c r="C5" s="1992" t="s">
        <v>1584</v>
      </c>
      <c r="D5" s="1991" t="s">
        <v>1585</v>
      </c>
      <c r="E5" s="1298"/>
      <c r="F5" s="1298"/>
      <c r="G5" s="1296"/>
      <c r="H5" s="1296"/>
      <c r="I5" s="1296"/>
      <c r="J5" s="1296"/>
      <c r="K5" s="1296"/>
      <c r="L5" s="1297"/>
      <c r="M5" s="1296"/>
      <c r="N5" s="1672"/>
      <c r="O5" s="1993"/>
      <c r="P5" s="1672"/>
      <c r="Q5" s="1296"/>
      <c r="R5" s="1994"/>
      <c r="S5" s="1995"/>
    </row>
    <row r="6" spans="1:55" s="2001" customFormat="1">
      <c r="A6" s="4410" t="s">
        <v>4922</v>
      </c>
      <c r="B6" s="4410"/>
      <c r="C6" s="4410"/>
      <c r="D6" s="4410"/>
      <c r="E6" s="1779"/>
      <c r="F6" s="1779"/>
      <c r="G6" s="1731"/>
      <c r="H6" s="1731"/>
      <c r="I6" s="1731"/>
      <c r="J6" s="1731"/>
      <c r="K6" s="1731"/>
      <c r="L6" s="1779"/>
      <c r="M6" s="3194"/>
      <c r="N6" s="1997"/>
      <c r="O6" s="1998"/>
      <c r="P6" s="1997"/>
      <c r="Q6" s="1999"/>
      <c r="R6" s="2000"/>
      <c r="S6" s="1694"/>
    </row>
    <row r="7" spans="1:55" ht="33">
      <c r="A7" s="2002" t="s">
        <v>4350</v>
      </c>
      <c r="B7" s="2003" t="s">
        <v>1587</v>
      </c>
      <c r="C7" s="2004" t="s">
        <v>1588</v>
      </c>
      <c r="D7" s="2003" t="s">
        <v>4921</v>
      </c>
      <c r="E7" s="2005"/>
      <c r="F7" s="2005"/>
      <c r="G7" s="1894"/>
      <c r="H7" s="1894"/>
      <c r="I7" s="1894"/>
      <c r="J7" s="1894"/>
      <c r="K7" s="1894"/>
      <c r="L7" s="2045"/>
      <c r="M7" s="3518"/>
      <c r="N7" s="2006"/>
      <c r="O7" s="1894"/>
      <c r="P7" s="2006">
        <f>SUM(P8:P12)</f>
        <v>1208.9615999999999</v>
      </c>
      <c r="Q7" s="2007"/>
      <c r="R7" s="2008"/>
      <c r="S7" s="1902">
        <f>SUM(S8:S12)</f>
        <v>0</v>
      </c>
    </row>
    <row r="8" spans="1:55" ht="33">
      <c r="A8" s="2010">
        <v>1</v>
      </c>
      <c r="B8" s="2011" t="s">
        <v>4201</v>
      </c>
      <c r="C8" s="1855" t="s">
        <v>2096</v>
      </c>
      <c r="D8" s="1855" t="s">
        <v>1589</v>
      </c>
      <c r="E8" s="1534" t="s">
        <v>90</v>
      </c>
      <c r="F8" s="1948" t="s">
        <v>118</v>
      </c>
      <c r="G8" s="2012">
        <v>800</v>
      </c>
      <c r="H8" s="2012"/>
      <c r="I8" s="2013">
        <v>21.5</v>
      </c>
      <c r="J8" s="2013">
        <f>31920/100000</f>
        <v>0.31919999999999998</v>
      </c>
      <c r="K8" s="2012"/>
      <c r="L8" s="3248" t="s">
        <v>6226</v>
      </c>
      <c r="M8" s="3231">
        <v>2688</v>
      </c>
      <c r="N8" s="3502">
        <f>M8/100000</f>
        <v>2.6880000000000001E-2</v>
      </c>
      <c r="O8" s="3236">
        <v>800</v>
      </c>
      <c r="P8" s="3503">
        <f>O8*N8</f>
        <v>21.504000000000001</v>
      </c>
      <c r="Q8" s="3504" t="s">
        <v>6227</v>
      </c>
      <c r="R8" s="1926">
        <f>'Ab1. RMNCH+A'!Q36</f>
        <v>0</v>
      </c>
      <c r="S8" s="2015">
        <f>'Ab1. RMNCH+A'!R36</f>
        <v>0</v>
      </c>
    </row>
    <row r="9" spans="1:55">
      <c r="A9" s="2010">
        <v>2</v>
      </c>
      <c r="B9" s="2011" t="s">
        <v>4202</v>
      </c>
      <c r="C9" s="2016"/>
      <c r="D9" s="1855" t="s">
        <v>2453</v>
      </c>
      <c r="E9" s="1534" t="s">
        <v>90</v>
      </c>
      <c r="F9" s="1948" t="s">
        <v>118</v>
      </c>
      <c r="G9" s="2017"/>
      <c r="H9" s="2017"/>
      <c r="I9" s="2017"/>
      <c r="J9" s="2017"/>
      <c r="K9" s="2017"/>
      <c r="L9" s="3506"/>
      <c r="M9" s="3231"/>
      <c r="N9" s="3502">
        <f>M9/100000</f>
        <v>0</v>
      </c>
      <c r="O9" s="3236"/>
      <c r="P9" s="3503">
        <f>O9*N9</f>
        <v>0</v>
      </c>
      <c r="Q9" s="3504"/>
      <c r="R9" s="1926">
        <f>'Ab1. RMNCH+A'!Q37</f>
        <v>0</v>
      </c>
      <c r="S9" s="2015">
        <f>'Ab1. RMNCH+A'!R37</f>
        <v>0</v>
      </c>
    </row>
    <row r="10" spans="1:55" ht="33">
      <c r="A10" s="2010">
        <v>3</v>
      </c>
      <c r="B10" s="2011" t="s">
        <v>4203</v>
      </c>
      <c r="C10" s="2020"/>
      <c r="D10" s="1855" t="s">
        <v>2400</v>
      </c>
      <c r="E10" s="1534" t="s">
        <v>90</v>
      </c>
      <c r="F10" s="1948" t="s">
        <v>118</v>
      </c>
      <c r="G10" s="2017"/>
      <c r="H10" s="2017"/>
      <c r="I10" s="2017"/>
      <c r="J10" s="2017"/>
      <c r="K10" s="2017"/>
      <c r="L10" s="3506"/>
      <c r="M10" s="3231"/>
      <c r="N10" s="3502">
        <f>M10/100000</f>
        <v>0</v>
      </c>
      <c r="O10" s="3236"/>
      <c r="P10" s="3503">
        <f>O10*N10</f>
        <v>0</v>
      </c>
      <c r="Q10" s="3504"/>
      <c r="R10" s="1926">
        <f>'Ab1. RMNCH+A'!Q38</f>
        <v>0</v>
      </c>
      <c r="S10" s="2015">
        <f>'Ab1. RMNCH+A'!R38</f>
        <v>0</v>
      </c>
    </row>
    <row r="11" spans="1:55" ht="33">
      <c r="A11" s="2010">
        <v>4</v>
      </c>
      <c r="B11" s="2011" t="s">
        <v>4222</v>
      </c>
      <c r="C11" s="1855" t="s">
        <v>2843</v>
      </c>
      <c r="D11" s="1855" t="s">
        <v>4087</v>
      </c>
      <c r="E11" s="1534" t="s">
        <v>90</v>
      </c>
      <c r="F11" s="1948" t="s">
        <v>118</v>
      </c>
      <c r="G11" s="1350"/>
      <c r="H11" s="1350"/>
      <c r="I11" s="1350"/>
      <c r="J11" s="1350"/>
      <c r="K11" s="1350"/>
      <c r="L11" s="3506"/>
      <c r="M11" s="3231"/>
      <c r="N11" s="3502">
        <f>M11/100000</f>
        <v>0</v>
      </c>
      <c r="O11" s="3236"/>
      <c r="P11" s="3503">
        <f>O11*N11</f>
        <v>0</v>
      </c>
      <c r="Q11" s="3505"/>
      <c r="R11" s="1926">
        <f>'Ab1. RMNCH+A'!Q39</f>
        <v>0</v>
      </c>
      <c r="S11" s="2015">
        <f>'Ab1. RMNCH+A'!R39</f>
        <v>0</v>
      </c>
    </row>
    <row r="12" spans="1:55" ht="181.5">
      <c r="A12" s="2010">
        <v>5</v>
      </c>
      <c r="B12" s="2011" t="s">
        <v>4204</v>
      </c>
      <c r="C12" s="1855" t="s">
        <v>1590</v>
      </c>
      <c r="D12" s="1855" t="s">
        <v>1591</v>
      </c>
      <c r="E12" s="1534" t="s">
        <v>90</v>
      </c>
      <c r="F12" s="1948" t="s">
        <v>118</v>
      </c>
      <c r="G12" s="2018"/>
      <c r="H12" s="2022"/>
      <c r="I12" s="2023"/>
      <c r="J12" s="2023"/>
      <c r="K12" s="2024"/>
      <c r="L12" s="3208" t="s">
        <v>6228</v>
      </c>
      <c r="M12" s="1755">
        <v>198240</v>
      </c>
      <c r="N12" s="3181">
        <f>M12/100000</f>
        <v>1.9823999999999999</v>
      </c>
      <c r="O12" s="2820">
        <v>599</v>
      </c>
      <c r="P12" s="3614">
        <f>O12*N12</f>
        <v>1187.4576</v>
      </c>
      <c r="Q12" s="3613" t="s">
        <v>6362</v>
      </c>
      <c r="R12" s="1926">
        <f>'Ab1. RMNCH+A'!Q40</f>
        <v>0</v>
      </c>
      <c r="S12" s="2015">
        <f>'Ab1. RMNCH+A'!R40</f>
        <v>0</v>
      </c>
    </row>
    <row r="13" spans="1:55" ht="33">
      <c r="A13" s="2002" t="s">
        <v>4351</v>
      </c>
      <c r="B13" s="2003" t="s">
        <v>1592</v>
      </c>
      <c r="C13" s="2004" t="s">
        <v>1593</v>
      </c>
      <c r="D13" s="2003" t="s">
        <v>4938</v>
      </c>
      <c r="E13" s="2005"/>
      <c r="F13" s="2005"/>
      <c r="G13" s="2025"/>
      <c r="H13" s="2025"/>
      <c r="I13" s="2025"/>
      <c r="J13" s="2025"/>
      <c r="K13" s="2025"/>
      <c r="L13" s="3507"/>
      <c r="M13" s="3519"/>
      <c r="N13" s="2006"/>
      <c r="O13" s="2025"/>
      <c r="P13" s="2006">
        <f>SUM(P14:P18)</f>
        <v>421.86</v>
      </c>
      <c r="Q13" s="2026"/>
      <c r="R13" s="2008"/>
      <c r="S13" s="1902">
        <f>SUM(S14:S18)</f>
        <v>0</v>
      </c>
    </row>
    <row r="14" spans="1:55" ht="33">
      <c r="A14" s="2010">
        <v>1</v>
      </c>
      <c r="B14" s="2011" t="s">
        <v>4205</v>
      </c>
      <c r="C14" s="1855" t="s">
        <v>1594</v>
      </c>
      <c r="D14" s="1943" t="s">
        <v>3321</v>
      </c>
      <c r="E14" s="1534" t="s">
        <v>90</v>
      </c>
      <c r="F14" s="1948" t="s">
        <v>131</v>
      </c>
      <c r="G14" s="2017"/>
      <c r="H14" s="2017"/>
      <c r="I14" s="2017"/>
      <c r="J14" s="2017"/>
      <c r="K14" s="2017"/>
      <c r="L14" s="2061"/>
      <c r="M14" s="1729"/>
      <c r="N14" s="1857">
        <f>M14/100000</f>
        <v>0</v>
      </c>
      <c r="O14" s="1317"/>
      <c r="P14" s="2014">
        <f>O14*N14</f>
        <v>0</v>
      </c>
      <c r="Q14" s="2019"/>
      <c r="R14" s="1926">
        <f>'Ab1. RMNCH+A'!Q127</f>
        <v>0</v>
      </c>
      <c r="S14" s="2015">
        <f>'Ab1. RMNCH+A'!R127</f>
        <v>0</v>
      </c>
    </row>
    <row r="15" spans="1:55" s="3744" customFormat="1" ht="49.5">
      <c r="A15" s="3731">
        <v>2</v>
      </c>
      <c r="B15" s="3732" t="s">
        <v>4206</v>
      </c>
      <c r="C15" s="3801" t="s">
        <v>1595</v>
      </c>
      <c r="D15" s="3943" t="s">
        <v>4528</v>
      </c>
      <c r="E15" s="3861" t="s">
        <v>90</v>
      </c>
      <c r="F15" s="3734" t="s">
        <v>131</v>
      </c>
      <c r="G15" s="3944"/>
      <c r="H15" s="3944"/>
      <c r="I15" s="3944"/>
      <c r="J15" s="3944"/>
      <c r="K15" s="3944"/>
      <c r="L15" s="3945"/>
      <c r="M15" s="3946"/>
      <c r="N15" s="3738">
        <f>M15/100000</f>
        <v>0</v>
      </c>
      <c r="O15" s="3739"/>
      <c r="P15" s="3740">
        <f>O15*N15</f>
        <v>0</v>
      </c>
      <c r="Q15" s="3749"/>
      <c r="R15" s="3742">
        <f>'Ab1. RMNCH+A'!Q128</f>
        <v>0</v>
      </c>
      <c r="S15" s="3743">
        <f>'Ab1. RMNCH+A'!R128</f>
        <v>0</v>
      </c>
    </row>
    <row r="16" spans="1:55" s="2032" customFormat="1" ht="132">
      <c r="A16" s="2010">
        <v>3</v>
      </c>
      <c r="B16" s="2016" t="s">
        <v>4529</v>
      </c>
      <c r="C16" s="2020"/>
      <c r="D16" s="1831" t="s">
        <v>4530</v>
      </c>
      <c r="E16" s="1534" t="s">
        <v>90</v>
      </c>
      <c r="F16" s="2028" t="s">
        <v>131</v>
      </c>
      <c r="G16" s="2029"/>
      <c r="H16" s="2029"/>
      <c r="I16" s="2029"/>
      <c r="J16" s="2029"/>
      <c r="K16" s="2029"/>
      <c r="L16" s="3206" t="s">
        <v>6195</v>
      </c>
      <c r="M16" s="1729">
        <v>17086000</v>
      </c>
      <c r="N16" s="1857">
        <f>M16/100000</f>
        <v>170.86</v>
      </c>
      <c r="O16" s="1317">
        <v>1</v>
      </c>
      <c r="P16" s="2030">
        <f>O16*N16</f>
        <v>170.86</v>
      </c>
      <c r="Q16" s="2112" t="s">
        <v>6196</v>
      </c>
      <c r="R16" s="1926">
        <f>'Ab1. RMNCH+A'!Q129</f>
        <v>0</v>
      </c>
      <c r="S16" s="2015">
        <f>'Ab1. RMNCH+A'!R129</f>
        <v>0</v>
      </c>
    </row>
    <row r="17" spans="1:19">
      <c r="A17" s="2027">
        <v>4</v>
      </c>
      <c r="B17" s="2011" t="s">
        <v>4267</v>
      </c>
      <c r="C17" s="2020"/>
      <c r="D17" s="2033" t="s">
        <v>2838</v>
      </c>
      <c r="E17" s="1534" t="s">
        <v>90</v>
      </c>
      <c r="F17" s="1335" t="s">
        <v>131</v>
      </c>
      <c r="G17" s="2034"/>
      <c r="H17" s="2034"/>
      <c r="I17" s="2034"/>
      <c r="J17" s="2034"/>
      <c r="K17" s="2034"/>
      <c r="L17" s="3509"/>
      <c r="M17" s="1729"/>
      <c r="N17" s="1857">
        <f>M17/100000</f>
        <v>0</v>
      </c>
      <c r="O17" s="1317"/>
      <c r="P17" s="2014">
        <f>O17*N17</f>
        <v>0</v>
      </c>
      <c r="Q17" s="2035"/>
      <c r="R17" s="1926">
        <f>'Ab1. RMNCH+A'!Q130</f>
        <v>0</v>
      </c>
      <c r="S17" s="2015">
        <f>'Ab1. RMNCH+A'!R130</f>
        <v>0</v>
      </c>
    </row>
    <row r="18" spans="1:19" s="2032" customFormat="1" ht="409.5">
      <c r="A18" s="2010">
        <v>5</v>
      </c>
      <c r="B18" s="2016" t="s">
        <v>4531</v>
      </c>
      <c r="C18" s="2020" t="s">
        <v>1595</v>
      </c>
      <c r="D18" s="2036" t="s">
        <v>4916</v>
      </c>
      <c r="E18" s="1534" t="s">
        <v>90</v>
      </c>
      <c r="F18" s="2028" t="s">
        <v>131</v>
      </c>
      <c r="G18" s="2029"/>
      <c r="H18" s="2029"/>
      <c r="I18" s="2029"/>
      <c r="J18" s="2029"/>
      <c r="K18" s="2029"/>
      <c r="L18" s="3206"/>
      <c r="M18" s="1729">
        <v>25100000</v>
      </c>
      <c r="N18" s="1857">
        <f>M18/100000</f>
        <v>251</v>
      </c>
      <c r="O18" s="1317">
        <v>1</v>
      </c>
      <c r="P18" s="2030">
        <f>O18*N18</f>
        <v>251</v>
      </c>
      <c r="Q18" s="2031" t="s">
        <v>6363</v>
      </c>
      <c r="R18" s="1926">
        <f>'Ab1. RMNCH+A'!Q131</f>
        <v>0</v>
      </c>
      <c r="S18" s="2015">
        <f>'Ab1. RMNCH+A'!R131</f>
        <v>0</v>
      </c>
    </row>
    <row r="19" spans="1:19" ht="33">
      <c r="A19" s="2002" t="s">
        <v>4354</v>
      </c>
      <c r="B19" s="2003" t="s">
        <v>1596</v>
      </c>
      <c r="C19" s="2004" t="s">
        <v>1597</v>
      </c>
      <c r="D19" s="2003" t="s">
        <v>4939</v>
      </c>
      <c r="E19" s="2005"/>
      <c r="F19" s="2005"/>
      <c r="G19" s="2025"/>
      <c r="H19" s="2025"/>
      <c r="I19" s="2025"/>
      <c r="J19" s="2025"/>
      <c r="K19" s="2025"/>
      <c r="L19" s="3507"/>
      <c r="M19" s="3519"/>
      <c r="N19" s="2006"/>
      <c r="O19" s="2025"/>
      <c r="P19" s="2006">
        <f>SUM(P20:P25)</f>
        <v>475.63600000000002</v>
      </c>
      <c r="Q19" s="2026"/>
      <c r="R19" s="2008"/>
      <c r="S19" s="1902">
        <f>SUM(S20:S25)</f>
        <v>0</v>
      </c>
    </row>
    <row r="20" spans="1:19" ht="99">
      <c r="A20" s="2010">
        <v>1</v>
      </c>
      <c r="B20" s="2011" t="s">
        <v>4207</v>
      </c>
      <c r="C20" s="1855" t="s">
        <v>1598</v>
      </c>
      <c r="D20" s="1855" t="s">
        <v>1599</v>
      </c>
      <c r="E20" s="1534" t="s">
        <v>90</v>
      </c>
      <c r="F20" s="1948" t="s">
        <v>91</v>
      </c>
      <c r="G20" s="2017">
        <v>1444</v>
      </c>
      <c r="H20" s="2037">
        <v>82</v>
      </c>
      <c r="I20" s="2023">
        <v>28.88</v>
      </c>
      <c r="J20" s="2023">
        <v>1.64</v>
      </c>
      <c r="K20" s="2017"/>
      <c r="L20" s="3137" t="s">
        <v>5981</v>
      </c>
      <c r="M20" s="1729">
        <v>2000</v>
      </c>
      <c r="N20" s="1857">
        <f t="shared" ref="N20:N25" si="0">M20/100000</f>
        <v>0.02</v>
      </c>
      <c r="O20" s="1317">
        <v>910</v>
      </c>
      <c r="P20" s="2014">
        <f t="shared" ref="P20:P25" si="1">O20*N20</f>
        <v>18.2</v>
      </c>
      <c r="Q20" s="2113" t="s">
        <v>6367</v>
      </c>
      <c r="R20" s="1926">
        <f>'Ab1. RMNCH+A'!Q225</f>
        <v>0</v>
      </c>
      <c r="S20" s="2015">
        <f>'Ab1. RMNCH+A'!R225</f>
        <v>0</v>
      </c>
    </row>
    <row r="21" spans="1:19" ht="115.5">
      <c r="A21" s="2010">
        <v>2</v>
      </c>
      <c r="B21" s="2011" t="s">
        <v>4208</v>
      </c>
      <c r="C21" s="1855" t="s">
        <v>1600</v>
      </c>
      <c r="D21" s="1855" t="s">
        <v>1601</v>
      </c>
      <c r="E21" s="1534" t="s">
        <v>90</v>
      </c>
      <c r="F21" s="1948" t="s">
        <v>91</v>
      </c>
      <c r="G21" s="2017">
        <v>14194</v>
      </c>
      <c r="H21" s="2037">
        <v>908</v>
      </c>
      <c r="I21" s="2023">
        <v>354.85</v>
      </c>
      <c r="J21" s="2023">
        <v>22.69</v>
      </c>
      <c r="K21" s="2017"/>
      <c r="L21" s="3137" t="s">
        <v>5982</v>
      </c>
      <c r="M21" s="1729">
        <v>2500</v>
      </c>
      <c r="N21" s="1857">
        <f t="shared" si="0"/>
        <v>2.5000000000000001E-2</v>
      </c>
      <c r="O21" s="1317">
        <v>7938</v>
      </c>
      <c r="P21" s="2014">
        <f t="shared" si="1"/>
        <v>198.45000000000002</v>
      </c>
      <c r="Q21" s="2114" t="s">
        <v>6764</v>
      </c>
      <c r="R21" s="1926">
        <f>'Ab1. RMNCH+A'!Q226</f>
        <v>0</v>
      </c>
      <c r="S21" s="2015">
        <f>'Ab1. RMNCH+A'!R226</f>
        <v>0</v>
      </c>
    </row>
    <row r="22" spans="1:19" ht="66">
      <c r="A22" s="2010">
        <v>3</v>
      </c>
      <c r="B22" s="2011" t="s">
        <v>4209</v>
      </c>
      <c r="C22" s="1855" t="s">
        <v>1602</v>
      </c>
      <c r="D22" s="1855" t="s">
        <v>1603</v>
      </c>
      <c r="E22" s="1534" t="s">
        <v>90</v>
      </c>
      <c r="F22" s="1948" t="s">
        <v>91</v>
      </c>
      <c r="G22" s="2017">
        <v>1735</v>
      </c>
      <c r="H22" s="2038">
        <v>100</v>
      </c>
      <c r="I22" s="2023">
        <v>121.45</v>
      </c>
      <c r="J22" s="2023">
        <v>6.96</v>
      </c>
      <c r="K22" s="2017"/>
      <c r="L22" s="3137" t="s">
        <v>5983</v>
      </c>
      <c r="M22" s="1729">
        <v>7000</v>
      </c>
      <c r="N22" s="1857">
        <f t="shared" si="0"/>
        <v>7.0000000000000007E-2</v>
      </c>
      <c r="O22" s="1317">
        <v>1835</v>
      </c>
      <c r="P22" s="2014">
        <f t="shared" si="1"/>
        <v>128.45000000000002</v>
      </c>
      <c r="Q22" s="2113" t="s">
        <v>6765</v>
      </c>
      <c r="R22" s="1926">
        <f>'Ab1. RMNCH+A'!Q227</f>
        <v>0</v>
      </c>
      <c r="S22" s="2015">
        <f>'Ab1. RMNCH+A'!R227</f>
        <v>0</v>
      </c>
    </row>
    <row r="23" spans="1:19" ht="115.5">
      <c r="A23" s="2010">
        <v>4</v>
      </c>
      <c r="B23" s="2011" t="s">
        <v>4210</v>
      </c>
      <c r="C23" s="1855" t="s">
        <v>1604</v>
      </c>
      <c r="D23" s="1855" t="s">
        <v>1605</v>
      </c>
      <c r="E23" s="1534" t="s">
        <v>90</v>
      </c>
      <c r="F23" s="1948" t="s">
        <v>91</v>
      </c>
      <c r="G23" s="2017">
        <v>10</v>
      </c>
      <c r="H23" s="2037">
        <v>0</v>
      </c>
      <c r="I23" s="2023">
        <v>50</v>
      </c>
      <c r="J23" s="2023">
        <v>0</v>
      </c>
      <c r="K23" s="2039"/>
      <c r="L23" s="3137" t="s">
        <v>5984</v>
      </c>
      <c r="M23" s="1729">
        <v>2000000</v>
      </c>
      <c r="N23" s="1857">
        <f t="shared" si="0"/>
        <v>20</v>
      </c>
      <c r="O23" s="1317">
        <v>4</v>
      </c>
      <c r="P23" s="2014">
        <f t="shared" si="1"/>
        <v>80</v>
      </c>
      <c r="Q23" s="2115" t="s">
        <v>6565</v>
      </c>
      <c r="R23" s="1926">
        <f>'Ab1. RMNCH+A'!Q228</f>
        <v>0</v>
      </c>
      <c r="S23" s="2015">
        <f>'Ab1. RMNCH+A'!R228</f>
        <v>0</v>
      </c>
    </row>
    <row r="24" spans="1:19" ht="82.5">
      <c r="A24" s="2010">
        <v>5</v>
      </c>
      <c r="B24" s="2011" t="s">
        <v>4211</v>
      </c>
      <c r="C24" s="1855" t="s">
        <v>1606</v>
      </c>
      <c r="D24" s="1855" t="s">
        <v>1607</v>
      </c>
      <c r="E24" s="1534" t="s">
        <v>90</v>
      </c>
      <c r="F24" s="1948" t="s">
        <v>91</v>
      </c>
      <c r="G24" s="2017">
        <v>2923</v>
      </c>
      <c r="H24" s="2037">
        <v>151</v>
      </c>
      <c r="I24" s="2023">
        <v>23.38</v>
      </c>
      <c r="J24" s="2023">
        <v>1.21</v>
      </c>
      <c r="K24" s="2017"/>
      <c r="L24" s="3137" t="s">
        <v>5985</v>
      </c>
      <c r="M24" s="1729">
        <v>800</v>
      </c>
      <c r="N24" s="1857">
        <f t="shared" si="0"/>
        <v>8.0000000000000002E-3</v>
      </c>
      <c r="O24" s="1317">
        <v>3379</v>
      </c>
      <c r="P24" s="2014">
        <f t="shared" si="1"/>
        <v>27.032</v>
      </c>
      <c r="Q24" s="2040" t="s">
        <v>6566</v>
      </c>
      <c r="R24" s="1926">
        <f>'Ab1. RMNCH+A'!Q229</f>
        <v>0</v>
      </c>
      <c r="S24" s="2015">
        <f>'Ab1. RMNCH+A'!R229</f>
        <v>0</v>
      </c>
    </row>
    <row r="25" spans="1:19" ht="82.5">
      <c r="A25" s="2010">
        <v>6</v>
      </c>
      <c r="B25" s="2011" t="s">
        <v>4212</v>
      </c>
      <c r="C25" s="1855" t="s">
        <v>1609</v>
      </c>
      <c r="D25" s="1855" t="s">
        <v>1591</v>
      </c>
      <c r="E25" s="1534" t="s">
        <v>90</v>
      </c>
      <c r="F25" s="1948" t="s">
        <v>91</v>
      </c>
      <c r="G25" s="2017">
        <v>6645</v>
      </c>
      <c r="H25" s="2037">
        <v>800</v>
      </c>
      <c r="I25" s="2023">
        <v>49.84</v>
      </c>
      <c r="J25" s="2023">
        <v>6</v>
      </c>
      <c r="K25" s="2017"/>
      <c r="L25" s="2061" t="s">
        <v>5986</v>
      </c>
      <c r="M25" s="1729">
        <v>800</v>
      </c>
      <c r="N25" s="1857">
        <f t="shared" si="0"/>
        <v>8.0000000000000002E-3</v>
      </c>
      <c r="O25" s="1317">
        <v>2938</v>
      </c>
      <c r="P25" s="2014">
        <f t="shared" si="1"/>
        <v>23.504000000000001</v>
      </c>
      <c r="Q25" s="2040" t="s">
        <v>6766</v>
      </c>
      <c r="R25" s="1926">
        <f>'Ab1. RMNCH+A'!Q230</f>
        <v>0</v>
      </c>
      <c r="S25" s="2015">
        <f>'Ab1. RMNCH+A'!R230</f>
        <v>0</v>
      </c>
    </row>
    <row r="26" spans="1:19" ht="33">
      <c r="A26" s="2002" t="s">
        <v>4355</v>
      </c>
      <c r="B26" s="2003" t="s">
        <v>1610</v>
      </c>
      <c r="C26" s="2004" t="s">
        <v>1611</v>
      </c>
      <c r="D26" s="2003" t="s">
        <v>4940</v>
      </c>
      <c r="E26" s="2005"/>
      <c r="F26" s="2041"/>
      <c r="G26" s="2025"/>
      <c r="H26" s="2025"/>
      <c r="I26" s="2025"/>
      <c r="J26" s="2025"/>
      <c r="K26" s="2025"/>
      <c r="L26" s="3507"/>
      <c r="M26" s="3519"/>
      <c r="N26" s="2006"/>
      <c r="O26" s="2025"/>
      <c r="P26" s="2006">
        <f>SUM(P27:P28)</f>
        <v>0</v>
      </c>
      <c r="Q26" s="2026"/>
      <c r="R26" s="2008"/>
      <c r="S26" s="1902">
        <f>SUM(S27:S28)</f>
        <v>0</v>
      </c>
    </row>
    <row r="27" spans="1:19">
      <c r="A27" s="2010">
        <v>1</v>
      </c>
      <c r="B27" s="2011" t="s">
        <v>4213</v>
      </c>
      <c r="C27" s="1855" t="s">
        <v>1612</v>
      </c>
      <c r="D27" s="1855" t="s">
        <v>4085</v>
      </c>
      <c r="E27" s="1534" t="s">
        <v>90</v>
      </c>
      <c r="F27" s="1948" t="s">
        <v>193</v>
      </c>
      <c r="G27" s="2017"/>
      <c r="H27" s="2017"/>
      <c r="I27" s="2017"/>
      <c r="J27" s="2017"/>
      <c r="K27" s="2017"/>
      <c r="L27" s="2022"/>
      <c r="M27" s="1729"/>
      <c r="N27" s="1857">
        <f>M27/100000</f>
        <v>0</v>
      </c>
      <c r="O27" s="1317"/>
      <c r="P27" s="2014">
        <f>O27*N27</f>
        <v>0</v>
      </c>
      <c r="Q27" s="2019"/>
      <c r="R27" s="1926">
        <f>'Ab1. RMNCH+A'!Q305</f>
        <v>0</v>
      </c>
      <c r="S27" s="2015">
        <f>'Ab1. RMNCH+A'!R305</f>
        <v>0</v>
      </c>
    </row>
    <row r="28" spans="1:19">
      <c r="A28" s="2010">
        <v>2</v>
      </c>
      <c r="B28" s="2011" t="s">
        <v>4214</v>
      </c>
      <c r="C28" s="1855" t="s">
        <v>1613</v>
      </c>
      <c r="D28" s="1855" t="s">
        <v>1591</v>
      </c>
      <c r="E28" s="1534" t="s">
        <v>90</v>
      </c>
      <c r="F28" s="1948" t="s">
        <v>193</v>
      </c>
      <c r="G28" s="2017"/>
      <c r="H28" s="2017"/>
      <c r="I28" s="2017"/>
      <c r="J28" s="2017"/>
      <c r="K28" s="2017"/>
      <c r="L28" s="2061"/>
      <c r="M28" s="1729"/>
      <c r="N28" s="1857">
        <f>M28/100000</f>
        <v>0</v>
      </c>
      <c r="O28" s="1317"/>
      <c r="P28" s="2014">
        <f>O28*N28</f>
        <v>0</v>
      </c>
      <c r="Q28" s="2042"/>
      <c r="R28" s="1926">
        <f>'Ab1. RMNCH+A'!Q306</f>
        <v>0</v>
      </c>
      <c r="S28" s="2015">
        <f>'Ab1. RMNCH+A'!R306</f>
        <v>0</v>
      </c>
    </row>
    <row r="29" spans="1:19" ht="33">
      <c r="A29" s="2002" t="s">
        <v>4356</v>
      </c>
      <c r="B29" s="2003" t="s">
        <v>1614</v>
      </c>
      <c r="C29" s="2004" t="s">
        <v>1615</v>
      </c>
      <c r="D29" s="2003" t="s">
        <v>4941</v>
      </c>
      <c r="E29" s="2005"/>
      <c r="F29" s="2005"/>
      <c r="G29" s="2025"/>
      <c r="H29" s="2025"/>
      <c r="I29" s="2025"/>
      <c r="J29" s="2025"/>
      <c r="K29" s="2025"/>
      <c r="L29" s="3507"/>
      <c r="M29" s="3519"/>
      <c r="N29" s="2006"/>
      <c r="O29" s="2025"/>
      <c r="P29" s="2006">
        <f>SUM(P30:P34)</f>
        <v>98.52</v>
      </c>
      <c r="Q29" s="2026"/>
      <c r="R29" s="2008"/>
      <c r="S29" s="1902">
        <f>SUM(S30:S34)</f>
        <v>0</v>
      </c>
    </row>
    <row r="30" spans="1:19" ht="115.5">
      <c r="A30" s="2010">
        <v>1</v>
      </c>
      <c r="B30" s="2011" t="s">
        <v>4215</v>
      </c>
      <c r="C30" s="1855" t="s">
        <v>1616</v>
      </c>
      <c r="D30" s="2043" t="s">
        <v>1617</v>
      </c>
      <c r="E30" s="1534" t="s">
        <v>90</v>
      </c>
      <c r="F30" s="1948" t="s">
        <v>96</v>
      </c>
      <c r="G30" s="2116">
        <v>785</v>
      </c>
      <c r="H30" s="2116">
        <v>785</v>
      </c>
      <c r="I30" s="2117">
        <v>116.4</v>
      </c>
      <c r="J30" s="2118"/>
      <c r="K30" s="2119"/>
      <c r="L30" s="2116" t="s">
        <v>6255</v>
      </c>
      <c r="M30" s="3520">
        <v>12000</v>
      </c>
      <c r="N30" s="1857">
        <f>M30/100000</f>
        <v>0.12</v>
      </c>
      <c r="O30" s="1346">
        <v>776</v>
      </c>
      <c r="P30" s="2014">
        <f>O30*N30</f>
        <v>93.11999999999999</v>
      </c>
      <c r="Q30" s="2120" t="s">
        <v>6257</v>
      </c>
      <c r="R30" s="1926">
        <f>'Ab1. RMNCH+A'!Q355</f>
        <v>0</v>
      </c>
      <c r="S30" s="2015">
        <f>'Ab1. RMNCH+A'!R355</f>
        <v>0</v>
      </c>
    </row>
    <row r="31" spans="1:19" s="2032" customFormat="1" ht="33">
      <c r="A31" s="2027">
        <v>2</v>
      </c>
      <c r="B31" s="2016" t="s">
        <v>4216</v>
      </c>
      <c r="C31" s="2020" t="s">
        <v>1618</v>
      </c>
      <c r="D31" s="3213" t="s">
        <v>1619</v>
      </c>
      <c r="E31" s="3209" t="s">
        <v>90</v>
      </c>
      <c r="F31" s="2028" t="s">
        <v>96</v>
      </c>
      <c r="G31" s="3214">
        <v>9</v>
      </c>
      <c r="H31" s="3214">
        <v>9</v>
      </c>
      <c r="I31" s="3215">
        <v>221.67</v>
      </c>
      <c r="J31" s="3216"/>
      <c r="K31" s="3217"/>
      <c r="L31" s="3214" t="s">
        <v>6254</v>
      </c>
      <c r="M31" s="2520"/>
      <c r="N31" s="2688">
        <f>M31/100000</f>
        <v>0</v>
      </c>
      <c r="O31" s="2687"/>
      <c r="P31" s="2030">
        <f>O31*N31</f>
        <v>0</v>
      </c>
      <c r="Q31" s="3218"/>
      <c r="R31" s="3015">
        <f>'Ab1. RMNCH+A'!Q356</f>
        <v>0</v>
      </c>
      <c r="S31" s="3192">
        <f>'Ab1. RMNCH+A'!R356</f>
        <v>0</v>
      </c>
    </row>
    <row r="32" spans="1:19">
      <c r="A32" s="2010">
        <v>3</v>
      </c>
      <c r="B32" s="2011" t="s">
        <v>4268</v>
      </c>
      <c r="C32" s="1855" t="s">
        <v>1620</v>
      </c>
      <c r="D32" s="2043" t="s">
        <v>1621</v>
      </c>
      <c r="E32" s="1534" t="s">
        <v>90</v>
      </c>
      <c r="F32" s="1948" t="s">
        <v>96</v>
      </c>
      <c r="G32" s="1345"/>
      <c r="H32" s="1345"/>
      <c r="I32" s="2121"/>
      <c r="J32" s="2121"/>
      <c r="K32" s="2121"/>
      <c r="L32" s="2116"/>
      <c r="M32" s="3520"/>
      <c r="N32" s="1857">
        <f>M32/100000</f>
        <v>0</v>
      </c>
      <c r="O32" s="1346">
        <v>2</v>
      </c>
      <c r="P32" s="2014">
        <f>O32*N32</f>
        <v>0</v>
      </c>
      <c r="Q32" s="2122"/>
      <c r="R32" s="1926">
        <f>'Ab1. RMNCH+A'!Q357</f>
        <v>0</v>
      </c>
      <c r="S32" s="2015">
        <f>'Ab1. RMNCH+A'!R357</f>
        <v>0</v>
      </c>
    </row>
    <row r="33" spans="1:19">
      <c r="A33" s="2010">
        <v>4</v>
      </c>
      <c r="B33" s="2011" t="s">
        <v>4269</v>
      </c>
      <c r="C33" s="1855" t="s">
        <v>1622</v>
      </c>
      <c r="D33" s="2043" t="s">
        <v>1623</v>
      </c>
      <c r="E33" s="1534" t="s">
        <v>90</v>
      </c>
      <c r="F33" s="1948" t="s">
        <v>96</v>
      </c>
      <c r="G33" s="1345"/>
      <c r="H33" s="1345"/>
      <c r="I33" s="2121"/>
      <c r="J33" s="2121"/>
      <c r="K33" s="2121"/>
      <c r="L33" s="3510"/>
      <c r="M33" s="3520"/>
      <c r="N33" s="1857">
        <f>M33/100000</f>
        <v>0</v>
      </c>
      <c r="O33" s="1346"/>
      <c r="P33" s="2014">
        <f>O33*N33</f>
        <v>0</v>
      </c>
      <c r="Q33" s="2122"/>
      <c r="R33" s="1926">
        <f>'Ab1. RMNCH+A'!Q358</f>
        <v>0</v>
      </c>
      <c r="S33" s="2015">
        <f>'Ab1. RMNCH+A'!R358</f>
        <v>0</v>
      </c>
    </row>
    <row r="34" spans="1:19" ht="115.5">
      <c r="A34" s="2010">
        <v>5</v>
      </c>
      <c r="B34" s="2044" t="s">
        <v>4217</v>
      </c>
      <c r="C34" s="2020"/>
      <c r="D34" s="1855" t="s">
        <v>1591</v>
      </c>
      <c r="E34" s="1534" t="s">
        <v>90</v>
      </c>
      <c r="F34" s="1948" t="s">
        <v>96</v>
      </c>
      <c r="G34" s="2116">
        <v>9</v>
      </c>
      <c r="H34" s="2116">
        <v>9</v>
      </c>
      <c r="I34" s="2119">
        <v>5.4</v>
      </c>
      <c r="J34" s="2119"/>
      <c r="K34" s="2119"/>
      <c r="L34" s="2116" t="s">
        <v>6256</v>
      </c>
      <c r="M34" s="3520">
        <v>5000</v>
      </c>
      <c r="N34" s="1857">
        <f>M34/100000</f>
        <v>0.05</v>
      </c>
      <c r="O34" s="1346">
        <v>108</v>
      </c>
      <c r="P34" s="2014">
        <f>O34*N34</f>
        <v>5.4</v>
      </c>
      <c r="Q34" s="2122" t="s">
        <v>6258</v>
      </c>
      <c r="R34" s="1926">
        <f>'Ab1. RMNCH+A'!Q359</f>
        <v>0</v>
      </c>
      <c r="S34" s="2015">
        <f>'Ab1. RMNCH+A'!R359</f>
        <v>0</v>
      </c>
    </row>
    <row r="35" spans="1:19" ht="33">
      <c r="A35" s="2002" t="s">
        <v>4664</v>
      </c>
      <c r="B35" s="2003"/>
      <c r="C35" s="2003"/>
      <c r="D35" s="2003" t="s">
        <v>4895</v>
      </c>
      <c r="E35" s="2045"/>
      <c r="F35" s="2045"/>
      <c r="G35" s="2025"/>
      <c r="H35" s="2025"/>
      <c r="I35" s="2025"/>
      <c r="J35" s="2025"/>
      <c r="K35" s="2025"/>
      <c r="L35" s="3507"/>
      <c r="M35" s="3519"/>
      <c r="N35" s="2006"/>
      <c r="O35" s="2025"/>
      <c r="P35" s="2006">
        <f>P36+P37</f>
        <v>100</v>
      </c>
      <c r="Q35" s="2026"/>
      <c r="R35" s="2008"/>
      <c r="S35" s="1902">
        <f>S36+S37</f>
        <v>0</v>
      </c>
    </row>
    <row r="36" spans="1:19" ht="82.5">
      <c r="A36" s="2010">
        <v>1</v>
      </c>
      <c r="B36" s="2011" t="s">
        <v>4229</v>
      </c>
      <c r="C36" s="1855" t="s">
        <v>1635</v>
      </c>
      <c r="D36" s="1855" t="s">
        <v>1636</v>
      </c>
      <c r="E36" s="2046" t="s">
        <v>90</v>
      </c>
      <c r="F36" s="1948" t="s">
        <v>205</v>
      </c>
      <c r="G36" s="1350">
        <v>12422</v>
      </c>
      <c r="H36" s="1350"/>
      <c r="I36" s="2023"/>
      <c r="J36" s="2023"/>
      <c r="K36" s="2047"/>
      <c r="L36" s="3137" t="s">
        <v>5892</v>
      </c>
      <c r="M36" s="1729">
        <v>2000</v>
      </c>
      <c r="N36" s="1857">
        <f>M36/100000</f>
        <v>0.02</v>
      </c>
      <c r="O36" s="1317">
        <v>5000</v>
      </c>
      <c r="P36" s="2014">
        <f>O36*N36</f>
        <v>100</v>
      </c>
      <c r="Q36" s="3193" t="s">
        <v>6577</v>
      </c>
      <c r="R36" s="1926">
        <f>'Ab1. RMNCH+A'!Q410</f>
        <v>0</v>
      </c>
      <c r="S36" s="2015">
        <f>'Ab1. RMNCH+A'!R410</f>
        <v>0</v>
      </c>
    </row>
    <row r="37" spans="1:19" ht="39" customHeight="1">
      <c r="A37" s="2010">
        <v>2</v>
      </c>
      <c r="B37" s="2011" t="s">
        <v>4217</v>
      </c>
      <c r="C37" s="2020"/>
      <c r="D37" s="1855" t="s">
        <v>1591</v>
      </c>
      <c r="E37" s="2046" t="s">
        <v>90</v>
      </c>
      <c r="F37" s="1948" t="s">
        <v>205</v>
      </c>
      <c r="G37" s="2017"/>
      <c r="H37" s="2017"/>
      <c r="I37" s="2017"/>
      <c r="J37" s="2017"/>
      <c r="K37" s="2017"/>
      <c r="L37" s="2022"/>
      <c r="M37" s="1729"/>
      <c r="N37" s="1857">
        <f>M37/100000</f>
        <v>0</v>
      </c>
      <c r="O37" s="1317"/>
      <c r="P37" s="2014">
        <f>O37*N37</f>
        <v>0</v>
      </c>
      <c r="Q37" s="2048"/>
      <c r="R37" s="1926">
        <f>'Ab1. RMNCH+A'!Q411</f>
        <v>0</v>
      </c>
      <c r="S37" s="2015">
        <f>'Ab1. RMNCH+A'!R411</f>
        <v>0</v>
      </c>
    </row>
    <row r="38" spans="1:19" ht="33">
      <c r="A38" s="2002" t="s">
        <v>4665</v>
      </c>
      <c r="B38" s="2003" t="s">
        <v>1624</v>
      </c>
      <c r="C38" s="2003"/>
      <c r="D38" s="2003" t="s">
        <v>4896</v>
      </c>
      <c r="E38" s="2045"/>
      <c r="F38" s="2045"/>
      <c r="G38" s="2025"/>
      <c r="H38" s="2025"/>
      <c r="I38" s="2025"/>
      <c r="J38" s="2025"/>
      <c r="K38" s="2025"/>
      <c r="L38" s="3507"/>
      <c r="M38" s="3519"/>
      <c r="N38" s="2006"/>
      <c r="O38" s="2025"/>
      <c r="P38" s="2006">
        <f>P39+P40</f>
        <v>2.5</v>
      </c>
      <c r="Q38" s="2026"/>
      <c r="R38" s="2008"/>
      <c r="S38" s="1902">
        <f>S39+S40</f>
        <v>0</v>
      </c>
    </row>
    <row r="39" spans="1:19" ht="99">
      <c r="A39" s="2010">
        <v>1</v>
      </c>
      <c r="B39" s="2011" t="s">
        <v>4218</v>
      </c>
      <c r="C39" s="2020"/>
      <c r="D39" s="1855" t="s">
        <v>2390</v>
      </c>
      <c r="E39" s="2046" t="s">
        <v>90</v>
      </c>
      <c r="F39" s="1948" t="s">
        <v>208</v>
      </c>
      <c r="G39" s="1350"/>
      <c r="H39" s="1350"/>
      <c r="I39" s="1350"/>
      <c r="J39" s="1350"/>
      <c r="K39" s="1350"/>
      <c r="L39" s="2022" t="s">
        <v>6318</v>
      </c>
      <c r="M39" s="1729">
        <v>250000</v>
      </c>
      <c r="N39" s="1857">
        <f>M39/100000</f>
        <v>2.5</v>
      </c>
      <c r="O39" s="1317">
        <v>1</v>
      </c>
      <c r="P39" s="2014">
        <f>O39*N39</f>
        <v>2.5</v>
      </c>
      <c r="Q39" s="1462" t="s">
        <v>6419</v>
      </c>
      <c r="R39" s="1926">
        <f>'Ab2. NIDDCP'!Q11</f>
        <v>0</v>
      </c>
      <c r="S39" s="2015">
        <f>'Ab2. NIDDCP'!R11</f>
        <v>0</v>
      </c>
    </row>
    <row r="40" spans="1:19">
      <c r="A40" s="2010">
        <v>2</v>
      </c>
      <c r="B40" s="2011" t="s">
        <v>4219</v>
      </c>
      <c r="C40" s="2020"/>
      <c r="D40" s="1855" t="s">
        <v>1591</v>
      </c>
      <c r="E40" s="2046" t="s">
        <v>90</v>
      </c>
      <c r="F40" s="1948" t="s">
        <v>208</v>
      </c>
      <c r="G40" s="1350"/>
      <c r="H40" s="1350"/>
      <c r="I40" s="1350"/>
      <c r="J40" s="1350"/>
      <c r="K40" s="1350"/>
      <c r="L40" s="2022"/>
      <c r="M40" s="1729"/>
      <c r="N40" s="1857">
        <f>M40/100000</f>
        <v>0</v>
      </c>
      <c r="O40" s="1317"/>
      <c r="P40" s="2014">
        <f>O40*N40</f>
        <v>0</v>
      </c>
      <c r="Q40" s="2021"/>
      <c r="R40" s="1926">
        <f>'Ab2. NIDDCP'!Q12</f>
        <v>0</v>
      </c>
      <c r="S40" s="2015">
        <f>'Ab2. NIDDCP'!R12</f>
        <v>0</v>
      </c>
    </row>
    <row r="41" spans="1:19">
      <c r="A41" s="4410" t="s">
        <v>4923</v>
      </c>
      <c r="B41" s="4410"/>
      <c r="C41" s="4410"/>
      <c r="D41" s="4410"/>
      <c r="E41" s="1779"/>
      <c r="F41" s="1779"/>
      <c r="G41" s="2049"/>
      <c r="H41" s="2049"/>
      <c r="I41" s="2049"/>
      <c r="J41" s="2049"/>
      <c r="K41" s="2049"/>
      <c r="L41" s="1781"/>
      <c r="M41" s="2049"/>
      <c r="N41" s="1997"/>
      <c r="O41" s="2050"/>
      <c r="P41" s="1997"/>
      <c r="Q41" s="1782"/>
      <c r="R41" s="1735"/>
      <c r="S41" s="1694"/>
    </row>
    <row r="42" spans="1:19" ht="33">
      <c r="A42" s="2002" t="s">
        <v>4350</v>
      </c>
      <c r="B42" s="2003" t="s">
        <v>1628</v>
      </c>
      <c r="C42" s="2004" t="s">
        <v>1625</v>
      </c>
      <c r="D42" s="2003" t="s">
        <v>4897</v>
      </c>
      <c r="E42" s="2005"/>
      <c r="F42" s="2005"/>
      <c r="G42" s="2025"/>
      <c r="H42" s="2025"/>
      <c r="I42" s="2025"/>
      <c r="J42" s="2025"/>
      <c r="K42" s="2025"/>
      <c r="L42" s="3507"/>
      <c r="M42" s="3519"/>
      <c r="N42" s="2006"/>
      <c r="O42" s="2025"/>
      <c r="P42" s="2006">
        <f>SUM(P43:P46)</f>
        <v>410</v>
      </c>
      <c r="Q42" s="2026"/>
      <c r="R42" s="2008"/>
      <c r="S42" s="1902">
        <f>SUM(S43:S46)</f>
        <v>0</v>
      </c>
    </row>
    <row r="43" spans="1:19">
      <c r="A43" s="2010">
        <v>1</v>
      </c>
      <c r="B43" s="2011" t="s">
        <v>4220</v>
      </c>
      <c r="C43" s="1855" t="s">
        <v>1626</v>
      </c>
      <c r="D43" s="1855" t="s">
        <v>1627</v>
      </c>
      <c r="E43" s="1281" t="s">
        <v>70</v>
      </c>
      <c r="F43" s="1948" t="s">
        <v>4894</v>
      </c>
      <c r="G43" s="2047"/>
      <c r="H43" s="2047"/>
      <c r="I43" s="2047"/>
      <c r="J43" s="2047"/>
      <c r="K43" s="2047"/>
      <c r="L43" s="2022"/>
      <c r="M43" s="1729"/>
      <c r="N43" s="1857">
        <f>M43/100000</f>
        <v>0</v>
      </c>
      <c r="O43" s="1317"/>
      <c r="P43" s="2014">
        <f>O43*N43</f>
        <v>0</v>
      </c>
      <c r="Q43" s="2021"/>
      <c r="R43" s="2051"/>
      <c r="S43" s="2052"/>
    </row>
    <row r="44" spans="1:19">
      <c r="A44" s="2010">
        <v>2</v>
      </c>
      <c r="B44" s="2011" t="s">
        <v>4221</v>
      </c>
      <c r="C44" s="1855" t="s">
        <v>1625</v>
      </c>
      <c r="D44" s="1855" t="s">
        <v>4086</v>
      </c>
      <c r="E44" s="1281" t="s">
        <v>70</v>
      </c>
      <c r="F44" s="1948" t="s">
        <v>742</v>
      </c>
      <c r="G44" s="2047"/>
      <c r="H44" s="2047"/>
      <c r="I44" s="2047"/>
      <c r="J44" s="2047"/>
      <c r="K44" s="2047"/>
      <c r="L44" s="2022"/>
      <c r="M44" s="1729"/>
      <c r="N44" s="1857">
        <f>M44/100000</f>
        <v>0</v>
      </c>
      <c r="O44" s="1317"/>
      <c r="P44" s="2014">
        <f>O44*N44</f>
        <v>0</v>
      </c>
      <c r="Q44" s="2021"/>
      <c r="R44" s="2051"/>
      <c r="S44" s="2052"/>
    </row>
    <row r="45" spans="1:19" ht="155.25" customHeight="1">
      <c r="A45" s="2010">
        <v>3</v>
      </c>
      <c r="B45" s="2011" t="s">
        <v>4223</v>
      </c>
      <c r="C45" s="1855" t="s">
        <v>2844</v>
      </c>
      <c r="D45" s="1855" t="s">
        <v>2458</v>
      </c>
      <c r="E45" s="1281" t="s">
        <v>70</v>
      </c>
      <c r="F45" s="1948" t="s">
        <v>4893</v>
      </c>
      <c r="G45" s="1350"/>
      <c r="H45" s="1350"/>
      <c r="I45" s="1350"/>
      <c r="J45" s="1350"/>
      <c r="K45" s="1350"/>
      <c r="L45" s="2061" t="s">
        <v>6759</v>
      </c>
      <c r="M45" s="1729">
        <v>5125000</v>
      </c>
      <c r="N45" s="1857">
        <f>M45/100000</f>
        <v>51.25</v>
      </c>
      <c r="O45" s="1317">
        <v>8</v>
      </c>
      <c r="P45" s="2014">
        <f>O45*N45</f>
        <v>410</v>
      </c>
      <c r="Q45" s="2048" t="s">
        <v>6760</v>
      </c>
      <c r="R45" s="2051"/>
      <c r="S45" s="2052"/>
    </row>
    <row r="46" spans="1:19">
      <c r="A46" s="2010">
        <v>4</v>
      </c>
      <c r="B46" s="2011" t="s">
        <v>4224</v>
      </c>
      <c r="C46" s="2020"/>
      <c r="D46" s="1855" t="s">
        <v>1591</v>
      </c>
      <c r="E46" s="1281" t="s">
        <v>70</v>
      </c>
      <c r="F46" s="1948" t="s">
        <v>742</v>
      </c>
      <c r="G46" s="1350"/>
      <c r="H46" s="1350"/>
      <c r="I46" s="1350"/>
      <c r="J46" s="1350"/>
      <c r="K46" s="1350"/>
      <c r="L46" s="2022"/>
      <c r="M46" s="1729"/>
      <c r="N46" s="1857">
        <f>M46/100000</f>
        <v>0</v>
      </c>
      <c r="O46" s="1317"/>
      <c r="P46" s="2014">
        <f>O46*N46</f>
        <v>0</v>
      </c>
      <c r="Q46" s="2021"/>
      <c r="R46" s="2051"/>
      <c r="S46" s="2052"/>
    </row>
    <row r="47" spans="1:19" ht="33">
      <c r="A47" s="2002" t="s">
        <v>4351</v>
      </c>
      <c r="B47" s="2003" t="s">
        <v>1630</v>
      </c>
      <c r="C47" s="2004" t="s">
        <v>1629</v>
      </c>
      <c r="D47" s="2003" t="s">
        <v>4937</v>
      </c>
      <c r="E47" s="2005"/>
      <c r="F47" s="2005"/>
      <c r="G47" s="2025"/>
      <c r="H47" s="2025"/>
      <c r="I47" s="2025"/>
      <c r="J47" s="2025"/>
      <c r="K47" s="2025"/>
      <c r="L47" s="3507"/>
      <c r="M47" s="3519"/>
      <c r="N47" s="2006"/>
      <c r="O47" s="2025"/>
      <c r="P47" s="2006">
        <f>SUM(P48:P49)</f>
        <v>0</v>
      </c>
      <c r="Q47" s="2026"/>
      <c r="R47" s="2008"/>
      <c r="S47" s="1902">
        <f>SUM(S48:S49)</f>
        <v>0</v>
      </c>
    </row>
    <row r="48" spans="1:19" ht="33">
      <c r="A48" s="2010">
        <v>1</v>
      </c>
      <c r="B48" s="2011" t="s">
        <v>4225</v>
      </c>
      <c r="C48" s="2020"/>
      <c r="D48" s="2044" t="s">
        <v>4937</v>
      </c>
      <c r="E48" s="1281" t="s">
        <v>70</v>
      </c>
      <c r="F48" s="1948" t="s">
        <v>2850</v>
      </c>
      <c r="G48" s="1350"/>
      <c r="H48" s="1350"/>
      <c r="I48" s="1350"/>
      <c r="J48" s="1350"/>
      <c r="K48" s="1350"/>
      <c r="L48" s="2022"/>
      <c r="M48" s="1729"/>
      <c r="N48" s="1857">
        <f>M48/100000</f>
        <v>0</v>
      </c>
      <c r="O48" s="1317"/>
      <c r="P48" s="2014">
        <f>O48*N48</f>
        <v>0</v>
      </c>
      <c r="Q48" s="2021"/>
      <c r="R48" s="1926">
        <f>'Abs7. AYUSH'!Q7</f>
        <v>0</v>
      </c>
      <c r="S48" s="2053">
        <f>'Abs7. AYUSH'!R7</f>
        <v>0</v>
      </c>
    </row>
    <row r="49" spans="1:19">
      <c r="A49" s="2010">
        <v>2</v>
      </c>
      <c r="B49" s="2011" t="s">
        <v>4226</v>
      </c>
      <c r="C49" s="2020"/>
      <c r="D49" s="2011" t="s">
        <v>4514</v>
      </c>
      <c r="E49" s="1281" t="s">
        <v>70</v>
      </c>
      <c r="F49" s="1948" t="s">
        <v>2850</v>
      </c>
      <c r="G49" s="1350"/>
      <c r="H49" s="1350"/>
      <c r="I49" s="1350"/>
      <c r="J49" s="1350"/>
      <c r="K49" s="1350"/>
      <c r="L49" s="2022"/>
      <c r="M49" s="1729"/>
      <c r="N49" s="1857">
        <f>M49/100000</f>
        <v>0</v>
      </c>
      <c r="O49" s="1317"/>
      <c r="P49" s="2014">
        <f>O49*N49</f>
        <v>0</v>
      </c>
      <c r="Q49" s="2021"/>
      <c r="R49" s="1926">
        <f>'Abs7. AYUSH'!Q8</f>
        <v>0</v>
      </c>
      <c r="S49" s="2053">
        <f>'Abs7. AYUSH'!R8</f>
        <v>0</v>
      </c>
    </row>
    <row r="50" spans="1:19" ht="33">
      <c r="A50" s="2002" t="s">
        <v>4354</v>
      </c>
      <c r="B50" s="2003" t="s">
        <v>1632</v>
      </c>
      <c r="C50" s="2004" t="s">
        <v>1631</v>
      </c>
      <c r="D50" s="2003" t="s">
        <v>4898</v>
      </c>
      <c r="E50" s="2005"/>
      <c r="F50" s="2005"/>
      <c r="G50" s="2025"/>
      <c r="H50" s="2025"/>
      <c r="I50" s="2025"/>
      <c r="J50" s="2025"/>
      <c r="K50" s="2025"/>
      <c r="L50" s="3507"/>
      <c r="M50" s="3519"/>
      <c r="N50" s="2006"/>
      <c r="O50" s="2025"/>
      <c r="P50" s="2006">
        <f>SUM(P51:P52)</f>
        <v>0</v>
      </c>
      <c r="Q50" s="2026"/>
      <c r="R50" s="2008"/>
      <c r="S50" s="1902">
        <f>SUM(S51:S52)</f>
        <v>0</v>
      </c>
    </row>
    <row r="51" spans="1:19">
      <c r="A51" s="2010">
        <v>1</v>
      </c>
      <c r="B51" s="2011" t="s">
        <v>4227</v>
      </c>
      <c r="C51" s="2020"/>
      <c r="D51" s="2044" t="s">
        <v>4088</v>
      </c>
      <c r="E51" s="1281" t="s">
        <v>70</v>
      </c>
      <c r="F51" s="1948" t="s">
        <v>3305</v>
      </c>
      <c r="G51" s="1350"/>
      <c r="H51" s="1316"/>
      <c r="I51" s="2023"/>
      <c r="J51" s="2023"/>
      <c r="K51" s="1350"/>
      <c r="L51" s="2061"/>
      <c r="M51" s="1729"/>
      <c r="N51" s="1857">
        <f>M51/100000</f>
        <v>0</v>
      </c>
      <c r="O51" s="1317"/>
      <c r="P51" s="2014">
        <f>O51*N51</f>
        <v>0</v>
      </c>
      <c r="Q51" s="2019"/>
      <c r="R51" s="1926">
        <f>'Abs5. Blood services &amp; Disorder'!Q15</f>
        <v>0</v>
      </c>
      <c r="S51" s="2053">
        <f>'Abs5. Blood services &amp; Disorder'!R15</f>
        <v>0</v>
      </c>
    </row>
    <row r="52" spans="1:19">
      <c r="A52" s="2010">
        <v>2</v>
      </c>
      <c r="B52" s="2011" t="s">
        <v>4228</v>
      </c>
      <c r="C52" s="2020"/>
      <c r="D52" s="2044" t="s">
        <v>4089</v>
      </c>
      <c r="E52" s="1281" t="s">
        <v>70</v>
      </c>
      <c r="F52" s="1948" t="s">
        <v>3305</v>
      </c>
      <c r="G52" s="1350"/>
      <c r="H52" s="1316"/>
      <c r="I52" s="2023"/>
      <c r="J52" s="2023"/>
      <c r="K52" s="1350"/>
      <c r="L52" s="2061"/>
      <c r="M52" s="1729"/>
      <c r="N52" s="1857">
        <f>M52/100000</f>
        <v>0</v>
      </c>
      <c r="O52" s="1317"/>
      <c r="P52" s="2014">
        <f>O52*N52</f>
        <v>0</v>
      </c>
      <c r="Q52" s="2019"/>
      <c r="R52" s="1926">
        <f>'Abs5. Blood services &amp; Disorder'!Q16</f>
        <v>0</v>
      </c>
      <c r="S52" s="2053">
        <f>'Abs5. Blood services &amp; Disorder'!R16</f>
        <v>0</v>
      </c>
    </row>
    <row r="53" spans="1:19">
      <c r="A53" s="2002" t="s">
        <v>4355</v>
      </c>
      <c r="B53" s="2003" t="s">
        <v>1637</v>
      </c>
      <c r="C53" s="2004" t="s">
        <v>1633</v>
      </c>
      <c r="D53" s="2003" t="s">
        <v>1634</v>
      </c>
      <c r="E53" s="2005"/>
      <c r="F53" s="2005"/>
      <c r="G53" s="2025"/>
      <c r="H53" s="2025"/>
      <c r="I53" s="2025"/>
      <c r="J53" s="2025"/>
      <c r="K53" s="2025"/>
      <c r="L53" s="3507"/>
      <c r="M53" s="3519"/>
      <c r="N53" s="2006"/>
      <c r="O53" s="2025"/>
      <c r="P53" s="2006">
        <f>SUM(P54:P54)</f>
        <v>1478</v>
      </c>
      <c r="Q53" s="2026"/>
      <c r="R53" s="2008"/>
      <c r="S53" s="1902">
        <f>SUM(S54:S54)</f>
        <v>0</v>
      </c>
    </row>
    <row r="54" spans="1:19" ht="148.5">
      <c r="A54" s="2010">
        <v>1</v>
      </c>
      <c r="B54" s="2011" t="s">
        <v>4230</v>
      </c>
      <c r="C54" s="1855" t="s">
        <v>1613</v>
      </c>
      <c r="D54" s="1855"/>
      <c r="E54" s="1281" t="s">
        <v>70</v>
      </c>
      <c r="F54" s="1948" t="s">
        <v>70</v>
      </c>
      <c r="G54" s="1350"/>
      <c r="H54" s="1350"/>
      <c r="I54" s="1350"/>
      <c r="J54" s="1350"/>
      <c r="K54" s="1350"/>
      <c r="L54" s="1317"/>
      <c r="M54" s="1729">
        <v>147800000</v>
      </c>
      <c r="N54" s="1857">
        <f>M54/100000</f>
        <v>1478</v>
      </c>
      <c r="O54" s="1317">
        <v>1</v>
      </c>
      <c r="P54" s="2014">
        <f>O54*N54</f>
        <v>1478</v>
      </c>
      <c r="Q54" s="2048" t="s">
        <v>6364</v>
      </c>
      <c r="R54" s="2051"/>
      <c r="S54" s="2052"/>
    </row>
    <row r="55" spans="1:19">
      <c r="A55" s="2002" t="s">
        <v>4356</v>
      </c>
      <c r="B55" s="2003" t="s">
        <v>2837</v>
      </c>
      <c r="C55" s="2004"/>
      <c r="D55" s="2003" t="s">
        <v>1695</v>
      </c>
      <c r="E55" s="2005"/>
      <c r="F55" s="2005"/>
      <c r="G55" s="2025"/>
      <c r="H55" s="2025"/>
      <c r="I55" s="2025"/>
      <c r="J55" s="2025"/>
      <c r="K55" s="2025"/>
      <c r="L55" s="3507"/>
      <c r="M55" s="3519"/>
      <c r="N55" s="2006"/>
      <c r="O55" s="2025"/>
      <c r="P55" s="2006">
        <f>SUM(P56:P58)</f>
        <v>274.14999999999998</v>
      </c>
      <c r="Q55" s="2026"/>
      <c r="R55" s="2008"/>
      <c r="S55" s="1902">
        <f>SUM(S56:S58)</f>
        <v>0</v>
      </c>
    </row>
    <row r="56" spans="1:19" s="2032" customFormat="1" ht="33">
      <c r="A56" s="2010">
        <v>1</v>
      </c>
      <c r="B56" s="2011" t="s">
        <v>4265</v>
      </c>
      <c r="C56" s="2020"/>
      <c r="D56" s="1855" t="s">
        <v>4382</v>
      </c>
      <c r="E56" s="1281" t="s">
        <v>70</v>
      </c>
      <c r="F56" s="1948" t="s">
        <v>3806</v>
      </c>
      <c r="G56" s="1350"/>
      <c r="H56" s="1350"/>
      <c r="I56" s="1350"/>
      <c r="J56" s="1350"/>
      <c r="K56" s="1350"/>
      <c r="L56" s="2022"/>
      <c r="M56" s="1729"/>
      <c r="N56" s="1857">
        <f>M56/100000</f>
        <v>0</v>
      </c>
      <c r="O56" s="1317"/>
      <c r="P56" s="2014">
        <f>O56*N56</f>
        <v>0</v>
      </c>
      <c r="Q56" s="3100"/>
      <c r="R56" s="2051"/>
      <c r="S56" s="2052"/>
    </row>
    <row r="57" spans="1:19" s="2032" customFormat="1" ht="33">
      <c r="A57" s="2027">
        <v>2</v>
      </c>
      <c r="B57" s="2016" t="s">
        <v>4266</v>
      </c>
      <c r="C57" s="2020"/>
      <c r="D57" s="2020" t="s">
        <v>4967</v>
      </c>
      <c r="E57" s="1281" t="s">
        <v>70</v>
      </c>
      <c r="F57" s="2028" t="s">
        <v>3806</v>
      </c>
      <c r="G57" s="1349"/>
      <c r="H57" s="1349"/>
      <c r="I57" s="1349"/>
      <c r="J57" s="1349"/>
      <c r="K57" s="1349"/>
      <c r="L57" s="3506"/>
      <c r="M57" s="1729"/>
      <c r="N57" s="1857">
        <f>M57/100000</f>
        <v>0</v>
      </c>
      <c r="O57" s="1317"/>
      <c r="P57" s="2030">
        <f>O57*N57</f>
        <v>0</v>
      </c>
      <c r="Q57" s="2054"/>
      <c r="R57" s="1926"/>
      <c r="S57" s="2055"/>
    </row>
    <row r="58" spans="1:19" ht="168" customHeight="1">
      <c r="A58" s="2027">
        <v>3</v>
      </c>
      <c r="B58" s="2016" t="s">
        <v>4539</v>
      </c>
      <c r="C58" s="2020"/>
      <c r="D58" s="2020" t="s">
        <v>1310</v>
      </c>
      <c r="E58" s="1281" t="s">
        <v>70</v>
      </c>
      <c r="F58" s="2028"/>
      <c r="G58" s="1349"/>
      <c r="H58" s="1349"/>
      <c r="I58" s="1349"/>
      <c r="J58" s="1349"/>
      <c r="K58" s="1349"/>
      <c r="L58" s="3511" t="s">
        <v>6588</v>
      </c>
      <c r="M58" s="1729">
        <f>54830000/2</f>
        <v>27415000</v>
      </c>
      <c r="N58" s="1857">
        <f>M58/100000</f>
        <v>274.14999999999998</v>
      </c>
      <c r="O58" s="1317">
        <v>1</v>
      </c>
      <c r="P58" s="2030">
        <f>O58*N58</f>
        <v>274.14999999999998</v>
      </c>
      <c r="Q58" s="3621" t="s">
        <v>6788</v>
      </c>
      <c r="R58" s="1926"/>
      <c r="S58" s="2055"/>
    </row>
    <row r="59" spans="1:19">
      <c r="A59" s="2002" t="s">
        <v>4664</v>
      </c>
      <c r="B59" s="2003" t="s">
        <v>1694</v>
      </c>
      <c r="C59" s="2004"/>
      <c r="D59" s="2003" t="s">
        <v>5009</v>
      </c>
      <c r="E59" s="2005"/>
      <c r="F59" s="2005"/>
      <c r="G59" s="2025"/>
      <c r="H59" s="2025"/>
      <c r="I59" s="2025"/>
      <c r="J59" s="2025"/>
      <c r="K59" s="2025"/>
      <c r="L59" s="3507"/>
      <c r="M59" s="3519"/>
      <c r="N59" s="2006"/>
      <c r="O59" s="2025"/>
      <c r="P59" s="2006">
        <f>P60</f>
        <v>439.34999999999997</v>
      </c>
      <c r="Q59" s="2026"/>
      <c r="R59" s="2008"/>
      <c r="S59" s="1902">
        <f>S60</f>
        <v>0</v>
      </c>
    </row>
    <row r="60" spans="1:19" ht="99">
      <c r="A60" s="2010">
        <v>1</v>
      </c>
      <c r="B60" s="2011" t="s">
        <v>4279</v>
      </c>
      <c r="C60" s="2020"/>
      <c r="D60" s="1855" t="s">
        <v>5006</v>
      </c>
      <c r="E60" s="1281" t="s">
        <v>70</v>
      </c>
      <c r="F60" s="2028" t="s">
        <v>4357</v>
      </c>
      <c r="G60" s="1350"/>
      <c r="H60" s="1350"/>
      <c r="I60" s="2023"/>
      <c r="J60" s="2023"/>
      <c r="K60" s="2047"/>
      <c r="L60" s="2278" t="s">
        <v>5900</v>
      </c>
      <c r="M60" s="1729">
        <v>15000</v>
      </c>
      <c r="N60" s="1857">
        <f>M60/100000</f>
        <v>0.15</v>
      </c>
      <c r="O60" s="1317">
        <v>2929</v>
      </c>
      <c r="P60" s="2014">
        <f>O60*N60</f>
        <v>439.34999999999997</v>
      </c>
      <c r="Q60" s="3212" t="s">
        <v>6368</v>
      </c>
      <c r="R60" s="1926">
        <f>'Abs6. CPHC'!Q14</f>
        <v>0</v>
      </c>
      <c r="S60" s="2015">
        <f>'Abs6. CPHC'!R14</f>
        <v>0</v>
      </c>
    </row>
    <row r="61" spans="1:19">
      <c r="A61" s="2002" t="s">
        <v>4665</v>
      </c>
      <c r="B61" s="2003" t="s">
        <v>1694</v>
      </c>
      <c r="C61" s="2004"/>
      <c r="D61" s="2003" t="s">
        <v>2411</v>
      </c>
      <c r="E61" s="2005"/>
      <c r="F61" s="2005"/>
      <c r="G61" s="2025"/>
      <c r="H61" s="2025"/>
      <c r="I61" s="2025"/>
      <c r="J61" s="2025"/>
      <c r="K61" s="2025"/>
      <c r="L61" s="3507"/>
      <c r="M61" s="3519"/>
      <c r="N61" s="2006"/>
      <c r="O61" s="2025"/>
      <c r="P61" s="2006">
        <f>SUM(P62:P63)</f>
        <v>60</v>
      </c>
      <c r="Q61" s="2026"/>
      <c r="R61" s="2008"/>
      <c r="S61" s="1902">
        <f>SUM(S62:S63)</f>
        <v>0</v>
      </c>
    </row>
    <row r="62" spans="1:19">
      <c r="A62" s="2010">
        <v>2</v>
      </c>
      <c r="B62" s="2011" t="s">
        <v>4280</v>
      </c>
      <c r="C62" s="2016"/>
      <c r="D62" s="2044" t="s">
        <v>2412</v>
      </c>
      <c r="E62" s="1281" t="s">
        <v>70</v>
      </c>
      <c r="F62" s="1948" t="s">
        <v>4914</v>
      </c>
      <c r="G62" s="1350"/>
      <c r="H62" s="1350"/>
      <c r="I62" s="1350"/>
      <c r="J62" s="1350"/>
      <c r="K62" s="1350"/>
      <c r="L62" s="1525"/>
      <c r="M62" s="1729"/>
      <c r="N62" s="1857">
        <f>M62/100000</f>
        <v>0</v>
      </c>
      <c r="O62" s="1317"/>
      <c r="P62" s="2014">
        <f>O62*N62</f>
        <v>0</v>
      </c>
      <c r="Q62" s="2019"/>
      <c r="R62" s="1926">
        <f>'Ab4. HMIS-MCTS'!Q7</f>
        <v>0</v>
      </c>
      <c r="S62" s="2015">
        <f>'Ab4. HMIS-MCTS'!R7</f>
        <v>0</v>
      </c>
    </row>
    <row r="63" spans="1:19" ht="136.5" customHeight="1">
      <c r="A63" s="2010">
        <v>3</v>
      </c>
      <c r="B63" s="2011" t="s">
        <v>4282</v>
      </c>
      <c r="C63" s="2016"/>
      <c r="D63" s="2011" t="s">
        <v>1310</v>
      </c>
      <c r="E63" s="1281" t="s">
        <v>70</v>
      </c>
      <c r="F63" s="1948" t="s">
        <v>70</v>
      </c>
      <c r="G63" s="1350"/>
      <c r="H63" s="1350"/>
      <c r="I63" s="1350"/>
      <c r="J63" s="1350"/>
      <c r="K63" s="1350"/>
      <c r="L63" s="2022">
        <v>1</v>
      </c>
      <c r="M63" s="1729">
        <v>6000000</v>
      </c>
      <c r="N63" s="1857">
        <f>M63/100000</f>
        <v>60</v>
      </c>
      <c r="O63" s="1317">
        <v>1</v>
      </c>
      <c r="P63" s="2014">
        <f>O63*N63</f>
        <v>60</v>
      </c>
      <c r="Q63" s="2019" t="s">
        <v>6621</v>
      </c>
      <c r="R63" s="2051"/>
      <c r="S63" s="2052"/>
    </row>
    <row r="64" spans="1:19">
      <c r="A64" s="4410" t="s">
        <v>3006</v>
      </c>
      <c r="B64" s="4410"/>
      <c r="C64" s="4410"/>
      <c r="D64" s="4410"/>
      <c r="E64" s="1779"/>
      <c r="F64" s="1779"/>
      <c r="G64" s="2049"/>
      <c r="H64" s="2049"/>
      <c r="I64" s="2049"/>
      <c r="J64" s="2049"/>
      <c r="K64" s="2049"/>
      <c r="L64" s="1781"/>
      <c r="M64" s="2049"/>
      <c r="N64" s="1997"/>
      <c r="O64" s="2050"/>
      <c r="P64" s="1997"/>
      <c r="Q64" s="1782"/>
      <c r="R64" s="1735"/>
      <c r="S64" s="1694"/>
    </row>
    <row r="65" spans="1:19" ht="42.75" customHeight="1">
      <c r="A65" s="2002" t="s">
        <v>4350</v>
      </c>
      <c r="B65" s="1991">
        <v>6.4</v>
      </c>
      <c r="C65" s="1992" t="s">
        <v>1935</v>
      </c>
      <c r="D65" s="1991" t="s">
        <v>1936</v>
      </c>
      <c r="E65" s="1298"/>
      <c r="F65" s="1298"/>
      <c r="G65" s="2057"/>
      <c r="H65" s="2057"/>
      <c r="I65" s="2057"/>
      <c r="J65" s="2057"/>
      <c r="K65" s="2057"/>
      <c r="L65" s="1531"/>
      <c r="M65" s="2057"/>
      <c r="N65" s="1672"/>
      <c r="O65" s="2058"/>
      <c r="P65" s="1672">
        <f>SUM(P66:P68)</f>
        <v>7424.8819999999996</v>
      </c>
      <c r="Q65" s="1532"/>
      <c r="R65" s="1518"/>
      <c r="S65" s="1887">
        <f>SUM(S66:S68)</f>
        <v>0</v>
      </c>
    </row>
    <row r="66" spans="1:19" ht="327.75" customHeight="1">
      <c r="A66" s="2010">
        <v>1</v>
      </c>
      <c r="B66" s="2011" t="s">
        <v>1937</v>
      </c>
      <c r="C66" s="1855" t="s">
        <v>1938</v>
      </c>
      <c r="D66" s="1855" t="s">
        <v>1939</v>
      </c>
      <c r="E66" s="1281" t="s">
        <v>70</v>
      </c>
      <c r="F66" s="1948" t="s">
        <v>3807</v>
      </c>
      <c r="G66" s="1350"/>
      <c r="H66" s="1350"/>
      <c r="I66" s="1350"/>
      <c r="J66" s="1350"/>
      <c r="K66" s="1350"/>
      <c r="L66" s="2022" t="s">
        <v>6611</v>
      </c>
      <c r="M66" s="1729">
        <v>364933200</v>
      </c>
      <c r="N66" s="1857">
        <f t="shared" ref="N66:N71" si="2">M66/100000</f>
        <v>3649.3319999999999</v>
      </c>
      <c r="O66" s="1317">
        <v>1</v>
      </c>
      <c r="P66" s="2014">
        <f>O66*N66</f>
        <v>3649.3319999999999</v>
      </c>
      <c r="Q66" s="2019" t="s">
        <v>6755</v>
      </c>
      <c r="R66" s="2051"/>
      <c r="S66" s="2052"/>
    </row>
    <row r="67" spans="1:19" ht="371.25" customHeight="1">
      <c r="A67" s="2010">
        <v>2</v>
      </c>
      <c r="B67" s="2011" t="s">
        <v>1940</v>
      </c>
      <c r="C67" s="1855" t="s">
        <v>1941</v>
      </c>
      <c r="D67" s="1855" t="s">
        <v>1942</v>
      </c>
      <c r="E67" s="1281" t="s">
        <v>70</v>
      </c>
      <c r="F67" s="1948" t="s">
        <v>3807</v>
      </c>
      <c r="G67" s="1350"/>
      <c r="H67" s="1350"/>
      <c r="I67" s="1350"/>
      <c r="J67" s="1350"/>
      <c r="K67" s="1350"/>
      <c r="L67" s="2022" t="s">
        <v>6611</v>
      </c>
      <c r="M67" s="1729">
        <v>377555000</v>
      </c>
      <c r="N67" s="1857">
        <f t="shared" si="2"/>
        <v>3775.55</v>
      </c>
      <c r="O67" s="1317">
        <v>1</v>
      </c>
      <c r="P67" s="2014">
        <f>O67*N67</f>
        <v>3775.55</v>
      </c>
      <c r="Q67" s="2019" t="s">
        <v>6610</v>
      </c>
      <c r="R67" s="2051"/>
      <c r="S67" s="2052"/>
    </row>
    <row r="68" spans="1:19">
      <c r="A68" s="2010">
        <v>3</v>
      </c>
      <c r="B68" s="2011" t="s">
        <v>2569</v>
      </c>
      <c r="C68" s="2020"/>
      <c r="D68" s="1855" t="s">
        <v>1310</v>
      </c>
      <c r="E68" s="1281" t="s">
        <v>70</v>
      </c>
      <c r="F68" s="1948"/>
      <c r="G68" s="1323"/>
      <c r="H68" s="1323"/>
      <c r="I68" s="1320"/>
      <c r="J68" s="2059"/>
      <c r="K68" s="1323"/>
      <c r="L68" s="1316"/>
      <c r="M68" s="1729"/>
      <c r="N68" s="1857">
        <f>M68/100000</f>
        <v>0</v>
      </c>
      <c r="O68" s="1317"/>
      <c r="P68" s="2014">
        <f>O68*N68</f>
        <v>0</v>
      </c>
      <c r="Q68" s="2042"/>
      <c r="R68" s="2051"/>
      <c r="S68" s="2052"/>
    </row>
    <row r="69" spans="1:19">
      <c r="A69" s="2002" t="s">
        <v>4351</v>
      </c>
      <c r="B69" s="1991"/>
      <c r="C69" s="1992"/>
      <c r="D69" s="1991" t="s">
        <v>4948</v>
      </c>
      <c r="E69" s="1298"/>
      <c r="F69" s="1298"/>
      <c r="G69" s="2057"/>
      <c r="H69" s="2057"/>
      <c r="I69" s="2057"/>
      <c r="J69" s="2057"/>
      <c r="K69" s="2057"/>
      <c r="L69" s="1531"/>
      <c r="M69" s="2057"/>
      <c r="N69" s="1672"/>
      <c r="O69" s="2058"/>
      <c r="P69" s="1672">
        <f>SUM(P70:P71)</f>
        <v>0</v>
      </c>
      <c r="Q69" s="1532"/>
      <c r="R69" s="1518"/>
      <c r="S69" s="1887">
        <f>SUM(S70:S71)</f>
        <v>0</v>
      </c>
    </row>
    <row r="70" spans="1:19">
      <c r="A70" s="2010">
        <v>1</v>
      </c>
      <c r="B70" s="2011" t="s">
        <v>1943</v>
      </c>
      <c r="C70" s="1855" t="s">
        <v>1944</v>
      </c>
      <c r="D70" s="1855" t="s">
        <v>1945</v>
      </c>
      <c r="E70" s="2046" t="s">
        <v>90</v>
      </c>
      <c r="F70" s="1948" t="s">
        <v>118</v>
      </c>
      <c r="G70" s="1316"/>
      <c r="H70" s="2060"/>
      <c r="I70" s="2023"/>
      <c r="J70" s="2023"/>
      <c r="K70" s="1316"/>
      <c r="L70" s="2061"/>
      <c r="M70" s="1729"/>
      <c r="N70" s="1857">
        <f t="shared" si="2"/>
        <v>0</v>
      </c>
      <c r="O70" s="1317"/>
      <c r="P70" s="2014">
        <f>O70*N70</f>
        <v>0</v>
      </c>
      <c r="Q70" s="2042"/>
      <c r="R70" s="1926">
        <f>'Ab1. RMNCH+A'!Q41</f>
        <v>0</v>
      </c>
      <c r="S70" s="2015">
        <f>'Ab1. RMNCH+A'!R41</f>
        <v>0</v>
      </c>
    </row>
    <row r="71" spans="1:19">
      <c r="A71" s="2010">
        <v>2</v>
      </c>
      <c r="B71" s="2011" t="s">
        <v>2539</v>
      </c>
      <c r="C71" s="1855" t="s">
        <v>1946</v>
      </c>
      <c r="D71" s="1855" t="s">
        <v>1947</v>
      </c>
      <c r="E71" s="2046" t="s">
        <v>90</v>
      </c>
      <c r="F71" s="1948" t="s">
        <v>131</v>
      </c>
      <c r="G71" s="1350"/>
      <c r="H71" s="2060"/>
      <c r="I71" s="1350"/>
      <c r="J71" s="1350"/>
      <c r="K71" s="1350"/>
      <c r="L71" s="2061"/>
      <c r="M71" s="1729"/>
      <c r="N71" s="1857">
        <f t="shared" si="2"/>
        <v>0</v>
      </c>
      <c r="O71" s="1317"/>
      <c r="P71" s="2014">
        <f>O71*N71</f>
        <v>0</v>
      </c>
      <c r="Q71" s="2019"/>
      <c r="R71" s="1926">
        <f>'Ab1. RMNCH+A'!Q132</f>
        <v>0</v>
      </c>
      <c r="S71" s="2015">
        <f>'Ab1. RMNCH+A'!R132</f>
        <v>0</v>
      </c>
    </row>
    <row r="72" spans="1:19">
      <c r="A72" s="4410" t="s">
        <v>4924</v>
      </c>
      <c r="B72" s="4410"/>
      <c r="C72" s="4410"/>
      <c r="D72" s="4410"/>
      <c r="E72" s="1779"/>
      <c r="F72" s="1779"/>
      <c r="G72" s="2049"/>
      <c r="H72" s="2049"/>
      <c r="I72" s="2049"/>
      <c r="J72" s="2049"/>
      <c r="K72" s="2049"/>
      <c r="L72" s="1781"/>
      <c r="M72" s="2049"/>
      <c r="N72" s="1997"/>
      <c r="O72" s="2050"/>
      <c r="P72" s="1997"/>
      <c r="Q72" s="1782"/>
      <c r="R72" s="1735"/>
      <c r="S72" s="1694"/>
    </row>
    <row r="73" spans="1:19" ht="33">
      <c r="A73" s="2002" t="s">
        <v>4350</v>
      </c>
      <c r="B73" s="2003" t="s">
        <v>1648</v>
      </c>
      <c r="C73" s="2004"/>
      <c r="D73" s="2003" t="s">
        <v>4899</v>
      </c>
      <c r="E73" s="2005"/>
      <c r="F73" s="2005"/>
      <c r="G73" s="2025"/>
      <c r="H73" s="2025"/>
      <c r="I73" s="2025"/>
      <c r="J73" s="2025"/>
      <c r="K73" s="2025"/>
      <c r="L73" s="3507"/>
      <c r="M73" s="3519"/>
      <c r="N73" s="2006"/>
      <c r="O73" s="2025"/>
      <c r="P73" s="2006">
        <f>SUM(P74:P75)</f>
        <v>0</v>
      </c>
      <c r="Q73" s="2026"/>
      <c r="R73" s="2008"/>
      <c r="S73" s="1902">
        <f>SUM(S74:S75)</f>
        <v>0</v>
      </c>
    </row>
    <row r="74" spans="1:19" ht="33">
      <c r="A74" s="2010">
        <v>1</v>
      </c>
      <c r="B74" s="2011" t="s">
        <v>4239</v>
      </c>
      <c r="C74" s="2062" t="s">
        <v>1646</v>
      </c>
      <c r="D74" s="2062" t="s">
        <v>1647</v>
      </c>
      <c r="E74" s="1537" t="s">
        <v>4358</v>
      </c>
      <c r="F74" s="1948" t="s">
        <v>293</v>
      </c>
      <c r="G74" s="1350"/>
      <c r="H74" s="1350"/>
      <c r="I74" s="1350"/>
      <c r="J74" s="1350"/>
      <c r="K74" s="1350"/>
      <c r="L74" s="2022"/>
      <c r="M74" s="1729"/>
      <c r="N74" s="1857">
        <f>M74/100000</f>
        <v>0</v>
      </c>
      <c r="O74" s="1317"/>
      <c r="P74" s="2014">
        <f>O74*N74</f>
        <v>0</v>
      </c>
      <c r="Q74" s="2019"/>
      <c r="R74" s="1926">
        <f>'Abs8. IDSP'!Q9</f>
        <v>0</v>
      </c>
      <c r="S74" s="2053">
        <f>'Abs8. IDSP'!R9</f>
        <v>0</v>
      </c>
    </row>
    <row r="75" spans="1:19">
      <c r="A75" s="2010">
        <v>2</v>
      </c>
      <c r="B75" s="2011" t="s">
        <v>4240</v>
      </c>
      <c r="C75" s="2020"/>
      <c r="D75" s="1855" t="s">
        <v>1591</v>
      </c>
      <c r="E75" s="1537" t="s">
        <v>4358</v>
      </c>
      <c r="F75" s="1948" t="s">
        <v>293</v>
      </c>
      <c r="G75" s="1350"/>
      <c r="H75" s="1350"/>
      <c r="I75" s="1350"/>
      <c r="J75" s="1350"/>
      <c r="K75" s="1350"/>
      <c r="L75" s="2022"/>
      <c r="M75" s="1729"/>
      <c r="N75" s="1857">
        <f>M75/100000</f>
        <v>0</v>
      </c>
      <c r="O75" s="1317"/>
      <c r="P75" s="2014">
        <f>O75*N75</f>
        <v>0</v>
      </c>
      <c r="Q75" s="2021"/>
      <c r="R75" s="1926">
        <f>'Abs8. IDSP'!Q10</f>
        <v>0</v>
      </c>
      <c r="S75" s="2053">
        <f>'Abs8. IDSP'!R10</f>
        <v>0</v>
      </c>
    </row>
    <row r="76" spans="1:19" ht="33">
      <c r="A76" s="2002" t="s">
        <v>4351</v>
      </c>
      <c r="B76" s="2003" t="s">
        <v>1650</v>
      </c>
      <c r="C76" s="2004"/>
      <c r="D76" s="2003" t="s">
        <v>4900</v>
      </c>
      <c r="E76" s="2005"/>
      <c r="F76" s="2005"/>
      <c r="G76" s="2025"/>
      <c r="H76" s="2025"/>
      <c r="I76" s="2025"/>
      <c r="J76" s="2025"/>
      <c r="K76" s="2025"/>
      <c r="L76" s="3507"/>
      <c r="M76" s="3519"/>
      <c r="N76" s="2006"/>
      <c r="O76" s="2025"/>
      <c r="P76" s="2006">
        <f>SUM(P77:P82)</f>
        <v>14.207944000000001</v>
      </c>
      <c r="Q76" s="2026"/>
      <c r="R76" s="2008"/>
      <c r="S76" s="1902">
        <f>SUM(S77:S82)</f>
        <v>0</v>
      </c>
    </row>
    <row r="77" spans="1:19">
      <c r="A77" s="2010">
        <v>1</v>
      </c>
      <c r="B77" s="2011" t="s">
        <v>4241</v>
      </c>
      <c r="C77" s="2062" t="s">
        <v>1649</v>
      </c>
      <c r="D77" s="2062" t="s">
        <v>4090</v>
      </c>
      <c r="E77" s="1537" t="s">
        <v>4358</v>
      </c>
      <c r="F77" s="1948" t="s">
        <v>1548</v>
      </c>
      <c r="G77" s="1350"/>
      <c r="H77" s="1350"/>
      <c r="I77" s="1350"/>
      <c r="J77" s="1350"/>
      <c r="K77" s="1350"/>
      <c r="L77" s="2022"/>
      <c r="M77" s="1729"/>
      <c r="N77" s="1857">
        <f t="shared" ref="N77:N82" si="3">M77/100000</f>
        <v>0</v>
      </c>
      <c r="O77" s="1317"/>
      <c r="P77" s="2014">
        <f t="shared" ref="P77:P82" si="4">O77*N77</f>
        <v>0</v>
      </c>
      <c r="Q77" s="2019"/>
      <c r="R77" s="1926">
        <f>'Abs9. NVBDCP'!Q37</f>
        <v>0</v>
      </c>
      <c r="S77" s="2053">
        <f>'Abs9. NVBDCP'!R37</f>
        <v>0</v>
      </c>
    </row>
    <row r="78" spans="1:19">
      <c r="A78" s="2010">
        <v>2</v>
      </c>
      <c r="B78" s="2011" t="s">
        <v>4270</v>
      </c>
      <c r="C78" s="2062" t="s">
        <v>1679</v>
      </c>
      <c r="D78" s="2062" t="s">
        <v>1680</v>
      </c>
      <c r="E78" s="1537" t="s">
        <v>4358</v>
      </c>
      <c r="F78" s="1948" t="s">
        <v>1681</v>
      </c>
      <c r="G78" s="1350"/>
      <c r="H78" s="1350"/>
      <c r="I78" s="1350"/>
      <c r="J78" s="1350"/>
      <c r="K78" s="1350"/>
      <c r="L78" s="2022"/>
      <c r="M78" s="1729"/>
      <c r="N78" s="1857">
        <f t="shared" si="3"/>
        <v>0</v>
      </c>
      <c r="O78" s="1317"/>
      <c r="P78" s="2014">
        <f t="shared" si="4"/>
        <v>0</v>
      </c>
      <c r="Q78" s="2021"/>
      <c r="R78" s="1926">
        <f>'Abs9. NVBDCP'!Q38</f>
        <v>0</v>
      </c>
      <c r="S78" s="2053">
        <f>'Abs9. NVBDCP'!R38</f>
        <v>0</v>
      </c>
    </row>
    <row r="79" spans="1:19">
      <c r="A79" s="2010">
        <v>3</v>
      </c>
      <c r="B79" s="2011" t="s">
        <v>4271</v>
      </c>
      <c r="C79" s="2062" t="s">
        <v>1682</v>
      </c>
      <c r="D79" s="2062" t="s">
        <v>1683</v>
      </c>
      <c r="E79" s="1537" t="s">
        <v>4358</v>
      </c>
      <c r="F79" s="1948" t="s">
        <v>1684</v>
      </c>
      <c r="G79" s="1350"/>
      <c r="H79" s="1350"/>
      <c r="I79" s="1350"/>
      <c r="J79" s="1350"/>
      <c r="K79" s="1350"/>
      <c r="L79" s="2022" t="s">
        <v>6122</v>
      </c>
      <c r="M79" s="3521">
        <v>1234.4000000000001</v>
      </c>
      <c r="N79" s="1857">
        <f t="shared" si="3"/>
        <v>1.2344000000000001E-2</v>
      </c>
      <c r="O79" s="1317">
        <v>1151</v>
      </c>
      <c r="P79" s="2014">
        <f t="shared" si="4"/>
        <v>14.207944000000001</v>
      </c>
      <c r="Q79" s="2019" t="s">
        <v>6127</v>
      </c>
      <c r="R79" s="1926">
        <f>'Abs9. NVBDCP'!Q39</f>
        <v>0</v>
      </c>
      <c r="S79" s="2053">
        <f>'Abs9. NVBDCP'!R39</f>
        <v>0</v>
      </c>
    </row>
    <row r="80" spans="1:19">
      <c r="A80" s="2010">
        <v>4</v>
      </c>
      <c r="B80" s="2011" t="s">
        <v>4272</v>
      </c>
      <c r="C80" s="2062" t="s">
        <v>1685</v>
      </c>
      <c r="D80" s="2062" t="s">
        <v>1686</v>
      </c>
      <c r="E80" s="1537" t="s">
        <v>4358</v>
      </c>
      <c r="F80" s="1948" t="s">
        <v>1548</v>
      </c>
      <c r="G80" s="1350"/>
      <c r="H80" s="1350"/>
      <c r="I80" s="1350"/>
      <c r="J80" s="1350"/>
      <c r="K80" s="1350"/>
      <c r="L80" s="2022"/>
      <c r="M80" s="1729"/>
      <c r="N80" s="1857">
        <f t="shared" si="3"/>
        <v>0</v>
      </c>
      <c r="O80" s="1317"/>
      <c r="P80" s="2014">
        <f t="shared" si="4"/>
        <v>0</v>
      </c>
      <c r="Q80" s="2021"/>
      <c r="R80" s="1926">
        <f>'Abs9. NVBDCP'!Q40</f>
        <v>0</v>
      </c>
      <c r="S80" s="2053">
        <f>'Abs9. NVBDCP'!R40</f>
        <v>0</v>
      </c>
    </row>
    <row r="81" spans="1:19" ht="33">
      <c r="A81" s="2010">
        <v>5</v>
      </c>
      <c r="B81" s="2011" t="s">
        <v>4273</v>
      </c>
      <c r="C81" s="2063"/>
      <c r="D81" s="2062" t="s">
        <v>3817</v>
      </c>
      <c r="E81" s="1537" t="s">
        <v>4358</v>
      </c>
      <c r="F81" s="1948" t="s">
        <v>1315</v>
      </c>
      <c r="G81" s="1350"/>
      <c r="H81" s="1350"/>
      <c r="I81" s="1350"/>
      <c r="J81" s="1350"/>
      <c r="K81" s="1350"/>
      <c r="L81" s="2022"/>
      <c r="M81" s="1729"/>
      <c r="N81" s="1857">
        <f t="shared" si="3"/>
        <v>0</v>
      </c>
      <c r="O81" s="1317"/>
      <c r="P81" s="2014">
        <f t="shared" si="4"/>
        <v>0</v>
      </c>
      <c r="Q81" s="2021"/>
      <c r="R81" s="1926">
        <f>'Abs9. NVBDCP'!Q41</f>
        <v>0</v>
      </c>
      <c r="S81" s="2053">
        <f>'Abs9. NVBDCP'!R41</f>
        <v>0</v>
      </c>
    </row>
    <row r="82" spans="1:19">
      <c r="A82" s="2010">
        <v>6</v>
      </c>
      <c r="B82" s="2011" t="s">
        <v>4913</v>
      </c>
      <c r="C82" s="2020"/>
      <c r="D82" s="1855" t="s">
        <v>1591</v>
      </c>
      <c r="E82" s="1537" t="s">
        <v>4358</v>
      </c>
      <c r="F82" s="1948" t="s">
        <v>114</v>
      </c>
      <c r="G82" s="1350"/>
      <c r="H82" s="1350"/>
      <c r="I82" s="1350"/>
      <c r="J82" s="1350"/>
      <c r="K82" s="1350"/>
      <c r="L82" s="2022"/>
      <c r="M82" s="1729"/>
      <c r="N82" s="1857">
        <f t="shared" si="3"/>
        <v>0</v>
      </c>
      <c r="O82" s="1317"/>
      <c r="P82" s="2014">
        <f t="shared" si="4"/>
        <v>0</v>
      </c>
      <c r="Q82" s="2021"/>
      <c r="R82" s="1926">
        <f>'Abs9. NVBDCP'!Q42</f>
        <v>0</v>
      </c>
      <c r="S82" s="2053">
        <f>'Abs9. NVBDCP'!R42</f>
        <v>0</v>
      </c>
    </row>
    <row r="83" spans="1:19" ht="33">
      <c r="A83" s="2002" t="s">
        <v>4354</v>
      </c>
      <c r="B83" s="2003" t="s">
        <v>1651</v>
      </c>
      <c r="C83" s="2004"/>
      <c r="D83" s="2003" t="s">
        <v>4901</v>
      </c>
      <c r="E83" s="2005"/>
      <c r="F83" s="2005"/>
      <c r="G83" s="2025"/>
      <c r="H83" s="2025"/>
      <c r="I83" s="2025"/>
      <c r="J83" s="2025"/>
      <c r="K83" s="2025"/>
      <c r="L83" s="3507"/>
      <c r="M83" s="3519"/>
      <c r="N83" s="2006"/>
      <c r="O83" s="2025"/>
      <c r="P83" s="2006">
        <f>SUM(P84:P87)</f>
        <v>89.5</v>
      </c>
      <c r="Q83" s="2026"/>
      <c r="R83" s="2008"/>
      <c r="S83" s="1902">
        <f>SUM(S84:S87)</f>
        <v>0</v>
      </c>
    </row>
    <row r="84" spans="1:19" s="3744" customFormat="1">
      <c r="A84" s="3731">
        <v>1</v>
      </c>
      <c r="B84" s="3732" t="s">
        <v>4242</v>
      </c>
      <c r="C84" s="3745" t="s">
        <v>1552</v>
      </c>
      <c r="D84" s="3746" t="s">
        <v>1642</v>
      </c>
      <c r="E84" s="3861" t="s">
        <v>4358</v>
      </c>
      <c r="F84" s="3734" t="s">
        <v>146</v>
      </c>
      <c r="G84" s="3735"/>
      <c r="H84" s="3735"/>
      <c r="I84" s="3735"/>
      <c r="J84" s="3735"/>
      <c r="K84" s="3735"/>
      <c r="L84" s="3748"/>
      <c r="M84" s="3737"/>
      <c r="N84" s="3738">
        <f>M84/100000</f>
        <v>0</v>
      </c>
      <c r="O84" s="3739"/>
      <c r="P84" s="3740">
        <f>O84*N84</f>
        <v>0</v>
      </c>
      <c r="Q84" s="4059"/>
      <c r="R84" s="3742">
        <f>'Abs10. NLEP'!Q17</f>
        <v>0</v>
      </c>
      <c r="S84" s="3750">
        <f>'Abs10. NLEP'!R17</f>
        <v>0</v>
      </c>
    </row>
    <row r="85" spans="1:19">
      <c r="A85" s="2010">
        <v>2</v>
      </c>
      <c r="B85" s="2011" t="s">
        <v>4274</v>
      </c>
      <c r="C85" s="2064" t="s">
        <v>1688</v>
      </c>
      <c r="D85" s="2062" t="s">
        <v>1689</v>
      </c>
      <c r="E85" s="1537" t="s">
        <v>4358</v>
      </c>
      <c r="F85" s="2010" t="s">
        <v>146</v>
      </c>
      <c r="G85" s="1350"/>
      <c r="H85" s="1350"/>
      <c r="I85" s="1350"/>
      <c r="J85" s="1350"/>
      <c r="K85" s="1350"/>
      <c r="L85" s="2061">
        <v>1</v>
      </c>
      <c r="M85" s="1729">
        <v>400</v>
      </c>
      <c r="N85" s="1857">
        <f>M85/100000</f>
        <v>4.0000000000000001E-3</v>
      </c>
      <c r="O85" s="1317">
        <v>20760</v>
      </c>
      <c r="P85" s="2065">
        <f>O85*N85</f>
        <v>83.04</v>
      </c>
      <c r="Q85" s="2019" t="s">
        <v>6280</v>
      </c>
      <c r="R85" s="1926">
        <f>'Abs10. NLEP'!Q18</f>
        <v>0</v>
      </c>
      <c r="S85" s="2053">
        <f>'Abs10. NLEP'!R18</f>
        <v>0</v>
      </c>
    </row>
    <row r="86" spans="1:19" s="3744" customFormat="1">
      <c r="A86" s="3731">
        <v>3</v>
      </c>
      <c r="B86" s="3732" t="s">
        <v>4275</v>
      </c>
      <c r="C86" s="3745" t="s">
        <v>1690</v>
      </c>
      <c r="D86" s="3746" t="s">
        <v>1691</v>
      </c>
      <c r="E86" s="3861" t="s">
        <v>4358</v>
      </c>
      <c r="F86" s="3734" t="s">
        <v>146</v>
      </c>
      <c r="G86" s="3735"/>
      <c r="H86" s="3735"/>
      <c r="I86" s="3735"/>
      <c r="J86" s="3735"/>
      <c r="K86" s="3735"/>
      <c r="L86" s="3748">
        <v>1</v>
      </c>
      <c r="M86" s="3737">
        <v>17000</v>
      </c>
      <c r="N86" s="3738">
        <f>M86/100000</f>
        <v>0.17</v>
      </c>
      <c r="O86" s="3739">
        <v>38</v>
      </c>
      <c r="P86" s="4060">
        <f>O86*N86</f>
        <v>6.4600000000000009</v>
      </c>
      <c r="Q86" s="4061" t="s">
        <v>6281</v>
      </c>
      <c r="R86" s="3742">
        <f>'Abs10. NLEP'!Q19</f>
        <v>0</v>
      </c>
      <c r="S86" s="3750">
        <f>'Abs10. NLEP'!R19</f>
        <v>0</v>
      </c>
    </row>
    <row r="87" spans="1:19">
      <c r="A87" s="2010">
        <v>4</v>
      </c>
      <c r="B87" s="2011" t="s">
        <v>4276</v>
      </c>
      <c r="C87" s="2020"/>
      <c r="D87" s="1855" t="s">
        <v>1591</v>
      </c>
      <c r="E87" s="1537" t="s">
        <v>4358</v>
      </c>
      <c r="F87" s="1948" t="s">
        <v>146</v>
      </c>
      <c r="G87" s="1350"/>
      <c r="H87" s="1350"/>
      <c r="I87" s="1350"/>
      <c r="J87" s="1350"/>
      <c r="K87" s="1350"/>
      <c r="L87" s="2022"/>
      <c r="M87" s="1729"/>
      <c r="N87" s="1857">
        <f>M87/100000</f>
        <v>0</v>
      </c>
      <c r="O87" s="1317"/>
      <c r="P87" s="2014">
        <f>O87*N87</f>
        <v>0</v>
      </c>
      <c r="Q87" s="2019"/>
      <c r="R87" s="1926">
        <f>'Abs10. NLEP'!Q20</f>
        <v>0</v>
      </c>
      <c r="S87" s="2053">
        <f>'Abs10. NLEP'!R20</f>
        <v>0</v>
      </c>
    </row>
    <row r="88" spans="1:19" ht="33">
      <c r="A88" s="2002" t="s">
        <v>4355</v>
      </c>
      <c r="B88" s="2003" t="s">
        <v>1653</v>
      </c>
      <c r="C88" s="2004"/>
      <c r="D88" s="2003" t="s">
        <v>4902</v>
      </c>
      <c r="E88" s="2005"/>
      <c r="F88" s="2005"/>
      <c r="G88" s="2025"/>
      <c r="H88" s="2025"/>
      <c r="I88" s="2025"/>
      <c r="J88" s="2025"/>
      <c r="K88" s="2025"/>
      <c r="L88" s="3507"/>
      <c r="M88" s="3519"/>
      <c r="N88" s="2006"/>
      <c r="O88" s="2025"/>
      <c r="P88" s="2006">
        <f>P89</f>
        <v>455</v>
      </c>
      <c r="Q88" s="2026"/>
      <c r="R88" s="2008"/>
      <c r="S88" s="1902">
        <f>S89</f>
        <v>0</v>
      </c>
    </row>
    <row r="89" spans="1:19" ht="125.25" customHeight="1">
      <c r="A89" s="2010">
        <v>1</v>
      </c>
      <c r="B89" s="2011" t="s">
        <v>4243</v>
      </c>
      <c r="C89" s="1855" t="s">
        <v>1652</v>
      </c>
      <c r="D89" s="1855" t="s">
        <v>1585</v>
      </c>
      <c r="E89" s="1537" t="s">
        <v>4358</v>
      </c>
      <c r="F89" s="1948" t="s">
        <v>4674</v>
      </c>
      <c r="G89" s="1350"/>
      <c r="H89" s="1350"/>
      <c r="I89" s="1350">
        <v>54.3</v>
      </c>
      <c r="J89" s="1350">
        <v>8.93</v>
      </c>
      <c r="K89" s="1350"/>
      <c r="L89" s="3512"/>
      <c r="M89" s="1729">
        <v>45500000</v>
      </c>
      <c r="N89" s="1857">
        <f>M89/100000</f>
        <v>455</v>
      </c>
      <c r="O89" s="1317">
        <v>1</v>
      </c>
      <c r="P89" s="2066">
        <f>O89*N89</f>
        <v>455</v>
      </c>
      <c r="Q89" s="2123" t="s">
        <v>6032</v>
      </c>
      <c r="R89" s="1926">
        <f>'Abs11. NTEP'!Q21</f>
        <v>0</v>
      </c>
      <c r="S89" s="2053">
        <f>'Abs11. NTEP'!R21</f>
        <v>0</v>
      </c>
    </row>
    <row r="90" spans="1:19" s="2032" customFormat="1" ht="33">
      <c r="A90" s="2002" t="s">
        <v>4356</v>
      </c>
      <c r="B90" s="2003" t="s">
        <v>1653</v>
      </c>
      <c r="C90" s="2004"/>
      <c r="D90" s="2003" t="s">
        <v>4942</v>
      </c>
      <c r="E90" s="2005"/>
      <c r="F90" s="2005"/>
      <c r="G90" s="2025"/>
      <c r="H90" s="2025"/>
      <c r="I90" s="2025"/>
      <c r="J90" s="2025"/>
      <c r="K90" s="2025"/>
      <c r="L90" s="3507"/>
      <c r="M90" s="3519"/>
      <c r="N90" s="2006"/>
      <c r="O90" s="2025"/>
      <c r="P90" s="2006">
        <f>P91</f>
        <v>0</v>
      </c>
      <c r="Q90" s="2026"/>
      <c r="R90" s="2008"/>
      <c r="S90" s="1902">
        <f>S91</f>
        <v>0</v>
      </c>
    </row>
    <row r="91" spans="1:19" ht="33">
      <c r="A91" s="2027">
        <v>1</v>
      </c>
      <c r="B91" s="2016" t="s">
        <v>4282</v>
      </c>
      <c r="C91" s="2020"/>
      <c r="D91" s="2020" t="s">
        <v>4498</v>
      </c>
      <c r="E91" s="1537" t="s">
        <v>4358</v>
      </c>
      <c r="F91" s="2027" t="s">
        <v>3986</v>
      </c>
      <c r="G91" s="1349"/>
      <c r="H91" s="1349"/>
      <c r="I91" s="1349"/>
      <c r="J91" s="1349"/>
      <c r="K91" s="1349"/>
      <c r="L91" s="3511"/>
      <c r="M91" s="1729"/>
      <c r="N91" s="1857">
        <f>M91/100000</f>
        <v>0</v>
      </c>
      <c r="O91" s="1317"/>
      <c r="P91" s="2030">
        <f>O91*N91</f>
        <v>0</v>
      </c>
      <c r="Q91" s="2056"/>
      <c r="R91" s="1926">
        <f>'Abs13. NRCP'!Q7</f>
        <v>0</v>
      </c>
      <c r="S91" s="2015">
        <f>'Abs13. NRCP'!R7</f>
        <v>0</v>
      </c>
    </row>
    <row r="92" spans="1:19">
      <c r="A92" s="4410" t="s">
        <v>4925</v>
      </c>
      <c r="B92" s="4410"/>
      <c r="C92" s="4410"/>
      <c r="D92" s="4410"/>
      <c r="E92" s="1779"/>
      <c r="F92" s="1779"/>
      <c r="G92" s="2049"/>
      <c r="H92" s="2049"/>
      <c r="I92" s="2049"/>
      <c r="J92" s="2049"/>
      <c r="K92" s="2049"/>
      <c r="L92" s="1781"/>
      <c r="M92" s="2049"/>
      <c r="N92" s="1997"/>
      <c r="O92" s="2050"/>
      <c r="P92" s="1997"/>
      <c r="Q92" s="1782"/>
      <c r="R92" s="1735"/>
      <c r="S92" s="1694"/>
    </row>
    <row r="93" spans="1:19" ht="33">
      <c r="A93" s="2002" t="s">
        <v>4350</v>
      </c>
      <c r="B93" s="2003" t="s">
        <v>1655</v>
      </c>
      <c r="C93" s="2004"/>
      <c r="D93" s="2003" t="s">
        <v>4903</v>
      </c>
      <c r="E93" s="2005"/>
      <c r="F93" s="2005"/>
      <c r="G93" s="2025"/>
      <c r="H93" s="2025"/>
      <c r="I93" s="2025"/>
      <c r="J93" s="2025"/>
      <c r="K93" s="2025"/>
      <c r="L93" s="3507"/>
      <c r="M93" s="3519"/>
      <c r="N93" s="2006"/>
      <c r="O93" s="2025"/>
      <c r="P93" s="2006">
        <f>SUM(P94:P98)</f>
        <v>200</v>
      </c>
      <c r="Q93" s="2026"/>
      <c r="R93" s="2008"/>
      <c r="S93" s="1902">
        <f>SUM(S94:S98)</f>
        <v>0</v>
      </c>
    </row>
    <row r="94" spans="1:19" ht="49.5">
      <c r="A94" s="2010">
        <v>1</v>
      </c>
      <c r="B94" s="2011" t="s">
        <v>4244</v>
      </c>
      <c r="C94" s="1527" t="s">
        <v>319</v>
      </c>
      <c r="D94" s="1527" t="s">
        <v>320</v>
      </c>
      <c r="E94" s="1284" t="s">
        <v>85</v>
      </c>
      <c r="F94" s="1335" t="s">
        <v>86</v>
      </c>
      <c r="G94" s="1350"/>
      <c r="H94" s="1350"/>
      <c r="I94" s="1350"/>
      <c r="J94" s="1350"/>
      <c r="K94" s="1350"/>
      <c r="L94" s="2061" t="s">
        <v>5911</v>
      </c>
      <c r="M94" s="1729">
        <v>4000000</v>
      </c>
      <c r="N94" s="1857">
        <f>M94/100000</f>
        <v>40</v>
      </c>
      <c r="O94" s="1317">
        <v>5</v>
      </c>
      <c r="P94" s="2014">
        <f>O94*N94</f>
        <v>200</v>
      </c>
      <c r="Q94" s="2019" t="s">
        <v>5912</v>
      </c>
      <c r="R94" s="1926">
        <f>'Abs15. NPCB'!Q14</f>
        <v>0</v>
      </c>
      <c r="S94" s="2053">
        <f>'Abs15. NPCB'!R14</f>
        <v>0</v>
      </c>
    </row>
    <row r="95" spans="1:19">
      <c r="A95" s="2010">
        <v>2</v>
      </c>
      <c r="B95" s="2011" t="s">
        <v>4245</v>
      </c>
      <c r="C95" s="1527" t="s">
        <v>321</v>
      </c>
      <c r="D95" s="1527" t="s">
        <v>322</v>
      </c>
      <c r="E95" s="1284" t="s">
        <v>85</v>
      </c>
      <c r="F95" s="1335" t="s">
        <v>86</v>
      </c>
      <c r="G95" s="1350"/>
      <c r="H95" s="1350"/>
      <c r="I95" s="1350"/>
      <c r="J95" s="1350"/>
      <c r="K95" s="1350"/>
      <c r="L95" s="2061"/>
      <c r="M95" s="1729"/>
      <c r="N95" s="1857">
        <f>M95/100000</f>
        <v>0</v>
      </c>
      <c r="O95" s="1317"/>
      <c r="P95" s="2014">
        <f>O95*N95</f>
        <v>0</v>
      </c>
      <c r="Q95" s="2019"/>
      <c r="R95" s="1926">
        <f>'Abs15. NPCB'!Q15</f>
        <v>0</v>
      </c>
      <c r="S95" s="2053">
        <f>'Abs15. NPCB'!R15</f>
        <v>0</v>
      </c>
    </row>
    <row r="96" spans="1:19" s="3744" customFormat="1">
      <c r="A96" s="3731">
        <v>3</v>
      </c>
      <c r="B96" s="3732" t="s">
        <v>4246</v>
      </c>
      <c r="C96" s="3826" t="s">
        <v>323</v>
      </c>
      <c r="D96" s="3826" t="s">
        <v>4467</v>
      </c>
      <c r="E96" s="3747" t="s">
        <v>85</v>
      </c>
      <c r="F96" s="3869" t="s">
        <v>86</v>
      </c>
      <c r="G96" s="3735"/>
      <c r="H96" s="3735"/>
      <c r="I96" s="3735"/>
      <c r="J96" s="3735"/>
      <c r="K96" s="3889"/>
      <c r="L96" s="3748"/>
      <c r="M96" s="3737"/>
      <c r="N96" s="3738">
        <f>M96/100000</f>
        <v>0</v>
      </c>
      <c r="O96" s="3739"/>
      <c r="P96" s="3740">
        <f>O96*N96</f>
        <v>0</v>
      </c>
      <c r="Q96" s="3749"/>
      <c r="R96" s="3742">
        <f>'Abs15. NPCB'!Q16</f>
        <v>0</v>
      </c>
      <c r="S96" s="3750">
        <f>'Abs15. NPCB'!R16</f>
        <v>0</v>
      </c>
    </row>
    <row r="97" spans="1:19">
      <c r="A97" s="2010">
        <v>4</v>
      </c>
      <c r="B97" s="2011" t="s">
        <v>4247</v>
      </c>
      <c r="C97" s="1527" t="s">
        <v>324</v>
      </c>
      <c r="D97" s="1527" t="s">
        <v>4468</v>
      </c>
      <c r="E97" s="1284" t="s">
        <v>85</v>
      </c>
      <c r="F97" s="1335" t="s">
        <v>86</v>
      </c>
      <c r="G97" s="1350"/>
      <c r="H97" s="1350"/>
      <c r="I97" s="1350"/>
      <c r="J97" s="1350"/>
      <c r="K97" s="2067"/>
      <c r="L97" s="2061"/>
      <c r="M97" s="1729"/>
      <c r="N97" s="1857">
        <f>M97/100000</f>
        <v>0</v>
      </c>
      <c r="O97" s="1317"/>
      <c r="P97" s="2014">
        <f>O97*N97</f>
        <v>0</v>
      </c>
      <c r="Q97" s="2019"/>
      <c r="R97" s="1926">
        <f>'Abs15. NPCB'!Q17</f>
        <v>0</v>
      </c>
      <c r="S97" s="2053">
        <f>'Abs15. NPCB'!R17</f>
        <v>0</v>
      </c>
    </row>
    <row r="98" spans="1:19">
      <c r="A98" s="2010">
        <v>5</v>
      </c>
      <c r="B98" s="2011" t="s">
        <v>4248</v>
      </c>
      <c r="C98" s="1527" t="s">
        <v>325</v>
      </c>
      <c r="D98" s="1527" t="s">
        <v>4469</v>
      </c>
      <c r="E98" s="1284" t="s">
        <v>85</v>
      </c>
      <c r="F98" s="1335" t="s">
        <v>86</v>
      </c>
      <c r="G98" s="1350"/>
      <c r="H98" s="1350"/>
      <c r="I98" s="1350"/>
      <c r="J98" s="1350"/>
      <c r="K98" s="1350"/>
      <c r="L98" s="2061"/>
      <c r="M98" s="1729"/>
      <c r="N98" s="1857">
        <f>M98/100000</f>
        <v>0</v>
      </c>
      <c r="O98" s="1317"/>
      <c r="P98" s="2014">
        <f>O98*N98</f>
        <v>0</v>
      </c>
      <c r="Q98" s="2019"/>
      <c r="R98" s="1926">
        <f>'Abs15. NPCB'!Q18</f>
        <v>0</v>
      </c>
      <c r="S98" s="2053">
        <f>'Abs15. NPCB'!R18</f>
        <v>0</v>
      </c>
    </row>
    <row r="99" spans="1:19" ht="33">
      <c r="A99" s="2002" t="s">
        <v>4351</v>
      </c>
      <c r="B99" s="2003" t="s">
        <v>1662</v>
      </c>
      <c r="C99" s="2004"/>
      <c r="D99" s="2003" t="s">
        <v>4908</v>
      </c>
      <c r="E99" s="2005"/>
      <c r="F99" s="2005"/>
      <c r="G99" s="2025"/>
      <c r="H99" s="2025"/>
      <c r="I99" s="2025"/>
      <c r="J99" s="2025"/>
      <c r="K99" s="2025"/>
      <c r="L99" s="3507"/>
      <c r="M99" s="3519"/>
      <c r="N99" s="2006"/>
      <c r="O99" s="2025"/>
      <c r="P99" s="2006">
        <f>P100</f>
        <v>10.5</v>
      </c>
      <c r="Q99" s="2026"/>
      <c r="R99" s="2008"/>
      <c r="S99" s="1902">
        <f>S100</f>
        <v>0</v>
      </c>
    </row>
    <row r="100" spans="1:19" ht="33">
      <c r="A100" s="2010">
        <v>1</v>
      </c>
      <c r="B100" s="2011" t="s">
        <v>4249</v>
      </c>
      <c r="C100" s="2064" t="s">
        <v>1654</v>
      </c>
      <c r="D100" s="2062" t="s">
        <v>1642</v>
      </c>
      <c r="E100" s="1284" t="s">
        <v>85</v>
      </c>
      <c r="F100" s="1948" t="s">
        <v>150</v>
      </c>
      <c r="G100" s="1350"/>
      <c r="H100" s="1350"/>
      <c r="I100" s="2023"/>
      <c r="J100" s="2023"/>
      <c r="K100" s="2067"/>
      <c r="L100" s="2022" t="s">
        <v>5922</v>
      </c>
      <c r="M100" s="1729">
        <v>150000</v>
      </c>
      <c r="N100" s="1857">
        <f>M100/100000</f>
        <v>1.5</v>
      </c>
      <c r="O100" s="1317">
        <v>7</v>
      </c>
      <c r="P100" s="2014">
        <f>O100*N100</f>
        <v>10.5</v>
      </c>
      <c r="Q100" s="2114" t="s">
        <v>6615</v>
      </c>
      <c r="R100" s="1926">
        <f>'Abs16. NMHP'!Q13</f>
        <v>0</v>
      </c>
      <c r="S100" s="2053">
        <f>'Abs16. NMHP'!R13</f>
        <v>0</v>
      </c>
    </row>
    <row r="101" spans="1:19" ht="33">
      <c r="A101" s="2002" t="s">
        <v>4354</v>
      </c>
      <c r="B101" s="2003" t="s">
        <v>1667</v>
      </c>
      <c r="C101" s="2004" t="s">
        <v>1656</v>
      </c>
      <c r="D101" s="2003" t="s">
        <v>4909</v>
      </c>
      <c r="E101" s="2005"/>
      <c r="F101" s="2005"/>
      <c r="G101" s="2025"/>
      <c r="H101" s="2025"/>
      <c r="I101" s="2025"/>
      <c r="J101" s="2025"/>
      <c r="K101" s="2025"/>
      <c r="L101" s="3507"/>
      <c r="M101" s="3519"/>
      <c r="N101" s="2006"/>
      <c r="O101" s="2025"/>
      <c r="P101" s="2006">
        <f>SUM(P102:P108)</f>
        <v>0</v>
      </c>
      <c r="Q101" s="2026"/>
      <c r="R101" s="2008"/>
      <c r="S101" s="1902">
        <f>SUM(S102:S108)</f>
        <v>0</v>
      </c>
    </row>
    <row r="102" spans="1:19" ht="33">
      <c r="A102" s="2010">
        <v>1</v>
      </c>
      <c r="B102" s="2011" t="s">
        <v>4250</v>
      </c>
      <c r="C102" s="2062" t="s">
        <v>1657</v>
      </c>
      <c r="D102" s="2062" t="s">
        <v>4414</v>
      </c>
      <c r="E102" s="1284" t="s">
        <v>85</v>
      </c>
      <c r="F102" s="1948" t="s">
        <v>399</v>
      </c>
      <c r="G102" s="1350"/>
      <c r="H102" s="1350"/>
      <c r="I102" s="1350"/>
      <c r="J102" s="1350"/>
      <c r="K102" s="1350"/>
      <c r="L102" s="2022"/>
      <c r="M102" s="1729"/>
      <c r="N102" s="1857">
        <f t="shared" ref="N102:N108" si="5">M102/100000</f>
        <v>0</v>
      </c>
      <c r="O102" s="1317"/>
      <c r="P102" s="2014">
        <f t="shared" ref="P102:P108" si="6">O102*N102</f>
        <v>0</v>
      </c>
      <c r="Q102" s="2021"/>
      <c r="R102" s="1926">
        <f>'Abs17. NPHCE'!Q11</f>
        <v>0</v>
      </c>
      <c r="S102" s="2053">
        <f>'Abs17. NPHCE'!R11</f>
        <v>0</v>
      </c>
    </row>
    <row r="103" spans="1:19">
      <c r="A103" s="2010">
        <v>2</v>
      </c>
      <c r="B103" s="2011" t="s">
        <v>4251</v>
      </c>
      <c r="C103" s="2064" t="s">
        <v>1658</v>
      </c>
      <c r="D103" s="2062" t="s">
        <v>4415</v>
      </c>
      <c r="E103" s="1284" t="s">
        <v>85</v>
      </c>
      <c r="F103" s="1948" t="s">
        <v>399</v>
      </c>
      <c r="G103" s="1350"/>
      <c r="H103" s="1350"/>
      <c r="I103" s="1350"/>
      <c r="J103" s="1350"/>
      <c r="K103" s="1350"/>
      <c r="L103" s="2022"/>
      <c r="M103" s="1729"/>
      <c r="N103" s="1857">
        <f t="shared" si="5"/>
        <v>0</v>
      </c>
      <c r="O103" s="1317"/>
      <c r="P103" s="2014">
        <f t="shared" si="6"/>
        <v>0</v>
      </c>
      <c r="Q103" s="2021"/>
      <c r="R103" s="1926">
        <f>'Abs17. NPHCE'!Q12</f>
        <v>0</v>
      </c>
      <c r="S103" s="2053">
        <f>'Abs17. NPHCE'!R12</f>
        <v>0</v>
      </c>
    </row>
    <row r="104" spans="1:19" s="3744" customFormat="1" ht="22.5" customHeight="1">
      <c r="A104" s="3731">
        <v>3</v>
      </c>
      <c r="B104" s="3732" t="s">
        <v>4252</v>
      </c>
      <c r="C104" s="3745" t="s">
        <v>1659</v>
      </c>
      <c r="D104" s="3746" t="s">
        <v>2839</v>
      </c>
      <c r="E104" s="3747" t="s">
        <v>85</v>
      </c>
      <c r="F104" s="3734" t="s">
        <v>399</v>
      </c>
      <c r="G104" s="3735">
        <v>31</v>
      </c>
      <c r="H104" s="3735">
        <v>0</v>
      </c>
      <c r="I104" s="3735">
        <v>62</v>
      </c>
      <c r="J104" s="3735">
        <v>0</v>
      </c>
      <c r="K104" s="3735">
        <v>0</v>
      </c>
      <c r="L104" s="3748"/>
      <c r="M104" s="3737"/>
      <c r="N104" s="3738">
        <f t="shared" si="5"/>
        <v>0</v>
      </c>
      <c r="O104" s="3739"/>
      <c r="P104" s="3740">
        <f t="shared" si="6"/>
        <v>0</v>
      </c>
      <c r="Q104" s="3749"/>
      <c r="R104" s="3742">
        <f>'Abs17. NPHCE'!Q13</f>
        <v>0</v>
      </c>
      <c r="S104" s="3750">
        <f>'Abs17. NPHCE'!R13</f>
        <v>0</v>
      </c>
    </row>
    <row r="105" spans="1:19">
      <c r="A105" s="2010">
        <v>4</v>
      </c>
      <c r="B105" s="2011" t="s">
        <v>4253</v>
      </c>
      <c r="C105" s="2011" t="s">
        <v>1660</v>
      </c>
      <c r="D105" s="2062" t="s">
        <v>2840</v>
      </c>
      <c r="E105" s="1284" t="s">
        <v>85</v>
      </c>
      <c r="F105" s="1948" t="s">
        <v>399</v>
      </c>
      <c r="G105" s="1350"/>
      <c r="H105" s="1350"/>
      <c r="I105" s="1350"/>
      <c r="J105" s="1350"/>
      <c r="K105" s="1350"/>
      <c r="L105" s="2022"/>
      <c r="M105" s="1729"/>
      <c r="N105" s="1857">
        <f t="shared" si="5"/>
        <v>0</v>
      </c>
      <c r="O105" s="1317"/>
      <c r="P105" s="2014">
        <f t="shared" si="6"/>
        <v>0</v>
      </c>
      <c r="Q105" s="2021"/>
      <c r="R105" s="1926">
        <f>'Abs17. NPHCE'!Q14</f>
        <v>0</v>
      </c>
      <c r="S105" s="2053">
        <f>'Abs17. NPHCE'!R14</f>
        <v>0</v>
      </c>
    </row>
    <row r="106" spans="1:19">
      <c r="A106" s="2010">
        <v>5</v>
      </c>
      <c r="B106" s="2011" t="s">
        <v>4254</v>
      </c>
      <c r="C106" s="2011" t="s">
        <v>1661</v>
      </c>
      <c r="D106" s="2062" t="s">
        <v>2841</v>
      </c>
      <c r="E106" s="1284" t="s">
        <v>85</v>
      </c>
      <c r="F106" s="1948" t="s">
        <v>399</v>
      </c>
      <c r="G106" s="1350"/>
      <c r="H106" s="1350"/>
      <c r="I106" s="1350"/>
      <c r="J106" s="1350"/>
      <c r="K106" s="1350"/>
      <c r="L106" s="2022"/>
      <c r="M106" s="1729"/>
      <c r="N106" s="1857">
        <f t="shared" si="5"/>
        <v>0</v>
      </c>
      <c r="O106" s="1317"/>
      <c r="P106" s="2014">
        <f t="shared" si="6"/>
        <v>0</v>
      </c>
      <c r="Q106" s="2021"/>
      <c r="R106" s="1926">
        <f>'Abs17. NPHCE'!Q15</f>
        <v>0</v>
      </c>
      <c r="S106" s="2053">
        <f>'Abs17. NPHCE'!R15</f>
        <v>0</v>
      </c>
    </row>
    <row r="107" spans="1:19" ht="33">
      <c r="A107" s="2010">
        <v>6</v>
      </c>
      <c r="B107" s="2011" t="s">
        <v>4277</v>
      </c>
      <c r="C107" s="2064" t="s">
        <v>398</v>
      </c>
      <c r="D107" s="2044" t="s">
        <v>1693</v>
      </c>
      <c r="E107" s="1284" t="s">
        <v>85</v>
      </c>
      <c r="F107" s="1948" t="s">
        <v>399</v>
      </c>
      <c r="G107" s="2018"/>
      <c r="H107" s="2018"/>
      <c r="I107" s="2018"/>
      <c r="J107" s="2018"/>
      <c r="K107" s="2018"/>
      <c r="L107" s="2022"/>
      <c r="M107" s="1729"/>
      <c r="N107" s="1857">
        <f t="shared" si="5"/>
        <v>0</v>
      </c>
      <c r="O107" s="1317"/>
      <c r="P107" s="2014">
        <f t="shared" si="6"/>
        <v>0</v>
      </c>
      <c r="Q107" s="2021"/>
      <c r="R107" s="1926">
        <f>'Abs17. NPHCE'!Q16</f>
        <v>0</v>
      </c>
      <c r="S107" s="2053">
        <f>'Abs17. NPHCE'!R16</f>
        <v>0</v>
      </c>
    </row>
    <row r="108" spans="1:19">
      <c r="A108" s="2010">
        <v>7</v>
      </c>
      <c r="B108" s="1319" t="s">
        <v>4278</v>
      </c>
      <c r="C108" s="1319"/>
      <c r="D108" s="1319" t="s">
        <v>1591</v>
      </c>
      <c r="E108" s="1284" t="s">
        <v>85</v>
      </c>
      <c r="F108" s="2068" t="s">
        <v>399</v>
      </c>
      <c r="G108" s="1349"/>
      <c r="H108" s="1349"/>
      <c r="I108" s="1349"/>
      <c r="J108" s="1349"/>
      <c r="K108" s="1349"/>
      <c r="L108" s="3506"/>
      <c r="M108" s="1729"/>
      <c r="N108" s="1857">
        <f t="shared" si="5"/>
        <v>0</v>
      </c>
      <c r="O108" s="1317"/>
      <c r="P108" s="2014">
        <f t="shared" si="6"/>
        <v>0</v>
      </c>
      <c r="Q108" s="2054"/>
      <c r="R108" s="1926">
        <f>'Abs17. NPHCE'!Q17</f>
        <v>0</v>
      </c>
      <c r="S108" s="2053">
        <f>'Abs17. NPHCE'!R17</f>
        <v>0</v>
      </c>
    </row>
    <row r="109" spans="1:19" ht="33">
      <c r="A109" s="2002" t="s">
        <v>4355</v>
      </c>
      <c r="B109" s="2003" t="s">
        <v>1675</v>
      </c>
      <c r="C109" s="2004"/>
      <c r="D109" s="2003" t="s">
        <v>4910</v>
      </c>
      <c r="E109" s="2005"/>
      <c r="F109" s="2005"/>
      <c r="G109" s="2025"/>
      <c r="H109" s="2025"/>
      <c r="I109" s="2025"/>
      <c r="J109" s="2025"/>
      <c r="K109" s="2025"/>
      <c r="L109" s="3507"/>
      <c r="M109" s="3519"/>
      <c r="N109" s="2006"/>
      <c r="O109" s="2025"/>
      <c r="P109" s="2006">
        <f>SUM(P110:P112)</f>
        <v>38</v>
      </c>
      <c r="Q109" s="2026"/>
      <c r="R109" s="2008"/>
      <c r="S109" s="1902">
        <f>SUM(S110:S112)</f>
        <v>0</v>
      </c>
    </row>
    <row r="110" spans="1:19" ht="39.75" customHeight="1">
      <c r="A110" s="2010">
        <v>1</v>
      </c>
      <c r="B110" s="2011" t="s">
        <v>4255</v>
      </c>
      <c r="C110" s="2011" t="s">
        <v>1663</v>
      </c>
      <c r="D110" s="2011" t="s">
        <v>1664</v>
      </c>
      <c r="E110" s="1284" t="s">
        <v>85</v>
      </c>
      <c r="F110" s="1948" t="s">
        <v>152</v>
      </c>
      <c r="G110" s="1350"/>
      <c r="H110" s="1350"/>
      <c r="I110" s="1350"/>
      <c r="J110" s="1350"/>
      <c r="K110" s="1350"/>
      <c r="L110" s="2022" t="s">
        <v>5922</v>
      </c>
      <c r="M110" s="1729">
        <v>100000</v>
      </c>
      <c r="N110" s="1857">
        <f>M110/100000</f>
        <v>1</v>
      </c>
      <c r="O110" s="1317">
        <v>38</v>
      </c>
      <c r="P110" s="2014">
        <f>O110*N110</f>
        <v>38</v>
      </c>
      <c r="Q110" s="2021" t="s">
        <v>5950</v>
      </c>
      <c r="R110" s="1926">
        <f>'Abs18. NTCP'!Q12</f>
        <v>0</v>
      </c>
      <c r="S110" s="2053">
        <f>'Abs18. NTCP'!R12</f>
        <v>0</v>
      </c>
    </row>
    <row r="111" spans="1:19">
      <c r="A111" s="2010">
        <v>2</v>
      </c>
      <c r="B111" s="2011" t="s">
        <v>4256</v>
      </c>
      <c r="C111" s="2064" t="s">
        <v>1665</v>
      </c>
      <c r="D111" s="2011" t="s">
        <v>1666</v>
      </c>
      <c r="E111" s="1284" t="s">
        <v>85</v>
      </c>
      <c r="F111" s="1948" t="s">
        <v>152</v>
      </c>
      <c r="G111" s="1350"/>
      <c r="H111" s="1350"/>
      <c r="I111" s="1350"/>
      <c r="J111" s="1350"/>
      <c r="K111" s="1350"/>
      <c r="L111" s="2022"/>
      <c r="M111" s="1729"/>
      <c r="N111" s="1857">
        <f>M111/100000</f>
        <v>0</v>
      </c>
      <c r="O111" s="1317"/>
      <c r="P111" s="2014">
        <f>O111*N111</f>
        <v>0</v>
      </c>
      <c r="Q111" s="2021"/>
      <c r="R111" s="1926">
        <f>'Abs18. NTCP'!Q13</f>
        <v>0</v>
      </c>
      <c r="S111" s="2053">
        <f>'Abs18. NTCP'!R13</f>
        <v>0</v>
      </c>
    </row>
    <row r="112" spans="1:19">
      <c r="A112" s="2010">
        <v>3</v>
      </c>
      <c r="B112" s="2011" t="s">
        <v>4257</v>
      </c>
      <c r="C112" s="2020"/>
      <c r="D112" s="1855" t="s">
        <v>1591</v>
      </c>
      <c r="E112" s="1284" t="s">
        <v>85</v>
      </c>
      <c r="F112" s="1948" t="s">
        <v>152</v>
      </c>
      <c r="G112" s="1350"/>
      <c r="H112" s="1350"/>
      <c r="I112" s="1350"/>
      <c r="J112" s="1350"/>
      <c r="K112" s="1350"/>
      <c r="L112" s="2022"/>
      <c r="M112" s="1729"/>
      <c r="N112" s="1857">
        <f>M112/100000</f>
        <v>0</v>
      </c>
      <c r="O112" s="1317"/>
      <c r="P112" s="2014">
        <f>O112*N112</f>
        <v>0</v>
      </c>
      <c r="Q112" s="2021"/>
      <c r="R112" s="1926">
        <f>'Abs18. NTCP'!Q14</f>
        <v>0</v>
      </c>
      <c r="S112" s="2053">
        <f>'Abs18. NTCP'!R14</f>
        <v>0</v>
      </c>
    </row>
    <row r="113" spans="1:19" ht="33">
      <c r="A113" s="2002" t="s">
        <v>4356</v>
      </c>
      <c r="B113" s="2003" t="s">
        <v>2383</v>
      </c>
      <c r="C113" s="2004"/>
      <c r="D113" s="2003" t="s">
        <v>4911</v>
      </c>
      <c r="E113" s="2005"/>
      <c r="F113" s="2005"/>
      <c r="G113" s="2025"/>
      <c r="H113" s="2025"/>
      <c r="I113" s="2025"/>
      <c r="J113" s="2025"/>
      <c r="K113" s="2025"/>
      <c r="L113" s="3507"/>
      <c r="M113" s="3519"/>
      <c r="N113" s="2006"/>
      <c r="O113" s="2025"/>
      <c r="P113" s="2006">
        <f>SUM(P114:P119)</f>
        <v>747.80000000000007</v>
      </c>
      <c r="Q113" s="2026"/>
      <c r="R113" s="2008"/>
      <c r="S113" s="1902">
        <f>SUM(S114:S119)</f>
        <v>0</v>
      </c>
    </row>
    <row r="114" spans="1:19" ht="33">
      <c r="A114" s="2010">
        <v>1</v>
      </c>
      <c r="B114" s="2011" t="s">
        <v>4258</v>
      </c>
      <c r="C114" s="2064" t="s">
        <v>1668</v>
      </c>
      <c r="D114" s="2062" t="s">
        <v>1669</v>
      </c>
      <c r="E114" s="1284" t="s">
        <v>85</v>
      </c>
      <c r="F114" s="1948" t="s">
        <v>415</v>
      </c>
      <c r="G114" s="1350"/>
      <c r="H114" s="1350"/>
      <c r="I114" s="1350"/>
      <c r="J114" s="1350"/>
      <c r="K114" s="1350"/>
      <c r="L114" s="2061"/>
      <c r="M114" s="1729"/>
      <c r="N114" s="1857">
        <f t="shared" ref="N114:N119" si="7">M114/100000</f>
        <v>0</v>
      </c>
      <c r="O114" s="1317"/>
      <c r="P114" s="2014">
        <f t="shared" ref="P114:P119" si="8">O114*N114</f>
        <v>0</v>
      </c>
      <c r="Q114" s="2019"/>
      <c r="R114" s="1926">
        <f>'Abs19. NPCDCS'!Q18</f>
        <v>0</v>
      </c>
      <c r="S114" s="2053">
        <f>'Abs19. NPCDCS'!R18</f>
        <v>0</v>
      </c>
    </row>
    <row r="115" spans="1:19" ht="66">
      <c r="A115" s="2010">
        <v>2</v>
      </c>
      <c r="B115" s="2011" t="s">
        <v>4259</v>
      </c>
      <c r="C115" s="2064" t="s">
        <v>1670</v>
      </c>
      <c r="D115" s="2062" t="s">
        <v>2842</v>
      </c>
      <c r="E115" s="1284" t="s">
        <v>85</v>
      </c>
      <c r="F115" s="1948" t="s">
        <v>415</v>
      </c>
      <c r="G115" s="1350">
        <v>38</v>
      </c>
      <c r="H115" s="1350">
        <v>16</v>
      </c>
      <c r="I115" s="1350">
        <v>19</v>
      </c>
      <c r="J115" s="1350">
        <v>0</v>
      </c>
      <c r="K115" s="1350">
        <v>0</v>
      </c>
      <c r="L115" s="2061" t="s">
        <v>6077</v>
      </c>
      <c r="M115" s="1729">
        <v>25000</v>
      </c>
      <c r="N115" s="1857">
        <f t="shared" si="7"/>
        <v>0.25</v>
      </c>
      <c r="O115" s="1317">
        <v>616</v>
      </c>
      <c r="P115" s="2014">
        <f t="shared" si="8"/>
        <v>154</v>
      </c>
      <c r="Q115" s="2019" t="s">
        <v>6433</v>
      </c>
      <c r="R115" s="1926">
        <f>'Abs19. NPCDCS'!Q19</f>
        <v>0</v>
      </c>
      <c r="S115" s="2053">
        <f>'Abs19. NPCDCS'!R19</f>
        <v>0</v>
      </c>
    </row>
    <row r="116" spans="1:19" ht="49.5">
      <c r="A116" s="2010">
        <v>3</v>
      </c>
      <c r="B116" s="2011" t="s">
        <v>4260</v>
      </c>
      <c r="C116" s="2064" t="s">
        <v>1671</v>
      </c>
      <c r="D116" s="2062" t="s">
        <v>1672</v>
      </c>
      <c r="E116" s="1284" t="s">
        <v>85</v>
      </c>
      <c r="F116" s="1948" t="s">
        <v>415</v>
      </c>
      <c r="G116" s="1350">
        <v>38</v>
      </c>
      <c r="H116" s="1350">
        <v>38</v>
      </c>
      <c r="I116" s="1350">
        <v>1900000</v>
      </c>
      <c r="J116" s="1350">
        <v>0</v>
      </c>
      <c r="K116" s="1350">
        <v>0</v>
      </c>
      <c r="L116" s="2061" t="s">
        <v>6319</v>
      </c>
      <c r="M116" s="1729">
        <v>50000</v>
      </c>
      <c r="N116" s="1857">
        <f t="shared" si="7"/>
        <v>0.5</v>
      </c>
      <c r="O116" s="1317">
        <v>38</v>
      </c>
      <c r="P116" s="2014">
        <f t="shared" si="8"/>
        <v>19</v>
      </c>
      <c r="Q116" s="2019" t="s">
        <v>6452</v>
      </c>
      <c r="R116" s="1926">
        <f>'Abs19. NPCDCS'!Q20</f>
        <v>0</v>
      </c>
      <c r="S116" s="2053">
        <f>'Abs19. NPCDCS'!R20</f>
        <v>0</v>
      </c>
    </row>
    <row r="117" spans="1:19">
      <c r="A117" s="2010">
        <v>4</v>
      </c>
      <c r="B117" s="2011" t="s">
        <v>4261</v>
      </c>
      <c r="C117" s="2064" t="s">
        <v>1673</v>
      </c>
      <c r="D117" s="2062" t="s">
        <v>1674</v>
      </c>
      <c r="E117" s="1284" t="s">
        <v>85</v>
      </c>
      <c r="F117" s="1948" t="s">
        <v>415</v>
      </c>
      <c r="G117" s="1350">
        <v>267</v>
      </c>
      <c r="H117" s="1350">
        <v>174</v>
      </c>
      <c r="I117" s="1350">
        <v>133.5</v>
      </c>
      <c r="J117" s="1350">
        <v>0</v>
      </c>
      <c r="K117" s="1350">
        <v>0</v>
      </c>
      <c r="L117" s="2061"/>
      <c r="M117" s="1729"/>
      <c r="N117" s="1857">
        <f t="shared" si="7"/>
        <v>0</v>
      </c>
      <c r="O117" s="1317"/>
      <c r="P117" s="2014">
        <f t="shared" si="8"/>
        <v>0</v>
      </c>
      <c r="Q117" s="1348"/>
      <c r="R117" s="1926">
        <f>'Abs19. NPCDCS'!Q21</f>
        <v>0</v>
      </c>
      <c r="S117" s="2053">
        <f>'Abs19. NPCDCS'!R21</f>
        <v>0</v>
      </c>
    </row>
    <row r="118" spans="1:19" ht="148.5">
      <c r="A118" s="2010">
        <v>5</v>
      </c>
      <c r="B118" s="2011" t="s">
        <v>4281</v>
      </c>
      <c r="C118" s="1855" t="s">
        <v>2845</v>
      </c>
      <c r="D118" s="1855" t="s">
        <v>2535</v>
      </c>
      <c r="E118" s="1284" t="s">
        <v>85</v>
      </c>
      <c r="F118" s="2010" t="s">
        <v>415</v>
      </c>
      <c r="G118" s="1350">
        <v>2408</v>
      </c>
      <c r="H118" s="1350">
        <v>997</v>
      </c>
      <c r="I118" s="1350">
        <v>361.2</v>
      </c>
      <c r="J118" s="1350">
        <v>13.18</v>
      </c>
      <c r="K118" s="1350">
        <v>4.6399999999999997</v>
      </c>
      <c r="L118" s="3513" t="s">
        <v>6251</v>
      </c>
      <c r="M118" s="1729">
        <v>20000</v>
      </c>
      <c r="N118" s="1857">
        <f>M118/100000</f>
        <v>0.2</v>
      </c>
      <c r="O118" s="1317">
        <v>2874</v>
      </c>
      <c r="P118" s="2014">
        <f t="shared" si="8"/>
        <v>574.80000000000007</v>
      </c>
      <c r="Q118" s="2069" t="s">
        <v>6453</v>
      </c>
      <c r="R118" s="1926">
        <f>'Abs19. NPCDCS'!Q22</f>
        <v>0</v>
      </c>
      <c r="S118" s="2053">
        <f>'Abs19. NPCDCS'!R22</f>
        <v>0</v>
      </c>
    </row>
    <row r="119" spans="1:19">
      <c r="A119" s="2010">
        <v>6</v>
      </c>
      <c r="B119" s="2011" t="s">
        <v>4262</v>
      </c>
      <c r="C119" s="2070"/>
      <c r="D119" s="1855" t="s">
        <v>1591</v>
      </c>
      <c r="E119" s="1284" t="s">
        <v>85</v>
      </c>
      <c r="F119" s="1948" t="s">
        <v>415</v>
      </c>
      <c r="G119" s="1350">
        <v>63</v>
      </c>
      <c r="H119" s="1350">
        <v>36</v>
      </c>
      <c r="I119" s="1350">
        <v>31.5</v>
      </c>
      <c r="J119" s="1350">
        <v>0</v>
      </c>
      <c r="K119" s="1350">
        <v>0</v>
      </c>
      <c r="L119" s="2061"/>
      <c r="M119" s="1729"/>
      <c r="N119" s="1857">
        <f t="shared" si="7"/>
        <v>0</v>
      </c>
      <c r="O119" s="1317"/>
      <c r="P119" s="2014">
        <f t="shared" si="8"/>
        <v>0</v>
      </c>
      <c r="Q119" s="1348"/>
      <c r="R119" s="1926">
        <f>'Abs19. NPCDCS'!Q23</f>
        <v>0</v>
      </c>
      <c r="S119" s="2053">
        <f>'Abs19. NPCDCS'!R23</f>
        <v>0</v>
      </c>
    </row>
    <row r="120" spans="1:19" ht="33">
      <c r="A120" s="2002" t="s">
        <v>4664</v>
      </c>
      <c r="B120" s="2003" t="s">
        <v>2566</v>
      </c>
      <c r="C120" s="2004" t="s">
        <v>1338</v>
      </c>
      <c r="D120" s="2003" t="s">
        <v>4912</v>
      </c>
      <c r="E120" s="2005"/>
      <c r="F120" s="2005"/>
      <c r="G120" s="2025"/>
      <c r="H120" s="2025"/>
      <c r="I120" s="2025"/>
      <c r="J120" s="2025"/>
      <c r="K120" s="2025"/>
      <c r="L120" s="3507"/>
      <c r="M120" s="3519"/>
      <c r="N120" s="2006"/>
      <c r="O120" s="2025"/>
      <c r="P120" s="2006">
        <f>SUM(P121:P122)</f>
        <v>0</v>
      </c>
      <c r="Q120" s="2026"/>
      <c r="R120" s="2008"/>
      <c r="S120" s="1902">
        <f>SUM(S121:S122)</f>
        <v>0</v>
      </c>
    </row>
    <row r="121" spans="1:19">
      <c r="A121" s="2010">
        <v>1</v>
      </c>
      <c r="B121" s="2011" t="s">
        <v>4263</v>
      </c>
      <c r="C121" s="2016"/>
      <c r="D121" s="2044" t="s">
        <v>4381</v>
      </c>
      <c r="E121" s="1284" t="s">
        <v>85</v>
      </c>
      <c r="F121" s="1948" t="s">
        <v>4915</v>
      </c>
      <c r="G121" s="1350"/>
      <c r="H121" s="1350"/>
      <c r="I121" s="1350"/>
      <c r="J121" s="1350"/>
      <c r="K121" s="1350"/>
      <c r="L121" s="2022"/>
      <c r="M121" s="1729"/>
      <c r="N121" s="1857">
        <f>M121/100000</f>
        <v>0</v>
      </c>
      <c r="O121" s="1317"/>
      <c r="P121" s="2014">
        <f>O121*N121</f>
        <v>0</v>
      </c>
      <c r="Q121" s="2021"/>
      <c r="R121" s="1926">
        <f>'Abs20. PMNDP'!Q11</f>
        <v>0</v>
      </c>
      <c r="S121" s="2053">
        <f>'Abs20. PMNDP'!R11</f>
        <v>0</v>
      </c>
    </row>
    <row r="122" spans="1:19">
      <c r="A122" s="2010">
        <v>2</v>
      </c>
      <c r="B122" s="2011" t="s">
        <v>4264</v>
      </c>
      <c r="C122" s="2020"/>
      <c r="D122" s="1855" t="s">
        <v>1591</v>
      </c>
      <c r="E122" s="1284" t="s">
        <v>85</v>
      </c>
      <c r="F122" s="1948" t="s">
        <v>4915</v>
      </c>
      <c r="G122" s="1350"/>
      <c r="H122" s="1350"/>
      <c r="I122" s="1350"/>
      <c r="J122" s="1350"/>
      <c r="K122" s="1350"/>
      <c r="L122" s="2022"/>
      <c r="M122" s="1729"/>
      <c r="N122" s="1857">
        <f>M122/100000</f>
        <v>0</v>
      </c>
      <c r="O122" s="1317"/>
      <c r="P122" s="2014">
        <f>O122*N122</f>
        <v>0</v>
      </c>
      <c r="Q122" s="2021"/>
      <c r="R122" s="1926">
        <f>'Abs20. PMNDP'!Q12</f>
        <v>0</v>
      </c>
      <c r="S122" s="2053">
        <f>'Abs20. PMNDP'!R12</f>
        <v>0</v>
      </c>
    </row>
    <row r="123" spans="1:19" ht="33">
      <c r="A123" s="2002" t="s">
        <v>4665</v>
      </c>
      <c r="B123" s="2003" t="s">
        <v>1639</v>
      </c>
      <c r="C123" s="2004" t="s">
        <v>1638</v>
      </c>
      <c r="D123" s="2003" t="s">
        <v>4904</v>
      </c>
      <c r="E123" s="2005"/>
      <c r="F123" s="2005"/>
      <c r="G123" s="2025"/>
      <c r="H123" s="2025"/>
      <c r="I123" s="2025"/>
      <c r="J123" s="2025"/>
      <c r="K123" s="2025"/>
      <c r="L123" s="3507"/>
      <c r="M123" s="3519"/>
      <c r="N123" s="2006"/>
      <c r="O123" s="2025"/>
      <c r="P123" s="2006">
        <f>SUM(P124:P125)</f>
        <v>342.95256000000001</v>
      </c>
      <c r="Q123" s="2026"/>
      <c r="R123" s="2008"/>
      <c r="S123" s="1902">
        <f>SUM(S124:S125)</f>
        <v>0</v>
      </c>
    </row>
    <row r="124" spans="1:19" ht="148.5">
      <c r="A124" s="2010">
        <v>1</v>
      </c>
      <c r="B124" s="2011" t="s">
        <v>4231</v>
      </c>
      <c r="C124" s="2020"/>
      <c r="D124" s="1855" t="s">
        <v>5613</v>
      </c>
      <c r="E124" s="1284" t="s">
        <v>85</v>
      </c>
      <c r="F124" s="1948" t="s">
        <v>1020</v>
      </c>
      <c r="G124" s="1350"/>
      <c r="H124" s="1350"/>
      <c r="I124" s="1350"/>
      <c r="J124" s="1350"/>
      <c r="K124" s="1350"/>
      <c r="L124" s="2022" t="s">
        <v>6404</v>
      </c>
      <c r="M124" s="1729">
        <v>56038</v>
      </c>
      <c r="N124" s="1857">
        <f>M124/100000</f>
        <v>0.56037999999999999</v>
      </c>
      <c r="O124" s="1317">
        <v>612</v>
      </c>
      <c r="P124" s="2014">
        <f>O124*N124</f>
        <v>342.95256000000001</v>
      </c>
      <c r="Q124" s="2019" t="s">
        <v>6406</v>
      </c>
      <c r="R124" s="1926">
        <f>'Abs22. NPPCD'!Q7</f>
        <v>0</v>
      </c>
      <c r="S124" s="2053">
        <f>'Abs22. NPPCD'!R7</f>
        <v>0</v>
      </c>
    </row>
    <row r="125" spans="1:19">
      <c r="A125" s="2010">
        <v>2</v>
      </c>
      <c r="B125" s="2011" t="s">
        <v>4232</v>
      </c>
      <c r="C125" s="2020"/>
      <c r="D125" s="1855" t="s">
        <v>1591</v>
      </c>
      <c r="E125" s="1284" t="s">
        <v>85</v>
      </c>
      <c r="F125" s="1948" t="s">
        <v>1020</v>
      </c>
      <c r="G125" s="1350"/>
      <c r="H125" s="1350"/>
      <c r="I125" s="1350"/>
      <c r="J125" s="1350"/>
      <c r="K125" s="1350"/>
      <c r="L125" s="2022"/>
      <c r="M125" s="1729"/>
      <c r="N125" s="1857">
        <f>M125/100000</f>
        <v>0</v>
      </c>
      <c r="O125" s="1317"/>
      <c r="P125" s="2014">
        <f>O125*N125</f>
        <v>0</v>
      </c>
      <c r="Q125" s="2019"/>
      <c r="R125" s="1926">
        <f>'Abs22. NPPCD'!Q8</f>
        <v>0</v>
      </c>
      <c r="S125" s="2053">
        <f>'Abs22. NPPCD'!R8</f>
        <v>0</v>
      </c>
    </row>
    <row r="126" spans="1:19" ht="33">
      <c r="A126" s="2002" t="s">
        <v>4666</v>
      </c>
      <c r="B126" s="2003" t="s">
        <v>1641</v>
      </c>
      <c r="C126" s="2004"/>
      <c r="D126" s="2003" t="s">
        <v>4905</v>
      </c>
      <c r="E126" s="2005"/>
      <c r="F126" s="2005"/>
      <c r="G126" s="2025"/>
      <c r="H126" s="2025"/>
      <c r="I126" s="2025"/>
      <c r="J126" s="2025"/>
      <c r="K126" s="2025"/>
      <c r="L126" s="3507"/>
      <c r="M126" s="3519"/>
      <c r="N126" s="2006"/>
      <c r="O126" s="2025"/>
      <c r="P126" s="2006">
        <f>SUM(P127:P128)</f>
        <v>108.4</v>
      </c>
      <c r="Q126" s="2026"/>
      <c r="R126" s="2008"/>
      <c r="S126" s="1902">
        <f>SUM(S127:S128)</f>
        <v>0</v>
      </c>
    </row>
    <row r="127" spans="1:19" ht="200.25" customHeight="1">
      <c r="A127" s="2010">
        <v>1</v>
      </c>
      <c r="B127" s="2011" t="s">
        <v>4233</v>
      </c>
      <c r="C127" s="1855" t="s">
        <v>310</v>
      </c>
      <c r="D127" s="1855" t="s">
        <v>1640</v>
      </c>
      <c r="E127" s="1284" t="s">
        <v>85</v>
      </c>
      <c r="F127" s="1948" t="s">
        <v>312</v>
      </c>
      <c r="G127" s="1350"/>
      <c r="H127" s="1350"/>
      <c r="I127" s="1350"/>
      <c r="J127" s="1350"/>
      <c r="K127" s="1350"/>
      <c r="L127" s="3137" t="s">
        <v>5944</v>
      </c>
      <c r="M127" s="1729">
        <v>20000</v>
      </c>
      <c r="N127" s="1857">
        <f>M127/100000</f>
        <v>0.2</v>
      </c>
      <c r="O127" s="1317">
        <v>542</v>
      </c>
      <c r="P127" s="2014">
        <f>O127*N127</f>
        <v>108.4</v>
      </c>
      <c r="Q127" s="2019" t="s">
        <v>6436</v>
      </c>
      <c r="R127" s="1926">
        <f>'Abs24. NOHP'!Q9</f>
        <v>0</v>
      </c>
      <c r="S127" s="2053">
        <f>'Abs24. NOHP'!R9</f>
        <v>0</v>
      </c>
    </row>
    <row r="128" spans="1:19">
      <c r="A128" s="2010">
        <v>2</v>
      </c>
      <c r="B128" s="2011" t="s">
        <v>4234</v>
      </c>
      <c r="C128" s="2020"/>
      <c r="D128" s="1855" t="s">
        <v>1591</v>
      </c>
      <c r="E128" s="1284" t="s">
        <v>85</v>
      </c>
      <c r="F128" s="1948" t="s">
        <v>312</v>
      </c>
      <c r="G128" s="1350"/>
      <c r="H128" s="1350"/>
      <c r="I128" s="1350"/>
      <c r="J128" s="1350"/>
      <c r="K128" s="1350"/>
      <c r="L128" s="2022"/>
      <c r="M128" s="1729"/>
      <c r="N128" s="1857">
        <f>M128/100000</f>
        <v>0</v>
      </c>
      <c r="O128" s="1317"/>
      <c r="P128" s="2014">
        <f>O128*N128</f>
        <v>0</v>
      </c>
      <c r="Q128" s="2021"/>
      <c r="R128" s="1926">
        <f>'Abs24. NOHP'!Q10</f>
        <v>0</v>
      </c>
      <c r="S128" s="2053">
        <f>'Abs24. NOHP'!R10</f>
        <v>0</v>
      </c>
    </row>
    <row r="129" spans="1:19" ht="33">
      <c r="A129" s="2002" t="s">
        <v>4774</v>
      </c>
      <c r="B129" s="2003" t="s">
        <v>1643</v>
      </c>
      <c r="C129" s="2004"/>
      <c r="D129" s="2003" t="s">
        <v>4906</v>
      </c>
      <c r="E129" s="2005"/>
      <c r="F129" s="2005"/>
      <c r="G129" s="2025"/>
      <c r="H129" s="2025"/>
      <c r="I129" s="2025"/>
      <c r="J129" s="2025"/>
      <c r="K129" s="2025"/>
      <c r="L129" s="3507"/>
      <c r="M129" s="3519"/>
      <c r="N129" s="2006"/>
      <c r="O129" s="2025"/>
      <c r="P129" s="2006">
        <f>P130+P131</f>
        <v>0</v>
      </c>
      <c r="Q129" s="2026"/>
      <c r="R129" s="2008"/>
      <c r="S129" s="1902">
        <f>S130+S131</f>
        <v>0</v>
      </c>
    </row>
    <row r="130" spans="1:19">
      <c r="A130" s="2010">
        <v>1</v>
      </c>
      <c r="B130" s="2011" t="s">
        <v>4235</v>
      </c>
      <c r="C130" s="1855" t="s">
        <v>313</v>
      </c>
      <c r="D130" s="1855" t="s">
        <v>1642</v>
      </c>
      <c r="E130" s="1284" t="s">
        <v>85</v>
      </c>
      <c r="F130" s="1948" t="s">
        <v>314</v>
      </c>
      <c r="G130" s="1350"/>
      <c r="H130" s="1350"/>
      <c r="I130" s="1350"/>
      <c r="J130" s="1350"/>
      <c r="K130" s="1350"/>
      <c r="L130" s="3137"/>
      <c r="M130" s="1729"/>
      <c r="N130" s="1857">
        <f>M130/100000</f>
        <v>0</v>
      </c>
      <c r="O130" s="1317"/>
      <c r="P130" s="2014">
        <f>O130*N130</f>
        <v>0</v>
      </c>
      <c r="Q130" s="2042"/>
      <c r="R130" s="1926">
        <f>'Abs25. NPPC'!Q11</f>
        <v>0</v>
      </c>
      <c r="S130" s="2053">
        <f>'Abs25. NPPC'!R11</f>
        <v>0</v>
      </c>
    </row>
    <row r="131" spans="1:19">
      <c r="A131" s="2010">
        <v>2</v>
      </c>
      <c r="B131" s="2011" t="s">
        <v>4236</v>
      </c>
      <c r="C131" s="2020"/>
      <c r="D131" s="1855" t="s">
        <v>1591</v>
      </c>
      <c r="E131" s="1284" t="s">
        <v>85</v>
      </c>
      <c r="F131" s="1948" t="s">
        <v>314</v>
      </c>
      <c r="G131" s="1350"/>
      <c r="H131" s="1350"/>
      <c r="I131" s="1350"/>
      <c r="J131" s="1350"/>
      <c r="K131" s="1350"/>
      <c r="L131" s="3137"/>
      <c r="M131" s="1729"/>
      <c r="N131" s="1857">
        <f>M131/100000</f>
        <v>0</v>
      </c>
      <c r="O131" s="1317"/>
      <c r="P131" s="2014">
        <f>O131*N131</f>
        <v>0</v>
      </c>
      <c r="Q131" s="2021"/>
      <c r="R131" s="1926">
        <f>'Abs25. NPPC'!Q12</f>
        <v>0</v>
      </c>
      <c r="S131" s="2053">
        <f>'Abs25. NPPC'!R12</f>
        <v>0</v>
      </c>
    </row>
    <row r="132" spans="1:19" ht="33">
      <c r="A132" s="2002" t="s">
        <v>4917</v>
      </c>
      <c r="B132" s="2003" t="s">
        <v>1645</v>
      </c>
      <c r="C132" s="2004"/>
      <c r="D132" s="2003" t="s">
        <v>4907</v>
      </c>
      <c r="E132" s="2005"/>
      <c r="F132" s="2005"/>
      <c r="G132" s="2025"/>
      <c r="H132" s="2025"/>
      <c r="I132" s="2025"/>
      <c r="J132" s="2025"/>
      <c r="K132" s="2025"/>
      <c r="L132" s="3507"/>
      <c r="M132" s="3519"/>
      <c r="N132" s="2006"/>
      <c r="O132" s="2025"/>
      <c r="P132" s="2006">
        <f>P133+P134</f>
        <v>0</v>
      </c>
      <c r="Q132" s="2026"/>
      <c r="R132" s="2008"/>
      <c r="S132" s="1902">
        <f>S133+S134</f>
        <v>0</v>
      </c>
    </row>
    <row r="133" spans="1:19">
      <c r="A133" s="2010">
        <v>1</v>
      </c>
      <c r="B133" s="2011" t="s">
        <v>4237</v>
      </c>
      <c r="C133" s="1855" t="s">
        <v>1644</v>
      </c>
      <c r="D133" s="1855" t="s">
        <v>1585</v>
      </c>
      <c r="E133" s="1284" t="s">
        <v>85</v>
      </c>
      <c r="F133" s="1697" t="s">
        <v>4708</v>
      </c>
      <c r="G133" s="1350"/>
      <c r="H133" s="1350"/>
      <c r="I133" s="1350"/>
      <c r="J133" s="1350"/>
      <c r="K133" s="1350"/>
      <c r="L133" s="3137"/>
      <c r="M133" s="1729"/>
      <c r="N133" s="1857">
        <f>M133/100000</f>
        <v>0</v>
      </c>
      <c r="O133" s="1317"/>
      <c r="P133" s="2014">
        <f>O133*N133</f>
        <v>0</v>
      </c>
      <c r="Q133" s="2021"/>
      <c r="R133" s="1926">
        <f>'Abs26. Burns &amp; Injury'!Q9</f>
        <v>0</v>
      </c>
      <c r="S133" s="2053">
        <f>'Abs26. Burns &amp; Injury'!R9</f>
        <v>0</v>
      </c>
    </row>
    <row r="134" spans="1:19">
      <c r="A134" s="2010">
        <v>2</v>
      </c>
      <c r="B134" s="2011" t="s">
        <v>4238</v>
      </c>
      <c r="C134" s="2020"/>
      <c r="D134" s="1855" t="s">
        <v>1591</v>
      </c>
      <c r="E134" s="1284" t="s">
        <v>85</v>
      </c>
      <c r="F134" s="1697" t="s">
        <v>4708</v>
      </c>
      <c r="G134" s="1350"/>
      <c r="H134" s="1350"/>
      <c r="I134" s="1350"/>
      <c r="J134" s="1350"/>
      <c r="K134" s="1350"/>
      <c r="L134" s="3137"/>
      <c r="M134" s="1729"/>
      <c r="N134" s="1857">
        <f>M134/100000</f>
        <v>0</v>
      </c>
      <c r="O134" s="1317"/>
      <c r="P134" s="2014">
        <f>O134*N134</f>
        <v>0</v>
      </c>
      <c r="Q134" s="2021"/>
      <c r="R134" s="1926">
        <f>'Abs26. Burns &amp; Injury'!Q10</f>
        <v>0</v>
      </c>
      <c r="S134" s="2053">
        <f>'Abs26. Burns &amp; Injury'!R10</f>
        <v>0</v>
      </c>
    </row>
    <row r="135" spans="1:19">
      <c r="A135" s="4410" t="s">
        <v>1703</v>
      </c>
      <c r="B135" s="4410"/>
      <c r="C135" s="4410"/>
      <c r="D135" s="4410"/>
      <c r="E135" s="1779"/>
      <c r="F135" s="1779"/>
      <c r="G135" s="2049"/>
      <c r="H135" s="2049"/>
      <c r="I135" s="2049"/>
      <c r="J135" s="2049"/>
      <c r="K135" s="2049"/>
      <c r="L135" s="1781"/>
      <c r="M135" s="2049"/>
      <c r="N135" s="1997"/>
      <c r="O135" s="2050"/>
      <c r="P135" s="1997"/>
      <c r="Q135" s="1782"/>
      <c r="R135" s="1735"/>
      <c r="S135" s="1694"/>
    </row>
    <row r="136" spans="1:19">
      <c r="A136" s="2002" t="s">
        <v>4350</v>
      </c>
      <c r="B136" s="2003" t="s">
        <v>1697</v>
      </c>
      <c r="C136" s="2004"/>
      <c r="D136" s="2003" t="s">
        <v>4943</v>
      </c>
      <c r="E136" s="2005"/>
      <c r="F136" s="2005"/>
      <c r="G136" s="2025"/>
      <c r="H136" s="2025"/>
      <c r="I136" s="2025"/>
      <c r="J136" s="2025"/>
      <c r="K136" s="2025"/>
      <c r="L136" s="3507"/>
      <c r="M136" s="3519"/>
      <c r="N136" s="2006"/>
      <c r="O136" s="2025"/>
      <c r="P136" s="2006">
        <f>SUM(P137:P143)</f>
        <v>741.9</v>
      </c>
      <c r="Q136" s="2026"/>
      <c r="R136" s="2008"/>
      <c r="S136" s="1902">
        <f>SUM(S137:S143)</f>
        <v>0</v>
      </c>
    </row>
    <row r="137" spans="1:19">
      <c r="A137" s="2010">
        <v>1</v>
      </c>
      <c r="B137" s="2011" t="s">
        <v>4283</v>
      </c>
      <c r="C137" s="2071" t="s">
        <v>1698</v>
      </c>
      <c r="D137" s="1855" t="s">
        <v>1699</v>
      </c>
      <c r="E137" s="2046" t="s">
        <v>90</v>
      </c>
      <c r="F137" s="1948" t="s">
        <v>91</v>
      </c>
      <c r="G137" s="1350"/>
      <c r="H137" s="1350"/>
      <c r="I137" s="1350"/>
      <c r="J137" s="1350"/>
      <c r="K137" s="1350"/>
      <c r="L137" s="2022"/>
      <c r="M137" s="1729"/>
      <c r="N137" s="1857">
        <f t="shared" ref="N137:N142" si="9">M137/100000</f>
        <v>0</v>
      </c>
      <c r="O137" s="1317"/>
      <c r="P137" s="2014">
        <f t="shared" ref="P137:P143" si="10">O137*N137</f>
        <v>0</v>
      </c>
      <c r="Q137" s="2019"/>
      <c r="R137" s="1926">
        <f>'Ab1. RMNCH+A'!Q231</f>
        <v>0</v>
      </c>
      <c r="S137" s="2015">
        <f>'Ab1. RMNCH+A'!R231</f>
        <v>0</v>
      </c>
    </row>
    <row r="138" spans="1:19">
      <c r="A138" s="2010">
        <v>2</v>
      </c>
      <c r="B138" s="2011" t="s">
        <v>4284</v>
      </c>
      <c r="C138" s="2062" t="s">
        <v>1700</v>
      </c>
      <c r="D138" s="2062" t="s">
        <v>1701</v>
      </c>
      <c r="E138" s="1537" t="s">
        <v>4358</v>
      </c>
      <c r="F138" s="1948" t="s">
        <v>293</v>
      </c>
      <c r="G138" s="1350"/>
      <c r="H138" s="1350"/>
      <c r="I138" s="1350"/>
      <c r="J138" s="1350"/>
      <c r="K138" s="1350"/>
      <c r="L138" s="2022"/>
      <c r="M138" s="1729"/>
      <c r="N138" s="1857">
        <f t="shared" si="9"/>
        <v>0</v>
      </c>
      <c r="O138" s="1317"/>
      <c r="P138" s="2014">
        <f t="shared" si="10"/>
        <v>0</v>
      </c>
      <c r="Q138" s="2019"/>
      <c r="R138" s="1926">
        <f>'Abs8. IDSP'!Q11</f>
        <v>0</v>
      </c>
      <c r="S138" s="2053">
        <f>'Abs8. IDSP'!R11</f>
        <v>0</v>
      </c>
    </row>
    <row r="139" spans="1:19" s="2032" customFormat="1" ht="49.5">
      <c r="A139" s="2010">
        <v>3</v>
      </c>
      <c r="B139" s="2011" t="s">
        <v>4285</v>
      </c>
      <c r="C139" s="2062" t="s">
        <v>1702</v>
      </c>
      <c r="D139" s="2062" t="s">
        <v>1703</v>
      </c>
      <c r="E139" s="1537" t="s">
        <v>4358</v>
      </c>
      <c r="F139" s="1948" t="s">
        <v>4674</v>
      </c>
      <c r="G139" s="1350"/>
      <c r="H139" s="1350"/>
      <c r="I139" s="1350">
        <v>56.17</v>
      </c>
      <c r="J139" s="1350">
        <v>3.07</v>
      </c>
      <c r="K139" s="1824"/>
      <c r="L139" s="3514" t="s">
        <v>6033</v>
      </c>
      <c r="M139" s="3522">
        <v>8390000</v>
      </c>
      <c r="N139" s="1857">
        <f t="shared" si="9"/>
        <v>83.9</v>
      </c>
      <c r="O139" s="1317">
        <v>1</v>
      </c>
      <c r="P139" s="2014">
        <f t="shared" si="10"/>
        <v>83.9</v>
      </c>
      <c r="Q139" s="2124" t="s">
        <v>6434</v>
      </c>
      <c r="R139" s="1926">
        <f>'Abs11. NTEP'!Q22</f>
        <v>0</v>
      </c>
      <c r="S139" s="2053">
        <f>'Abs11. NTEP'!R22</f>
        <v>0</v>
      </c>
    </row>
    <row r="140" spans="1:19">
      <c r="A140" s="2010">
        <v>4</v>
      </c>
      <c r="B140" s="2016" t="s">
        <v>4288</v>
      </c>
      <c r="C140" s="2020"/>
      <c r="D140" s="2020" t="s">
        <v>4438</v>
      </c>
      <c r="E140" s="1537" t="s">
        <v>4358</v>
      </c>
      <c r="F140" s="2028" t="s">
        <v>114</v>
      </c>
      <c r="G140" s="1349"/>
      <c r="H140" s="1349"/>
      <c r="I140" s="1349"/>
      <c r="J140" s="1349"/>
      <c r="K140" s="1349"/>
      <c r="L140" s="3506"/>
      <c r="M140" s="1729"/>
      <c r="N140" s="1857">
        <f>M140/100000</f>
        <v>0</v>
      </c>
      <c r="O140" s="1317"/>
      <c r="P140" s="2030">
        <f t="shared" si="10"/>
        <v>0</v>
      </c>
      <c r="Q140" s="2054"/>
      <c r="R140" s="1926">
        <f>'Abs9. NVBDCP'!Q43</f>
        <v>0</v>
      </c>
      <c r="S140" s="2015">
        <f>'Abs9. NVBDCP'!R43</f>
        <v>0</v>
      </c>
    </row>
    <row r="141" spans="1:19" s="2032" customFormat="1">
      <c r="A141" s="2010">
        <v>5</v>
      </c>
      <c r="B141" s="2011" t="s">
        <v>4286</v>
      </c>
      <c r="C141" s="2062" t="s">
        <v>1704</v>
      </c>
      <c r="D141" s="2062" t="s">
        <v>2847</v>
      </c>
      <c r="E141" s="1284" t="s">
        <v>85</v>
      </c>
      <c r="F141" s="1948" t="s">
        <v>86</v>
      </c>
      <c r="G141" s="1350"/>
      <c r="H141" s="1350"/>
      <c r="I141" s="1350"/>
      <c r="J141" s="1350"/>
      <c r="K141" s="2047"/>
      <c r="L141" s="2022"/>
      <c r="M141" s="1729"/>
      <c r="N141" s="1857">
        <f t="shared" si="9"/>
        <v>0</v>
      </c>
      <c r="O141" s="1317"/>
      <c r="P141" s="2014">
        <f t="shared" si="10"/>
        <v>0</v>
      </c>
      <c r="Q141" s="2019"/>
      <c r="R141" s="1926">
        <f>'Abs15. NPCB'!Q19</f>
        <v>0</v>
      </c>
      <c r="S141" s="2053">
        <f>'Abs15. NPCB'!R19</f>
        <v>0</v>
      </c>
    </row>
    <row r="142" spans="1:19" ht="148.5">
      <c r="A142" s="2010">
        <v>6</v>
      </c>
      <c r="B142" s="2016" t="s">
        <v>4287</v>
      </c>
      <c r="C142" s="2020"/>
      <c r="D142" s="2020" t="s">
        <v>4968</v>
      </c>
      <c r="E142" s="1281" t="s">
        <v>70</v>
      </c>
      <c r="F142" s="2028" t="s">
        <v>4915</v>
      </c>
      <c r="G142" s="1349"/>
      <c r="H142" s="1349"/>
      <c r="I142" s="1349"/>
      <c r="J142" s="1349"/>
      <c r="K142" s="1349"/>
      <c r="L142" s="3206" t="s">
        <v>6331</v>
      </c>
      <c r="M142" s="2423">
        <v>65800000</v>
      </c>
      <c r="N142" s="2688">
        <f t="shared" si="9"/>
        <v>658</v>
      </c>
      <c r="O142" s="1714">
        <v>1</v>
      </c>
      <c r="P142" s="2030">
        <f t="shared" si="10"/>
        <v>658</v>
      </c>
      <c r="Q142" s="2031" t="s">
        <v>6332</v>
      </c>
      <c r="R142" s="2051"/>
      <c r="S142" s="2052"/>
    </row>
    <row r="143" spans="1:19">
      <c r="A143" s="2010">
        <v>7</v>
      </c>
      <c r="B143" s="2011" t="s">
        <v>4289</v>
      </c>
      <c r="C143" s="2020"/>
      <c r="D143" s="2011" t="s">
        <v>1310</v>
      </c>
      <c r="E143" s="1281" t="s">
        <v>70</v>
      </c>
      <c r="F143" s="1948" t="s">
        <v>4915</v>
      </c>
      <c r="G143" s="1350"/>
      <c r="H143" s="1350"/>
      <c r="I143" s="1350"/>
      <c r="J143" s="1350"/>
      <c r="K143" s="1350"/>
      <c r="L143" s="2022"/>
      <c r="M143" s="1729"/>
      <c r="N143" s="1857">
        <f>M143/100000</f>
        <v>0</v>
      </c>
      <c r="O143" s="1317"/>
      <c r="P143" s="2014">
        <f t="shared" si="10"/>
        <v>0</v>
      </c>
      <c r="Q143" s="2021"/>
      <c r="R143" s="2051"/>
      <c r="S143" s="2052"/>
    </row>
    <row r="144" spans="1:19">
      <c r="A144" s="2072" t="s">
        <v>4930</v>
      </c>
      <c r="B144" s="1991">
        <v>6.2</v>
      </c>
      <c r="C144" s="1992" t="s">
        <v>1706</v>
      </c>
      <c r="D144" s="1991" t="s">
        <v>1707</v>
      </c>
      <c r="E144" s="1298"/>
      <c r="F144" s="1298"/>
      <c r="G144" s="2057"/>
      <c r="H144" s="2057"/>
      <c r="I144" s="2057"/>
      <c r="J144" s="2057"/>
      <c r="K144" s="2057"/>
      <c r="L144" s="1531"/>
      <c r="M144" s="2057"/>
      <c r="N144" s="1672"/>
      <c r="O144" s="2057"/>
      <c r="P144" s="1672"/>
      <c r="Q144" s="1532"/>
      <c r="R144" s="1518"/>
      <c r="S144" s="1777"/>
    </row>
    <row r="145" spans="1:19">
      <c r="A145" s="4410" t="s">
        <v>4944</v>
      </c>
      <c r="B145" s="4410"/>
      <c r="C145" s="4410"/>
      <c r="D145" s="4410"/>
      <c r="E145" s="1779"/>
      <c r="F145" s="1779"/>
      <c r="G145" s="2049"/>
      <c r="H145" s="2049"/>
      <c r="I145" s="2049"/>
      <c r="J145" s="2049"/>
      <c r="K145" s="2049"/>
      <c r="L145" s="1781"/>
      <c r="M145" s="2049"/>
      <c r="N145" s="1997"/>
      <c r="O145" s="2050"/>
      <c r="P145" s="1997"/>
      <c r="Q145" s="1782"/>
      <c r="R145" s="1735"/>
      <c r="S145" s="1694"/>
    </row>
    <row r="146" spans="1:19">
      <c r="A146" s="2002" t="s">
        <v>4350</v>
      </c>
      <c r="B146" s="2073" t="s">
        <v>1708</v>
      </c>
      <c r="C146" s="2074" t="s">
        <v>1709</v>
      </c>
      <c r="D146" s="2075" t="s">
        <v>1710</v>
      </c>
      <c r="E146" s="2076"/>
      <c r="F146" s="1304"/>
      <c r="G146" s="2077"/>
      <c r="H146" s="2077"/>
      <c r="I146" s="2077"/>
      <c r="J146" s="2077"/>
      <c r="K146" s="2077"/>
      <c r="L146" s="3515"/>
      <c r="M146" s="3228"/>
      <c r="N146" s="2079"/>
      <c r="O146" s="2077"/>
      <c r="P146" s="2079">
        <f>SUM(P147:P153)+P159</f>
        <v>5181.05962</v>
      </c>
      <c r="Q146" s="2080"/>
      <c r="R146" s="1521"/>
      <c r="S146" s="1892">
        <f>SUM(S147:S153)+S159</f>
        <v>0</v>
      </c>
    </row>
    <row r="147" spans="1:19" ht="231">
      <c r="A147" s="2010">
        <v>1</v>
      </c>
      <c r="B147" s="2011" t="s">
        <v>1711</v>
      </c>
      <c r="C147" s="1855" t="s">
        <v>1712</v>
      </c>
      <c r="D147" s="1855" t="s">
        <v>1713</v>
      </c>
      <c r="E147" s="2046" t="s">
        <v>90</v>
      </c>
      <c r="F147" s="1948" t="s">
        <v>118</v>
      </c>
      <c r="G147" s="2081"/>
      <c r="H147" s="2081"/>
      <c r="I147" s="2082">
        <v>49.7</v>
      </c>
      <c r="J147" s="2082">
        <f>271900/100000</f>
        <v>2.7189999999999999</v>
      </c>
      <c r="K147" s="2081"/>
      <c r="L147" s="3206" t="s">
        <v>6229</v>
      </c>
      <c r="M147" s="2423">
        <v>1400000</v>
      </c>
      <c r="N147" s="2688">
        <f t="shared" ref="N147:N152" si="11">M147/100000</f>
        <v>14</v>
      </c>
      <c r="O147" s="1714">
        <v>1</v>
      </c>
      <c r="P147" s="2030">
        <f t="shared" ref="P147:P152" si="12">O147*N147</f>
        <v>14</v>
      </c>
      <c r="Q147" s="2031" t="s">
        <v>6365</v>
      </c>
      <c r="R147" s="1926">
        <f>'Ab1. RMNCH+A'!Q42</f>
        <v>0</v>
      </c>
      <c r="S147" s="2015">
        <f>'Ab1. RMNCH+A'!R42</f>
        <v>0</v>
      </c>
    </row>
    <row r="148" spans="1:19" ht="33">
      <c r="A148" s="2010">
        <v>2</v>
      </c>
      <c r="B148" s="2011" t="s">
        <v>1714</v>
      </c>
      <c r="C148" s="1855" t="s">
        <v>1715</v>
      </c>
      <c r="D148" s="1855" t="s">
        <v>2348</v>
      </c>
      <c r="E148" s="2046" t="s">
        <v>90</v>
      </c>
      <c r="F148" s="1948" t="s">
        <v>118</v>
      </c>
      <c r="G148" s="2081">
        <v>11400</v>
      </c>
      <c r="H148" s="2081"/>
      <c r="I148" s="2083">
        <v>2.66</v>
      </c>
      <c r="J148" s="2083">
        <f>234321/100000</f>
        <v>2.34321</v>
      </c>
      <c r="K148" s="1313"/>
      <c r="L148" s="3206" t="s">
        <v>6230</v>
      </c>
      <c r="M148" s="2423">
        <v>23.33</v>
      </c>
      <c r="N148" s="2688">
        <f t="shared" si="11"/>
        <v>2.3329999999999998E-4</v>
      </c>
      <c r="O148" s="1714">
        <v>11400</v>
      </c>
      <c r="P148" s="2030">
        <f t="shared" si="12"/>
        <v>2.6596199999999999</v>
      </c>
      <c r="Q148" s="2031" t="s">
        <v>6232</v>
      </c>
      <c r="R148" s="1926">
        <f>'Ab1. RMNCH+A'!Q43</f>
        <v>0</v>
      </c>
      <c r="S148" s="2015">
        <f>'Ab1. RMNCH+A'!R43</f>
        <v>0</v>
      </c>
    </row>
    <row r="149" spans="1:19" ht="214.5">
      <c r="A149" s="2010">
        <v>3</v>
      </c>
      <c r="B149" s="2011" t="s">
        <v>1716</v>
      </c>
      <c r="C149" s="1855" t="s">
        <v>1717</v>
      </c>
      <c r="D149" s="1855" t="s">
        <v>1718</v>
      </c>
      <c r="E149" s="2046" t="s">
        <v>90</v>
      </c>
      <c r="F149" s="1948" t="s">
        <v>118</v>
      </c>
      <c r="G149" s="2081"/>
      <c r="H149" s="2081"/>
      <c r="I149" s="2083">
        <v>164.4</v>
      </c>
      <c r="J149" s="2083"/>
      <c r="K149" s="2081"/>
      <c r="L149" s="3206" t="s">
        <v>6231</v>
      </c>
      <c r="M149" s="2423">
        <v>16440000</v>
      </c>
      <c r="N149" s="2688">
        <f t="shared" si="11"/>
        <v>164.4</v>
      </c>
      <c r="O149" s="1714">
        <v>1</v>
      </c>
      <c r="P149" s="2030">
        <f t="shared" si="12"/>
        <v>164.4</v>
      </c>
      <c r="Q149" s="3207" t="s">
        <v>6366</v>
      </c>
      <c r="R149" s="1926">
        <f>'Ab1. RMNCH+A'!Q44</f>
        <v>0</v>
      </c>
      <c r="S149" s="2015">
        <f>'Ab1. RMNCH+A'!R44</f>
        <v>0</v>
      </c>
    </row>
    <row r="150" spans="1:19">
      <c r="A150" s="2010">
        <v>4</v>
      </c>
      <c r="B150" s="2011" t="s">
        <v>1719</v>
      </c>
      <c r="C150" s="1855" t="s">
        <v>1720</v>
      </c>
      <c r="D150" s="1855" t="s">
        <v>1721</v>
      </c>
      <c r="E150" s="2046" t="s">
        <v>90</v>
      </c>
      <c r="F150" s="1948" t="s">
        <v>118</v>
      </c>
      <c r="G150" s="1350"/>
      <c r="H150" s="1350"/>
      <c r="I150" s="2023"/>
      <c r="J150" s="2023"/>
      <c r="K150" s="2047"/>
      <c r="L150" s="2061"/>
      <c r="M150" s="1729"/>
      <c r="N150" s="1857">
        <f t="shared" si="11"/>
        <v>0</v>
      </c>
      <c r="O150" s="1317"/>
      <c r="P150" s="2014">
        <f t="shared" si="12"/>
        <v>0</v>
      </c>
      <c r="Q150" s="2019"/>
      <c r="R150" s="1926">
        <f>'Ab1. RMNCH+A'!Q45</f>
        <v>0</v>
      </c>
      <c r="S150" s="2015">
        <f>'Ab1. RMNCH+A'!R45</f>
        <v>0</v>
      </c>
    </row>
    <row r="151" spans="1:19" ht="33">
      <c r="A151" s="2010">
        <v>5</v>
      </c>
      <c r="B151" s="2011" t="s">
        <v>1722</v>
      </c>
      <c r="C151" s="2084" t="s">
        <v>1723</v>
      </c>
      <c r="D151" s="2085" t="s">
        <v>1724</v>
      </c>
      <c r="E151" s="2046" t="s">
        <v>90</v>
      </c>
      <c r="F151" s="1948" t="s">
        <v>118</v>
      </c>
      <c r="G151" s="1350"/>
      <c r="H151" s="1350"/>
      <c r="I151" s="1350"/>
      <c r="J151" s="1350"/>
      <c r="K151" s="1350"/>
      <c r="L151" s="3508"/>
      <c r="M151" s="2125"/>
      <c r="N151" s="1857">
        <f t="shared" si="11"/>
        <v>0</v>
      </c>
      <c r="O151" s="1317"/>
      <c r="P151" s="2014">
        <f t="shared" si="12"/>
        <v>0</v>
      </c>
      <c r="Q151" s="2125"/>
      <c r="R151" s="1926">
        <f>'Ab1. RMNCH+A'!Q46</f>
        <v>0</v>
      </c>
      <c r="S151" s="2015">
        <f>'Ab1. RMNCH+A'!R46</f>
        <v>0</v>
      </c>
    </row>
    <row r="152" spans="1:19" ht="33">
      <c r="A152" s="2010">
        <v>6</v>
      </c>
      <c r="B152" s="2011" t="s">
        <v>1725</v>
      </c>
      <c r="C152" s="2084" t="s">
        <v>1726</v>
      </c>
      <c r="D152" s="2085" t="s">
        <v>1727</v>
      </c>
      <c r="E152" s="2046" t="s">
        <v>90</v>
      </c>
      <c r="F152" s="1948" t="s">
        <v>118</v>
      </c>
      <c r="G152" s="1350"/>
      <c r="H152" s="1350"/>
      <c r="I152" s="1350"/>
      <c r="J152" s="1350"/>
      <c r="K152" s="1350"/>
      <c r="L152" s="2022"/>
      <c r="M152" s="1729"/>
      <c r="N152" s="1857">
        <f t="shared" si="11"/>
        <v>0</v>
      </c>
      <c r="O152" s="1317"/>
      <c r="P152" s="2014">
        <f t="shared" si="12"/>
        <v>0</v>
      </c>
      <c r="Q152" s="2019"/>
      <c r="R152" s="1926">
        <f>'Ab1. RMNCH+A'!Q47</f>
        <v>0</v>
      </c>
      <c r="S152" s="2015">
        <f>'Ab1. RMNCH+A'!R47</f>
        <v>0</v>
      </c>
    </row>
    <row r="153" spans="1:19">
      <c r="A153" s="2027">
        <v>7</v>
      </c>
      <c r="B153" s="2003" t="s">
        <v>1728</v>
      </c>
      <c r="C153" s="2004" t="s">
        <v>1729</v>
      </c>
      <c r="D153" s="2003" t="s">
        <v>1730</v>
      </c>
      <c r="E153" s="2005"/>
      <c r="F153" s="2005"/>
      <c r="G153" s="2025"/>
      <c r="H153" s="2025"/>
      <c r="I153" s="2025"/>
      <c r="J153" s="2025"/>
      <c r="K153" s="2025"/>
      <c r="L153" s="3507"/>
      <c r="M153" s="3519"/>
      <c r="N153" s="2006"/>
      <c r="O153" s="2025"/>
      <c r="P153" s="2006">
        <f>SUM(P154:P158)</f>
        <v>5000</v>
      </c>
      <c r="Q153" s="2026"/>
      <c r="R153" s="2008"/>
      <c r="S153" s="1902">
        <f>SUM(S154:S158)</f>
        <v>0</v>
      </c>
    </row>
    <row r="154" spans="1:19" s="3744" customFormat="1">
      <c r="A154" s="3731" t="s">
        <v>4931</v>
      </c>
      <c r="B154" s="3732" t="s">
        <v>4290</v>
      </c>
      <c r="C154" s="3732" t="s">
        <v>1731</v>
      </c>
      <c r="D154" s="3820" t="s">
        <v>1732</v>
      </c>
      <c r="E154" s="3733" t="s">
        <v>90</v>
      </c>
      <c r="F154" s="3734" t="s">
        <v>118</v>
      </c>
      <c r="G154" s="3735"/>
      <c r="H154" s="3735"/>
      <c r="I154" s="3821"/>
      <c r="J154" s="3821"/>
      <c r="K154" s="3735"/>
      <c r="L154" s="3787"/>
      <c r="M154" s="3737"/>
      <c r="N154" s="3738">
        <f t="shared" ref="N154:N159" si="13">M154/100000</f>
        <v>0</v>
      </c>
      <c r="O154" s="3739"/>
      <c r="P154" s="3740">
        <f t="shared" ref="P154:P159" si="14">O154*N154</f>
        <v>0</v>
      </c>
      <c r="Q154" s="3791" t="s">
        <v>6810</v>
      </c>
      <c r="R154" s="3742">
        <f>'Ab1. RMNCH+A'!Q48</f>
        <v>0</v>
      </c>
      <c r="S154" s="3743">
        <f>'Ab1. RMNCH+A'!R48</f>
        <v>0</v>
      </c>
    </row>
    <row r="155" spans="1:19" s="3744" customFormat="1" ht="33">
      <c r="A155" s="3731" t="s">
        <v>4932</v>
      </c>
      <c r="B155" s="3732" t="s">
        <v>4291</v>
      </c>
      <c r="C155" s="3732" t="s">
        <v>1733</v>
      </c>
      <c r="D155" s="3820" t="s">
        <v>1734</v>
      </c>
      <c r="E155" s="3733" t="s">
        <v>90</v>
      </c>
      <c r="F155" s="3734" t="s">
        <v>118</v>
      </c>
      <c r="G155" s="3735"/>
      <c r="H155" s="3735"/>
      <c r="I155" s="3821"/>
      <c r="J155" s="3821"/>
      <c r="K155" s="3735"/>
      <c r="L155" s="3787"/>
      <c r="M155" s="3737"/>
      <c r="N155" s="3738">
        <f t="shared" si="13"/>
        <v>0</v>
      </c>
      <c r="O155" s="3739"/>
      <c r="P155" s="3740">
        <f t="shared" si="14"/>
        <v>0</v>
      </c>
      <c r="Q155" s="3822" t="s">
        <v>6811</v>
      </c>
      <c r="R155" s="3742">
        <f>'Ab1. RMNCH+A'!Q49</f>
        <v>0</v>
      </c>
      <c r="S155" s="3743">
        <f>'Ab1. RMNCH+A'!R49</f>
        <v>0</v>
      </c>
    </row>
    <row r="156" spans="1:19" s="3744" customFormat="1">
      <c r="A156" s="3731" t="s">
        <v>4815</v>
      </c>
      <c r="B156" s="3732" t="s">
        <v>4292</v>
      </c>
      <c r="C156" s="3732"/>
      <c r="D156" s="3820" t="s">
        <v>2349</v>
      </c>
      <c r="E156" s="3733" t="s">
        <v>90</v>
      </c>
      <c r="F156" s="3734" t="s">
        <v>118</v>
      </c>
      <c r="G156" s="3735"/>
      <c r="H156" s="3735"/>
      <c r="I156" s="3821"/>
      <c r="J156" s="3821"/>
      <c r="K156" s="3735"/>
      <c r="L156" s="3787"/>
      <c r="M156" s="3737"/>
      <c r="N156" s="3738">
        <f t="shared" si="13"/>
        <v>0</v>
      </c>
      <c r="O156" s="3739"/>
      <c r="P156" s="3740">
        <f t="shared" si="14"/>
        <v>0</v>
      </c>
      <c r="Q156" s="3822" t="s">
        <v>6812</v>
      </c>
      <c r="R156" s="3742">
        <f>'Ab1. RMNCH+A'!Q50</f>
        <v>0</v>
      </c>
      <c r="S156" s="3743">
        <f>'Ab1. RMNCH+A'!R50</f>
        <v>0</v>
      </c>
    </row>
    <row r="157" spans="1:19" s="3744" customFormat="1" ht="33">
      <c r="A157" s="3731" t="s">
        <v>4934</v>
      </c>
      <c r="B157" s="3732" t="s">
        <v>4293</v>
      </c>
      <c r="C157" s="3732"/>
      <c r="D157" s="3820" t="s">
        <v>2350</v>
      </c>
      <c r="E157" s="3733" t="s">
        <v>90</v>
      </c>
      <c r="F157" s="3734" t="s">
        <v>118</v>
      </c>
      <c r="G157" s="3735"/>
      <c r="H157" s="3735"/>
      <c r="I157" s="3821"/>
      <c r="J157" s="3821"/>
      <c r="K157" s="3735"/>
      <c r="L157" s="3787"/>
      <c r="M157" s="3737"/>
      <c r="N157" s="3738">
        <f t="shared" si="13"/>
        <v>0</v>
      </c>
      <c r="O157" s="3739"/>
      <c r="P157" s="3740">
        <f t="shared" si="14"/>
        <v>0</v>
      </c>
      <c r="Q157" s="3822" t="s">
        <v>6813</v>
      </c>
      <c r="R157" s="3742">
        <f>'Ab1. RMNCH+A'!Q51</f>
        <v>0</v>
      </c>
      <c r="S157" s="3743">
        <f>'Ab1. RMNCH+A'!R51</f>
        <v>0</v>
      </c>
    </row>
    <row r="158" spans="1:19" s="3744" customFormat="1" ht="181.5">
      <c r="A158" s="3731" t="s">
        <v>4933</v>
      </c>
      <c r="B158" s="3732" t="s">
        <v>4294</v>
      </c>
      <c r="C158" s="3801" t="s">
        <v>1729</v>
      </c>
      <c r="D158" s="3801" t="s">
        <v>1735</v>
      </c>
      <c r="E158" s="3733" t="s">
        <v>90</v>
      </c>
      <c r="F158" s="3734" t="s">
        <v>118</v>
      </c>
      <c r="G158" s="3735"/>
      <c r="H158" s="3735"/>
      <c r="I158" s="3821"/>
      <c r="J158" s="3821"/>
      <c r="K158" s="2394"/>
      <c r="L158" s="3748" t="s">
        <v>6233</v>
      </c>
      <c r="M158" s="3737">
        <v>500000000</v>
      </c>
      <c r="N158" s="3738">
        <f t="shared" si="13"/>
        <v>5000</v>
      </c>
      <c r="O158" s="3739">
        <v>1</v>
      </c>
      <c r="P158" s="3740">
        <f t="shared" si="14"/>
        <v>5000</v>
      </c>
      <c r="Q158" s="3741" t="s">
        <v>6945</v>
      </c>
      <c r="R158" s="3742">
        <f>'Ab1. RMNCH+A'!Q52</f>
        <v>0</v>
      </c>
      <c r="S158" s="3743">
        <f>'Ab1. RMNCH+A'!R52</f>
        <v>0</v>
      </c>
    </row>
    <row r="159" spans="1:19" s="3744" customFormat="1" ht="82.5">
      <c r="A159" s="3731">
        <v>6</v>
      </c>
      <c r="B159" s="3732" t="s">
        <v>1736</v>
      </c>
      <c r="C159" s="3801" t="s">
        <v>1737</v>
      </c>
      <c r="D159" s="3801" t="s">
        <v>1738</v>
      </c>
      <c r="E159" s="3733" t="s">
        <v>90</v>
      </c>
      <c r="F159" s="3734" t="s">
        <v>118</v>
      </c>
      <c r="G159" s="3735"/>
      <c r="H159" s="3735"/>
      <c r="I159" s="3821"/>
      <c r="J159" s="3821"/>
      <c r="K159" s="3823"/>
      <c r="L159" s="3787"/>
      <c r="M159" s="3737"/>
      <c r="N159" s="3738">
        <f t="shared" si="13"/>
        <v>0</v>
      </c>
      <c r="O159" s="3739"/>
      <c r="P159" s="3740">
        <f t="shared" si="14"/>
        <v>0</v>
      </c>
      <c r="Q159" s="4173" t="s">
        <v>6940</v>
      </c>
      <c r="R159" s="3742">
        <f>'Ab1. RMNCH+A'!Q53</f>
        <v>0</v>
      </c>
      <c r="S159" s="3743">
        <f>'Ab1. RMNCH+A'!R53</f>
        <v>0</v>
      </c>
    </row>
    <row r="160" spans="1:19">
      <c r="A160" s="2002" t="s">
        <v>4354</v>
      </c>
      <c r="B160" s="2073" t="s">
        <v>1739</v>
      </c>
      <c r="C160" s="2074" t="s">
        <v>1740</v>
      </c>
      <c r="D160" s="2075" t="s">
        <v>1741</v>
      </c>
      <c r="E160" s="2076"/>
      <c r="F160" s="1304"/>
      <c r="G160" s="2077"/>
      <c r="H160" s="2077"/>
      <c r="I160" s="2077"/>
      <c r="J160" s="2077"/>
      <c r="K160" s="2077"/>
      <c r="L160" s="3515"/>
      <c r="M160" s="3228"/>
      <c r="N160" s="2079"/>
      <c r="O160" s="2086"/>
      <c r="P160" s="2087">
        <f>SUM(P161:P168)+P172</f>
        <v>6347.6705049999991</v>
      </c>
      <c r="Q160" s="2080" t="s">
        <v>6941</v>
      </c>
      <c r="R160" s="1521"/>
      <c r="S160" s="1892">
        <f>SUM(S161:S168)+S172</f>
        <v>0</v>
      </c>
    </row>
    <row r="161" spans="1:19" ht="33">
      <c r="A161" s="2010">
        <v>1</v>
      </c>
      <c r="B161" s="2011" t="s">
        <v>1742</v>
      </c>
      <c r="C161" s="1855" t="s">
        <v>1743</v>
      </c>
      <c r="D161" s="1855" t="s">
        <v>1730</v>
      </c>
      <c r="E161" s="2046" t="s">
        <v>90</v>
      </c>
      <c r="F161" s="1948" t="s">
        <v>131</v>
      </c>
      <c r="G161" s="1350"/>
      <c r="H161" s="1350"/>
      <c r="I161" s="1350"/>
      <c r="J161" s="1350"/>
      <c r="K161" s="1350"/>
      <c r="L161" s="3206" t="s">
        <v>6197</v>
      </c>
      <c r="M161" s="1729">
        <v>400</v>
      </c>
      <c r="N161" s="1857">
        <f t="shared" ref="N161:N167" si="15">M161/100000</f>
        <v>4.0000000000000001E-3</v>
      </c>
      <c r="O161" s="1317">
        <v>153300</v>
      </c>
      <c r="P161" s="2014">
        <f t="shared" ref="P161:P167" si="16">O161*N161</f>
        <v>613.20000000000005</v>
      </c>
      <c r="Q161" s="2112" t="s">
        <v>6942</v>
      </c>
      <c r="R161" s="1926">
        <f>'Ab1. RMNCH+A'!Q133</f>
        <v>0</v>
      </c>
      <c r="S161" s="2015">
        <f>'Ab1. RMNCH+A'!R133</f>
        <v>0</v>
      </c>
    </row>
    <row r="162" spans="1:19" ht="33">
      <c r="A162" s="2010">
        <v>2</v>
      </c>
      <c r="B162" s="2011" t="s">
        <v>1744</v>
      </c>
      <c r="C162" s="1855" t="s">
        <v>1745</v>
      </c>
      <c r="D162" s="1855" t="s">
        <v>1746</v>
      </c>
      <c r="E162" s="2046" t="s">
        <v>90</v>
      </c>
      <c r="F162" s="1948" t="s">
        <v>131</v>
      </c>
      <c r="G162" s="1350"/>
      <c r="H162" s="1350"/>
      <c r="I162" s="1350"/>
      <c r="J162" s="1350"/>
      <c r="K162" s="1350"/>
      <c r="L162" s="2022"/>
      <c r="M162" s="1729"/>
      <c r="N162" s="1857">
        <f t="shared" si="15"/>
        <v>0</v>
      </c>
      <c r="O162" s="1317"/>
      <c r="P162" s="2014">
        <f t="shared" si="16"/>
        <v>0</v>
      </c>
      <c r="Q162" s="1950" t="s">
        <v>6943</v>
      </c>
      <c r="R162" s="1926">
        <f>'Ab1. RMNCH+A'!Q134</f>
        <v>0</v>
      </c>
      <c r="S162" s="2015">
        <f>'Ab1. RMNCH+A'!R134</f>
        <v>0</v>
      </c>
    </row>
    <row r="163" spans="1:19" ht="33.75" thickBot="1">
      <c r="A163" s="2010">
        <v>3</v>
      </c>
      <c r="B163" s="2011" t="s">
        <v>1747</v>
      </c>
      <c r="C163" s="2084" t="s">
        <v>1748</v>
      </c>
      <c r="D163" s="2084" t="s">
        <v>1749</v>
      </c>
      <c r="E163" s="2046" t="s">
        <v>90</v>
      </c>
      <c r="F163" s="1948" t="s">
        <v>131</v>
      </c>
      <c r="G163" s="1350"/>
      <c r="H163" s="1350"/>
      <c r="I163" s="1337"/>
      <c r="J163" s="2023"/>
      <c r="K163" s="2047"/>
      <c r="L163" s="3508" t="s">
        <v>6153</v>
      </c>
      <c r="M163" s="2125">
        <v>7.86</v>
      </c>
      <c r="N163" s="1857">
        <f t="shared" si="15"/>
        <v>7.86E-5</v>
      </c>
      <c r="O163" s="2088">
        <v>33217439.199999992</v>
      </c>
      <c r="P163" s="2014">
        <f t="shared" si="16"/>
        <v>2610.8907211199994</v>
      </c>
      <c r="Q163" s="2125" t="s">
        <v>6944</v>
      </c>
      <c r="R163" s="1926">
        <f>'Ab1. RMNCH+A'!Q135</f>
        <v>0</v>
      </c>
      <c r="S163" s="2015">
        <f>'Ab1. RMNCH+A'!R135</f>
        <v>0</v>
      </c>
    </row>
    <row r="164" spans="1:19" ht="40.5" customHeight="1">
      <c r="A164" s="2010">
        <v>4</v>
      </c>
      <c r="B164" s="2011" t="s">
        <v>1750</v>
      </c>
      <c r="C164" s="2084" t="s">
        <v>1751</v>
      </c>
      <c r="D164" s="2084" t="s">
        <v>1752</v>
      </c>
      <c r="E164" s="2046" t="s">
        <v>90</v>
      </c>
      <c r="F164" s="1948" t="s">
        <v>131</v>
      </c>
      <c r="G164" s="1350"/>
      <c r="H164" s="1350"/>
      <c r="I164" s="2023"/>
      <c r="J164" s="2023"/>
      <c r="K164" s="1350"/>
      <c r="L164" s="2061" t="s">
        <v>6198</v>
      </c>
      <c r="M164" s="3523">
        <v>40000000</v>
      </c>
      <c r="N164" s="1857">
        <f t="shared" si="15"/>
        <v>400</v>
      </c>
      <c r="O164" s="2089">
        <v>1</v>
      </c>
      <c r="P164" s="2014">
        <f t="shared" si="16"/>
        <v>400</v>
      </c>
      <c r="Q164" s="2126" t="s">
        <v>6199</v>
      </c>
      <c r="R164" s="1926">
        <f>'Ab1. RMNCH+A'!Q136</f>
        <v>0</v>
      </c>
      <c r="S164" s="2015">
        <f>'Ab1. RMNCH+A'!R136</f>
        <v>0</v>
      </c>
    </row>
    <row r="165" spans="1:19" ht="33.75" thickBot="1">
      <c r="A165" s="2010">
        <v>5</v>
      </c>
      <c r="B165" s="2011" t="s">
        <v>1753</v>
      </c>
      <c r="C165" s="2084" t="s">
        <v>1754</v>
      </c>
      <c r="D165" s="2085" t="s">
        <v>4091</v>
      </c>
      <c r="E165" s="2046" t="s">
        <v>90</v>
      </c>
      <c r="F165" s="1948" t="s">
        <v>131</v>
      </c>
      <c r="G165" s="1350"/>
      <c r="H165" s="1350"/>
      <c r="I165" s="2023"/>
      <c r="J165" s="2023"/>
      <c r="K165" s="2047"/>
      <c r="L165" s="3508" t="s">
        <v>5844</v>
      </c>
      <c r="M165" s="2125">
        <v>0.11</v>
      </c>
      <c r="N165" s="1857">
        <f t="shared" si="15"/>
        <v>1.1000000000000001E-6</v>
      </c>
      <c r="O165" s="1317">
        <v>1100584570.7999997</v>
      </c>
      <c r="P165" s="2014">
        <f t="shared" si="16"/>
        <v>1210.6430278799996</v>
      </c>
      <c r="Q165" s="2125" t="s">
        <v>6154</v>
      </c>
      <c r="R165" s="1926">
        <f>'Ab1. RMNCH+A'!Q137</f>
        <v>0</v>
      </c>
      <c r="S165" s="2015">
        <f>'Ab1. RMNCH+A'!R137</f>
        <v>0</v>
      </c>
    </row>
    <row r="166" spans="1:19" ht="33">
      <c r="A166" s="2010">
        <v>6</v>
      </c>
      <c r="B166" s="2011" t="s">
        <v>1755</v>
      </c>
      <c r="C166" s="2084" t="s">
        <v>1756</v>
      </c>
      <c r="D166" s="2084" t="s">
        <v>4092</v>
      </c>
      <c r="E166" s="2046" t="s">
        <v>90</v>
      </c>
      <c r="F166" s="1948" t="s">
        <v>131</v>
      </c>
      <c r="G166" s="1350"/>
      <c r="H166" s="1350"/>
      <c r="I166" s="1350"/>
      <c r="J166" s="1350"/>
      <c r="K166" s="1350"/>
      <c r="L166" s="2061" t="s">
        <v>6198</v>
      </c>
      <c r="M166" s="3523">
        <v>40000000</v>
      </c>
      <c r="N166" s="1857">
        <f t="shared" si="15"/>
        <v>400</v>
      </c>
      <c r="O166" s="2090">
        <v>1</v>
      </c>
      <c r="P166" s="2014">
        <f t="shared" si="16"/>
        <v>400</v>
      </c>
      <c r="Q166" s="2126" t="s">
        <v>6200</v>
      </c>
      <c r="R166" s="1926">
        <f>'Ab1. RMNCH+A'!Q138</f>
        <v>0</v>
      </c>
      <c r="S166" s="2015">
        <f>'Ab1. RMNCH+A'!R138</f>
        <v>0</v>
      </c>
    </row>
    <row r="167" spans="1:19" ht="82.5">
      <c r="A167" s="2010">
        <v>7</v>
      </c>
      <c r="B167" s="2011" t="s">
        <v>1757</v>
      </c>
      <c r="C167" s="1855" t="s">
        <v>1758</v>
      </c>
      <c r="D167" s="1855" t="s">
        <v>1759</v>
      </c>
      <c r="E167" s="2046" t="s">
        <v>90</v>
      </c>
      <c r="F167" s="1948" t="s">
        <v>131</v>
      </c>
      <c r="G167" s="1350">
        <v>306703</v>
      </c>
      <c r="H167" s="1350"/>
      <c r="I167" s="1350">
        <v>337.37</v>
      </c>
      <c r="J167" s="1350"/>
      <c r="K167" s="1350"/>
      <c r="L167" s="3137" t="s">
        <v>5863</v>
      </c>
      <c r="M167" s="1729">
        <v>110</v>
      </c>
      <c r="N167" s="1857">
        <f t="shared" si="15"/>
        <v>1.1000000000000001E-3</v>
      </c>
      <c r="O167" s="1317">
        <v>400000</v>
      </c>
      <c r="P167" s="2014">
        <f t="shared" si="16"/>
        <v>440</v>
      </c>
      <c r="Q167" s="1950" t="s">
        <v>6575</v>
      </c>
      <c r="R167" s="1926">
        <f>'Ab1. RMNCH+A'!Q139</f>
        <v>0</v>
      </c>
      <c r="S167" s="2015">
        <f>'Ab1. RMNCH+A'!R139</f>
        <v>0</v>
      </c>
    </row>
    <row r="168" spans="1:19" ht="33">
      <c r="A168" s="2010">
        <v>8</v>
      </c>
      <c r="B168" s="2003" t="s">
        <v>1760</v>
      </c>
      <c r="C168" s="2004" t="s">
        <v>832</v>
      </c>
      <c r="D168" s="2003" t="s">
        <v>1761</v>
      </c>
      <c r="E168" s="2005"/>
      <c r="F168" s="2005"/>
      <c r="G168" s="2025"/>
      <c r="H168" s="2025"/>
      <c r="I168" s="2025"/>
      <c r="J168" s="2025"/>
      <c r="K168" s="2025"/>
      <c r="L168" s="3507"/>
      <c r="M168" s="3519"/>
      <c r="N168" s="2006"/>
      <c r="O168" s="2025"/>
      <c r="P168" s="2006">
        <f>SUM(P169:P171)</f>
        <v>672.93675599999995</v>
      </c>
      <c r="Q168" s="3519"/>
      <c r="R168" s="2008"/>
      <c r="S168" s="1902">
        <f>SUM(S169:S171)</f>
        <v>0</v>
      </c>
    </row>
    <row r="169" spans="1:19" ht="49.5">
      <c r="A169" s="2010" t="s">
        <v>4931</v>
      </c>
      <c r="B169" s="2011" t="s">
        <v>4295</v>
      </c>
      <c r="C169" s="1855" t="s">
        <v>1762</v>
      </c>
      <c r="D169" s="1855" t="s">
        <v>1763</v>
      </c>
      <c r="E169" s="2046" t="s">
        <v>90</v>
      </c>
      <c r="F169" s="1948" t="s">
        <v>131</v>
      </c>
      <c r="G169" s="1350"/>
      <c r="H169" s="1350"/>
      <c r="I169" s="1350"/>
      <c r="J169" s="1350"/>
      <c r="K169" s="1350"/>
      <c r="L169" s="2022" t="s">
        <v>6201</v>
      </c>
      <c r="M169" s="1729">
        <v>2.46</v>
      </c>
      <c r="N169" s="1857">
        <f>M169/100000</f>
        <v>2.4599999999999998E-5</v>
      </c>
      <c r="O169" s="1317">
        <v>24165560</v>
      </c>
      <c r="P169" s="2014">
        <f>O169*N169</f>
        <v>594.47277599999995</v>
      </c>
      <c r="Q169" s="2127" t="s">
        <v>6203</v>
      </c>
      <c r="R169" s="1926">
        <f>'Ab1. RMNCH+A'!Q140</f>
        <v>0</v>
      </c>
      <c r="S169" s="2015">
        <f>'Ab1. RMNCH+A'!R140</f>
        <v>0</v>
      </c>
    </row>
    <row r="170" spans="1:19" ht="33">
      <c r="A170" s="2010" t="s">
        <v>4932</v>
      </c>
      <c r="B170" s="2011" t="s">
        <v>4296</v>
      </c>
      <c r="C170" s="1855" t="s">
        <v>1764</v>
      </c>
      <c r="D170" s="1855" t="s">
        <v>1765</v>
      </c>
      <c r="E170" s="2046" t="s">
        <v>90</v>
      </c>
      <c r="F170" s="1948" t="s">
        <v>131</v>
      </c>
      <c r="G170" s="1350"/>
      <c r="H170" s="1350"/>
      <c r="I170" s="1350"/>
      <c r="J170" s="1350"/>
      <c r="K170" s="1350"/>
      <c r="L170" s="2061" t="s">
        <v>6202</v>
      </c>
      <c r="M170" s="1729">
        <v>0.3</v>
      </c>
      <c r="N170" s="1857">
        <f>M170/100000</f>
        <v>3.0000000000000001E-6</v>
      </c>
      <c r="O170" s="1317">
        <v>26154660</v>
      </c>
      <c r="P170" s="2014">
        <f>O170*N170</f>
        <v>78.463980000000006</v>
      </c>
      <c r="Q170" s="2127" t="s">
        <v>6204</v>
      </c>
      <c r="R170" s="1926">
        <f>'Ab1. RMNCH+A'!Q141</f>
        <v>0</v>
      </c>
      <c r="S170" s="2015">
        <f>'Ab1. RMNCH+A'!R141</f>
        <v>0</v>
      </c>
    </row>
    <row r="171" spans="1:19">
      <c r="A171" s="2010" t="s">
        <v>4815</v>
      </c>
      <c r="B171" s="2011" t="s">
        <v>4297</v>
      </c>
      <c r="C171" s="2020"/>
      <c r="D171" s="1855" t="s">
        <v>1766</v>
      </c>
      <c r="E171" s="2046" t="s">
        <v>90</v>
      </c>
      <c r="F171" s="1948" t="s">
        <v>131</v>
      </c>
      <c r="G171" s="1350"/>
      <c r="H171" s="1350"/>
      <c r="I171" s="1350"/>
      <c r="J171" s="1350"/>
      <c r="K171" s="1350"/>
      <c r="L171" s="2022"/>
      <c r="M171" s="1729"/>
      <c r="N171" s="1857">
        <f>M171/100000</f>
        <v>0</v>
      </c>
      <c r="O171" s="1317"/>
      <c r="P171" s="2014">
        <f>O171*N171</f>
        <v>0</v>
      </c>
      <c r="Q171" s="2019"/>
      <c r="R171" s="1926">
        <f>'Ab1. RMNCH+A'!Q142</f>
        <v>0</v>
      </c>
      <c r="S171" s="2015">
        <f>'Ab1. RMNCH+A'!R142</f>
        <v>0</v>
      </c>
    </row>
    <row r="172" spans="1:19">
      <c r="A172" s="2010">
        <v>12</v>
      </c>
      <c r="B172" s="2011" t="s">
        <v>1767</v>
      </c>
      <c r="C172" s="2020"/>
      <c r="D172" s="1855" t="s">
        <v>1738</v>
      </c>
      <c r="E172" s="2046" t="s">
        <v>90</v>
      </c>
      <c r="F172" s="1948" t="s">
        <v>131</v>
      </c>
      <c r="G172" s="1350"/>
      <c r="H172" s="1350"/>
      <c r="I172" s="1350"/>
      <c r="J172" s="1350"/>
      <c r="K172" s="1350"/>
      <c r="L172" s="3137"/>
      <c r="M172" s="1729"/>
      <c r="N172" s="1857">
        <f>M172/100000</f>
        <v>0</v>
      </c>
      <c r="O172" s="1317"/>
      <c r="P172" s="2014">
        <f>O172*N172</f>
        <v>0</v>
      </c>
      <c r="Q172" s="2019"/>
      <c r="R172" s="1926">
        <f>'Ab1. RMNCH+A'!Q143</f>
        <v>0</v>
      </c>
      <c r="S172" s="2015">
        <f>'Ab1. RMNCH+A'!R143</f>
        <v>0</v>
      </c>
    </row>
    <row r="173" spans="1:19">
      <c r="A173" s="2002" t="s">
        <v>4355</v>
      </c>
      <c r="B173" s="2073" t="s">
        <v>1768</v>
      </c>
      <c r="C173" s="2074" t="s">
        <v>1769</v>
      </c>
      <c r="D173" s="2075" t="s">
        <v>1770</v>
      </c>
      <c r="E173" s="2076"/>
      <c r="F173" s="1304"/>
      <c r="G173" s="2077"/>
      <c r="H173" s="2077"/>
      <c r="I173" s="2077"/>
      <c r="J173" s="2077"/>
      <c r="K173" s="2077"/>
      <c r="L173" s="3515"/>
      <c r="M173" s="3228"/>
      <c r="N173" s="2079"/>
      <c r="O173" s="2077"/>
      <c r="P173" s="2079">
        <f>SUM(P174:P175)</f>
        <v>231.44009</v>
      </c>
      <c r="Q173" s="2080"/>
      <c r="R173" s="1521"/>
      <c r="S173" s="1892">
        <f>SUM(S174:S175)</f>
        <v>0</v>
      </c>
    </row>
    <row r="174" spans="1:19" s="2032" customFormat="1" ht="49.5">
      <c r="A174" s="2027">
        <v>1</v>
      </c>
      <c r="B174" s="2016" t="s">
        <v>1771</v>
      </c>
      <c r="C174" s="2445" t="s">
        <v>171</v>
      </c>
      <c r="D174" s="2020" t="s">
        <v>1608</v>
      </c>
      <c r="E174" s="3190" t="s">
        <v>90</v>
      </c>
      <c r="F174" s="2028" t="s">
        <v>91</v>
      </c>
      <c r="G174" s="2029">
        <v>89007</v>
      </c>
      <c r="H174" s="2029">
        <v>197388</v>
      </c>
      <c r="I174" s="2029">
        <v>222.52</v>
      </c>
      <c r="J174" s="2029">
        <v>493.47</v>
      </c>
      <c r="K174" s="2029"/>
      <c r="L174" s="3206" t="s">
        <v>5987</v>
      </c>
      <c r="M174" s="2423">
        <v>250</v>
      </c>
      <c r="N174" s="2688">
        <f>M174/100000</f>
        <v>2.5000000000000001E-3</v>
      </c>
      <c r="O174" s="1714">
        <v>88076</v>
      </c>
      <c r="P174" s="2030">
        <f>O174*N174</f>
        <v>220.19</v>
      </c>
      <c r="Q174" s="3191" t="s">
        <v>6567</v>
      </c>
      <c r="R174" s="3015">
        <f>'Ab1. RMNCH+A'!Q232</f>
        <v>0</v>
      </c>
      <c r="S174" s="3192">
        <f>'Ab1. RMNCH+A'!R232</f>
        <v>0</v>
      </c>
    </row>
    <row r="175" spans="1:19" s="3744" customFormat="1" ht="60.75" customHeight="1">
      <c r="A175" s="3731">
        <v>2</v>
      </c>
      <c r="B175" s="3732" t="s">
        <v>1772</v>
      </c>
      <c r="C175" s="3801" t="s">
        <v>2848</v>
      </c>
      <c r="D175" s="3801" t="s">
        <v>1738</v>
      </c>
      <c r="E175" s="3733" t="s">
        <v>90</v>
      </c>
      <c r="F175" s="3734" t="s">
        <v>91</v>
      </c>
      <c r="G175" s="3735">
        <v>47</v>
      </c>
      <c r="H175" s="3735">
        <v>15</v>
      </c>
      <c r="I175" s="3735">
        <v>14.1</v>
      </c>
      <c r="J175" s="3735">
        <v>4.33</v>
      </c>
      <c r="K175" s="3735"/>
      <c r="L175" s="3748" t="s">
        <v>6819</v>
      </c>
      <c r="M175" s="3737">
        <v>41667</v>
      </c>
      <c r="N175" s="3738">
        <f>M175/100000</f>
        <v>0.41666999999999998</v>
      </c>
      <c r="O175" s="3739">
        <v>27</v>
      </c>
      <c r="P175" s="3740">
        <f>O175*N175</f>
        <v>11.25009</v>
      </c>
      <c r="Q175" s="3741" t="s">
        <v>6820</v>
      </c>
      <c r="R175" s="3742">
        <f>'Ab1. RMNCH+A'!Q233</f>
        <v>0</v>
      </c>
      <c r="S175" s="3743">
        <f>'Ab1. RMNCH+A'!R233</f>
        <v>0</v>
      </c>
    </row>
    <row r="176" spans="1:19">
      <c r="A176" s="2002" t="s">
        <v>4356</v>
      </c>
      <c r="B176" s="2073" t="s">
        <v>1773</v>
      </c>
      <c r="C176" s="2074"/>
      <c r="D176" s="2075" t="s">
        <v>1774</v>
      </c>
      <c r="E176" s="2076"/>
      <c r="F176" s="1304"/>
      <c r="G176" s="2077"/>
      <c r="H176" s="2077"/>
      <c r="I176" s="2077"/>
      <c r="J176" s="2077"/>
      <c r="K176" s="2077"/>
      <c r="L176" s="3515"/>
      <c r="M176" s="3228"/>
      <c r="N176" s="2079"/>
      <c r="O176" s="2077"/>
      <c r="P176" s="2079">
        <f>SUM(P177:P180)</f>
        <v>1040.8356415999999</v>
      </c>
      <c r="Q176" s="2080"/>
      <c r="R176" s="1521"/>
      <c r="S176" s="1892">
        <f>SUM(S177:S180)</f>
        <v>0</v>
      </c>
    </row>
    <row r="177" spans="1:19" ht="84.75" customHeight="1" thickBot="1">
      <c r="A177" s="2010">
        <v>1</v>
      </c>
      <c r="B177" s="2011" t="s">
        <v>1775</v>
      </c>
      <c r="C177" s="2084" t="s">
        <v>1776</v>
      </c>
      <c r="D177" s="2084" t="s">
        <v>4093</v>
      </c>
      <c r="E177" s="1534" t="s">
        <v>90</v>
      </c>
      <c r="F177" s="1948" t="s">
        <v>193</v>
      </c>
      <c r="G177" s="1350"/>
      <c r="H177" s="1350"/>
      <c r="I177" s="2091"/>
      <c r="J177" s="2023"/>
      <c r="K177" s="1350"/>
      <c r="L177" s="2061" t="s">
        <v>5844</v>
      </c>
      <c r="M177" s="1729">
        <v>0.16</v>
      </c>
      <c r="N177" s="1857">
        <f>M177/100000</f>
        <v>1.5999999999999999E-6</v>
      </c>
      <c r="O177" s="1317">
        <v>275522276</v>
      </c>
      <c r="P177" s="2014">
        <f>O177*N177</f>
        <v>440.83564159999997</v>
      </c>
      <c r="Q177" s="3098" t="s">
        <v>6554</v>
      </c>
      <c r="R177" s="1926">
        <f>'Ab1. RMNCH+A'!Q307</f>
        <v>0</v>
      </c>
      <c r="S177" s="2015">
        <f>'Ab1. RMNCH+A'!R307</f>
        <v>0</v>
      </c>
    </row>
    <row r="178" spans="1:19" s="2032" customFormat="1" ht="33">
      <c r="A178" s="2027">
        <v>2</v>
      </c>
      <c r="B178" s="2016" t="s">
        <v>1777</v>
      </c>
      <c r="C178" s="2016" t="s">
        <v>1778</v>
      </c>
      <c r="D178" s="2016" t="s">
        <v>4094</v>
      </c>
      <c r="E178" s="3209" t="s">
        <v>90</v>
      </c>
      <c r="F178" s="2028" t="s">
        <v>193</v>
      </c>
      <c r="G178" s="1349"/>
      <c r="H178" s="1349"/>
      <c r="I178" s="3210"/>
      <c r="J178" s="3210"/>
      <c r="K178" s="1349"/>
      <c r="L178" s="3206" t="s">
        <v>6198</v>
      </c>
      <c r="M178" s="3523">
        <v>60000000</v>
      </c>
      <c r="N178" s="2688">
        <f>M178/100000</f>
        <v>600</v>
      </c>
      <c r="O178" s="1714">
        <v>1</v>
      </c>
      <c r="P178" s="2030">
        <f>O178*N178</f>
        <v>600</v>
      </c>
      <c r="Q178" s="2126" t="s">
        <v>6200</v>
      </c>
      <c r="R178" s="3015">
        <f>'Ab1. RMNCH+A'!Q308</f>
        <v>0</v>
      </c>
      <c r="S178" s="3192">
        <f>'Ab1. RMNCH+A'!R308</f>
        <v>0</v>
      </c>
    </row>
    <row r="179" spans="1:19" s="2032" customFormat="1" ht="72" customHeight="1">
      <c r="A179" s="2027">
        <v>3</v>
      </c>
      <c r="B179" s="2016" t="s">
        <v>1779</v>
      </c>
      <c r="C179" s="2020" t="s">
        <v>1780</v>
      </c>
      <c r="D179" s="2020" t="s">
        <v>1781</v>
      </c>
      <c r="E179" s="3209" t="s">
        <v>90</v>
      </c>
      <c r="F179" s="2028" t="s">
        <v>193</v>
      </c>
      <c r="G179" s="1349"/>
      <c r="H179" s="1349"/>
      <c r="I179" s="1349"/>
      <c r="J179" s="1349"/>
      <c r="K179" s="1349"/>
      <c r="L179" s="3506"/>
      <c r="M179" s="2423"/>
      <c r="N179" s="2688">
        <f>M179/100000</f>
        <v>0</v>
      </c>
      <c r="O179" s="1714"/>
      <c r="P179" s="2030">
        <f>O179*N179</f>
        <v>0</v>
      </c>
      <c r="Q179" s="3211" t="s">
        <v>6555</v>
      </c>
      <c r="R179" s="3015">
        <f>'Ab1. RMNCH+A'!Q309</f>
        <v>0</v>
      </c>
      <c r="S179" s="3192">
        <f>'Ab1. RMNCH+A'!R309</f>
        <v>0</v>
      </c>
    </row>
    <row r="180" spans="1:19" ht="41.25" customHeight="1">
      <c r="A180" s="2010">
        <v>4</v>
      </c>
      <c r="B180" s="2011" t="s">
        <v>1782</v>
      </c>
      <c r="C180" s="2020"/>
      <c r="D180" s="1855" t="s">
        <v>1738</v>
      </c>
      <c r="E180" s="1534" t="s">
        <v>90</v>
      </c>
      <c r="F180" s="1948" t="s">
        <v>193</v>
      </c>
      <c r="G180" s="1350"/>
      <c r="H180" s="1350"/>
      <c r="I180" s="1350"/>
      <c r="J180" s="1350"/>
      <c r="K180" s="1350"/>
      <c r="L180" s="2022"/>
      <c r="M180" s="1729"/>
      <c r="N180" s="1857">
        <f>M180/100000</f>
        <v>0</v>
      </c>
      <c r="O180" s="1317"/>
      <c r="P180" s="2014">
        <f>O180*N180</f>
        <v>0</v>
      </c>
      <c r="Q180" s="2019"/>
      <c r="R180" s="1926">
        <f>'Ab1. RMNCH+A'!Q310</f>
        <v>0</v>
      </c>
      <c r="S180" s="2015">
        <f>'Ab1. RMNCH+A'!R310</f>
        <v>0</v>
      </c>
    </row>
    <row r="181" spans="1:19">
      <c r="A181" s="2002" t="s">
        <v>4664</v>
      </c>
      <c r="B181" s="2073" t="s">
        <v>1783</v>
      </c>
      <c r="C181" s="2074"/>
      <c r="D181" s="2075" t="s">
        <v>1784</v>
      </c>
      <c r="E181" s="2076"/>
      <c r="F181" s="1304"/>
      <c r="G181" s="2077"/>
      <c r="H181" s="2077"/>
      <c r="I181" s="2077"/>
      <c r="J181" s="2077"/>
      <c r="K181" s="2077"/>
      <c r="L181" s="3515"/>
      <c r="M181" s="3228"/>
      <c r="N181" s="2079"/>
      <c r="O181" s="2077"/>
      <c r="P181" s="2079">
        <f>SUM(P182:P183)</f>
        <v>223.5662208</v>
      </c>
      <c r="Q181" s="2080"/>
      <c r="R181" s="1521"/>
      <c r="S181" s="1892">
        <f>SUM(S182:S183)</f>
        <v>0</v>
      </c>
    </row>
    <row r="182" spans="1:19" ht="105" customHeight="1">
      <c r="A182" s="2010">
        <v>1</v>
      </c>
      <c r="B182" s="2011" t="s">
        <v>1785</v>
      </c>
      <c r="C182" s="1855" t="s">
        <v>1786</v>
      </c>
      <c r="D182" s="1855" t="s">
        <v>1787</v>
      </c>
      <c r="E182" s="2046" t="s">
        <v>90</v>
      </c>
      <c r="F182" s="1948" t="s">
        <v>96</v>
      </c>
      <c r="G182" s="1345">
        <v>9312</v>
      </c>
      <c r="H182" s="1345"/>
      <c r="I182" s="2128">
        <v>328.62</v>
      </c>
      <c r="J182" s="2118"/>
      <c r="K182" s="2121"/>
      <c r="L182" s="2116" t="s">
        <v>6259</v>
      </c>
      <c r="M182" s="3520">
        <v>28810.080000000002</v>
      </c>
      <c r="N182" s="1857">
        <f>M182/100000</f>
        <v>0.28810079999999999</v>
      </c>
      <c r="O182" s="1346">
        <v>776</v>
      </c>
      <c r="P182" s="2014">
        <f>O182*N182</f>
        <v>223.5662208</v>
      </c>
      <c r="Q182" s="1827" t="s">
        <v>6553</v>
      </c>
      <c r="R182" s="1926">
        <f>'Ab1. RMNCH+A'!Q360</f>
        <v>0</v>
      </c>
      <c r="S182" s="2015">
        <f>'Ab1. RMNCH+A'!R360</f>
        <v>0</v>
      </c>
    </row>
    <row r="183" spans="1:19">
      <c r="A183" s="2010">
        <v>2</v>
      </c>
      <c r="B183" s="2011" t="s">
        <v>1788</v>
      </c>
      <c r="C183" s="2020"/>
      <c r="D183" s="1855" t="s">
        <v>1738</v>
      </c>
      <c r="E183" s="2046" t="s">
        <v>90</v>
      </c>
      <c r="F183" s="1948" t="s">
        <v>96</v>
      </c>
      <c r="G183" s="1350"/>
      <c r="H183" s="1350"/>
      <c r="I183" s="1350"/>
      <c r="J183" s="1350"/>
      <c r="K183" s="1350"/>
      <c r="L183" s="2022"/>
      <c r="M183" s="1729"/>
      <c r="N183" s="1857">
        <f>M183/100000</f>
        <v>0</v>
      </c>
      <c r="O183" s="1317"/>
      <c r="P183" s="2014">
        <f>O183*N183</f>
        <v>0</v>
      </c>
      <c r="Q183" s="1950"/>
      <c r="R183" s="1926">
        <f>'Ab1. RMNCH+A'!Q361</f>
        <v>0</v>
      </c>
      <c r="S183" s="2015">
        <f>'Ab1. RMNCH+A'!R361</f>
        <v>0</v>
      </c>
    </row>
    <row r="184" spans="1:19">
      <c r="A184" s="2002" t="s">
        <v>4665</v>
      </c>
      <c r="B184" s="2073" t="s">
        <v>1825</v>
      </c>
      <c r="C184" s="2074"/>
      <c r="D184" s="2075" t="s">
        <v>4986</v>
      </c>
      <c r="E184" s="2076"/>
      <c r="F184" s="1304"/>
      <c r="G184" s="2077"/>
      <c r="H184" s="2077"/>
      <c r="I184" s="2077"/>
      <c r="J184" s="2077"/>
      <c r="K184" s="2077"/>
      <c r="L184" s="3515"/>
      <c r="M184" s="3228"/>
      <c r="N184" s="2079"/>
      <c r="O184" s="2077"/>
      <c r="P184" s="2079">
        <f>SUM(P185:P186)</f>
        <v>100.70083999999999</v>
      </c>
      <c r="Q184" s="3228"/>
      <c r="R184" s="1521"/>
      <c r="S184" s="1892">
        <f>SUM(S185:S186)</f>
        <v>0</v>
      </c>
    </row>
    <row r="185" spans="1:19" ht="69.75" customHeight="1">
      <c r="A185" s="2010">
        <v>1</v>
      </c>
      <c r="B185" s="2011" t="s">
        <v>1808</v>
      </c>
      <c r="C185" s="1855" t="s">
        <v>1809</v>
      </c>
      <c r="D185" s="1855" t="s">
        <v>1810</v>
      </c>
      <c r="E185" s="2046" t="s">
        <v>90</v>
      </c>
      <c r="F185" s="1948" t="s">
        <v>205</v>
      </c>
      <c r="G185" s="1350">
        <v>1407384</v>
      </c>
      <c r="H185" s="1350"/>
      <c r="I185" s="2023">
        <v>84.44</v>
      </c>
      <c r="J185" s="2023"/>
      <c r="K185" s="2047"/>
      <c r="L185" s="2061" t="s">
        <v>5864</v>
      </c>
      <c r="M185" s="1729">
        <v>7</v>
      </c>
      <c r="N185" s="1857">
        <f>M185/100000</f>
        <v>6.9999999999999994E-5</v>
      </c>
      <c r="O185" s="1317">
        <f>117501*12</f>
        <v>1410012</v>
      </c>
      <c r="P185" s="2014">
        <f>O185*N185</f>
        <v>98.700839999999985</v>
      </c>
      <c r="Q185" s="2446" t="s">
        <v>5866</v>
      </c>
      <c r="R185" s="1926">
        <f>'Ab1. RMNCH+A'!Q412</f>
        <v>0</v>
      </c>
      <c r="S185" s="2015">
        <f>'Ab1. RMNCH+A'!R412</f>
        <v>0</v>
      </c>
    </row>
    <row r="186" spans="1:19" ht="54.75" customHeight="1">
      <c r="A186" s="2010">
        <v>2</v>
      </c>
      <c r="B186" s="2011" t="s">
        <v>1811</v>
      </c>
      <c r="C186" s="1855" t="s">
        <v>1635</v>
      </c>
      <c r="D186" s="1855" t="s">
        <v>1812</v>
      </c>
      <c r="E186" s="2046" t="s">
        <v>90</v>
      </c>
      <c r="F186" s="1948" t="s">
        <v>205</v>
      </c>
      <c r="G186" s="1350"/>
      <c r="H186" s="1350"/>
      <c r="I186" s="2023"/>
      <c r="J186" s="2023"/>
      <c r="K186" s="1350"/>
      <c r="L186" s="2061" t="s">
        <v>5865</v>
      </c>
      <c r="M186" s="1729">
        <v>20000</v>
      </c>
      <c r="N186" s="1857">
        <f>M186/100000</f>
        <v>0.2</v>
      </c>
      <c r="O186" s="1317">
        <v>10</v>
      </c>
      <c r="P186" s="2014">
        <f>O186*N186</f>
        <v>2</v>
      </c>
      <c r="Q186" s="4094" t="s">
        <v>6576</v>
      </c>
      <c r="R186" s="1926">
        <f>'Ab1. RMNCH+A'!Q413</f>
        <v>0</v>
      </c>
      <c r="S186" s="2015">
        <f>'Ab1. RMNCH+A'!R413</f>
        <v>0</v>
      </c>
    </row>
    <row r="187" spans="1:19">
      <c r="A187" s="2002" t="s">
        <v>4666</v>
      </c>
      <c r="B187" s="2073" t="s">
        <v>1825</v>
      </c>
      <c r="C187" s="2074"/>
      <c r="D187" s="2075" t="s">
        <v>1826</v>
      </c>
      <c r="E187" s="2076"/>
      <c r="F187" s="1304"/>
      <c r="G187" s="2077"/>
      <c r="H187" s="2077"/>
      <c r="I187" s="2077"/>
      <c r="J187" s="2077"/>
      <c r="K187" s="2077"/>
      <c r="L187" s="3515"/>
      <c r="M187" s="3228"/>
      <c r="N187" s="2079"/>
      <c r="O187" s="2077"/>
      <c r="P187" s="2079">
        <f>SUM(P188:P189)</f>
        <v>31.8705</v>
      </c>
      <c r="Q187" s="2080"/>
      <c r="R187" s="1521"/>
      <c r="S187" s="1892">
        <f>SUM(S188:S189)</f>
        <v>0</v>
      </c>
    </row>
    <row r="188" spans="1:19" s="3744" customFormat="1" ht="66">
      <c r="A188" s="3731">
        <v>1</v>
      </c>
      <c r="B188" s="3732" t="s">
        <v>1827</v>
      </c>
      <c r="C188" s="3732" t="s">
        <v>1828</v>
      </c>
      <c r="D188" s="3732" t="s">
        <v>2389</v>
      </c>
      <c r="E188" s="3733" t="s">
        <v>90</v>
      </c>
      <c r="F188" s="3734" t="s">
        <v>208</v>
      </c>
      <c r="G188" s="3735">
        <v>7500</v>
      </c>
      <c r="H188" s="3735">
        <v>0</v>
      </c>
      <c r="I188" s="3735">
        <v>18</v>
      </c>
      <c r="J188" s="3735">
        <v>0</v>
      </c>
      <c r="K188" s="3735">
        <v>0</v>
      </c>
      <c r="L188" s="3736" t="s">
        <v>6320</v>
      </c>
      <c r="M188" s="3737">
        <v>25</v>
      </c>
      <c r="N188" s="3738">
        <f>M188/100000</f>
        <v>2.5000000000000001E-4</v>
      </c>
      <c r="O188" s="3739">
        <v>127482</v>
      </c>
      <c r="P188" s="3740">
        <f>O188*N188</f>
        <v>31.8705</v>
      </c>
      <c r="Q188" s="3741" t="s">
        <v>6806</v>
      </c>
      <c r="R188" s="3742">
        <f>'Ab2. NIDDCP'!Q13</f>
        <v>0</v>
      </c>
      <c r="S188" s="3743">
        <f>'Ab2. NIDDCP'!R13</f>
        <v>0</v>
      </c>
    </row>
    <row r="189" spans="1:19">
      <c r="A189" s="2010">
        <v>2</v>
      </c>
      <c r="B189" s="2011" t="s">
        <v>1829</v>
      </c>
      <c r="C189" s="2020"/>
      <c r="D189" s="1855" t="s">
        <v>1814</v>
      </c>
      <c r="E189" s="2046" t="s">
        <v>90</v>
      </c>
      <c r="F189" s="1948" t="s">
        <v>208</v>
      </c>
      <c r="G189" s="1350"/>
      <c r="H189" s="1350"/>
      <c r="I189" s="1350"/>
      <c r="J189" s="1350"/>
      <c r="K189" s="1350"/>
      <c r="L189" s="2022"/>
      <c r="M189" s="1729"/>
      <c r="N189" s="1857">
        <f>M189/100000</f>
        <v>0</v>
      </c>
      <c r="O189" s="1317"/>
      <c r="P189" s="2014">
        <f>O189*N189</f>
        <v>0</v>
      </c>
      <c r="Q189" s="2019"/>
      <c r="R189" s="1926">
        <f>'Ab2. NIDDCP'!Q14</f>
        <v>0</v>
      </c>
      <c r="S189" s="2015">
        <f>'Ab2. NIDDCP'!R14</f>
        <v>0</v>
      </c>
    </row>
    <row r="190" spans="1:19">
      <c r="A190" s="4410" t="s">
        <v>4966</v>
      </c>
      <c r="B190" s="4410"/>
      <c r="C190" s="4410"/>
      <c r="D190" s="4410"/>
      <c r="E190" s="1779"/>
      <c r="F190" s="1779"/>
      <c r="G190" s="2049"/>
      <c r="H190" s="2049"/>
      <c r="I190" s="2049"/>
      <c r="J190" s="2049"/>
      <c r="K190" s="2049"/>
      <c r="L190" s="1781"/>
      <c r="M190" s="2049"/>
      <c r="N190" s="1997"/>
      <c r="O190" s="2050"/>
      <c r="P190" s="1997"/>
      <c r="Q190" s="1782"/>
      <c r="R190" s="1735"/>
      <c r="S190" s="1694"/>
    </row>
    <row r="191" spans="1:19">
      <c r="A191" s="2002" t="s">
        <v>4350</v>
      </c>
      <c r="B191" s="2073" t="s">
        <v>1789</v>
      </c>
      <c r="C191" s="2074"/>
      <c r="D191" s="2075" t="s">
        <v>1790</v>
      </c>
      <c r="E191" s="2076"/>
      <c r="F191" s="1304"/>
      <c r="G191" s="2077"/>
      <c r="H191" s="2077"/>
      <c r="I191" s="2077"/>
      <c r="J191" s="2077"/>
      <c r="K191" s="2077"/>
      <c r="L191" s="3515"/>
      <c r="M191" s="3228"/>
      <c r="N191" s="2079"/>
      <c r="O191" s="2077"/>
      <c r="P191" s="2079">
        <f>SUM(P192:P196)</f>
        <v>151.14000000000001</v>
      </c>
      <c r="Q191" s="2080"/>
      <c r="R191" s="1521"/>
      <c r="S191" s="1892">
        <f>SUM(S192:S196)</f>
        <v>0</v>
      </c>
    </row>
    <row r="192" spans="1:19">
      <c r="A192" s="2010">
        <v>1</v>
      </c>
      <c r="B192" s="2011" t="s">
        <v>1791</v>
      </c>
      <c r="C192" s="1855" t="s">
        <v>1792</v>
      </c>
      <c r="D192" s="1855" t="s">
        <v>1793</v>
      </c>
      <c r="E192" s="1281" t="s">
        <v>70</v>
      </c>
      <c r="F192" s="1948" t="s">
        <v>4985</v>
      </c>
      <c r="G192" s="1350"/>
      <c r="H192" s="1350"/>
      <c r="I192" s="1350"/>
      <c r="J192" s="1350"/>
      <c r="K192" s="1350"/>
      <c r="L192" s="2022"/>
      <c r="M192" s="1729"/>
      <c r="N192" s="1857">
        <f>M192/100000</f>
        <v>0</v>
      </c>
      <c r="O192" s="1317"/>
      <c r="P192" s="2014">
        <f>O192*N192</f>
        <v>0</v>
      </c>
      <c r="Q192" s="1950"/>
      <c r="R192" s="1926">
        <f>'Ab3. ASHA'!Q83</f>
        <v>0</v>
      </c>
      <c r="S192" s="2053">
        <f>'Ab3. ASHA'!R83</f>
        <v>0</v>
      </c>
    </row>
    <row r="193" spans="1:19">
      <c r="A193" s="2010">
        <v>2</v>
      </c>
      <c r="B193" s="2011" t="s">
        <v>1794</v>
      </c>
      <c r="C193" s="1855" t="s">
        <v>1795</v>
      </c>
      <c r="D193" s="1855" t="s">
        <v>1796</v>
      </c>
      <c r="E193" s="1281" t="s">
        <v>70</v>
      </c>
      <c r="F193" s="1948" t="s">
        <v>4985</v>
      </c>
      <c r="G193" s="1350"/>
      <c r="H193" s="1350"/>
      <c r="I193" s="1350"/>
      <c r="J193" s="1350"/>
      <c r="K193" s="1350"/>
      <c r="L193" s="2022"/>
      <c r="M193" s="1729"/>
      <c r="N193" s="1857">
        <f>M193/100000</f>
        <v>0</v>
      </c>
      <c r="O193" s="1317"/>
      <c r="P193" s="2014">
        <f>O193*N193</f>
        <v>0</v>
      </c>
      <c r="Q193" s="1950"/>
      <c r="R193" s="1926">
        <f>'Ab3. ASHA'!Q84</f>
        <v>0</v>
      </c>
      <c r="S193" s="2053">
        <f>'Ab3. ASHA'!R84</f>
        <v>0</v>
      </c>
    </row>
    <row r="194" spans="1:19">
      <c r="A194" s="2010">
        <v>3</v>
      </c>
      <c r="B194" s="2011" t="s">
        <v>1797</v>
      </c>
      <c r="C194" s="1855" t="s">
        <v>1798</v>
      </c>
      <c r="D194" s="1855" t="s">
        <v>1799</v>
      </c>
      <c r="E194" s="1281" t="s">
        <v>70</v>
      </c>
      <c r="F194" s="1948" t="s">
        <v>4985</v>
      </c>
      <c r="G194" s="1350"/>
      <c r="H194" s="1350"/>
      <c r="I194" s="1350"/>
      <c r="J194" s="1350"/>
      <c r="K194" s="1350"/>
      <c r="L194" s="2022"/>
      <c r="M194" s="1729"/>
      <c r="N194" s="1857">
        <f>M194/100000</f>
        <v>0</v>
      </c>
      <c r="O194" s="1317"/>
      <c r="P194" s="2014">
        <f>O194*N194</f>
        <v>0</v>
      </c>
      <c r="Q194" s="3521"/>
      <c r="R194" s="1926">
        <f>'Ab3. ASHA'!Q85</f>
        <v>0</v>
      </c>
      <c r="S194" s="2053">
        <f>'Ab3. ASHA'!R85</f>
        <v>0</v>
      </c>
    </row>
    <row r="195" spans="1:19" ht="33">
      <c r="A195" s="2010">
        <v>4</v>
      </c>
      <c r="B195" s="2011" t="s">
        <v>1800</v>
      </c>
      <c r="C195" s="1855" t="s">
        <v>1801</v>
      </c>
      <c r="D195" s="1855" t="s">
        <v>4926</v>
      </c>
      <c r="E195" s="1281" t="s">
        <v>70</v>
      </c>
      <c r="F195" s="1948" t="s">
        <v>4985</v>
      </c>
      <c r="G195" s="1350"/>
      <c r="H195" s="1350"/>
      <c r="I195" s="1350"/>
      <c r="J195" s="1350"/>
      <c r="K195" s="1350"/>
      <c r="L195" s="2022"/>
      <c r="M195" s="1729"/>
      <c r="N195" s="1857">
        <f>M195/100000</f>
        <v>0</v>
      </c>
      <c r="O195" s="1317"/>
      <c r="P195" s="2014">
        <f>O195*N195</f>
        <v>0</v>
      </c>
      <c r="Q195" s="1950"/>
      <c r="R195" s="1926">
        <f>'Ab3. ASHA'!Q86</f>
        <v>0</v>
      </c>
      <c r="S195" s="2053">
        <f>'Ab3. ASHA'!R86</f>
        <v>0</v>
      </c>
    </row>
    <row r="196" spans="1:19" ht="82.5">
      <c r="A196" s="2010">
        <v>5</v>
      </c>
      <c r="B196" s="2011" t="s">
        <v>4778</v>
      </c>
      <c r="C196" s="2020"/>
      <c r="D196" s="1855" t="s">
        <v>1738</v>
      </c>
      <c r="E196" s="1281" t="s">
        <v>70</v>
      </c>
      <c r="F196" s="1948" t="s">
        <v>4985</v>
      </c>
      <c r="G196" s="1350"/>
      <c r="H196" s="1350"/>
      <c r="I196" s="1350"/>
      <c r="J196" s="1350"/>
      <c r="K196" s="1350"/>
      <c r="L196" s="2022" t="s">
        <v>6581</v>
      </c>
      <c r="M196" s="1729">
        <v>1000</v>
      </c>
      <c r="N196" s="1857">
        <f>M196/100000</f>
        <v>0.01</v>
      </c>
      <c r="O196" s="1317">
        <v>15114</v>
      </c>
      <c r="P196" s="2014">
        <f>O196*N196</f>
        <v>151.14000000000001</v>
      </c>
      <c r="Q196" s="1950" t="s">
        <v>6582</v>
      </c>
      <c r="R196" s="1926">
        <f>'Ab3. ASHA'!Q87</f>
        <v>0</v>
      </c>
      <c r="S196" s="2053">
        <f>'Ab3. ASHA'!R87</f>
        <v>0</v>
      </c>
    </row>
    <row r="197" spans="1:19">
      <c r="A197" s="2002" t="s">
        <v>4351</v>
      </c>
      <c r="B197" s="2073" t="s">
        <v>1802</v>
      </c>
      <c r="C197" s="2074"/>
      <c r="D197" s="2075" t="s">
        <v>2567</v>
      </c>
      <c r="E197" s="2076"/>
      <c r="F197" s="1304"/>
      <c r="G197" s="2077"/>
      <c r="H197" s="2077"/>
      <c r="I197" s="2077"/>
      <c r="J197" s="2077"/>
      <c r="K197" s="2077"/>
      <c r="L197" s="3515"/>
      <c r="M197" s="3228"/>
      <c r="N197" s="2079"/>
      <c r="O197" s="2077"/>
      <c r="P197" s="2079">
        <f>P198+P199</f>
        <v>186.95</v>
      </c>
      <c r="Q197" s="2080"/>
      <c r="R197" s="1521"/>
      <c r="S197" s="1892">
        <f>S198+S199</f>
        <v>0</v>
      </c>
    </row>
    <row r="198" spans="1:19" s="3744" customFormat="1" ht="165.75" customHeight="1">
      <c r="A198" s="3731">
        <v>1</v>
      </c>
      <c r="B198" s="3732" t="s">
        <v>1803</v>
      </c>
      <c r="C198" s="3820" t="s">
        <v>1804</v>
      </c>
      <c r="D198" s="3820" t="s">
        <v>2369</v>
      </c>
      <c r="E198" s="3813" t="s">
        <v>70</v>
      </c>
      <c r="F198" s="3734" t="s">
        <v>3305</v>
      </c>
      <c r="G198" s="3735"/>
      <c r="H198" s="3735"/>
      <c r="I198" s="3735"/>
      <c r="J198" s="3735"/>
      <c r="K198" s="3735"/>
      <c r="L198" s="3736"/>
      <c r="M198" s="3737">
        <v>17695000</v>
      </c>
      <c r="N198" s="3738">
        <f>M198/100000</f>
        <v>176.95</v>
      </c>
      <c r="O198" s="3739">
        <v>1</v>
      </c>
      <c r="P198" s="3740">
        <f>O198*N198</f>
        <v>176.95</v>
      </c>
      <c r="Q198" s="3741" t="s">
        <v>6930</v>
      </c>
      <c r="R198" s="3742">
        <f>'Abs5. Blood services &amp; Disorder'!Q17</f>
        <v>0</v>
      </c>
      <c r="S198" s="3750">
        <f>'Abs5. Blood services &amp; Disorder'!R17</f>
        <v>0</v>
      </c>
    </row>
    <row r="199" spans="1:19" s="2032" customFormat="1" ht="82.5">
      <c r="A199" s="2027">
        <v>2</v>
      </c>
      <c r="B199" s="2016" t="s">
        <v>2368</v>
      </c>
      <c r="C199" s="2099" t="s">
        <v>1804</v>
      </c>
      <c r="D199" s="2099" t="s">
        <v>4095</v>
      </c>
      <c r="E199" s="1340" t="s">
        <v>70</v>
      </c>
      <c r="F199" s="2028" t="s">
        <v>3305</v>
      </c>
      <c r="G199" s="1349"/>
      <c r="H199" s="1349"/>
      <c r="I199" s="1349"/>
      <c r="J199" s="1349"/>
      <c r="K199" s="1349"/>
      <c r="L199" s="3506"/>
      <c r="M199" s="2423">
        <v>1000000</v>
      </c>
      <c r="N199" s="2688">
        <f>M199/100000</f>
        <v>10</v>
      </c>
      <c r="O199" s="1714">
        <v>1</v>
      </c>
      <c r="P199" s="2030">
        <f>O199*N199</f>
        <v>10</v>
      </c>
      <c r="Q199" s="2112" t="s">
        <v>6706</v>
      </c>
      <c r="R199" s="3015">
        <f>'Abs5. Blood services &amp; Disorder'!Q18</f>
        <v>0</v>
      </c>
      <c r="S199" s="3016">
        <f>'Abs5. Blood services &amp; Disorder'!R18</f>
        <v>0</v>
      </c>
    </row>
    <row r="200" spans="1:19">
      <c r="A200" s="2002" t="s">
        <v>4354</v>
      </c>
      <c r="B200" s="2073" t="s">
        <v>1805</v>
      </c>
      <c r="C200" s="2074"/>
      <c r="D200" s="2075" t="s">
        <v>1807</v>
      </c>
      <c r="E200" s="2076"/>
      <c r="F200" s="1304"/>
      <c r="G200" s="2077"/>
      <c r="H200" s="2077"/>
      <c r="I200" s="2077"/>
      <c r="J200" s="2077"/>
      <c r="K200" s="2077"/>
      <c r="L200" s="3515"/>
      <c r="M200" s="3228"/>
      <c r="N200" s="2079"/>
      <c r="O200" s="2077"/>
      <c r="P200" s="2079">
        <f>P201</f>
        <v>144.16</v>
      </c>
      <c r="Q200" s="2080"/>
      <c r="R200" s="1521"/>
      <c r="S200" s="1892">
        <f>S201</f>
        <v>0</v>
      </c>
    </row>
    <row r="201" spans="1:19" ht="82.5">
      <c r="A201" s="2010">
        <v>3</v>
      </c>
      <c r="B201" s="2011" t="s">
        <v>1813</v>
      </c>
      <c r="C201" s="1855" t="s">
        <v>1806</v>
      </c>
      <c r="D201" s="1855"/>
      <c r="E201" s="1281" t="s">
        <v>70</v>
      </c>
      <c r="F201" s="1948" t="s">
        <v>70</v>
      </c>
      <c r="G201" s="1350"/>
      <c r="H201" s="1350"/>
      <c r="I201" s="1350"/>
      <c r="J201" s="1350"/>
      <c r="K201" s="1350"/>
      <c r="L201" s="2022" t="s">
        <v>5926</v>
      </c>
      <c r="M201" s="1729">
        <v>4000</v>
      </c>
      <c r="N201" s="1857">
        <f>M201/100000</f>
        <v>0.04</v>
      </c>
      <c r="O201" s="1317">
        <v>3604</v>
      </c>
      <c r="P201" s="2014">
        <f>O201*N201</f>
        <v>144.16</v>
      </c>
      <c r="Q201" s="2019" t="s">
        <v>5927</v>
      </c>
      <c r="R201" s="2051"/>
      <c r="S201" s="2052"/>
    </row>
    <row r="202" spans="1:19">
      <c r="A202" s="2002" t="s">
        <v>4355</v>
      </c>
      <c r="B202" s="2073" t="s">
        <v>1815</v>
      </c>
      <c r="C202" s="2074" t="s">
        <v>1816</v>
      </c>
      <c r="D202" s="2075" t="s">
        <v>1817</v>
      </c>
      <c r="E202" s="2076"/>
      <c r="F202" s="1304"/>
      <c r="G202" s="2077"/>
      <c r="H202" s="2077"/>
      <c r="I202" s="2077"/>
      <c r="J202" s="2077"/>
      <c r="K202" s="2077"/>
      <c r="L202" s="3515"/>
      <c r="M202" s="3228"/>
      <c r="N202" s="2079"/>
      <c r="O202" s="2077"/>
      <c r="P202" s="2079">
        <f>SUM(P203:P204)</f>
        <v>0</v>
      </c>
      <c r="Q202" s="2080"/>
      <c r="R202" s="1521"/>
      <c r="S202" s="1892">
        <f>SUM(S203:S204)</f>
        <v>0</v>
      </c>
    </row>
    <row r="203" spans="1:19">
      <c r="A203" s="2010">
        <v>1</v>
      </c>
      <c r="B203" s="2011" t="s">
        <v>1818</v>
      </c>
      <c r="C203" s="2020"/>
      <c r="D203" s="1855" t="s">
        <v>1817</v>
      </c>
      <c r="E203" s="1281" t="s">
        <v>70</v>
      </c>
      <c r="F203" s="1948" t="s">
        <v>2850</v>
      </c>
      <c r="G203" s="1350"/>
      <c r="H203" s="1350"/>
      <c r="I203" s="1350"/>
      <c r="J203" s="1350"/>
      <c r="K203" s="1350"/>
      <c r="L203" s="2022"/>
      <c r="M203" s="1729"/>
      <c r="N203" s="1857">
        <f>M203/100000</f>
        <v>0</v>
      </c>
      <c r="O203" s="1317"/>
      <c r="P203" s="2014">
        <f>O203*N203</f>
        <v>0</v>
      </c>
      <c r="Q203" s="2019"/>
      <c r="R203" s="1926">
        <f>'Abs7. AYUSH'!Q9</f>
        <v>0</v>
      </c>
      <c r="S203" s="2053">
        <f>'Abs7. AYUSH'!R9</f>
        <v>0</v>
      </c>
    </row>
    <row r="204" spans="1:19">
      <c r="A204" s="2010">
        <v>2</v>
      </c>
      <c r="B204" s="2011" t="s">
        <v>1819</v>
      </c>
      <c r="C204" s="2020"/>
      <c r="D204" s="2011" t="s">
        <v>4514</v>
      </c>
      <c r="E204" s="1281" t="s">
        <v>70</v>
      </c>
      <c r="F204" s="1948" t="s">
        <v>2850</v>
      </c>
      <c r="G204" s="1350"/>
      <c r="H204" s="1350"/>
      <c r="I204" s="1350"/>
      <c r="J204" s="1350"/>
      <c r="K204" s="1350"/>
      <c r="L204" s="2022"/>
      <c r="M204" s="1729"/>
      <c r="N204" s="1857">
        <f>M204/100000</f>
        <v>0</v>
      </c>
      <c r="O204" s="1317"/>
      <c r="P204" s="2014">
        <f>O204*N204</f>
        <v>0</v>
      </c>
      <c r="Q204" s="2019"/>
      <c r="R204" s="1926">
        <f>'Abs7. AYUSH'!Q10</f>
        <v>0</v>
      </c>
      <c r="S204" s="2053">
        <f>'Abs7. AYUSH'!R10</f>
        <v>0</v>
      </c>
    </row>
    <row r="205" spans="1:19">
      <c r="A205" s="2002" t="s">
        <v>4356</v>
      </c>
      <c r="B205" s="2073" t="s">
        <v>2384</v>
      </c>
      <c r="C205" s="2074" t="s">
        <v>1926</v>
      </c>
      <c r="D205" s="2075" t="s">
        <v>1927</v>
      </c>
      <c r="E205" s="2076"/>
      <c r="F205" s="1304"/>
      <c r="G205" s="2077"/>
      <c r="H205" s="2077"/>
      <c r="I205" s="2077"/>
      <c r="J205" s="2077"/>
      <c r="K205" s="2077"/>
      <c r="L205" s="3515"/>
      <c r="M205" s="3228"/>
      <c r="N205" s="2079"/>
      <c r="O205" s="2077"/>
      <c r="P205" s="2079">
        <f>SUM(P206:P207)</f>
        <v>16000</v>
      </c>
      <c r="Q205" s="2080"/>
      <c r="R205" s="1521"/>
      <c r="S205" s="1892">
        <f>SUM(S206:S207)</f>
        <v>0</v>
      </c>
    </row>
    <row r="206" spans="1:19" ht="214.5">
      <c r="A206" s="2010">
        <v>1</v>
      </c>
      <c r="B206" s="2011" t="s">
        <v>2385</v>
      </c>
      <c r="C206" s="1855" t="s">
        <v>1929</v>
      </c>
      <c r="D206" s="1855" t="s">
        <v>4479</v>
      </c>
      <c r="E206" s="1281" t="s">
        <v>70</v>
      </c>
      <c r="F206" s="1948" t="s">
        <v>70</v>
      </c>
      <c r="G206" s="1350"/>
      <c r="H206" s="1350"/>
      <c r="I206" s="2023"/>
      <c r="J206" s="2023"/>
      <c r="K206" s="1350"/>
      <c r="L206" s="3206" t="s">
        <v>6333</v>
      </c>
      <c r="M206" s="2423">
        <v>20</v>
      </c>
      <c r="N206" s="2688">
        <f>M206/100000</f>
        <v>2.0000000000000001E-4</v>
      </c>
      <c r="O206" s="1714">
        <v>80000000</v>
      </c>
      <c r="P206" s="2030">
        <f>O206*N206</f>
        <v>16000</v>
      </c>
      <c r="Q206" s="4090" t="s">
        <v>6587</v>
      </c>
      <c r="R206" s="2051"/>
      <c r="S206" s="2052"/>
    </row>
    <row r="207" spans="1:19">
      <c r="A207" s="2010">
        <v>2</v>
      </c>
      <c r="B207" s="2011" t="s">
        <v>2386</v>
      </c>
      <c r="C207" s="1855" t="s">
        <v>1931</v>
      </c>
      <c r="D207" s="1855" t="s">
        <v>1932</v>
      </c>
      <c r="E207" s="1281" t="s">
        <v>70</v>
      </c>
      <c r="F207" s="1948" t="s">
        <v>70</v>
      </c>
      <c r="G207" s="1350"/>
      <c r="H207" s="1350"/>
      <c r="I207" s="2023"/>
      <c r="J207" s="2023"/>
      <c r="K207" s="1350"/>
      <c r="L207" s="2022"/>
      <c r="M207" s="1729"/>
      <c r="N207" s="1857">
        <f>M207/100000</f>
        <v>0</v>
      </c>
      <c r="O207" s="1317"/>
      <c r="P207" s="2014">
        <f>O207*N207</f>
        <v>0</v>
      </c>
      <c r="Q207" s="2019"/>
      <c r="R207" s="2051"/>
      <c r="S207" s="2052"/>
    </row>
    <row r="208" spans="1:19" ht="33">
      <c r="A208" s="2002" t="s">
        <v>4664</v>
      </c>
      <c r="B208" s="2073" t="s">
        <v>2413</v>
      </c>
      <c r="C208" s="2075" t="s">
        <v>2037</v>
      </c>
      <c r="D208" s="2075" t="s">
        <v>2568</v>
      </c>
      <c r="E208" s="2076"/>
      <c r="F208" s="1304"/>
      <c r="G208" s="2077"/>
      <c r="H208" s="2077"/>
      <c r="I208" s="2077"/>
      <c r="J208" s="2077"/>
      <c r="K208" s="2077"/>
      <c r="L208" s="3515"/>
      <c r="M208" s="3228"/>
      <c r="N208" s="2079"/>
      <c r="O208" s="2077"/>
      <c r="P208" s="2079">
        <f>SUM(P209:P210)</f>
        <v>0</v>
      </c>
      <c r="Q208" s="2080"/>
      <c r="R208" s="1521"/>
      <c r="S208" s="1892">
        <f>SUM(S209:S210)</f>
        <v>0</v>
      </c>
    </row>
    <row r="209" spans="1:19">
      <c r="A209" s="2010">
        <v>1</v>
      </c>
      <c r="B209" s="2011" t="s">
        <v>2414</v>
      </c>
      <c r="C209" s="2020"/>
      <c r="D209" s="1855" t="s">
        <v>4799</v>
      </c>
      <c r="E209" s="1281" t="s">
        <v>70</v>
      </c>
      <c r="F209" s="2028" t="s">
        <v>4357</v>
      </c>
      <c r="G209" s="1350"/>
      <c r="H209" s="1350"/>
      <c r="I209" s="1350"/>
      <c r="J209" s="1350"/>
      <c r="K209" s="1350"/>
      <c r="L209" s="2022"/>
      <c r="M209" s="1729"/>
      <c r="N209" s="1857">
        <f>M209/100000</f>
        <v>0</v>
      </c>
      <c r="O209" s="1317"/>
      <c r="P209" s="2014">
        <f>O209*N209</f>
        <v>0</v>
      </c>
      <c r="Q209" s="2093"/>
      <c r="R209" s="1926">
        <f>'Abs6. CPHC'!Q15</f>
        <v>0</v>
      </c>
      <c r="S209" s="2015">
        <f>'Abs6. CPHC'!R15</f>
        <v>0</v>
      </c>
    </row>
    <row r="210" spans="1:19">
      <c r="A210" s="2010">
        <v>2</v>
      </c>
      <c r="B210" s="2011" t="s">
        <v>2415</v>
      </c>
      <c r="C210" s="2020"/>
      <c r="D210" s="1855" t="s">
        <v>4800</v>
      </c>
      <c r="E210" s="1281" t="s">
        <v>70</v>
      </c>
      <c r="F210" s="2028" t="s">
        <v>4357</v>
      </c>
      <c r="G210" s="1350"/>
      <c r="H210" s="1350"/>
      <c r="I210" s="1350"/>
      <c r="J210" s="1350"/>
      <c r="K210" s="1350"/>
      <c r="L210" s="2022"/>
      <c r="M210" s="1729"/>
      <c r="N210" s="1857">
        <f>M210/100000</f>
        <v>0</v>
      </c>
      <c r="O210" s="1317"/>
      <c r="P210" s="2014">
        <f>O210*N210</f>
        <v>0</v>
      </c>
      <c r="Q210" s="2019"/>
      <c r="R210" s="1926">
        <f>'Abs6. CPHC'!Q16</f>
        <v>0</v>
      </c>
      <c r="S210" s="2015">
        <f>'Abs6. CPHC'!R16</f>
        <v>0</v>
      </c>
    </row>
    <row r="211" spans="1:19">
      <c r="A211" s="2002" t="s">
        <v>4665</v>
      </c>
      <c r="B211" s="1991">
        <v>6.3</v>
      </c>
      <c r="C211" s="1992"/>
      <c r="D211" s="1991" t="s">
        <v>4486</v>
      </c>
      <c r="E211" s="1298"/>
      <c r="F211" s="1298"/>
      <c r="G211" s="2057"/>
      <c r="H211" s="2057"/>
      <c r="I211" s="2057"/>
      <c r="J211" s="2057"/>
      <c r="K211" s="2057"/>
      <c r="L211" s="1531"/>
      <c r="M211" s="2057"/>
      <c r="N211" s="1672"/>
      <c r="O211" s="2058"/>
      <c r="P211" s="1672">
        <f>P212</f>
        <v>0</v>
      </c>
      <c r="Q211" s="1532"/>
      <c r="R211" s="1518"/>
      <c r="S211" s="1887">
        <f>S212</f>
        <v>0</v>
      </c>
    </row>
    <row r="212" spans="1:19">
      <c r="A212" s="2010">
        <v>1</v>
      </c>
      <c r="B212" s="2011" t="s">
        <v>1933</v>
      </c>
      <c r="C212" s="2020"/>
      <c r="D212" s="1855"/>
      <c r="E212" s="1281" t="s">
        <v>70</v>
      </c>
      <c r="F212" s="1948" t="s">
        <v>70</v>
      </c>
      <c r="G212" s="1350"/>
      <c r="H212" s="1350"/>
      <c r="I212" s="1350"/>
      <c r="J212" s="1350"/>
      <c r="K212" s="1350"/>
      <c r="L212" s="2022"/>
      <c r="M212" s="1729"/>
      <c r="N212" s="1857">
        <f>M212/100000</f>
        <v>0</v>
      </c>
      <c r="O212" s="1317"/>
      <c r="P212" s="2014">
        <f>O212*N212</f>
        <v>0</v>
      </c>
      <c r="Q212" s="2019"/>
      <c r="R212" s="2051"/>
      <c r="S212" s="2052"/>
    </row>
    <row r="213" spans="1:19">
      <c r="A213" s="4410" t="s">
        <v>4927</v>
      </c>
      <c r="B213" s="4410"/>
      <c r="C213" s="4410"/>
      <c r="D213" s="4410"/>
      <c r="E213" s="1779"/>
      <c r="F213" s="1779"/>
      <c r="G213" s="2049"/>
      <c r="H213" s="2049"/>
      <c r="I213" s="2049"/>
      <c r="J213" s="2049"/>
      <c r="K213" s="2049"/>
      <c r="L213" s="1781"/>
      <c r="M213" s="2049"/>
      <c r="N213" s="1997"/>
      <c r="O213" s="2050"/>
      <c r="P213" s="1997"/>
      <c r="Q213" s="1782"/>
      <c r="R213" s="1735"/>
      <c r="S213" s="1694"/>
    </row>
    <row r="214" spans="1:19">
      <c r="A214" s="2002" t="s">
        <v>4350</v>
      </c>
      <c r="B214" s="2073" t="s">
        <v>1830</v>
      </c>
      <c r="C214" s="2074"/>
      <c r="D214" s="2075" t="s">
        <v>1831</v>
      </c>
      <c r="E214" s="2076"/>
      <c r="F214" s="1304"/>
      <c r="G214" s="2077"/>
      <c r="H214" s="2077"/>
      <c r="I214" s="2077"/>
      <c r="J214" s="2077"/>
      <c r="K214" s="2077"/>
      <c r="L214" s="3515"/>
      <c r="M214" s="3228"/>
      <c r="N214" s="2079"/>
      <c r="O214" s="2077"/>
      <c r="P214" s="2079">
        <f>SUM(P215:P231)</f>
        <v>130.90022000000002</v>
      </c>
      <c r="Q214" s="2080"/>
      <c r="R214" s="1521"/>
      <c r="S214" s="1892">
        <f>SUM(S215:S231)</f>
        <v>0</v>
      </c>
    </row>
    <row r="215" spans="1:19">
      <c r="A215" s="2010">
        <v>1</v>
      </c>
      <c r="B215" s="2011" t="s">
        <v>1832</v>
      </c>
      <c r="C215" s="2044" t="s">
        <v>1833</v>
      </c>
      <c r="D215" s="2044" t="s">
        <v>1834</v>
      </c>
      <c r="E215" s="1537" t="s">
        <v>4358</v>
      </c>
      <c r="F215" s="1948" t="s">
        <v>1315</v>
      </c>
      <c r="G215" s="1350"/>
      <c r="H215" s="1350"/>
      <c r="I215" s="1350"/>
      <c r="J215" s="1350"/>
      <c r="K215" s="1350"/>
      <c r="L215" s="2022"/>
      <c r="M215" s="1729"/>
      <c r="N215" s="1857">
        <f t="shared" ref="N215:N231" si="17">M215/100000</f>
        <v>0</v>
      </c>
      <c r="O215" s="1317"/>
      <c r="P215" s="2014">
        <f t="shared" ref="P215:P231" si="18">O215*N215</f>
        <v>0</v>
      </c>
      <c r="Q215" s="2019"/>
      <c r="R215" s="1926">
        <f>'Abs9. NVBDCP'!Q44</f>
        <v>0</v>
      </c>
      <c r="S215" s="2053">
        <f>'Abs9. NVBDCP'!R44</f>
        <v>0</v>
      </c>
    </row>
    <row r="216" spans="1:19">
      <c r="A216" s="2010">
        <v>2</v>
      </c>
      <c r="B216" s="2011" t="s">
        <v>1835</v>
      </c>
      <c r="C216" s="2044" t="s">
        <v>1836</v>
      </c>
      <c r="D216" s="2044" t="s">
        <v>1837</v>
      </c>
      <c r="E216" s="1537" t="s">
        <v>4358</v>
      </c>
      <c r="F216" s="1948" t="s">
        <v>4976</v>
      </c>
      <c r="G216" s="1350"/>
      <c r="H216" s="1350"/>
      <c r="I216" s="1350"/>
      <c r="J216" s="1350"/>
      <c r="K216" s="1350"/>
      <c r="L216" s="2022" t="s">
        <v>6111</v>
      </c>
      <c r="M216" s="1729">
        <v>1316</v>
      </c>
      <c r="N216" s="1857">
        <f t="shared" si="17"/>
        <v>1.316E-2</v>
      </c>
      <c r="O216" s="1317">
        <v>38</v>
      </c>
      <c r="P216" s="2014">
        <f t="shared" si="18"/>
        <v>0.50007999999999997</v>
      </c>
      <c r="Q216" s="1347" t="s">
        <v>6129</v>
      </c>
      <c r="R216" s="1926">
        <f>'Abs9. NVBDCP'!Q45</f>
        <v>0</v>
      </c>
      <c r="S216" s="2053">
        <f>'Abs9. NVBDCP'!R45</f>
        <v>0</v>
      </c>
    </row>
    <row r="217" spans="1:19">
      <c r="A217" s="2010">
        <v>3</v>
      </c>
      <c r="B217" s="2011" t="s">
        <v>1838</v>
      </c>
      <c r="C217" s="2044" t="s">
        <v>1839</v>
      </c>
      <c r="D217" s="2044" t="s">
        <v>1840</v>
      </c>
      <c r="E217" s="1537" t="s">
        <v>4358</v>
      </c>
      <c r="F217" s="1948" t="s">
        <v>4976</v>
      </c>
      <c r="G217" s="1350"/>
      <c r="H217" s="1350"/>
      <c r="I217" s="1350"/>
      <c r="J217" s="1350"/>
      <c r="K217" s="1350"/>
      <c r="L217" s="2022" t="s">
        <v>6111</v>
      </c>
      <c r="M217" s="1729">
        <v>1316</v>
      </c>
      <c r="N217" s="1857">
        <f t="shared" si="17"/>
        <v>1.316E-2</v>
      </c>
      <c r="O217" s="1317">
        <v>38</v>
      </c>
      <c r="P217" s="2014">
        <f t="shared" si="18"/>
        <v>0.50007999999999997</v>
      </c>
      <c r="Q217" s="1347" t="s">
        <v>6129</v>
      </c>
      <c r="R217" s="1926">
        <f>'Abs9. NVBDCP'!Q46</f>
        <v>0</v>
      </c>
      <c r="S217" s="2053">
        <f>'Abs9. NVBDCP'!R46</f>
        <v>0</v>
      </c>
    </row>
    <row r="218" spans="1:19">
      <c r="A218" s="2010">
        <v>4</v>
      </c>
      <c r="B218" s="2011" t="s">
        <v>1841</v>
      </c>
      <c r="C218" s="2044" t="s">
        <v>1842</v>
      </c>
      <c r="D218" s="2044" t="s">
        <v>1843</v>
      </c>
      <c r="E218" s="1537" t="s">
        <v>4358</v>
      </c>
      <c r="F218" s="1948" t="s">
        <v>4976</v>
      </c>
      <c r="G218" s="1350"/>
      <c r="H218" s="1350"/>
      <c r="I218" s="1350"/>
      <c r="J218" s="1350"/>
      <c r="K218" s="1350"/>
      <c r="L218" s="2022" t="s">
        <v>6111</v>
      </c>
      <c r="M218" s="1729">
        <v>211</v>
      </c>
      <c r="N218" s="1857">
        <f t="shared" si="17"/>
        <v>2.1099999999999999E-3</v>
      </c>
      <c r="O218" s="1317">
        <v>38</v>
      </c>
      <c r="P218" s="2014">
        <f t="shared" si="18"/>
        <v>8.0180000000000001E-2</v>
      </c>
      <c r="Q218" s="1347" t="s">
        <v>6130</v>
      </c>
      <c r="R218" s="1926">
        <f>'Abs9. NVBDCP'!Q47</f>
        <v>0</v>
      </c>
      <c r="S218" s="2053">
        <f>'Abs9. NVBDCP'!R47</f>
        <v>0</v>
      </c>
    </row>
    <row r="219" spans="1:19">
      <c r="A219" s="2010">
        <v>5</v>
      </c>
      <c r="B219" s="2011" t="s">
        <v>1844</v>
      </c>
      <c r="C219" s="2044" t="s">
        <v>1845</v>
      </c>
      <c r="D219" s="2044" t="s">
        <v>4096</v>
      </c>
      <c r="E219" s="1537" t="s">
        <v>4358</v>
      </c>
      <c r="F219" s="1948" t="s">
        <v>4976</v>
      </c>
      <c r="G219" s="1350"/>
      <c r="H219" s="1350"/>
      <c r="I219" s="1350"/>
      <c r="J219" s="1350"/>
      <c r="K219" s="1350"/>
      <c r="L219" s="2022" t="s">
        <v>6111</v>
      </c>
      <c r="M219" s="1729">
        <v>211</v>
      </c>
      <c r="N219" s="1857">
        <f t="shared" si="17"/>
        <v>2.1099999999999999E-3</v>
      </c>
      <c r="O219" s="1317">
        <v>38</v>
      </c>
      <c r="P219" s="2014">
        <f t="shared" si="18"/>
        <v>8.0180000000000001E-2</v>
      </c>
      <c r="Q219" s="1347" t="s">
        <v>6131</v>
      </c>
      <c r="R219" s="1926">
        <f>'Abs9. NVBDCP'!Q48</f>
        <v>0</v>
      </c>
      <c r="S219" s="2053">
        <f>'Abs9. NVBDCP'!R48</f>
        <v>0</v>
      </c>
    </row>
    <row r="220" spans="1:19" ht="33">
      <c r="A220" s="2010">
        <v>6</v>
      </c>
      <c r="B220" s="2011" t="s">
        <v>1846</v>
      </c>
      <c r="C220" s="2044" t="s">
        <v>1847</v>
      </c>
      <c r="D220" s="2044" t="s">
        <v>1848</v>
      </c>
      <c r="E220" s="1537" t="s">
        <v>4358</v>
      </c>
      <c r="F220" s="1948" t="s">
        <v>4973</v>
      </c>
      <c r="G220" s="1350"/>
      <c r="H220" s="1350"/>
      <c r="I220" s="1350"/>
      <c r="J220" s="1350"/>
      <c r="K220" s="1350"/>
      <c r="L220" s="2022"/>
      <c r="M220" s="1729"/>
      <c r="N220" s="1857">
        <f t="shared" si="17"/>
        <v>0</v>
      </c>
      <c r="O220" s="1317"/>
      <c r="P220" s="2014">
        <f t="shared" si="18"/>
        <v>0</v>
      </c>
      <c r="Q220" s="2019"/>
      <c r="R220" s="1926">
        <f>'Abs9. NVBDCP'!Q49</f>
        <v>0</v>
      </c>
      <c r="S220" s="2053">
        <f>'Abs9. NVBDCP'!R49</f>
        <v>0</v>
      </c>
    </row>
    <row r="221" spans="1:19" ht="33">
      <c r="A221" s="2010">
        <v>7</v>
      </c>
      <c r="B221" s="2011" t="s">
        <v>1849</v>
      </c>
      <c r="C221" s="2044" t="s">
        <v>1850</v>
      </c>
      <c r="D221" s="2044" t="s">
        <v>1851</v>
      </c>
      <c r="E221" s="1537" t="s">
        <v>4358</v>
      </c>
      <c r="F221" s="1948" t="s">
        <v>4973</v>
      </c>
      <c r="G221" s="1350"/>
      <c r="H221" s="1350"/>
      <c r="I221" s="1350"/>
      <c r="J221" s="1350"/>
      <c r="K221" s="1350"/>
      <c r="L221" s="2022"/>
      <c r="M221" s="1729"/>
      <c r="N221" s="1857">
        <f t="shared" si="17"/>
        <v>0</v>
      </c>
      <c r="O221" s="1317"/>
      <c r="P221" s="2014">
        <f t="shared" si="18"/>
        <v>0</v>
      </c>
      <c r="Q221" s="2019"/>
      <c r="R221" s="1926">
        <f>'Abs9. NVBDCP'!Q50</f>
        <v>0</v>
      </c>
      <c r="S221" s="2053">
        <f>'Abs9. NVBDCP'!R50</f>
        <v>0</v>
      </c>
    </row>
    <row r="222" spans="1:19" ht="33">
      <c r="A222" s="2010">
        <v>8</v>
      </c>
      <c r="B222" s="2011" t="s">
        <v>1852</v>
      </c>
      <c r="C222" s="2044" t="s">
        <v>1853</v>
      </c>
      <c r="D222" s="2044" t="s">
        <v>1854</v>
      </c>
      <c r="E222" s="1537" t="s">
        <v>4358</v>
      </c>
      <c r="F222" s="1948" t="s">
        <v>4971</v>
      </c>
      <c r="G222" s="1350"/>
      <c r="H222" s="1350"/>
      <c r="I222" s="2023"/>
      <c r="J222" s="2023"/>
      <c r="K222" s="1350"/>
      <c r="L222" s="2022" t="s">
        <v>6111</v>
      </c>
      <c r="M222" s="1729">
        <v>15789</v>
      </c>
      <c r="N222" s="1857">
        <f t="shared" si="17"/>
        <v>0.15789</v>
      </c>
      <c r="O222" s="1317">
        <v>38</v>
      </c>
      <c r="P222" s="2014">
        <f t="shared" si="18"/>
        <v>5.9998199999999997</v>
      </c>
      <c r="Q222" s="1347" t="s">
        <v>6132</v>
      </c>
      <c r="R222" s="1926">
        <f>'Abs9. NVBDCP'!Q51</f>
        <v>0</v>
      </c>
      <c r="S222" s="2053">
        <f>'Abs9. NVBDCP'!R51</f>
        <v>0</v>
      </c>
    </row>
    <row r="223" spans="1:19" ht="33">
      <c r="A223" s="2010">
        <v>9</v>
      </c>
      <c r="B223" s="2011" t="s">
        <v>1855</v>
      </c>
      <c r="C223" s="2044" t="s">
        <v>1856</v>
      </c>
      <c r="D223" s="2044" t="s">
        <v>1857</v>
      </c>
      <c r="E223" s="1537" t="s">
        <v>4358</v>
      </c>
      <c r="F223" s="1948" t="s">
        <v>114</v>
      </c>
      <c r="G223" s="1350"/>
      <c r="H223" s="1350"/>
      <c r="I223" s="2023"/>
      <c r="J223" s="2023"/>
      <c r="K223" s="1350"/>
      <c r="L223" s="2022" t="s">
        <v>6295</v>
      </c>
      <c r="M223" s="1729">
        <v>1275000</v>
      </c>
      <c r="N223" s="1857">
        <f t="shared" si="17"/>
        <v>12.75</v>
      </c>
      <c r="O223" s="1317">
        <v>1</v>
      </c>
      <c r="P223" s="2014">
        <f t="shared" si="18"/>
        <v>12.75</v>
      </c>
      <c r="Q223" s="2019" t="s">
        <v>6296</v>
      </c>
      <c r="R223" s="1926">
        <f>'Abs9. NVBDCP'!Q52</f>
        <v>0</v>
      </c>
      <c r="S223" s="2053">
        <f>'Abs9. NVBDCP'!R52</f>
        <v>0</v>
      </c>
    </row>
    <row r="224" spans="1:19" s="3744" customFormat="1" ht="132">
      <c r="A224" s="3731">
        <v>10</v>
      </c>
      <c r="B224" s="3732" t="s">
        <v>1858</v>
      </c>
      <c r="C224" s="3820" t="s">
        <v>1859</v>
      </c>
      <c r="D224" s="3820" t="s">
        <v>1860</v>
      </c>
      <c r="E224" s="3861" t="s">
        <v>4358</v>
      </c>
      <c r="F224" s="3734" t="s">
        <v>114</v>
      </c>
      <c r="G224" s="3735"/>
      <c r="H224" s="3735"/>
      <c r="I224" s="3821"/>
      <c r="J224" s="3821"/>
      <c r="K224" s="3735"/>
      <c r="L224" s="3736" t="s">
        <v>6111</v>
      </c>
      <c r="M224" s="3737">
        <v>78947</v>
      </c>
      <c r="N224" s="3738">
        <f t="shared" si="17"/>
        <v>0.78947000000000001</v>
      </c>
      <c r="O224" s="3739">
        <v>38</v>
      </c>
      <c r="P224" s="3740">
        <f t="shared" si="18"/>
        <v>29.999860000000002</v>
      </c>
      <c r="Q224" s="4043" t="s">
        <v>6912</v>
      </c>
      <c r="R224" s="3742">
        <f>'Abs9. NVBDCP'!Q53</f>
        <v>0</v>
      </c>
      <c r="S224" s="3750">
        <f>'Abs9. NVBDCP'!R53</f>
        <v>0</v>
      </c>
    </row>
    <row r="225" spans="1:19">
      <c r="A225" s="2010">
        <v>11</v>
      </c>
      <c r="B225" s="2011" t="s">
        <v>1861</v>
      </c>
      <c r="C225" s="2044" t="s">
        <v>1862</v>
      </c>
      <c r="D225" s="2044" t="s">
        <v>1863</v>
      </c>
      <c r="E225" s="1537" t="s">
        <v>4358</v>
      </c>
      <c r="F225" s="1948" t="s">
        <v>114</v>
      </c>
      <c r="G225" s="1350"/>
      <c r="H225" s="1350"/>
      <c r="I225" s="1350"/>
      <c r="J225" s="1350"/>
      <c r="K225" s="1350"/>
      <c r="L225" s="2022"/>
      <c r="M225" s="1729"/>
      <c r="N225" s="1857">
        <f t="shared" si="17"/>
        <v>0</v>
      </c>
      <c r="O225" s="1317"/>
      <c r="P225" s="2014">
        <f t="shared" si="18"/>
        <v>0</v>
      </c>
      <c r="Q225" s="2019"/>
      <c r="R225" s="1926">
        <f>'Abs9. NVBDCP'!Q54</f>
        <v>0</v>
      </c>
      <c r="S225" s="2053">
        <f>'Abs9. NVBDCP'!R54</f>
        <v>0</v>
      </c>
    </row>
    <row r="226" spans="1:19" s="3744" customFormat="1" ht="115.5">
      <c r="A226" s="3731">
        <v>12</v>
      </c>
      <c r="B226" s="3732" t="s">
        <v>1864</v>
      </c>
      <c r="C226" s="3820" t="s">
        <v>1865</v>
      </c>
      <c r="D226" s="3820" t="s">
        <v>1866</v>
      </c>
      <c r="E226" s="3861" t="s">
        <v>4358</v>
      </c>
      <c r="F226" s="3734" t="s">
        <v>4976</v>
      </c>
      <c r="G226" s="3735"/>
      <c r="H226" s="3735"/>
      <c r="I226" s="3735"/>
      <c r="J226" s="3735"/>
      <c r="K226" s="3735"/>
      <c r="L226" s="3736" t="s">
        <v>6111</v>
      </c>
      <c r="M226" s="3737">
        <v>105263</v>
      </c>
      <c r="N226" s="3738">
        <f t="shared" si="17"/>
        <v>1.05263</v>
      </c>
      <c r="O226" s="3739">
        <v>38</v>
      </c>
      <c r="P226" s="3740">
        <f t="shared" si="18"/>
        <v>39.999939999999995</v>
      </c>
      <c r="Q226" s="4043" t="s">
        <v>6908</v>
      </c>
      <c r="R226" s="3742">
        <f>'Abs9. NVBDCP'!Q55</f>
        <v>0</v>
      </c>
      <c r="S226" s="3750">
        <f>'Abs9. NVBDCP'!R55</f>
        <v>0</v>
      </c>
    </row>
    <row r="227" spans="1:19" s="3744" customFormat="1" ht="49.5">
      <c r="A227" s="3731">
        <v>13</v>
      </c>
      <c r="B227" s="3732" t="s">
        <v>1867</v>
      </c>
      <c r="C227" s="3746" t="s">
        <v>1868</v>
      </c>
      <c r="D227" s="3746" t="s">
        <v>1869</v>
      </c>
      <c r="E227" s="3861" t="s">
        <v>4358</v>
      </c>
      <c r="F227" s="3734" t="s">
        <v>1318</v>
      </c>
      <c r="G227" s="3735"/>
      <c r="H227" s="3735"/>
      <c r="I227" s="3735"/>
      <c r="J227" s="3735"/>
      <c r="K227" s="3735"/>
      <c r="L227" s="3736" t="s">
        <v>6909</v>
      </c>
      <c r="M227" s="3737">
        <v>2007000</v>
      </c>
      <c r="N227" s="3738">
        <f t="shared" si="17"/>
        <v>20.07</v>
      </c>
      <c r="O227" s="3739">
        <v>1</v>
      </c>
      <c r="P227" s="3740">
        <f t="shared" si="18"/>
        <v>20.07</v>
      </c>
      <c r="Q227" s="3749" t="s">
        <v>6910</v>
      </c>
      <c r="R227" s="3742">
        <f>'Abs9. NVBDCP'!Q56</f>
        <v>0</v>
      </c>
      <c r="S227" s="3750">
        <f>'Abs9. NVBDCP'!R56</f>
        <v>0</v>
      </c>
    </row>
    <row r="228" spans="1:19" ht="33">
      <c r="A228" s="2010">
        <v>14</v>
      </c>
      <c r="B228" s="2011" t="s">
        <v>1870</v>
      </c>
      <c r="C228" s="2062" t="s">
        <v>1871</v>
      </c>
      <c r="D228" s="2062" t="s">
        <v>5761</v>
      </c>
      <c r="E228" s="1537" t="s">
        <v>4358</v>
      </c>
      <c r="F228" s="1948" t="s">
        <v>1681</v>
      </c>
      <c r="G228" s="1348"/>
      <c r="H228" s="1348"/>
      <c r="I228" s="1348"/>
      <c r="J228" s="1348"/>
      <c r="K228" s="1348"/>
      <c r="L228" s="3206" t="s">
        <v>6128</v>
      </c>
      <c r="M228" s="2423">
        <v>200000</v>
      </c>
      <c r="N228" s="2688">
        <f t="shared" si="17"/>
        <v>2</v>
      </c>
      <c r="O228" s="1714">
        <v>1</v>
      </c>
      <c r="P228" s="2030">
        <f t="shared" si="18"/>
        <v>2</v>
      </c>
      <c r="Q228" s="2112" t="s">
        <v>6133</v>
      </c>
      <c r="R228" s="1926">
        <f>'Abs9. NVBDCP'!Q57</f>
        <v>0</v>
      </c>
      <c r="S228" s="2053">
        <f>'Abs9. NVBDCP'!R57</f>
        <v>0</v>
      </c>
    </row>
    <row r="229" spans="1:19">
      <c r="A229" s="2010">
        <v>15</v>
      </c>
      <c r="B229" s="2011" t="s">
        <v>1872</v>
      </c>
      <c r="C229" s="2062" t="s">
        <v>1075</v>
      </c>
      <c r="D229" s="2062" t="s">
        <v>1873</v>
      </c>
      <c r="E229" s="1537" t="s">
        <v>4358</v>
      </c>
      <c r="F229" s="1948" t="s">
        <v>1681</v>
      </c>
      <c r="G229" s="1348"/>
      <c r="H229" s="1348"/>
      <c r="I229" s="1348"/>
      <c r="J229" s="1348"/>
      <c r="K229" s="1348"/>
      <c r="L229" s="3206" t="s">
        <v>6128</v>
      </c>
      <c r="M229" s="2423">
        <v>892000</v>
      </c>
      <c r="N229" s="2688">
        <f t="shared" si="17"/>
        <v>8.92</v>
      </c>
      <c r="O229" s="1714">
        <v>1</v>
      </c>
      <c r="P229" s="2030">
        <f t="shared" si="18"/>
        <v>8.92</v>
      </c>
      <c r="Q229" s="2112" t="s">
        <v>6134</v>
      </c>
      <c r="R229" s="1926">
        <f>'Abs9. NVBDCP'!Q58</f>
        <v>0</v>
      </c>
      <c r="S229" s="2053">
        <f>'Abs9. NVBDCP'!R58</f>
        <v>0</v>
      </c>
    </row>
    <row r="230" spans="1:19">
      <c r="A230" s="2010">
        <v>16</v>
      </c>
      <c r="B230" s="2011" t="s">
        <v>1874</v>
      </c>
      <c r="C230" s="2062" t="s">
        <v>1290</v>
      </c>
      <c r="D230" s="2062" t="s">
        <v>4097</v>
      </c>
      <c r="E230" s="1537" t="s">
        <v>4358</v>
      </c>
      <c r="F230" s="1948" t="s">
        <v>1548</v>
      </c>
      <c r="G230" s="2047"/>
      <c r="H230" s="2047"/>
      <c r="I230" s="2047"/>
      <c r="J230" s="2047"/>
      <c r="K230" s="2047"/>
      <c r="L230" s="2022"/>
      <c r="M230" s="1729"/>
      <c r="N230" s="1857">
        <f t="shared" si="17"/>
        <v>0</v>
      </c>
      <c r="O230" s="1317"/>
      <c r="P230" s="2014">
        <f t="shared" si="18"/>
        <v>0</v>
      </c>
      <c r="Q230" s="2019"/>
      <c r="R230" s="1926">
        <f>'Abs9. NVBDCP'!Q59</f>
        <v>0</v>
      </c>
      <c r="S230" s="2053">
        <f>'Abs9. NVBDCP'!R59</f>
        <v>0</v>
      </c>
    </row>
    <row r="231" spans="1:19" s="3744" customFormat="1" ht="49.5">
      <c r="A231" s="3731">
        <v>17</v>
      </c>
      <c r="B231" s="3732" t="s">
        <v>1875</v>
      </c>
      <c r="C231" s="3820" t="s">
        <v>1876</v>
      </c>
      <c r="D231" s="3801" t="s">
        <v>1877</v>
      </c>
      <c r="E231" s="3861" t="s">
        <v>4358</v>
      </c>
      <c r="F231" s="3734" t="s">
        <v>114</v>
      </c>
      <c r="G231" s="2397"/>
      <c r="H231" s="2397"/>
      <c r="I231" s="3944"/>
      <c r="J231" s="3944"/>
      <c r="K231" s="2397"/>
      <c r="L231" s="3748" t="s">
        <v>6111</v>
      </c>
      <c r="M231" s="3737">
        <v>26316</v>
      </c>
      <c r="N231" s="3738">
        <f t="shared" si="17"/>
        <v>0.26316000000000001</v>
      </c>
      <c r="O231" s="3739">
        <v>38</v>
      </c>
      <c r="P231" s="3740">
        <f t="shared" si="18"/>
        <v>10.000080000000001</v>
      </c>
      <c r="Q231" s="3741" t="s">
        <v>6911</v>
      </c>
      <c r="R231" s="3742">
        <f>'Abs9. NVBDCP'!Q60</f>
        <v>0</v>
      </c>
      <c r="S231" s="3750">
        <f>'Abs9. NVBDCP'!R60</f>
        <v>0</v>
      </c>
    </row>
    <row r="232" spans="1:19">
      <c r="A232" s="2002" t="s">
        <v>4351</v>
      </c>
      <c r="B232" s="2073" t="s">
        <v>1878</v>
      </c>
      <c r="C232" s="2074"/>
      <c r="D232" s="2075" t="s">
        <v>1879</v>
      </c>
      <c r="E232" s="2076"/>
      <c r="F232" s="1304"/>
      <c r="G232" s="2077"/>
      <c r="H232" s="2077"/>
      <c r="I232" s="2077"/>
      <c r="J232" s="2077"/>
      <c r="K232" s="2077"/>
      <c r="L232" s="3515"/>
      <c r="M232" s="3228"/>
      <c r="N232" s="2079"/>
      <c r="O232" s="2077"/>
      <c r="P232" s="2079">
        <f>SUM(P233:P234)</f>
        <v>36.85</v>
      </c>
      <c r="Q232" s="2080"/>
      <c r="R232" s="1521"/>
      <c r="S232" s="1892">
        <f>SUM(S233:S234)</f>
        <v>0</v>
      </c>
    </row>
    <row r="233" spans="1:19">
      <c r="A233" s="2010">
        <v>1</v>
      </c>
      <c r="B233" s="2011" t="s">
        <v>1880</v>
      </c>
      <c r="C233" s="2064" t="s">
        <v>1552</v>
      </c>
      <c r="D233" s="2044" t="s">
        <v>1881</v>
      </c>
      <c r="E233" s="1537" t="s">
        <v>4358</v>
      </c>
      <c r="F233" s="1948" t="s">
        <v>146</v>
      </c>
      <c r="G233" s="1350"/>
      <c r="H233" s="1350"/>
      <c r="I233" s="1350"/>
      <c r="J233" s="1350"/>
      <c r="K233" s="1350"/>
      <c r="L233" s="2061">
        <v>1</v>
      </c>
      <c r="M233" s="1729">
        <v>2185000</v>
      </c>
      <c r="N233" s="1857">
        <f>M233/100000</f>
        <v>21.85</v>
      </c>
      <c r="O233" s="1317">
        <v>1</v>
      </c>
      <c r="P233" s="2065">
        <f>O233*N233</f>
        <v>21.85</v>
      </c>
      <c r="Q233" s="2019" t="s">
        <v>6282</v>
      </c>
      <c r="R233" s="1926">
        <f>'Abs10. NLEP'!Q21</f>
        <v>0</v>
      </c>
      <c r="S233" s="2053">
        <f>'Abs10. NLEP'!R21</f>
        <v>0</v>
      </c>
    </row>
    <row r="234" spans="1:19">
      <c r="A234" s="2010">
        <v>2</v>
      </c>
      <c r="B234" s="2011" t="s">
        <v>1882</v>
      </c>
      <c r="C234" s="2020"/>
      <c r="D234" s="1855" t="s">
        <v>1877</v>
      </c>
      <c r="E234" s="1537" t="s">
        <v>4358</v>
      </c>
      <c r="F234" s="1948" t="s">
        <v>146</v>
      </c>
      <c r="G234" s="1350"/>
      <c r="H234" s="1350"/>
      <c r="I234" s="1350"/>
      <c r="J234" s="1350"/>
      <c r="K234" s="1350"/>
      <c r="L234" s="2061">
        <v>1</v>
      </c>
      <c r="M234" s="1729">
        <v>5</v>
      </c>
      <c r="N234" s="1857">
        <f>M234/100000</f>
        <v>5.0000000000000002E-5</v>
      </c>
      <c r="O234" s="1317">
        <v>300000</v>
      </c>
      <c r="P234" s="2014">
        <f>O234*N234</f>
        <v>15</v>
      </c>
      <c r="Q234" s="2019" t="s">
        <v>6283</v>
      </c>
      <c r="R234" s="1926">
        <f>'Abs10. NLEP'!Q22</f>
        <v>0</v>
      </c>
      <c r="S234" s="2053">
        <f>'Abs10. NLEP'!R22</f>
        <v>0</v>
      </c>
    </row>
    <row r="235" spans="1:19">
      <c r="A235" s="2002" t="s">
        <v>4354</v>
      </c>
      <c r="B235" s="2073" t="s">
        <v>1883</v>
      </c>
      <c r="C235" s="2074"/>
      <c r="D235" s="2075" t="s">
        <v>4883</v>
      </c>
      <c r="E235" s="2076"/>
      <c r="F235" s="1304"/>
      <c r="G235" s="2077"/>
      <c r="H235" s="2077"/>
      <c r="I235" s="2077"/>
      <c r="J235" s="2077"/>
      <c r="K235" s="2077"/>
      <c r="L235" s="3515"/>
      <c r="M235" s="3228"/>
      <c r="N235" s="2079"/>
      <c r="O235" s="2077"/>
      <c r="P235" s="2079">
        <f>SUM(P236:P238)</f>
        <v>1019.8</v>
      </c>
      <c r="Q235" s="2080"/>
      <c r="R235" s="1521"/>
      <c r="S235" s="1892">
        <f>SUM(S236:S238)</f>
        <v>0</v>
      </c>
    </row>
    <row r="236" spans="1:19" s="3744" customFormat="1" ht="157.5" customHeight="1">
      <c r="A236" s="3731">
        <v>1</v>
      </c>
      <c r="B236" s="3732" t="s">
        <v>1884</v>
      </c>
      <c r="C236" s="3746" t="s">
        <v>1885</v>
      </c>
      <c r="D236" s="3746" t="s">
        <v>1886</v>
      </c>
      <c r="E236" s="3861" t="s">
        <v>4358</v>
      </c>
      <c r="F236" s="3734" t="s">
        <v>4674</v>
      </c>
      <c r="G236" s="3735"/>
      <c r="H236" s="3735"/>
      <c r="I236" s="3821">
        <v>252.7</v>
      </c>
      <c r="J236" s="3821">
        <v>28.74</v>
      </c>
      <c r="K236" s="3823"/>
      <c r="L236" s="3807" t="s">
        <v>6034</v>
      </c>
      <c r="M236" s="4130">
        <v>99340000</v>
      </c>
      <c r="N236" s="3738">
        <f>M236/100000</f>
        <v>993.4</v>
      </c>
      <c r="O236" s="3739">
        <v>1</v>
      </c>
      <c r="P236" s="3740">
        <f>O236*N236</f>
        <v>993.4</v>
      </c>
      <c r="Q236" s="3863" t="s">
        <v>6939</v>
      </c>
      <c r="R236" s="3742">
        <f>'Abs11. NTEP'!Q23</f>
        <v>0</v>
      </c>
      <c r="S236" s="3750">
        <f>'Abs11. NTEP'!R23</f>
        <v>0</v>
      </c>
    </row>
    <row r="237" spans="1:19" ht="33">
      <c r="A237" s="2010">
        <v>2</v>
      </c>
      <c r="B237" s="2011" t="s">
        <v>1887</v>
      </c>
      <c r="C237" s="2062" t="s">
        <v>1888</v>
      </c>
      <c r="D237" s="2062" t="s">
        <v>19</v>
      </c>
      <c r="E237" s="1537" t="s">
        <v>4358</v>
      </c>
      <c r="F237" s="1948" t="s">
        <v>4674</v>
      </c>
      <c r="G237" s="1350"/>
      <c r="H237" s="1350"/>
      <c r="I237" s="2023">
        <v>22</v>
      </c>
      <c r="J237" s="2023">
        <v>1.95</v>
      </c>
      <c r="K237" s="1824"/>
      <c r="L237" s="3516" t="s">
        <v>6035</v>
      </c>
      <c r="M237" s="3522">
        <v>2200000</v>
      </c>
      <c r="N237" s="1857">
        <f>M237/100000</f>
        <v>22</v>
      </c>
      <c r="O237" s="1317">
        <v>1</v>
      </c>
      <c r="P237" s="2014">
        <f>O237*N237</f>
        <v>22</v>
      </c>
      <c r="Q237" s="2124" t="s">
        <v>6037</v>
      </c>
      <c r="R237" s="1926">
        <f>'Abs11. NTEP'!Q24</f>
        <v>0</v>
      </c>
      <c r="S237" s="2053">
        <f>'Abs11. NTEP'!R24</f>
        <v>0</v>
      </c>
    </row>
    <row r="238" spans="1:19" ht="33">
      <c r="A238" s="2010">
        <v>3</v>
      </c>
      <c r="B238" s="2011" t="s">
        <v>1889</v>
      </c>
      <c r="C238" s="2020"/>
      <c r="D238" s="1855" t="s">
        <v>1877</v>
      </c>
      <c r="E238" s="1537" t="s">
        <v>4358</v>
      </c>
      <c r="F238" s="1948" t="s">
        <v>4674</v>
      </c>
      <c r="G238" s="1350"/>
      <c r="H238" s="1350"/>
      <c r="I238" s="1350">
        <v>4.4000000000000004</v>
      </c>
      <c r="J238" s="1350">
        <v>0</v>
      </c>
      <c r="K238" s="1824"/>
      <c r="L238" s="3516" t="s">
        <v>6036</v>
      </c>
      <c r="M238" s="3522">
        <v>440000</v>
      </c>
      <c r="N238" s="1857">
        <f>M238/100000</f>
        <v>4.4000000000000004</v>
      </c>
      <c r="O238" s="1317">
        <v>1</v>
      </c>
      <c r="P238" s="2014">
        <f>O238*N238</f>
        <v>4.4000000000000004</v>
      </c>
      <c r="Q238" s="2129" t="s">
        <v>6038</v>
      </c>
      <c r="R238" s="1926">
        <f>'Abs11. NTEP'!Q25</f>
        <v>0</v>
      </c>
      <c r="S238" s="2053">
        <f>'Abs11. NTEP'!R25</f>
        <v>0</v>
      </c>
    </row>
    <row r="239" spans="1:19">
      <c r="A239" s="2002" t="s">
        <v>4355</v>
      </c>
      <c r="B239" s="2073" t="s">
        <v>3326</v>
      </c>
      <c r="C239" s="2073"/>
      <c r="D239" s="2073" t="s">
        <v>3323</v>
      </c>
      <c r="E239" s="2094"/>
      <c r="F239" s="2094"/>
      <c r="G239" s="2078"/>
      <c r="H239" s="2078"/>
      <c r="I239" s="2078"/>
      <c r="J239" s="2078"/>
      <c r="K239" s="2078"/>
      <c r="L239" s="3515"/>
      <c r="M239" s="2078"/>
      <c r="N239" s="2095"/>
      <c r="O239" s="2078"/>
      <c r="P239" s="2087">
        <f>SUM(P240:P243)</f>
        <v>387.38364999999999</v>
      </c>
      <c r="Q239" s="2096"/>
      <c r="R239" s="1521"/>
      <c r="S239" s="1892">
        <f>SUM(S240:S243)</f>
        <v>0</v>
      </c>
    </row>
    <row r="240" spans="1:19" s="3744" customFormat="1" ht="42.75" customHeight="1">
      <c r="A240" s="3731">
        <v>1</v>
      </c>
      <c r="B240" s="3974" t="s">
        <v>3327</v>
      </c>
      <c r="C240" s="3801"/>
      <c r="D240" s="3780" t="s">
        <v>3322</v>
      </c>
      <c r="E240" s="3861" t="s">
        <v>4358</v>
      </c>
      <c r="F240" s="3734" t="s">
        <v>3316</v>
      </c>
      <c r="G240" s="3735"/>
      <c r="H240" s="3735"/>
      <c r="I240" s="3735">
        <v>712.31</v>
      </c>
      <c r="J240" s="3735"/>
      <c r="K240" s="3735"/>
      <c r="L240" s="3736" t="s">
        <v>5823</v>
      </c>
      <c r="M240" s="3737">
        <v>12813343</v>
      </c>
      <c r="N240" s="3738">
        <f>M240/100000</f>
        <v>128.13343</v>
      </c>
      <c r="O240" s="3739">
        <v>1</v>
      </c>
      <c r="P240" s="3740">
        <f>O240*N240</f>
        <v>128.13343</v>
      </c>
      <c r="Q240" s="4091" t="s">
        <v>5807</v>
      </c>
      <c r="R240" s="3742">
        <f>'Abs12. NVHCP'!Q18</f>
        <v>0</v>
      </c>
      <c r="S240" s="3743">
        <f>'Abs12. NVHCP'!R18</f>
        <v>0</v>
      </c>
    </row>
    <row r="241" spans="1:19" s="3744" customFormat="1" ht="49.5">
      <c r="A241" s="3731">
        <v>2</v>
      </c>
      <c r="B241" s="3974" t="s">
        <v>3328</v>
      </c>
      <c r="C241" s="3801"/>
      <c r="D241" s="3780" t="s">
        <v>3324</v>
      </c>
      <c r="E241" s="3861" t="s">
        <v>4358</v>
      </c>
      <c r="F241" s="3734" t="s">
        <v>3316</v>
      </c>
      <c r="G241" s="3735"/>
      <c r="H241" s="3735"/>
      <c r="I241" s="3735">
        <v>978.54</v>
      </c>
      <c r="J241" s="3735"/>
      <c r="K241" s="3735"/>
      <c r="L241" s="3736" t="s">
        <v>5823</v>
      </c>
      <c r="M241" s="3737">
        <v>19580022</v>
      </c>
      <c r="N241" s="3738">
        <f>M241/100000</f>
        <v>195.80022</v>
      </c>
      <c r="O241" s="3739">
        <v>1</v>
      </c>
      <c r="P241" s="3740">
        <f>O241*N241</f>
        <v>195.80022</v>
      </c>
      <c r="Q241" s="3741" t="s">
        <v>5808</v>
      </c>
      <c r="R241" s="3742">
        <f>'Abs12. NVHCP'!Q19</f>
        <v>0</v>
      </c>
      <c r="S241" s="3743">
        <f>'Abs12. NVHCP'!R19</f>
        <v>0</v>
      </c>
    </row>
    <row r="242" spans="1:19" ht="66">
      <c r="A242" s="2010">
        <v>3</v>
      </c>
      <c r="B242" s="2097" t="s">
        <v>3329</v>
      </c>
      <c r="C242" s="2020"/>
      <c r="D242" s="1309" t="s">
        <v>4098</v>
      </c>
      <c r="E242" s="1537" t="s">
        <v>4358</v>
      </c>
      <c r="F242" s="2028" t="s">
        <v>3316</v>
      </c>
      <c r="G242" s="1350"/>
      <c r="H242" s="1350"/>
      <c r="I242" s="1350">
        <v>63</v>
      </c>
      <c r="J242" s="1350"/>
      <c r="K242" s="1350"/>
      <c r="L242" s="2061" t="s">
        <v>5824</v>
      </c>
      <c r="M242" s="1729">
        <v>135000</v>
      </c>
      <c r="N242" s="1857">
        <f>M242/100000</f>
        <v>1.35</v>
      </c>
      <c r="O242" s="1317">
        <v>47</v>
      </c>
      <c r="P242" s="2014">
        <f>O242*N242</f>
        <v>63.45</v>
      </c>
      <c r="Q242" s="2019" t="s">
        <v>5809</v>
      </c>
      <c r="R242" s="1926">
        <f>'Abs12. NVHCP'!Q20</f>
        <v>0</v>
      </c>
      <c r="S242" s="2015">
        <f>'Abs12. NVHCP'!R20</f>
        <v>0</v>
      </c>
    </row>
    <row r="243" spans="1:19" ht="33">
      <c r="A243" s="2010">
        <v>4</v>
      </c>
      <c r="B243" s="2097" t="s">
        <v>3330</v>
      </c>
      <c r="C243" s="2020"/>
      <c r="D243" s="1309" t="s">
        <v>3325</v>
      </c>
      <c r="E243" s="1537" t="s">
        <v>4358</v>
      </c>
      <c r="F243" s="2028" t="s">
        <v>3316</v>
      </c>
      <c r="G243" s="1350"/>
      <c r="H243" s="1350"/>
      <c r="I243" s="1350"/>
      <c r="J243" s="1350"/>
      <c r="K243" s="1350"/>
      <c r="L243" s="2022"/>
      <c r="M243" s="1729"/>
      <c r="N243" s="1857">
        <f>M243/100000</f>
        <v>0</v>
      </c>
      <c r="O243" s="1317"/>
      <c r="P243" s="2014">
        <f>O243*N243</f>
        <v>0</v>
      </c>
      <c r="Q243" s="2019"/>
      <c r="R243" s="1926">
        <f>'Abs12. NVHCP'!Q21</f>
        <v>0</v>
      </c>
      <c r="S243" s="2015">
        <f>'Abs12. NVHCP'!R21</f>
        <v>0</v>
      </c>
    </row>
    <row r="244" spans="1:19" s="2032" customFormat="1">
      <c r="A244" s="2002" t="s">
        <v>4356</v>
      </c>
      <c r="B244" s="1991" t="s">
        <v>4482</v>
      </c>
      <c r="C244" s="1992"/>
      <c r="D244" s="2098" t="s">
        <v>4945</v>
      </c>
      <c r="E244" s="1298"/>
      <c r="F244" s="1298"/>
      <c r="G244" s="2057"/>
      <c r="H244" s="2057"/>
      <c r="I244" s="2057"/>
      <c r="J244" s="2057"/>
      <c r="K244" s="2057"/>
      <c r="L244" s="1531"/>
      <c r="M244" s="2057"/>
      <c r="N244" s="1672"/>
      <c r="O244" s="2058"/>
      <c r="P244" s="1672">
        <f>P245</f>
        <v>200</v>
      </c>
      <c r="Q244" s="1532"/>
      <c r="R244" s="1518"/>
      <c r="S244" s="1887">
        <f>S245</f>
        <v>0</v>
      </c>
    </row>
    <row r="245" spans="1:19" s="2032" customFormat="1" ht="33">
      <c r="A245" s="2027">
        <v>1</v>
      </c>
      <c r="B245" s="2016" t="s">
        <v>4483</v>
      </c>
      <c r="C245" s="2020"/>
      <c r="D245" s="2099" t="s">
        <v>4480</v>
      </c>
      <c r="E245" s="1537" t="s">
        <v>4358</v>
      </c>
      <c r="F245" s="2028" t="s">
        <v>3986</v>
      </c>
      <c r="G245" s="1349"/>
      <c r="H245" s="1349"/>
      <c r="I245" s="1349"/>
      <c r="J245" s="1349"/>
      <c r="K245" s="1349"/>
      <c r="L245" s="3506" t="s">
        <v>6109</v>
      </c>
      <c r="M245" s="1729">
        <v>20000000</v>
      </c>
      <c r="N245" s="1857">
        <f>M245/100000</f>
        <v>200</v>
      </c>
      <c r="O245" s="1317">
        <v>1</v>
      </c>
      <c r="P245" s="2030">
        <f>O245*N245</f>
        <v>200</v>
      </c>
      <c r="Q245" s="2130" t="s">
        <v>6110</v>
      </c>
      <c r="R245" s="1926">
        <f>'Abs13. NRCP'!Q8</f>
        <v>0</v>
      </c>
      <c r="S245" s="2053">
        <f>'Abs13. NRCP'!R8</f>
        <v>0</v>
      </c>
    </row>
    <row r="246" spans="1:19" s="2032" customFormat="1">
      <c r="A246" s="2002" t="s">
        <v>4664</v>
      </c>
      <c r="B246" s="1991" t="s">
        <v>4482</v>
      </c>
      <c r="C246" s="1992"/>
      <c r="D246" s="2098" t="s">
        <v>4946</v>
      </c>
      <c r="E246" s="1298"/>
      <c r="F246" s="1298"/>
      <c r="G246" s="2057"/>
      <c r="H246" s="2057"/>
      <c r="I246" s="2057"/>
      <c r="J246" s="2057"/>
      <c r="K246" s="2057"/>
      <c r="L246" s="1531"/>
      <c r="M246" s="2057"/>
      <c r="N246" s="1672"/>
      <c r="O246" s="2058"/>
      <c r="P246" s="1672">
        <f>SUM(P247:P248)</f>
        <v>0</v>
      </c>
      <c r="Q246" s="1532"/>
      <c r="R246" s="1518"/>
      <c r="S246" s="1887">
        <f>SUM(S247:S248)</f>
        <v>0</v>
      </c>
    </row>
    <row r="247" spans="1:19" s="2032" customFormat="1" ht="49.5">
      <c r="A247" s="2027">
        <v>1</v>
      </c>
      <c r="B247" s="2016" t="s">
        <v>4484</v>
      </c>
      <c r="C247" s="2020"/>
      <c r="D247" s="2099" t="s">
        <v>4481</v>
      </c>
      <c r="E247" s="1537" t="s">
        <v>4358</v>
      </c>
      <c r="F247" s="2028" t="s">
        <v>4544</v>
      </c>
      <c r="G247" s="1349"/>
      <c r="H247" s="1349"/>
      <c r="I247" s="1349"/>
      <c r="J247" s="1349"/>
      <c r="K247" s="1349"/>
      <c r="L247" s="3506"/>
      <c r="M247" s="1729"/>
      <c r="N247" s="1857">
        <f>M247/100000</f>
        <v>0</v>
      </c>
      <c r="O247" s="1317"/>
      <c r="P247" s="2030">
        <f>O247*N247</f>
        <v>0</v>
      </c>
      <c r="Q247" s="2100"/>
      <c r="R247" s="1926">
        <f>'Abs14. PPCL'!Q7</f>
        <v>0</v>
      </c>
      <c r="S247" s="2053">
        <f>'Abs14. PPCL'!R7</f>
        <v>0</v>
      </c>
    </row>
    <row r="248" spans="1:19">
      <c r="A248" s="2027">
        <v>2</v>
      </c>
      <c r="B248" s="2016" t="s">
        <v>4485</v>
      </c>
      <c r="C248" s="2020"/>
      <c r="D248" s="2099" t="s">
        <v>1310</v>
      </c>
      <c r="E248" s="1537" t="s">
        <v>4358</v>
      </c>
      <c r="F248" s="2028" t="s">
        <v>4544</v>
      </c>
      <c r="G248" s="1349"/>
      <c r="H248" s="1349"/>
      <c r="I248" s="1349"/>
      <c r="J248" s="1349"/>
      <c r="K248" s="1349"/>
      <c r="L248" s="3506"/>
      <c r="M248" s="1729"/>
      <c r="N248" s="1857">
        <f>M248/100000</f>
        <v>0</v>
      </c>
      <c r="O248" s="1317"/>
      <c r="P248" s="2030">
        <f>O248*N248</f>
        <v>0</v>
      </c>
      <c r="Q248" s="2100"/>
      <c r="R248" s="1926">
        <f>'Abs14. PPCL'!Q8</f>
        <v>0</v>
      </c>
      <c r="S248" s="2053">
        <f>'Abs14. PPCL'!R8</f>
        <v>0</v>
      </c>
    </row>
    <row r="249" spans="1:19">
      <c r="A249" s="4410" t="s">
        <v>4928</v>
      </c>
      <c r="B249" s="4410"/>
      <c r="C249" s="4410"/>
      <c r="D249" s="4410"/>
      <c r="E249" s="1779"/>
      <c r="F249" s="1779"/>
      <c r="G249" s="2049"/>
      <c r="H249" s="2049"/>
      <c r="I249" s="2049"/>
      <c r="J249" s="2049"/>
      <c r="K249" s="2049"/>
      <c r="L249" s="1781"/>
      <c r="M249" s="2049"/>
      <c r="N249" s="1997"/>
      <c r="O249" s="2050"/>
      <c r="P249" s="1997"/>
      <c r="Q249" s="1782"/>
      <c r="R249" s="1735"/>
      <c r="S249" s="1694"/>
    </row>
    <row r="250" spans="1:19">
      <c r="A250" s="2002" t="s">
        <v>4350</v>
      </c>
      <c r="B250" s="2073" t="s">
        <v>1890</v>
      </c>
      <c r="C250" s="2074" t="s">
        <v>1891</v>
      </c>
      <c r="D250" s="2075" t="s">
        <v>1892</v>
      </c>
      <c r="E250" s="2076"/>
      <c r="F250" s="1304"/>
      <c r="G250" s="2077"/>
      <c r="H250" s="2077"/>
      <c r="I250" s="2077"/>
      <c r="J250" s="2077"/>
      <c r="K250" s="2077"/>
      <c r="L250" s="3515"/>
      <c r="M250" s="3228"/>
      <c r="N250" s="2079"/>
      <c r="O250" s="2077"/>
      <c r="P250" s="2079">
        <f>SUM(P251:P252)</f>
        <v>235</v>
      </c>
      <c r="Q250" s="2080"/>
      <c r="R250" s="1521"/>
      <c r="S250" s="1892">
        <f>SUM(S251:S252)</f>
        <v>0</v>
      </c>
    </row>
    <row r="251" spans="1:19" ht="49.5">
      <c r="A251" s="2010">
        <v>1</v>
      </c>
      <c r="B251" s="2011" t="s">
        <v>1893</v>
      </c>
      <c r="C251" s="2044" t="s">
        <v>1894</v>
      </c>
      <c r="D251" s="2044" t="s">
        <v>3972</v>
      </c>
      <c r="E251" s="1284" t="s">
        <v>85</v>
      </c>
      <c r="F251" s="1948" t="s">
        <v>86</v>
      </c>
      <c r="G251" s="1350"/>
      <c r="H251" s="1350"/>
      <c r="I251" s="2034"/>
      <c r="J251" s="2034"/>
      <c r="K251" s="1350"/>
      <c r="L251" s="2061" t="s">
        <v>5913</v>
      </c>
      <c r="M251" s="1729">
        <v>1000</v>
      </c>
      <c r="N251" s="1857">
        <f>M251/100000</f>
        <v>0.01</v>
      </c>
      <c r="O251" s="1317">
        <v>23500</v>
      </c>
      <c r="P251" s="2014">
        <f>O251*N251</f>
        <v>235</v>
      </c>
      <c r="Q251" s="1950" t="s">
        <v>5914</v>
      </c>
      <c r="R251" s="1926">
        <f>'Abs15. NPCB'!Q20</f>
        <v>0</v>
      </c>
      <c r="S251" s="2053">
        <f>'Abs15. NPCB'!R20</f>
        <v>0</v>
      </c>
    </row>
    <row r="252" spans="1:19">
      <c r="A252" s="2010">
        <v>2</v>
      </c>
      <c r="B252" s="2011" t="s">
        <v>1895</v>
      </c>
      <c r="C252" s="2020"/>
      <c r="D252" s="1855" t="s">
        <v>1877</v>
      </c>
      <c r="E252" s="1284" t="s">
        <v>85</v>
      </c>
      <c r="F252" s="1948" t="s">
        <v>86</v>
      </c>
      <c r="G252" s="1350"/>
      <c r="H252" s="1350"/>
      <c r="I252" s="1350"/>
      <c r="J252" s="1350"/>
      <c r="K252" s="1350"/>
      <c r="L252" s="2022"/>
      <c r="M252" s="1729"/>
      <c r="N252" s="1857">
        <f>M252/100000</f>
        <v>0</v>
      </c>
      <c r="O252" s="1317"/>
      <c r="P252" s="2014">
        <f>O252*N252</f>
        <v>0</v>
      </c>
      <c r="Q252" s="2019"/>
      <c r="R252" s="1926">
        <f>'Abs15. NPCB'!Q21</f>
        <v>0</v>
      </c>
      <c r="S252" s="2053">
        <f>'Abs15. NPCB'!R21</f>
        <v>0</v>
      </c>
    </row>
    <row r="253" spans="1:19">
      <c r="A253" s="2002" t="s">
        <v>4351</v>
      </c>
      <c r="B253" s="2073" t="s">
        <v>1896</v>
      </c>
      <c r="C253" s="2074" t="s">
        <v>1897</v>
      </c>
      <c r="D253" s="2075" t="s">
        <v>1898</v>
      </c>
      <c r="E253" s="2076"/>
      <c r="F253" s="1304"/>
      <c r="G253" s="2077"/>
      <c r="H253" s="2077"/>
      <c r="I253" s="2077"/>
      <c r="J253" s="2077"/>
      <c r="K253" s="2077"/>
      <c r="L253" s="3515"/>
      <c r="M253" s="3228"/>
      <c r="N253" s="2079"/>
      <c r="O253" s="2077"/>
      <c r="P253" s="2079">
        <f>SUM(P254:P255)</f>
        <v>190</v>
      </c>
      <c r="Q253" s="2080"/>
      <c r="R253" s="1521"/>
      <c r="S253" s="1892">
        <f>SUM(S254:S255)</f>
        <v>0</v>
      </c>
    </row>
    <row r="254" spans="1:19" ht="99">
      <c r="A254" s="2010">
        <v>1</v>
      </c>
      <c r="B254" s="2011" t="s">
        <v>1899</v>
      </c>
      <c r="C254" s="2099"/>
      <c r="D254" s="2101"/>
      <c r="E254" s="1284" t="s">
        <v>85</v>
      </c>
      <c r="F254" s="1948" t="s">
        <v>150</v>
      </c>
      <c r="G254" s="1350"/>
      <c r="H254" s="1350"/>
      <c r="I254" s="1350"/>
      <c r="J254" s="1350"/>
      <c r="K254" s="1350"/>
      <c r="L254" s="2022" t="s">
        <v>5922</v>
      </c>
      <c r="M254" s="1729">
        <v>500000</v>
      </c>
      <c r="N254" s="1857">
        <f>M254/100000</f>
        <v>5</v>
      </c>
      <c r="O254" s="1317">
        <v>38</v>
      </c>
      <c r="P254" s="2014">
        <f>O254*N254</f>
        <v>190</v>
      </c>
      <c r="Q254" s="2112" t="s">
        <v>5923</v>
      </c>
      <c r="R254" s="1926">
        <f>'Abs16. NMHP'!Q14</f>
        <v>0</v>
      </c>
      <c r="S254" s="2053">
        <f>'Abs16. NMHP'!R14</f>
        <v>0</v>
      </c>
    </row>
    <row r="255" spans="1:19">
      <c r="A255" s="2010">
        <v>2</v>
      </c>
      <c r="B255" s="2011" t="s">
        <v>1900</v>
      </c>
      <c r="C255" s="2099"/>
      <c r="D255" s="2101"/>
      <c r="E255" s="1284" t="s">
        <v>85</v>
      </c>
      <c r="F255" s="1948" t="s">
        <v>150</v>
      </c>
      <c r="G255" s="1350"/>
      <c r="H255" s="1350"/>
      <c r="I255" s="1350"/>
      <c r="J255" s="1350"/>
      <c r="K255" s="1350"/>
      <c r="L255" s="2022"/>
      <c r="M255" s="1729"/>
      <c r="N255" s="1857">
        <f>M255/100000</f>
        <v>0</v>
      </c>
      <c r="O255" s="1317"/>
      <c r="P255" s="2014">
        <f>O255*N255</f>
        <v>0</v>
      </c>
      <c r="Q255" s="2019"/>
      <c r="R255" s="1926">
        <f>'Abs16. NMHP'!Q15</f>
        <v>0</v>
      </c>
      <c r="S255" s="2053">
        <f>'Abs16. NMHP'!R15</f>
        <v>0</v>
      </c>
    </row>
    <row r="256" spans="1:19">
      <c r="A256" s="2002" t="s">
        <v>4354</v>
      </c>
      <c r="B256" s="2073" t="s">
        <v>1901</v>
      </c>
      <c r="C256" s="2074" t="s">
        <v>1902</v>
      </c>
      <c r="D256" s="2075" t="s">
        <v>1903</v>
      </c>
      <c r="E256" s="2076"/>
      <c r="F256" s="1304"/>
      <c r="G256" s="2077"/>
      <c r="H256" s="2077"/>
      <c r="I256" s="2077"/>
      <c r="J256" s="2077"/>
      <c r="K256" s="2077"/>
      <c r="L256" s="3515"/>
      <c r="M256" s="3228"/>
      <c r="N256" s="2079"/>
      <c r="O256" s="2077"/>
      <c r="P256" s="2079">
        <f>SUM(P257:P258)</f>
        <v>0</v>
      </c>
      <c r="Q256" s="2080"/>
      <c r="R256" s="1521"/>
      <c r="S256" s="1892">
        <f>SUM(S257:S258)</f>
        <v>0</v>
      </c>
    </row>
    <row r="257" spans="1:19">
      <c r="A257" s="2010">
        <v>1</v>
      </c>
      <c r="B257" s="2011" t="s">
        <v>1904</v>
      </c>
      <c r="C257" s="2099"/>
      <c r="D257" s="2044" t="s">
        <v>1903</v>
      </c>
      <c r="E257" s="1284" t="s">
        <v>85</v>
      </c>
      <c r="F257" s="1948" t="s">
        <v>399</v>
      </c>
      <c r="G257" s="1350">
        <v>38</v>
      </c>
      <c r="H257" s="1350">
        <v>38</v>
      </c>
      <c r="I257" s="1350">
        <v>38</v>
      </c>
      <c r="J257" s="1350">
        <v>0</v>
      </c>
      <c r="K257" s="1350">
        <v>0</v>
      </c>
      <c r="L257" s="2061"/>
      <c r="M257" s="1729"/>
      <c r="N257" s="1857">
        <f>M257/100000</f>
        <v>0</v>
      </c>
      <c r="O257" s="1317"/>
      <c r="P257" s="2014">
        <f>O257*N257</f>
        <v>0</v>
      </c>
      <c r="Q257" s="2019"/>
      <c r="R257" s="1926">
        <f>'Abs17. NPHCE'!Q18</f>
        <v>0</v>
      </c>
      <c r="S257" s="2053">
        <f>'Abs17. NPHCE'!R18</f>
        <v>0</v>
      </c>
    </row>
    <row r="258" spans="1:19">
      <c r="A258" s="2010">
        <v>2</v>
      </c>
      <c r="B258" s="2011" t="s">
        <v>1905</v>
      </c>
      <c r="C258" s="2099"/>
      <c r="D258" s="2101"/>
      <c r="E258" s="1284" t="s">
        <v>85</v>
      </c>
      <c r="F258" s="1948" t="s">
        <v>399</v>
      </c>
      <c r="G258" s="1350"/>
      <c r="H258" s="1350"/>
      <c r="I258" s="1350"/>
      <c r="J258" s="1350"/>
      <c r="K258" s="1350"/>
      <c r="L258" s="2022"/>
      <c r="M258" s="1729"/>
      <c r="N258" s="1857">
        <f>M258/100000</f>
        <v>0</v>
      </c>
      <c r="O258" s="1317"/>
      <c r="P258" s="2014">
        <f>O258*N258</f>
        <v>0</v>
      </c>
      <c r="Q258" s="2019"/>
      <c r="R258" s="1926">
        <f>'Abs17. NPHCE'!Q19</f>
        <v>0</v>
      </c>
      <c r="S258" s="2053">
        <f>'Abs17. NPHCE'!R19</f>
        <v>0</v>
      </c>
    </row>
    <row r="259" spans="1:19">
      <c r="A259" s="2002" t="s">
        <v>4355</v>
      </c>
      <c r="B259" s="2073" t="s">
        <v>1906</v>
      </c>
      <c r="C259" s="2074"/>
      <c r="D259" s="2075" t="s">
        <v>1907</v>
      </c>
      <c r="E259" s="2076"/>
      <c r="F259" s="1304"/>
      <c r="G259" s="2077"/>
      <c r="H259" s="2077"/>
      <c r="I259" s="2077"/>
      <c r="J259" s="2077"/>
      <c r="K259" s="2077"/>
      <c r="L259" s="3515"/>
      <c r="M259" s="3228"/>
      <c r="N259" s="2079"/>
      <c r="O259" s="2077"/>
      <c r="P259" s="2079">
        <f>SUM(P260:P261)</f>
        <v>19</v>
      </c>
      <c r="Q259" s="2080"/>
      <c r="R259" s="1521"/>
      <c r="S259" s="1892">
        <f>SUM(S260:S261)</f>
        <v>0</v>
      </c>
    </row>
    <row r="260" spans="1:19" ht="33">
      <c r="A260" s="2010">
        <v>1</v>
      </c>
      <c r="B260" s="2011" t="s">
        <v>1908</v>
      </c>
      <c r="C260" s="2044" t="s">
        <v>1909</v>
      </c>
      <c r="D260" s="2044" t="s">
        <v>1910</v>
      </c>
      <c r="E260" s="1284" t="s">
        <v>85</v>
      </c>
      <c r="F260" s="1948" t="s">
        <v>152</v>
      </c>
      <c r="G260" s="1350"/>
      <c r="H260" s="1350"/>
      <c r="I260" s="1350"/>
      <c r="J260" s="1350"/>
      <c r="K260" s="1350"/>
      <c r="L260" s="2061" t="s">
        <v>5922</v>
      </c>
      <c r="M260" s="1729">
        <v>50000</v>
      </c>
      <c r="N260" s="1857">
        <f>M260/100000</f>
        <v>0.5</v>
      </c>
      <c r="O260" s="1317">
        <v>38</v>
      </c>
      <c r="P260" s="2014">
        <f>O260*N260</f>
        <v>19</v>
      </c>
      <c r="Q260" s="1348" t="s">
        <v>5951</v>
      </c>
      <c r="R260" s="1926">
        <f>'Abs18. NTCP'!Q15</f>
        <v>0</v>
      </c>
      <c r="S260" s="2053">
        <f>'Abs18. NTCP'!R15</f>
        <v>0</v>
      </c>
    </row>
    <row r="261" spans="1:19">
      <c r="A261" s="2010">
        <v>2</v>
      </c>
      <c r="B261" s="2011" t="s">
        <v>1911</v>
      </c>
      <c r="C261" s="2020"/>
      <c r="D261" s="1855" t="s">
        <v>1877</v>
      </c>
      <c r="E261" s="1284" t="s">
        <v>85</v>
      </c>
      <c r="F261" s="1948" t="s">
        <v>152</v>
      </c>
      <c r="G261" s="1350"/>
      <c r="H261" s="1350"/>
      <c r="I261" s="1350"/>
      <c r="J261" s="1350"/>
      <c r="K261" s="1350"/>
      <c r="L261" s="2022"/>
      <c r="M261" s="1729"/>
      <c r="N261" s="1857">
        <f>M261/100000</f>
        <v>0</v>
      </c>
      <c r="O261" s="1317"/>
      <c r="P261" s="2014">
        <f>O261*N261</f>
        <v>0</v>
      </c>
      <c r="Q261" s="2019"/>
      <c r="R261" s="1926">
        <f>'Abs18. NTCP'!Q16</f>
        <v>0</v>
      </c>
      <c r="S261" s="2053">
        <f>'Abs18. NTCP'!R16</f>
        <v>0</v>
      </c>
    </row>
    <row r="262" spans="1:19">
      <c r="A262" s="2002" t="s">
        <v>4356</v>
      </c>
      <c r="B262" s="2073" t="s">
        <v>1912</v>
      </c>
      <c r="C262" s="2074" t="s">
        <v>1913</v>
      </c>
      <c r="D262" s="2075" t="s">
        <v>1914</v>
      </c>
      <c r="E262" s="2076"/>
      <c r="F262" s="1304"/>
      <c r="G262" s="2077"/>
      <c r="H262" s="2077"/>
      <c r="I262" s="2077"/>
      <c r="J262" s="2077"/>
      <c r="K262" s="2077"/>
      <c r="L262" s="3515"/>
      <c r="M262" s="3228"/>
      <c r="N262" s="2079"/>
      <c r="O262" s="2077"/>
      <c r="P262" s="2079">
        <f>SUM(P263:P270)</f>
        <v>581.98</v>
      </c>
      <c r="Q262" s="2080"/>
      <c r="R262" s="1521"/>
      <c r="S262" s="1892">
        <f>SUM(S263:S270)</f>
        <v>0</v>
      </c>
    </row>
    <row r="263" spans="1:19" ht="115.5">
      <c r="A263" s="2010">
        <v>1</v>
      </c>
      <c r="B263" s="2016" t="s">
        <v>1915</v>
      </c>
      <c r="C263" s="2099" t="s">
        <v>1916</v>
      </c>
      <c r="D263" s="2044" t="s">
        <v>4788</v>
      </c>
      <c r="E263" s="1284" t="s">
        <v>85</v>
      </c>
      <c r="F263" s="1948" t="s">
        <v>415</v>
      </c>
      <c r="G263" s="1350">
        <v>39</v>
      </c>
      <c r="H263" s="1350">
        <v>234</v>
      </c>
      <c r="I263" s="1350">
        <v>0</v>
      </c>
      <c r="J263" s="2017">
        <v>0.39</v>
      </c>
      <c r="K263" s="2017">
        <v>0</v>
      </c>
      <c r="L263" s="1316" t="s">
        <v>6077</v>
      </c>
      <c r="M263" s="1729">
        <v>600000</v>
      </c>
      <c r="N263" s="1857">
        <f t="shared" ref="N263:N270" si="19">M263/100000</f>
        <v>6</v>
      </c>
      <c r="O263" s="1317">
        <v>39</v>
      </c>
      <c r="P263" s="2014">
        <f t="shared" ref="P263:P270" si="20">O263*N263</f>
        <v>234</v>
      </c>
      <c r="Q263" s="1950" t="s">
        <v>6454</v>
      </c>
      <c r="R263" s="1926">
        <f>'Abs19. NPCDCS'!Q24</f>
        <v>0</v>
      </c>
      <c r="S263" s="2053">
        <f>'Abs19. NPCDCS'!R24</f>
        <v>0</v>
      </c>
    </row>
    <row r="264" spans="1:19">
      <c r="A264" s="2010">
        <v>2</v>
      </c>
      <c r="B264" s="2016" t="s">
        <v>1917</v>
      </c>
      <c r="C264" s="2099" t="s">
        <v>1918</v>
      </c>
      <c r="D264" s="2044" t="s">
        <v>4789</v>
      </c>
      <c r="E264" s="1284" t="s">
        <v>85</v>
      </c>
      <c r="F264" s="1948" t="s">
        <v>415</v>
      </c>
      <c r="G264" s="1350">
        <v>39</v>
      </c>
      <c r="H264" s="1350">
        <v>39</v>
      </c>
      <c r="I264" s="1350">
        <v>234</v>
      </c>
      <c r="J264" s="1350">
        <v>0</v>
      </c>
      <c r="K264" s="2017">
        <v>0.39</v>
      </c>
      <c r="L264" s="3517"/>
      <c r="M264" s="1729"/>
      <c r="N264" s="1857">
        <f t="shared" si="19"/>
        <v>0</v>
      </c>
      <c r="O264" s="1317"/>
      <c r="P264" s="2014">
        <f t="shared" si="20"/>
        <v>0</v>
      </c>
      <c r="Q264" s="2102" t="s">
        <v>6324</v>
      </c>
      <c r="R264" s="1926">
        <f>'Abs19. NPCDCS'!Q25</f>
        <v>0</v>
      </c>
      <c r="S264" s="2053">
        <f>'Abs19. NPCDCS'!R25</f>
        <v>0</v>
      </c>
    </row>
    <row r="265" spans="1:19">
      <c r="A265" s="2010">
        <v>3</v>
      </c>
      <c r="B265" s="2016"/>
      <c r="C265" s="2099"/>
      <c r="D265" s="2044" t="s">
        <v>4790</v>
      </c>
      <c r="E265" s="1284" t="s">
        <v>85</v>
      </c>
      <c r="F265" s="1948" t="s">
        <v>415</v>
      </c>
      <c r="G265" s="1350"/>
      <c r="H265" s="1350"/>
      <c r="I265" s="1350"/>
      <c r="J265" s="1350"/>
      <c r="K265" s="2017"/>
      <c r="L265" s="1316"/>
      <c r="M265" s="1729"/>
      <c r="N265" s="1857">
        <f>M265/100000</f>
        <v>0</v>
      </c>
      <c r="O265" s="1317"/>
      <c r="P265" s="2014">
        <f>O265*N265</f>
        <v>0</v>
      </c>
      <c r="Q265" s="2019"/>
      <c r="R265" s="1926">
        <f>'Abs19. NPCDCS'!Q26</f>
        <v>0</v>
      </c>
      <c r="S265" s="2053">
        <f>'Abs19. NPCDCS'!R26</f>
        <v>0</v>
      </c>
    </row>
    <row r="266" spans="1:19" ht="49.5">
      <c r="A266" s="2010">
        <v>4</v>
      </c>
      <c r="B266" s="2016"/>
      <c r="C266" s="2099"/>
      <c r="D266" s="2044" t="s">
        <v>4787</v>
      </c>
      <c r="E266" s="1284" t="s">
        <v>85</v>
      </c>
      <c r="F266" s="1948" t="s">
        <v>415</v>
      </c>
      <c r="G266" s="1350">
        <v>38</v>
      </c>
      <c r="H266" s="1350">
        <v>38</v>
      </c>
      <c r="I266" s="1350">
        <v>38</v>
      </c>
      <c r="J266" s="1350">
        <v>0</v>
      </c>
      <c r="K266" s="2017">
        <v>0</v>
      </c>
      <c r="L266" s="1316" t="s">
        <v>6321</v>
      </c>
      <c r="M266" s="1729">
        <v>100000</v>
      </c>
      <c r="N266" s="1857">
        <f>M266/100000</f>
        <v>1</v>
      </c>
      <c r="O266" s="1317">
        <v>38</v>
      </c>
      <c r="P266" s="2014">
        <f>O266*N266</f>
        <v>38</v>
      </c>
      <c r="Q266" s="1950" t="s">
        <v>6325</v>
      </c>
      <c r="R266" s="1926">
        <f>'Abs19. NPCDCS'!Q27</f>
        <v>0</v>
      </c>
      <c r="S266" s="2053">
        <f>'Abs19. NPCDCS'!R27</f>
        <v>0</v>
      </c>
    </row>
    <row r="267" spans="1:19" ht="99">
      <c r="A267" s="2010">
        <v>5</v>
      </c>
      <c r="B267" s="2016" t="s">
        <v>1919</v>
      </c>
      <c r="C267" s="2099" t="s">
        <v>1920</v>
      </c>
      <c r="D267" s="2044" t="s">
        <v>4791</v>
      </c>
      <c r="E267" s="1284" t="s">
        <v>85</v>
      </c>
      <c r="F267" s="1948" t="s">
        <v>415</v>
      </c>
      <c r="G267" s="1350">
        <v>267</v>
      </c>
      <c r="H267" s="1350">
        <v>210</v>
      </c>
      <c r="I267" s="1350">
        <v>66.75</v>
      </c>
      <c r="J267" s="1350">
        <v>0</v>
      </c>
      <c r="K267" s="2017">
        <v>0</v>
      </c>
      <c r="L267" s="1316" t="s">
        <v>6321</v>
      </c>
      <c r="M267" s="1729">
        <v>25000</v>
      </c>
      <c r="N267" s="1857">
        <f t="shared" si="19"/>
        <v>0.25</v>
      </c>
      <c r="O267" s="1317">
        <v>578</v>
      </c>
      <c r="P267" s="2014">
        <f t="shared" si="20"/>
        <v>144.5</v>
      </c>
      <c r="Q267" s="1950" t="s">
        <v>6455</v>
      </c>
      <c r="R267" s="1926">
        <f>'Abs19. NPCDCS'!Q28</f>
        <v>0</v>
      </c>
      <c r="S267" s="2053">
        <f>'Abs19. NPCDCS'!R28</f>
        <v>0</v>
      </c>
    </row>
    <row r="268" spans="1:19" ht="66">
      <c r="A268" s="2010">
        <v>6</v>
      </c>
      <c r="B268" s="2016" t="s">
        <v>1921</v>
      </c>
      <c r="C268" s="2099" t="s">
        <v>1922</v>
      </c>
      <c r="D268" s="2044" t="s">
        <v>4792</v>
      </c>
      <c r="E268" s="1284" t="s">
        <v>85</v>
      </c>
      <c r="F268" s="1948" t="s">
        <v>415</v>
      </c>
      <c r="G268" s="1350">
        <v>267</v>
      </c>
      <c r="H268" s="1350">
        <v>267</v>
      </c>
      <c r="I268" s="1350">
        <v>32.04</v>
      </c>
      <c r="J268" s="1350">
        <v>0</v>
      </c>
      <c r="K268" s="2103">
        <v>0</v>
      </c>
      <c r="L268" s="1316" t="s">
        <v>6322</v>
      </c>
      <c r="M268" s="1729">
        <v>12000</v>
      </c>
      <c r="N268" s="1857">
        <f t="shared" si="19"/>
        <v>0.12</v>
      </c>
      <c r="O268" s="1317">
        <v>1379</v>
      </c>
      <c r="P268" s="2014">
        <f t="shared" si="20"/>
        <v>165.48</v>
      </c>
      <c r="Q268" s="4092" t="s">
        <v>6456</v>
      </c>
      <c r="R268" s="1926">
        <f>'Abs19. NPCDCS'!Q29</f>
        <v>0</v>
      </c>
      <c r="S268" s="2053">
        <f>'Abs19. NPCDCS'!R29</f>
        <v>0</v>
      </c>
    </row>
    <row r="269" spans="1:19" ht="33">
      <c r="A269" s="2010">
        <v>7</v>
      </c>
      <c r="B269" s="2016" t="s">
        <v>1923</v>
      </c>
      <c r="C269" s="2099" t="s">
        <v>1924</v>
      </c>
      <c r="D269" s="2044" t="s">
        <v>4793</v>
      </c>
      <c r="E269" s="1284" t="s">
        <v>85</v>
      </c>
      <c r="F269" s="1948" t="s">
        <v>415</v>
      </c>
      <c r="G269" s="1350">
        <v>0</v>
      </c>
      <c r="H269" s="1350">
        <v>0</v>
      </c>
      <c r="I269" s="1350">
        <v>0</v>
      </c>
      <c r="J269" s="1350">
        <v>0</v>
      </c>
      <c r="K269" s="2017">
        <v>0</v>
      </c>
      <c r="L269" s="1316" t="s">
        <v>6323</v>
      </c>
      <c r="M269" s="1729">
        <v>0</v>
      </c>
      <c r="N269" s="1857">
        <f t="shared" si="19"/>
        <v>0</v>
      </c>
      <c r="O269" s="1317">
        <v>9949</v>
      </c>
      <c r="P269" s="2014">
        <f t="shared" si="20"/>
        <v>0</v>
      </c>
      <c r="Q269" s="4093" t="s">
        <v>6326</v>
      </c>
      <c r="R269" s="1926">
        <f>'Abs19. NPCDCS'!Q30</f>
        <v>0</v>
      </c>
      <c r="S269" s="2053">
        <f>'Abs19. NPCDCS'!R30</f>
        <v>0</v>
      </c>
    </row>
    <row r="270" spans="1:19">
      <c r="A270" s="2010">
        <v>8</v>
      </c>
      <c r="B270" s="2011" t="s">
        <v>2849</v>
      </c>
      <c r="C270" s="1855" t="s">
        <v>142</v>
      </c>
      <c r="D270" s="2044" t="s">
        <v>2538</v>
      </c>
      <c r="E270" s="1284" t="s">
        <v>85</v>
      </c>
      <c r="F270" s="1948" t="s">
        <v>415</v>
      </c>
      <c r="G270" s="1350">
        <v>6328</v>
      </c>
      <c r="H270" s="1350">
        <v>0</v>
      </c>
      <c r="I270" s="1350">
        <v>63.28</v>
      </c>
      <c r="J270" s="1350">
        <v>0</v>
      </c>
      <c r="K270" s="2104">
        <v>10.7</v>
      </c>
      <c r="L270" s="1316"/>
      <c r="M270" s="1729"/>
      <c r="N270" s="1857">
        <f t="shared" si="19"/>
        <v>0</v>
      </c>
      <c r="O270" s="1317"/>
      <c r="P270" s="2014">
        <f t="shared" si="20"/>
        <v>0</v>
      </c>
      <c r="Q270" s="2131"/>
      <c r="R270" s="1926">
        <f>'Abs19. NPCDCS'!Q31</f>
        <v>0</v>
      </c>
      <c r="S270" s="2053">
        <f>'Abs19. NPCDCS'!R31</f>
        <v>0</v>
      </c>
    </row>
    <row r="271" spans="1:19" ht="33">
      <c r="A271" s="2002" t="s">
        <v>4664</v>
      </c>
      <c r="B271" s="2073" t="s">
        <v>1925</v>
      </c>
      <c r="C271" s="2074" t="s">
        <v>1338</v>
      </c>
      <c r="D271" s="2075" t="s">
        <v>2387</v>
      </c>
      <c r="E271" s="2076"/>
      <c r="F271" s="1304"/>
      <c r="G271" s="2077"/>
      <c r="H271" s="2077"/>
      <c r="I271" s="2077"/>
      <c r="J271" s="2077"/>
      <c r="K271" s="2077"/>
      <c r="L271" s="3515"/>
      <c r="M271" s="3228"/>
      <c r="N271" s="2079"/>
      <c r="O271" s="2077"/>
      <c r="P271" s="2079">
        <f>SUM(P272:P273)</f>
        <v>0</v>
      </c>
      <c r="Q271" s="2080"/>
      <c r="R271" s="1521"/>
      <c r="S271" s="1892">
        <f>SUM(S272:S273)</f>
        <v>0</v>
      </c>
    </row>
    <row r="272" spans="1:19" ht="49.5">
      <c r="A272" s="2010">
        <v>1</v>
      </c>
      <c r="B272" s="2011" t="s">
        <v>1928</v>
      </c>
      <c r="C272" s="2020"/>
      <c r="D272" s="1855" t="s">
        <v>4383</v>
      </c>
      <c r="E272" s="1284" t="s">
        <v>85</v>
      </c>
      <c r="F272" s="1948" t="s">
        <v>4915</v>
      </c>
      <c r="G272" s="1350"/>
      <c r="H272" s="1350"/>
      <c r="I272" s="1350"/>
      <c r="J272" s="1350"/>
      <c r="K272" s="1350"/>
      <c r="L272" s="2022"/>
      <c r="M272" s="1729"/>
      <c r="N272" s="1857">
        <f>M272/100000</f>
        <v>0</v>
      </c>
      <c r="O272" s="1317"/>
      <c r="P272" s="2014">
        <f>O272*N272</f>
        <v>0</v>
      </c>
      <c r="Q272" s="2019"/>
      <c r="R272" s="1926">
        <f>'Abs20. PMNDP'!Q13</f>
        <v>0</v>
      </c>
      <c r="S272" s="2053">
        <f>'Abs20. PMNDP'!R13</f>
        <v>0</v>
      </c>
    </row>
    <row r="273" spans="1:19">
      <c r="A273" s="2010">
        <v>2</v>
      </c>
      <c r="B273" s="2011" t="s">
        <v>1930</v>
      </c>
      <c r="C273" s="2020"/>
      <c r="D273" s="1855" t="s">
        <v>4384</v>
      </c>
      <c r="E273" s="1284" t="s">
        <v>85</v>
      </c>
      <c r="F273" s="1948" t="s">
        <v>4915</v>
      </c>
      <c r="G273" s="1350"/>
      <c r="H273" s="1350"/>
      <c r="I273" s="1350"/>
      <c r="J273" s="1350"/>
      <c r="K273" s="1350"/>
      <c r="L273" s="2022"/>
      <c r="M273" s="1729"/>
      <c r="N273" s="1857">
        <f>M273/100000</f>
        <v>0</v>
      </c>
      <c r="O273" s="1317"/>
      <c r="P273" s="2014">
        <f>O273*N273</f>
        <v>0</v>
      </c>
      <c r="Q273" s="2019"/>
      <c r="R273" s="1926">
        <f>'Abs20. PMNDP'!Q14</f>
        <v>0</v>
      </c>
      <c r="S273" s="2053">
        <f>'Abs20. PMNDP'!R14</f>
        <v>0</v>
      </c>
    </row>
    <row r="274" spans="1:19">
      <c r="A274" s="2002" t="s">
        <v>4665</v>
      </c>
      <c r="B274" s="2073" t="s">
        <v>1820</v>
      </c>
      <c r="C274" s="2074"/>
      <c r="D274" s="2075" t="s">
        <v>1821</v>
      </c>
      <c r="E274" s="2076"/>
      <c r="F274" s="1304"/>
      <c r="G274" s="2077"/>
      <c r="H274" s="2077"/>
      <c r="I274" s="2077"/>
      <c r="J274" s="2077"/>
      <c r="K274" s="2077"/>
      <c r="L274" s="3515"/>
      <c r="M274" s="3228"/>
      <c r="N274" s="2079"/>
      <c r="O274" s="2077"/>
      <c r="P274" s="2079">
        <f>P275</f>
        <v>162.6</v>
      </c>
      <c r="Q274" s="2080"/>
      <c r="R274" s="1521"/>
      <c r="S274" s="1892">
        <f>S275</f>
        <v>0</v>
      </c>
    </row>
    <row r="275" spans="1:19" ht="82.5">
      <c r="A275" s="2010">
        <v>1</v>
      </c>
      <c r="B275" s="2011" t="s">
        <v>1822</v>
      </c>
      <c r="C275" s="2044" t="s">
        <v>1823</v>
      </c>
      <c r="D275" s="2044" t="s">
        <v>1824</v>
      </c>
      <c r="E275" s="1284" t="s">
        <v>85</v>
      </c>
      <c r="F275" s="1948" t="s">
        <v>312</v>
      </c>
      <c r="G275" s="1350"/>
      <c r="H275" s="1350"/>
      <c r="I275" s="1350"/>
      <c r="J275" s="1350"/>
      <c r="K275" s="1350"/>
      <c r="L275" s="3137" t="s">
        <v>5945</v>
      </c>
      <c r="M275" s="1729">
        <v>30000</v>
      </c>
      <c r="N275" s="1857">
        <f>M275/100000</f>
        <v>0.3</v>
      </c>
      <c r="O275" s="1317">
        <v>542</v>
      </c>
      <c r="P275" s="2014">
        <f>O275*N275</f>
        <v>162.6</v>
      </c>
      <c r="Q275" s="2019" t="s">
        <v>6437</v>
      </c>
      <c r="R275" s="1926">
        <f>'Abs24. NOHP'!Q11</f>
        <v>0</v>
      </c>
      <c r="S275" s="2053">
        <f>'Abs24. NOHP'!R11</f>
        <v>0</v>
      </c>
    </row>
    <row r="276" spans="1:19">
      <c r="A276" s="4410" t="s">
        <v>4929</v>
      </c>
      <c r="B276" s="4410"/>
      <c r="C276" s="4410"/>
      <c r="D276" s="4410"/>
      <c r="E276" s="1779"/>
      <c r="F276" s="1779"/>
      <c r="G276" s="2049"/>
      <c r="H276" s="2049"/>
      <c r="I276" s="2049"/>
      <c r="J276" s="2049"/>
      <c r="K276" s="2049"/>
      <c r="L276" s="1781"/>
      <c r="M276" s="2049"/>
      <c r="N276" s="1997"/>
      <c r="O276" s="2050"/>
      <c r="P276" s="1997"/>
      <c r="Q276" s="1782"/>
      <c r="R276" s="1735"/>
      <c r="S276" s="1694"/>
    </row>
    <row r="277" spans="1:19">
      <c r="A277" s="2002" t="s">
        <v>4350</v>
      </c>
      <c r="B277" s="1991">
        <v>6.5</v>
      </c>
      <c r="C277" s="1992"/>
      <c r="D277" s="1991" t="s">
        <v>43</v>
      </c>
      <c r="E277" s="1298"/>
      <c r="F277" s="1298"/>
      <c r="G277" s="2057"/>
      <c r="H277" s="2057"/>
      <c r="I277" s="2057"/>
      <c r="J277" s="2057"/>
      <c r="K277" s="2057"/>
      <c r="L277" s="1531"/>
      <c r="M277" s="2057"/>
      <c r="N277" s="1672"/>
      <c r="O277" s="2058"/>
      <c r="P277" s="1672">
        <f>SUM(P278:P280)</f>
        <v>288.72000000000003</v>
      </c>
      <c r="Q277" s="1532"/>
      <c r="R277" s="1518"/>
      <c r="S277" s="1887">
        <f>SUM(S278:S280)</f>
        <v>0</v>
      </c>
    </row>
    <row r="278" spans="1:19" s="3744" customFormat="1" ht="49.5">
      <c r="A278" s="3731">
        <v>1</v>
      </c>
      <c r="B278" s="3732" t="s">
        <v>2540</v>
      </c>
      <c r="C278" s="3801" t="s">
        <v>1934</v>
      </c>
      <c r="D278" s="3801" t="s">
        <v>4884</v>
      </c>
      <c r="E278" s="3861" t="s">
        <v>4358</v>
      </c>
      <c r="F278" s="3734" t="s">
        <v>4674</v>
      </c>
      <c r="G278" s="3735"/>
      <c r="H278" s="3735"/>
      <c r="I278" s="3864">
        <v>65</v>
      </c>
      <c r="J278" s="3735">
        <v>0.32</v>
      </c>
      <c r="K278" s="3735"/>
      <c r="L278" s="3865" t="s">
        <v>6039</v>
      </c>
      <c r="M278" s="3862">
        <v>48000</v>
      </c>
      <c r="N278" s="3738">
        <f>M278/100000</f>
        <v>0.48</v>
      </c>
      <c r="O278" s="3866">
        <f>294+90</f>
        <v>384</v>
      </c>
      <c r="P278" s="3740">
        <f>O278*N278</f>
        <v>184.32</v>
      </c>
      <c r="Q278" s="3863" t="s">
        <v>6834</v>
      </c>
      <c r="R278" s="3742">
        <f>'Abs11. NTEP'!Q26</f>
        <v>0</v>
      </c>
      <c r="S278" s="3750">
        <f>'Abs11. NTEP'!R26</f>
        <v>0</v>
      </c>
    </row>
    <row r="279" spans="1:19" ht="66">
      <c r="A279" s="2010">
        <v>2</v>
      </c>
      <c r="B279" s="2011" t="s">
        <v>2541</v>
      </c>
      <c r="C279" s="1855" t="s">
        <v>2286</v>
      </c>
      <c r="D279" s="1855" t="s">
        <v>2358</v>
      </c>
      <c r="E279" s="1537" t="s">
        <v>4358</v>
      </c>
      <c r="F279" s="1948" t="s">
        <v>4674</v>
      </c>
      <c r="G279" s="1350"/>
      <c r="H279" s="1350"/>
      <c r="I279" s="2132">
        <v>71.099999999999994</v>
      </c>
      <c r="J279" s="2132">
        <v>0</v>
      </c>
      <c r="K279" s="1824"/>
      <c r="L279" s="3516" t="s">
        <v>6040</v>
      </c>
      <c r="M279" s="3522">
        <v>10440000</v>
      </c>
      <c r="N279" s="1857">
        <f>M279/100000</f>
        <v>104.4</v>
      </c>
      <c r="O279" s="1714">
        <v>1</v>
      </c>
      <c r="P279" s="2014">
        <f>O279*N279</f>
        <v>104.4</v>
      </c>
      <c r="Q279" s="3099" t="s">
        <v>6041</v>
      </c>
      <c r="R279" s="1926">
        <f>'Abs11. NTEP'!Q27</f>
        <v>0</v>
      </c>
      <c r="S279" s="2053">
        <f>'Abs11. NTEP'!R27</f>
        <v>0</v>
      </c>
    </row>
    <row r="280" spans="1:19" ht="45" customHeight="1">
      <c r="A280" s="2010">
        <v>3</v>
      </c>
      <c r="B280" s="2011" t="s">
        <v>2542</v>
      </c>
      <c r="C280" s="2020"/>
      <c r="D280" s="1855" t="s">
        <v>1310</v>
      </c>
      <c r="E280" s="1537" t="s">
        <v>4358</v>
      </c>
      <c r="F280" s="1948" t="s">
        <v>4674</v>
      </c>
      <c r="G280" s="1350"/>
      <c r="H280" s="1350"/>
      <c r="I280" s="1350"/>
      <c r="J280" s="1350"/>
      <c r="K280" s="1350"/>
      <c r="L280" s="2022"/>
      <c r="M280" s="1729"/>
      <c r="N280" s="1857">
        <f>M280/100000</f>
        <v>0</v>
      </c>
      <c r="O280" s="1317"/>
      <c r="P280" s="2014">
        <f>O280*N280</f>
        <v>0</v>
      </c>
      <c r="Q280" s="2019"/>
      <c r="R280" s="1926">
        <f>'Abs11. NTEP'!Q28</f>
        <v>0</v>
      </c>
      <c r="S280" s="2053">
        <f>'Abs11. NTEP'!R28</f>
        <v>0</v>
      </c>
    </row>
    <row r="281" spans="1:19">
      <c r="G281" s="2009"/>
      <c r="H281" s="2009"/>
      <c r="I281" s="2009"/>
      <c r="J281" s="2009"/>
      <c r="K281" s="2009"/>
      <c r="N281" s="2108"/>
      <c r="P281" s="2108"/>
    </row>
  </sheetData>
  <sheetProtection formatCells="0" formatColumns="0" formatRows="0" autoFilter="0"/>
  <autoFilter ref="A4:BC280">
    <filterColumn colId="1" showButton="0"/>
  </autoFilter>
  <mergeCells count="20">
    <mergeCell ref="A213:D213"/>
    <mergeCell ref="A249:D249"/>
    <mergeCell ref="A276:D276"/>
    <mergeCell ref="A64:D64"/>
    <mergeCell ref="A135:D135"/>
    <mergeCell ref="A72:D72"/>
    <mergeCell ref="A92:D92"/>
    <mergeCell ref="A145:D145"/>
    <mergeCell ref="A190:D190"/>
    <mergeCell ref="A6:D6"/>
    <mergeCell ref="A41:D41"/>
    <mergeCell ref="A1:D1"/>
    <mergeCell ref="A3:A4"/>
    <mergeCell ref="B3:C4"/>
    <mergeCell ref="L3:Q3"/>
    <mergeCell ref="R3:S3"/>
    <mergeCell ref="G3:K3"/>
    <mergeCell ref="D3:D4"/>
    <mergeCell ref="E3:E4"/>
    <mergeCell ref="F3:F4"/>
  </mergeCells>
  <phoneticPr fontId="27" type="noConversion"/>
  <pageMargins left="0.7" right="0.27" top="0.39" bottom="0.16" header="0.3" footer="0.3"/>
  <pageSetup paperSize="5" scale="70"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sheetPr codeName="Sheet5"/>
  <dimension ref="A1:BA30"/>
  <sheetViews>
    <sheetView zoomScale="80" zoomScaleNormal="80" workbookViewId="0">
      <pane xSplit="5" ySplit="7" topLeftCell="F13" activePane="bottomRight" state="frozen"/>
      <selection activeCell="Q172" sqref="A1:BE179"/>
      <selection pane="topRight" activeCell="Q172" sqref="A1:BE179"/>
      <selection pane="bottomLeft" activeCell="Q172" sqref="A1:BE179"/>
      <selection pane="bottomRight" activeCell="A13" sqref="A13:XFD13"/>
    </sheetView>
  </sheetViews>
  <sheetFormatPr defaultColWidth="9.140625" defaultRowHeight="16.5"/>
  <cols>
    <col min="1" max="1" width="10.5703125" style="2205" bestFit="1" customWidth="1"/>
    <col min="2" max="2" width="18.28515625" style="2135" customWidth="1"/>
    <col min="3" max="3" width="45.85546875" style="1507" customWidth="1"/>
    <col min="4" max="4" width="10.42578125" style="2136" customWidth="1"/>
    <col min="5" max="5" width="13" style="2136" customWidth="1"/>
    <col min="6" max="6" width="14.140625" style="1551" hidden="1" customWidth="1"/>
    <col min="7" max="7" width="20" style="1551" hidden="1" customWidth="1"/>
    <col min="8" max="10" width="14.140625" style="1551" hidden="1" customWidth="1"/>
    <col min="11" max="11" width="14.42578125" style="2133" customWidth="1"/>
    <col min="12" max="12" width="18.42578125" style="2133" customWidth="1"/>
    <col min="13" max="13" width="13" style="2133" customWidth="1"/>
    <col min="14" max="14" width="12.42578125" style="2133" customWidth="1"/>
    <col min="15" max="15" width="12.140625" style="2133" customWidth="1"/>
    <col min="16" max="16" width="64.42578125" style="2205" customWidth="1"/>
    <col min="17" max="17" width="39.42578125" style="2205" hidden="1" customWidth="1"/>
    <col min="18" max="18" width="14.140625" style="2133" hidden="1" customWidth="1"/>
    <col min="19" max="19" width="14" style="2133" hidden="1" customWidth="1"/>
    <col min="20" max="53" width="0" style="2133" hidden="1" customWidth="1"/>
    <col min="54" max="16384" width="9.140625" style="2133"/>
  </cols>
  <sheetData>
    <row r="1" spans="1:53" ht="12.6" customHeight="1">
      <c r="A1" s="4424" t="s">
        <v>400</v>
      </c>
      <c r="B1" s="4425"/>
      <c r="C1" s="4426"/>
      <c r="D1" s="1870"/>
      <c r="E1" s="4391" t="s">
        <v>4709</v>
      </c>
      <c r="F1" s="4427" t="s">
        <v>4707</v>
      </c>
      <c r="G1" s="4428"/>
      <c r="H1" s="4428"/>
      <c r="I1" s="4428"/>
      <c r="J1" s="4428"/>
      <c r="K1" s="4428"/>
      <c r="L1" s="4428"/>
      <c r="M1" s="4428"/>
      <c r="N1" s="4429"/>
      <c r="O1" s="4430" t="s">
        <v>70</v>
      </c>
      <c r="P1" s="4431"/>
      <c r="Q1" s="4431"/>
      <c r="R1" s="4431"/>
      <c r="S1" s="4431"/>
      <c r="T1" s="4431"/>
      <c r="U1" s="4431"/>
      <c r="V1" s="4431"/>
      <c r="W1" s="4431"/>
      <c r="X1" s="4431"/>
      <c r="Y1" s="4431"/>
      <c r="Z1" s="4431"/>
      <c r="AA1" s="4431"/>
      <c r="AB1" s="4431"/>
      <c r="AC1" s="4431"/>
      <c r="AD1" s="4431"/>
      <c r="AE1" s="4431"/>
      <c r="AF1" s="4431"/>
      <c r="AG1" s="4431"/>
      <c r="AH1" s="4431"/>
      <c r="AI1" s="4416" t="s">
        <v>4358</v>
      </c>
      <c r="AJ1" s="4417"/>
      <c r="AK1" s="4417"/>
      <c r="AL1" s="4417"/>
      <c r="AM1" s="4417"/>
      <c r="AN1" s="4417"/>
      <c r="AO1" s="4418"/>
      <c r="AP1" s="4419" t="s">
        <v>85</v>
      </c>
      <c r="AQ1" s="4420"/>
      <c r="AR1" s="4420"/>
      <c r="AS1" s="4420"/>
      <c r="AT1" s="4420"/>
      <c r="AU1" s="4420"/>
      <c r="AV1" s="4420"/>
      <c r="AW1" s="4420"/>
      <c r="AX1" s="4420"/>
      <c r="AY1" s="4420"/>
      <c r="AZ1" s="4420"/>
      <c r="BA1" s="4421"/>
    </row>
    <row r="2" spans="1:53" s="2135" customFormat="1" ht="33">
      <c r="A2" s="4365" t="str">
        <f>HYPERLINK("#Index!A4", "Index Pg")</f>
        <v>Index Pg</v>
      </c>
      <c r="B2" s="2134" t="str">
        <f>HYPERLINK("#'Summary of Abstracts'!A2", "Summary of Abst.")</f>
        <v>Summary of Abst.</v>
      </c>
      <c r="C2" s="1278"/>
      <c r="D2" s="1871"/>
      <c r="E2" s="4391"/>
      <c r="F2" s="1279" t="s">
        <v>118</v>
      </c>
      <c r="G2" s="1279" t="s">
        <v>131</v>
      </c>
      <c r="H2" s="1279" t="s">
        <v>91</v>
      </c>
      <c r="I2" s="1279" t="s">
        <v>4705</v>
      </c>
      <c r="J2" s="1279" t="s">
        <v>96</v>
      </c>
      <c r="K2" s="1352" t="s">
        <v>4064</v>
      </c>
      <c r="L2" s="1280" t="s">
        <v>4706</v>
      </c>
      <c r="M2" s="1279" t="s">
        <v>4710</v>
      </c>
      <c r="N2" s="1280" t="s">
        <v>208</v>
      </c>
      <c r="O2" s="1281" t="s">
        <v>4357</v>
      </c>
      <c r="P2" s="1282" t="s">
        <v>3848</v>
      </c>
      <c r="Q2" s="1282" t="s">
        <v>4719</v>
      </c>
      <c r="R2" s="1282" t="s">
        <v>4716</v>
      </c>
      <c r="S2" s="1282" t="s">
        <v>4717</v>
      </c>
      <c r="T2" s="1282" t="s">
        <v>4718</v>
      </c>
      <c r="U2" s="1282" t="s">
        <v>4720</v>
      </c>
      <c r="V2" s="1282" t="s">
        <v>4695</v>
      </c>
      <c r="W2" s="1282" t="s">
        <v>4721</v>
      </c>
      <c r="X2" s="1282" t="s">
        <v>33</v>
      </c>
      <c r="Y2" s="1282" t="s">
        <v>4722</v>
      </c>
      <c r="Z2" s="1282" t="s">
        <v>4723</v>
      </c>
      <c r="AA2" s="1282" t="s">
        <v>4713</v>
      </c>
      <c r="AB2" s="1282" t="s">
        <v>742</v>
      </c>
      <c r="AC2" s="1282" t="s">
        <v>4714</v>
      </c>
      <c r="AD2" s="1282" t="s">
        <v>4715</v>
      </c>
      <c r="AE2" s="1282" t="s">
        <v>2379</v>
      </c>
      <c r="AF2" s="1282" t="s">
        <v>4724</v>
      </c>
      <c r="AG2" s="1282" t="s">
        <v>3847</v>
      </c>
      <c r="AH2" s="1282" t="s">
        <v>307</v>
      </c>
      <c r="AI2" s="1283" t="s">
        <v>293</v>
      </c>
      <c r="AJ2" s="1283" t="s">
        <v>114</v>
      </c>
      <c r="AK2" s="1283" t="s">
        <v>146</v>
      </c>
      <c r="AL2" s="1283" t="s">
        <v>4674</v>
      </c>
      <c r="AM2" s="1283" t="s">
        <v>3316</v>
      </c>
      <c r="AN2" s="1283" t="s">
        <v>3986</v>
      </c>
      <c r="AO2" s="1283" t="s">
        <v>4544</v>
      </c>
      <c r="AP2" s="1284" t="s">
        <v>86</v>
      </c>
      <c r="AQ2" s="1284" t="s">
        <v>150</v>
      </c>
      <c r="AR2" s="1284" t="s">
        <v>399</v>
      </c>
      <c r="AS2" s="1284" t="s">
        <v>152</v>
      </c>
      <c r="AT2" s="1284" t="s">
        <v>415</v>
      </c>
      <c r="AU2" s="1284" t="s">
        <v>4598</v>
      </c>
      <c r="AV2" s="1284" t="s">
        <v>4124</v>
      </c>
      <c r="AW2" s="1284" t="s">
        <v>312</v>
      </c>
      <c r="AX2" s="1284" t="s">
        <v>314</v>
      </c>
      <c r="AY2" s="1284" t="s">
        <v>1034</v>
      </c>
      <c r="AZ2" s="1284" t="s">
        <v>1020</v>
      </c>
      <c r="BA2" s="1284" t="s">
        <v>4708</v>
      </c>
    </row>
    <row r="3" spans="1:53" s="2135" customFormat="1">
      <c r="A3" s="4366"/>
      <c r="B3" s="1287" t="str">
        <f>HYPERLINK("#'Budget Summary I'!A1:AL1", "Budget Summary I")</f>
        <v>Budget Summary I</v>
      </c>
      <c r="C3" s="1286" t="s">
        <v>4599</v>
      </c>
      <c r="D3" s="1871"/>
      <c r="E3" s="1872">
        <f>R7</f>
        <v>0</v>
      </c>
      <c r="F3" s="1338">
        <f>R8</f>
        <v>0</v>
      </c>
      <c r="G3" s="1338">
        <f>R9</f>
        <v>0</v>
      </c>
      <c r="H3" s="1338">
        <f>R10</f>
        <v>0</v>
      </c>
      <c r="I3" s="1338"/>
      <c r="J3" s="1338"/>
      <c r="K3" s="1508"/>
      <c r="L3" s="1338"/>
      <c r="M3" s="1338"/>
      <c r="N3" s="1508"/>
      <c r="O3" s="1508"/>
      <c r="P3" s="1508"/>
      <c r="Q3" s="1508"/>
      <c r="R3" s="1508">
        <f>R13+R15+R16+R17+R18+R20+R21+R29</f>
        <v>0</v>
      </c>
      <c r="S3" s="1508"/>
      <c r="T3" s="1508"/>
      <c r="U3" s="1508"/>
      <c r="V3" s="1508"/>
      <c r="W3" s="1508"/>
      <c r="X3" s="1508"/>
      <c r="Y3" s="1508"/>
      <c r="Z3" s="1508"/>
      <c r="AA3" s="1508"/>
      <c r="AB3" s="1508"/>
      <c r="AC3" s="1508"/>
      <c r="AD3" s="1508"/>
      <c r="AE3" s="1508"/>
      <c r="AF3" s="1508"/>
      <c r="AG3" s="1508"/>
      <c r="AH3" s="1508"/>
      <c r="AI3" s="1508"/>
      <c r="AJ3" s="1508"/>
      <c r="AK3" s="1508"/>
      <c r="AL3" s="1508">
        <f>R23+R24</f>
        <v>0</v>
      </c>
      <c r="AM3" s="1508"/>
      <c r="AN3" s="1508"/>
      <c r="AO3" s="1508"/>
      <c r="AP3" s="1508"/>
      <c r="AQ3" s="1508">
        <f>R28</f>
        <v>0</v>
      </c>
      <c r="AR3" s="1508"/>
      <c r="AS3" s="1508"/>
      <c r="AT3" s="1508">
        <f>R26+R27</f>
        <v>0</v>
      </c>
      <c r="AU3" s="1508"/>
      <c r="AV3" s="1508"/>
      <c r="AW3" s="1508"/>
      <c r="AX3" s="1508"/>
      <c r="AY3" s="1508"/>
      <c r="AZ3" s="1508"/>
      <c r="BA3" s="1508"/>
    </row>
    <row r="4" spans="1:53" s="2135" customFormat="1">
      <c r="A4" s="4367"/>
      <c r="B4" s="1287" t="str">
        <f>HYPERLINK("#'Budget Summary II'!A3:B5", "Budget Summary II")</f>
        <v>Budget Summary II</v>
      </c>
      <c r="C4" s="1286" t="s">
        <v>4600</v>
      </c>
      <c r="D4" s="1871"/>
      <c r="E4" s="1872">
        <f>O7</f>
        <v>27573.3</v>
      </c>
      <c r="F4" s="1338">
        <f>O8</f>
        <v>10750</v>
      </c>
      <c r="G4" s="1338">
        <f>O9</f>
        <v>0</v>
      </c>
      <c r="H4" s="1338">
        <f>O10</f>
        <v>750</v>
      </c>
      <c r="I4" s="1338"/>
      <c r="J4" s="1338"/>
      <c r="K4" s="1508"/>
      <c r="L4" s="1338"/>
      <c r="M4" s="1338"/>
      <c r="N4" s="1508"/>
      <c r="O4" s="1508"/>
      <c r="P4" s="1508"/>
      <c r="Q4" s="1508"/>
      <c r="R4" s="1508">
        <f>O13+O15+O16+O17+O18+O20+O21+O29</f>
        <v>15775.56</v>
      </c>
      <c r="S4" s="1508"/>
      <c r="T4" s="1508"/>
      <c r="U4" s="1508"/>
      <c r="V4" s="1508"/>
      <c r="W4" s="1508"/>
      <c r="X4" s="1508"/>
      <c r="Y4" s="1508"/>
      <c r="Z4" s="1508"/>
      <c r="AA4" s="1508"/>
      <c r="AB4" s="1508"/>
      <c r="AC4" s="1508"/>
      <c r="AD4" s="1508"/>
      <c r="AE4" s="1508"/>
      <c r="AF4" s="1508"/>
      <c r="AG4" s="1508"/>
      <c r="AH4" s="1508"/>
      <c r="AI4" s="1508"/>
      <c r="AJ4" s="1508"/>
      <c r="AK4" s="1508"/>
      <c r="AL4" s="1508">
        <f>O23+O24</f>
        <v>297.74</v>
      </c>
      <c r="AM4" s="1508"/>
      <c r="AN4" s="1508"/>
      <c r="AO4" s="1508"/>
      <c r="AP4" s="1508"/>
      <c r="AQ4" s="1508">
        <f>O28</f>
        <v>0</v>
      </c>
      <c r="AR4" s="1508"/>
      <c r="AS4" s="1508"/>
      <c r="AT4" s="1508">
        <f>O26+O27</f>
        <v>0</v>
      </c>
      <c r="AU4" s="1508"/>
      <c r="AV4" s="1508"/>
      <c r="AW4" s="1508"/>
      <c r="AX4" s="1508"/>
      <c r="AY4" s="1508"/>
      <c r="AZ4" s="1508"/>
      <c r="BA4" s="1508"/>
    </row>
    <row r="5" spans="1:53" s="2136" customFormat="1" ht="12.75" customHeight="1">
      <c r="A5" s="4343" t="s">
        <v>53</v>
      </c>
      <c r="B5" s="4343" t="s">
        <v>54</v>
      </c>
      <c r="C5" s="4343" t="s">
        <v>55</v>
      </c>
      <c r="D5" s="4343" t="s">
        <v>56</v>
      </c>
      <c r="E5" s="4343" t="s">
        <v>57</v>
      </c>
      <c r="F5" s="4339" t="s">
        <v>4620</v>
      </c>
      <c r="G5" s="4339"/>
      <c r="H5" s="4339"/>
      <c r="I5" s="4339"/>
      <c r="J5" s="4339"/>
      <c r="K5" s="4340" t="s">
        <v>4631</v>
      </c>
      <c r="L5" s="4380"/>
      <c r="M5" s="4380"/>
      <c r="N5" s="4380"/>
      <c r="O5" s="4380"/>
      <c r="P5" s="4381"/>
      <c r="Q5" s="4422" t="s">
        <v>4661</v>
      </c>
      <c r="R5" s="4423"/>
    </row>
    <row r="6" spans="1:53" s="2136" customFormat="1" ht="66">
      <c r="A6" s="4343"/>
      <c r="B6" s="4343"/>
      <c r="C6" s="4343"/>
      <c r="D6" s="4343"/>
      <c r="E6" s="4343"/>
      <c r="F6" s="1288" t="s">
        <v>4621</v>
      </c>
      <c r="G6" s="1288" t="s">
        <v>4629</v>
      </c>
      <c r="H6" s="1288" t="s">
        <v>4622</v>
      </c>
      <c r="I6" s="1288" t="s">
        <v>4630</v>
      </c>
      <c r="J6" s="1288" t="s">
        <v>2534</v>
      </c>
      <c r="K6" s="1289" t="s">
        <v>58</v>
      </c>
      <c r="L6" s="1289" t="s">
        <v>59</v>
      </c>
      <c r="M6" s="1987" t="s">
        <v>60</v>
      </c>
      <c r="N6" s="1289" t="s">
        <v>61</v>
      </c>
      <c r="O6" s="1987" t="s">
        <v>62</v>
      </c>
      <c r="P6" s="1289" t="s">
        <v>5564</v>
      </c>
      <c r="Q6" s="1291" t="s">
        <v>2536</v>
      </c>
      <c r="R6" s="1988" t="s">
        <v>4662</v>
      </c>
    </row>
    <row r="7" spans="1:53">
      <c r="A7" s="1513">
        <v>7</v>
      </c>
      <c r="B7" s="1514"/>
      <c r="C7" s="1513" t="s">
        <v>20</v>
      </c>
      <c r="D7" s="1513"/>
      <c r="E7" s="1513"/>
      <c r="F7" s="1513"/>
      <c r="G7" s="1513"/>
      <c r="H7" s="1513"/>
      <c r="I7" s="1513"/>
      <c r="J7" s="1513"/>
      <c r="K7" s="1513"/>
      <c r="L7" s="1513"/>
      <c r="M7" s="1513"/>
      <c r="N7" s="1513"/>
      <c r="O7" s="2137">
        <f>O8+O9+O10+O11+O22+O25+O28+O29</f>
        <v>27573.3</v>
      </c>
      <c r="P7" s="1513"/>
      <c r="Q7" s="1513"/>
      <c r="R7" s="2137">
        <f>R8+R9+R10+R11+R22+R25+R28+R29</f>
        <v>0</v>
      </c>
    </row>
    <row r="8" spans="1:53" s="4151" customFormat="1" ht="74.25" customHeight="1">
      <c r="A8" s="4019">
        <v>7.1</v>
      </c>
      <c r="B8" s="3648" t="s">
        <v>401</v>
      </c>
      <c r="C8" s="4144" t="s">
        <v>402</v>
      </c>
      <c r="D8" s="3649" t="s">
        <v>90</v>
      </c>
      <c r="E8" s="4133" t="s">
        <v>118</v>
      </c>
      <c r="F8" s="4135"/>
      <c r="G8" s="4135"/>
      <c r="H8" s="4135"/>
      <c r="I8" s="4135"/>
      <c r="J8" s="4135"/>
      <c r="K8" s="4145" t="s">
        <v>6067</v>
      </c>
      <c r="L8" s="4146">
        <v>1075000000</v>
      </c>
      <c r="M8" s="4147">
        <f>L8/100000</f>
        <v>10750</v>
      </c>
      <c r="N8" s="4146">
        <v>1</v>
      </c>
      <c r="O8" s="4148">
        <f>M8*N8</f>
        <v>10750</v>
      </c>
      <c r="P8" s="4149" t="s">
        <v>6931</v>
      </c>
      <c r="Q8" s="3661">
        <f>'Ab1. RMNCH+A'!Q55</f>
        <v>0</v>
      </c>
      <c r="R8" s="4150">
        <f>'Ab1. RMNCH+A'!R55</f>
        <v>0</v>
      </c>
    </row>
    <row r="9" spans="1:53">
      <c r="A9" s="1549">
        <v>7.2</v>
      </c>
      <c r="B9" s="1698" t="s">
        <v>403</v>
      </c>
      <c r="C9" s="2138" t="s">
        <v>404</v>
      </c>
      <c r="D9" s="1534" t="s">
        <v>90</v>
      </c>
      <c r="E9" s="1548" t="s">
        <v>131</v>
      </c>
      <c r="F9" s="1767"/>
      <c r="G9" s="1767"/>
      <c r="H9" s="1767"/>
      <c r="I9" s="1767"/>
      <c r="J9" s="2143"/>
      <c r="K9" s="2143"/>
      <c r="L9" s="2139"/>
      <c r="M9" s="2140">
        <f>L9/100000</f>
        <v>0</v>
      </c>
      <c r="N9" s="2139"/>
      <c r="O9" s="2141">
        <f>M9*N9</f>
        <v>0</v>
      </c>
      <c r="P9" s="2144"/>
      <c r="Q9" s="1528">
        <f>'Ab1. RMNCH+A'!Q145</f>
        <v>0</v>
      </c>
      <c r="R9" s="1328">
        <f>'Ab1. RMNCH+A'!R145</f>
        <v>0</v>
      </c>
    </row>
    <row r="10" spans="1:53" ht="84" customHeight="1">
      <c r="A10" s="1549">
        <v>7.3</v>
      </c>
      <c r="B10" s="1528" t="s">
        <v>409</v>
      </c>
      <c r="C10" s="1549" t="s">
        <v>410</v>
      </c>
      <c r="D10" s="1534" t="s">
        <v>90</v>
      </c>
      <c r="E10" s="1548" t="s">
        <v>91</v>
      </c>
      <c r="F10" s="2145">
        <v>300000</v>
      </c>
      <c r="G10" s="2145">
        <v>132</v>
      </c>
      <c r="H10" s="2145">
        <v>750</v>
      </c>
      <c r="I10" s="2145">
        <v>0.99</v>
      </c>
      <c r="J10" s="2145"/>
      <c r="K10" s="1821" t="s">
        <v>5988</v>
      </c>
      <c r="L10" s="2139">
        <v>250</v>
      </c>
      <c r="M10" s="2140">
        <f>L10/100000</f>
        <v>2.5000000000000001E-3</v>
      </c>
      <c r="N10" s="2139">
        <v>300000</v>
      </c>
      <c r="O10" s="2146">
        <f>M10*N10</f>
        <v>750</v>
      </c>
      <c r="P10" s="1821" t="s">
        <v>6369</v>
      </c>
      <c r="Q10" s="1528">
        <f>'Ab1. RMNCH+A'!Q235</f>
        <v>0</v>
      </c>
      <c r="R10" s="1328">
        <f>'Ab1. RMNCH+A'!R235</f>
        <v>0</v>
      </c>
    </row>
    <row r="11" spans="1:53">
      <c r="A11" s="1880">
        <v>7.4</v>
      </c>
      <c r="B11" s="1774" t="s">
        <v>407</v>
      </c>
      <c r="C11" s="1670" t="s">
        <v>408</v>
      </c>
      <c r="D11" s="1881"/>
      <c r="E11" s="1881"/>
      <c r="F11" s="1936"/>
      <c r="G11" s="1936"/>
      <c r="H11" s="1936"/>
      <c r="I11" s="1936"/>
      <c r="J11" s="1936"/>
      <c r="K11" s="1936"/>
      <c r="L11" s="1936"/>
      <c r="M11" s="2147"/>
      <c r="N11" s="2148"/>
      <c r="O11" s="2149">
        <f>O12+O19+O21</f>
        <v>15775.56</v>
      </c>
      <c r="P11" s="2150"/>
      <c r="Q11" s="2151"/>
      <c r="R11" s="2152">
        <f>R12+R19+R21</f>
        <v>0</v>
      </c>
    </row>
    <row r="12" spans="1:53">
      <c r="A12" s="2153" t="s">
        <v>2545</v>
      </c>
      <c r="B12" s="2154"/>
      <c r="C12" s="2155" t="s">
        <v>4605</v>
      </c>
      <c r="D12" s="2156"/>
      <c r="E12" s="2156"/>
      <c r="F12" s="2157"/>
      <c r="G12" s="2157"/>
      <c r="H12" s="2157"/>
      <c r="I12" s="2157"/>
      <c r="J12" s="2157"/>
      <c r="K12" s="2157"/>
      <c r="L12" s="2157"/>
      <c r="M12" s="2158"/>
      <c r="N12" s="2159"/>
      <c r="O12" s="2160">
        <f>O13+O14+O17+O18</f>
        <v>15775.56</v>
      </c>
      <c r="P12" s="2157"/>
      <c r="Q12" s="2161"/>
      <c r="R12" s="2162">
        <f>R13+R14+R17+R18</f>
        <v>0</v>
      </c>
    </row>
    <row r="13" spans="1:53" s="4151" customFormat="1" ht="409.5">
      <c r="A13" s="4152" t="s">
        <v>4447</v>
      </c>
      <c r="B13" s="3977"/>
      <c r="C13" s="3977" t="s">
        <v>4457</v>
      </c>
      <c r="D13" s="4132" t="s">
        <v>70</v>
      </c>
      <c r="E13" s="4153" t="s">
        <v>70</v>
      </c>
      <c r="F13" s="4154"/>
      <c r="G13" s="4154"/>
      <c r="H13" s="4154"/>
      <c r="I13" s="4154"/>
      <c r="J13" s="4154"/>
      <c r="K13" s="4155" t="s">
        <v>6067</v>
      </c>
      <c r="L13" s="4156">
        <v>1577556000</v>
      </c>
      <c r="M13" s="3984">
        <f>L13/100000</f>
        <v>15775.56</v>
      </c>
      <c r="N13" s="3653">
        <v>1</v>
      </c>
      <c r="O13" s="4157">
        <f>M13*N13</f>
        <v>15775.56</v>
      </c>
      <c r="P13" s="4154" t="s">
        <v>6932</v>
      </c>
      <c r="Q13" s="4158"/>
      <c r="R13" s="4159"/>
    </row>
    <row r="14" spans="1:53">
      <c r="A14" s="2169" t="s">
        <v>4448</v>
      </c>
      <c r="B14" s="2170"/>
      <c r="C14" s="2170" t="s">
        <v>4458</v>
      </c>
      <c r="D14" s="2171" t="s">
        <v>70</v>
      </c>
      <c r="E14" s="2171"/>
      <c r="F14" s="2172"/>
      <c r="G14" s="2172"/>
      <c r="H14" s="2172"/>
      <c r="I14" s="2172"/>
      <c r="J14" s="2172"/>
      <c r="K14" s="2172"/>
      <c r="L14" s="2172"/>
      <c r="M14" s="2173"/>
      <c r="N14" s="2174"/>
      <c r="O14" s="2173">
        <f>O15+O16</f>
        <v>0</v>
      </c>
      <c r="P14" s="2172"/>
      <c r="Q14" s="2175"/>
      <c r="R14" s="2176">
        <f>R15+R16</f>
        <v>0</v>
      </c>
    </row>
    <row r="15" spans="1:53">
      <c r="A15" s="2163" t="s">
        <v>4449</v>
      </c>
      <c r="B15" s="2020"/>
      <c r="C15" s="1855" t="s">
        <v>4459</v>
      </c>
      <c r="D15" s="1281" t="s">
        <v>70</v>
      </c>
      <c r="E15" s="2164" t="s">
        <v>70</v>
      </c>
      <c r="F15" s="2177"/>
      <c r="G15" s="1911"/>
      <c r="H15" s="2178"/>
      <c r="I15" s="2178"/>
      <c r="J15" s="2177"/>
      <c r="K15" s="1351"/>
      <c r="L15" s="2179"/>
      <c r="M15" s="1857">
        <f>L15/100000</f>
        <v>0</v>
      </c>
      <c r="N15" s="1317"/>
      <c r="O15" s="2166">
        <f>M15*N15</f>
        <v>0</v>
      </c>
      <c r="P15" s="2142"/>
      <c r="Q15" s="2167"/>
      <c r="R15" s="2168"/>
    </row>
    <row r="16" spans="1:53">
      <c r="A16" s="2163" t="s">
        <v>4450</v>
      </c>
      <c r="B16" s="2020"/>
      <c r="C16" s="1855" t="s">
        <v>4460</v>
      </c>
      <c r="D16" s="1281" t="s">
        <v>70</v>
      </c>
      <c r="E16" s="2164" t="s">
        <v>70</v>
      </c>
      <c r="F16" s="2177"/>
      <c r="G16" s="1911"/>
      <c r="H16" s="2178"/>
      <c r="I16" s="2178"/>
      <c r="J16" s="2177"/>
      <c r="K16" s="1351"/>
      <c r="L16" s="2179"/>
      <c r="M16" s="1857">
        <f>L16/100000</f>
        <v>0</v>
      </c>
      <c r="N16" s="1317"/>
      <c r="O16" s="2166">
        <f>M16*N16</f>
        <v>0</v>
      </c>
      <c r="P16" s="2142"/>
      <c r="Q16" s="2167"/>
      <c r="R16" s="2168"/>
    </row>
    <row r="17" spans="1:19" ht="39" customHeight="1">
      <c r="A17" s="2163" t="s">
        <v>4453</v>
      </c>
      <c r="B17" s="2020"/>
      <c r="C17" s="1855" t="s">
        <v>4456</v>
      </c>
      <c r="D17" s="1281" t="s">
        <v>70</v>
      </c>
      <c r="E17" s="2164" t="s">
        <v>70</v>
      </c>
      <c r="F17" s="2177"/>
      <c r="G17" s="1911"/>
      <c r="H17" s="2178"/>
      <c r="I17" s="2178"/>
      <c r="J17" s="2177"/>
      <c r="K17" s="2177"/>
      <c r="L17" s="2177"/>
      <c r="M17" s="1857">
        <f>L17/100000</f>
        <v>0</v>
      </c>
      <c r="N17" s="1317"/>
      <c r="O17" s="2166">
        <f>M17*N17</f>
        <v>0</v>
      </c>
      <c r="P17" s="1939"/>
      <c r="Q17" s="2167"/>
      <c r="R17" s="2168"/>
    </row>
    <row r="18" spans="1:19">
      <c r="A18" s="2163" t="s">
        <v>4454</v>
      </c>
      <c r="B18" s="2020"/>
      <c r="C18" s="1855" t="s">
        <v>4455</v>
      </c>
      <c r="D18" s="1281" t="s">
        <v>70</v>
      </c>
      <c r="E18" s="2164" t="s">
        <v>70</v>
      </c>
      <c r="F18" s="2177"/>
      <c r="G18" s="1911"/>
      <c r="H18" s="2178"/>
      <c r="I18" s="2178"/>
      <c r="J18" s="2177"/>
      <c r="K18" s="2177"/>
      <c r="L18" s="1317"/>
      <c r="M18" s="1857">
        <f>L18/100000</f>
        <v>0</v>
      </c>
      <c r="N18" s="1317"/>
      <c r="O18" s="2166">
        <f>M18*N18</f>
        <v>0</v>
      </c>
      <c r="P18" s="2177"/>
      <c r="Q18" s="2167"/>
      <c r="R18" s="2168"/>
    </row>
    <row r="19" spans="1:19" s="2187" customFormat="1">
      <c r="A19" s="2153" t="s">
        <v>2546</v>
      </c>
      <c r="B19" s="2155"/>
      <c r="C19" s="2155" t="s">
        <v>4451</v>
      </c>
      <c r="D19" s="2180"/>
      <c r="E19" s="2180"/>
      <c r="F19" s="2181"/>
      <c r="G19" s="2182"/>
      <c r="H19" s="2183"/>
      <c r="I19" s="2183"/>
      <c r="J19" s="2181"/>
      <c r="K19" s="2181"/>
      <c r="L19" s="2181"/>
      <c r="M19" s="2160"/>
      <c r="N19" s="2184"/>
      <c r="O19" s="2160">
        <f>O20</f>
        <v>0</v>
      </c>
      <c r="P19" s="2181"/>
      <c r="Q19" s="2185"/>
      <c r="R19" s="2186">
        <f>R20</f>
        <v>0</v>
      </c>
    </row>
    <row r="20" spans="1:19">
      <c r="A20" s="2163" t="s">
        <v>4452</v>
      </c>
      <c r="B20" s="2020"/>
      <c r="C20" s="2020" t="s">
        <v>4478</v>
      </c>
      <c r="D20" s="1281" t="s">
        <v>70</v>
      </c>
      <c r="E20" s="2164" t="s">
        <v>70</v>
      </c>
      <c r="F20" s="2165"/>
      <c r="G20" s="2165"/>
      <c r="H20" s="2165"/>
      <c r="I20" s="2165"/>
      <c r="J20" s="2165"/>
      <c r="K20" s="2165"/>
      <c r="L20" s="1317"/>
      <c r="M20" s="1857">
        <f>L20/100000</f>
        <v>0</v>
      </c>
      <c r="N20" s="1317"/>
      <c r="O20" s="2166">
        <f>M20*N20</f>
        <v>0</v>
      </c>
      <c r="P20" s="2165"/>
      <c r="Q20" s="2167"/>
      <c r="R20" s="2168"/>
    </row>
    <row r="21" spans="1:19" s="2135" customFormat="1" ht="49.5">
      <c r="A21" s="2188" t="s">
        <v>2547</v>
      </c>
      <c r="B21" s="2020"/>
      <c r="C21" s="2020" t="s">
        <v>4623</v>
      </c>
      <c r="D21" s="1281" t="s">
        <v>70</v>
      </c>
      <c r="E21" s="2164" t="s">
        <v>70</v>
      </c>
      <c r="F21" s="1822"/>
      <c r="G21" s="1822"/>
      <c r="H21" s="1822"/>
      <c r="I21" s="1822"/>
      <c r="J21" s="1822"/>
      <c r="K21" s="1822"/>
      <c r="L21" s="2189"/>
      <c r="M21" s="2190">
        <f>L21/100000</f>
        <v>0</v>
      </c>
      <c r="N21" s="2189"/>
      <c r="O21" s="2190">
        <f>M21*N21</f>
        <v>0</v>
      </c>
      <c r="P21" s="1822"/>
      <c r="Q21" s="2167"/>
      <c r="R21" s="2168"/>
    </row>
    <row r="22" spans="1:19">
      <c r="A22" s="1880">
        <v>7.5</v>
      </c>
      <c r="B22" s="1774" t="s">
        <v>411</v>
      </c>
      <c r="C22" s="1670" t="s">
        <v>412</v>
      </c>
      <c r="D22" s="1881" t="s">
        <v>113</v>
      </c>
      <c r="E22" s="1881"/>
      <c r="F22" s="2191"/>
      <c r="G22" s="2191"/>
      <c r="H22" s="2191"/>
      <c r="I22" s="2191"/>
      <c r="J22" s="2191"/>
      <c r="K22" s="2191"/>
      <c r="L22" s="2191"/>
      <c r="M22" s="2192"/>
      <c r="N22" s="2193"/>
      <c r="O22" s="2194">
        <f>SUM(O23:O24)</f>
        <v>297.74</v>
      </c>
      <c r="P22" s="2195"/>
      <c r="Q22" s="2151"/>
      <c r="R22" s="2194">
        <f>SUM(R23:R24)</f>
        <v>0</v>
      </c>
    </row>
    <row r="23" spans="1:19" s="2135" customFormat="1" ht="66">
      <c r="A23" s="1528" t="s">
        <v>4060</v>
      </c>
      <c r="B23" s="1698" t="s">
        <v>4546</v>
      </c>
      <c r="C23" s="3107" t="s">
        <v>4062</v>
      </c>
      <c r="D23" s="1537" t="s">
        <v>4358</v>
      </c>
      <c r="E23" s="1548" t="s">
        <v>4674</v>
      </c>
      <c r="F23" s="1917"/>
      <c r="G23" s="1917"/>
      <c r="H23" s="2196"/>
      <c r="I23" s="2196"/>
      <c r="J23" s="2196"/>
      <c r="K23" s="1917"/>
      <c r="L23" s="1714">
        <v>3920000</v>
      </c>
      <c r="M23" s="2688">
        <f>L23/100000</f>
        <v>39.200000000000003</v>
      </c>
      <c r="N23" s="1714">
        <v>1</v>
      </c>
      <c r="O23" s="2190">
        <f>M23*N23</f>
        <v>39.200000000000003</v>
      </c>
      <c r="P23" s="3219" t="s">
        <v>6043</v>
      </c>
      <c r="Q23" s="1528">
        <f>'Abs11. NTEP'!Q30</f>
        <v>0</v>
      </c>
      <c r="R23" s="2197">
        <f>'Abs11. NTEP'!R30</f>
        <v>0</v>
      </c>
    </row>
    <row r="24" spans="1:19" s="2135" customFormat="1" ht="82.5">
      <c r="A24" s="1528" t="s">
        <v>4061</v>
      </c>
      <c r="B24" s="1698"/>
      <c r="C24" s="1698" t="s">
        <v>5591</v>
      </c>
      <c r="D24" s="1537" t="s">
        <v>4358</v>
      </c>
      <c r="E24" s="1548" t="s">
        <v>4674</v>
      </c>
      <c r="F24" s="1917"/>
      <c r="G24" s="1917"/>
      <c r="H24" s="2198">
        <v>101.5</v>
      </c>
      <c r="I24" s="2198">
        <v>2.83</v>
      </c>
      <c r="J24" s="2196"/>
      <c r="K24" s="1326" t="s">
        <v>6042</v>
      </c>
      <c r="L24" s="1917">
        <v>25854000</v>
      </c>
      <c r="M24" s="2688">
        <f>L24/100000</f>
        <v>258.54000000000002</v>
      </c>
      <c r="N24" s="1714">
        <v>1</v>
      </c>
      <c r="O24" s="2190">
        <f>M24*N24</f>
        <v>258.54000000000002</v>
      </c>
      <c r="P24" s="3219" t="s">
        <v>6044</v>
      </c>
      <c r="Q24" s="1528">
        <f>'Abs11. NTEP'!Q31</f>
        <v>0</v>
      </c>
      <c r="R24" s="2197">
        <f>'Abs11. NTEP'!R31</f>
        <v>0</v>
      </c>
    </row>
    <row r="25" spans="1:19" ht="33">
      <c r="A25" s="1880">
        <v>7.6</v>
      </c>
      <c r="B25" s="1774" t="s">
        <v>413</v>
      </c>
      <c r="C25" s="1670" t="s">
        <v>414</v>
      </c>
      <c r="D25" s="1881"/>
      <c r="E25" s="1881"/>
      <c r="F25" s="1936"/>
      <c r="G25" s="1936"/>
      <c r="H25" s="1936"/>
      <c r="I25" s="1936"/>
      <c r="J25" s="1936"/>
      <c r="K25" s="1936"/>
      <c r="L25" s="1936"/>
      <c r="M25" s="2147"/>
      <c r="N25" s="2148"/>
      <c r="O25" s="2149">
        <f>SUM(O26:O27)</f>
        <v>0</v>
      </c>
      <c r="P25" s="2150"/>
      <c r="Q25" s="2151"/>
      <c r="R25" s="2152">
        <f>R26+R27</f>
        <v>0</v>
      </c>
    </row>
    <row r="26" spans="1:19">
      <c r="A26" s="2163" t="s">
        <v>2548</v>
      </c>
      <c r="B26" s="2199" t="s">
        <v>416</v>
      </c>
      <c r="C26" s="1527" t="s">
        <v>417</v>
      </c>
      <c r="D26" s="1284" t="s">
        <v>85</v>
      </c>
      <c r="E26" s="2164" t="s">
        <v>415</v>
      </c>
      <c r="F26" s="1729"/>
      <c r="G26" s="1729"/>
      <c r="H26" s="1729"/>
      <c r="I26" s="1729"/>
      <c r="J26" s="1729"/>
      <c r="K26" s="1729"/>
      <c r="L26" s="1317"/>
      <c r="M26" s="1857">
        <f>L26/100000</f>
        <v>0</v>
      </c>
      <c r="N26" s="1317"/>
      <c r="O26" s="2200">
        <f>M26*N26</f>
        <v>0</v>
      </c>
      <c r="P26" s="1729"/>
      <c r="Q26" s="1527">
        <f>'Abs19. NPCDCS'!Q33</f>
        <v>0</v>
      </c>
      <c r="R26" s="2200">
        <f>'Abs19. NPCDCS'!R33</f>
        <v>0</v>
      </c>
    </row>
    <row r="27" spans="1:19">
      <c r="A27" s="2163" t="s">
        <v>2549</v>
      </c>
      <c r="B27" s="2199" t="s">
        <v>418</v>
      </c>
      <c r="C27" s="1527" t="s">
        <v>419</v>
      </c>
      <c r="D27" s="1284" t="s">
        <v>85</v>
      </c>
      <c r="E27" s="2164" t="s">
        <v>415</v>
      </c>
      <c r="F27" s="1729"/>
      <c r="G27" s="1729"/>
      <c r="H27" s="1729"/>
      <c r="I27" s="1729"/>
      <c r="J27" s="1729"/>
      <c r="K27" s="1729"/>
      <c r="L27" s="1317"/>
      <c r="M27" s="1857">
        <f>L27/100000</f>
        <v>0</v>
      </c>
      <c r="N27" s="1317"/>
      <c r="O27" s="2200">
        <f>M27*N27</f>
        <v>0</v>
      </c>
      <c r="P27" s="1729"/>
      <c r="Q27" s="1527">
        <f>'Abs19. NPCDCS'!Q34</f>
        <v>0</v>
      </c>
      <c r="R27" s="2200">
        <f>'Abs19. NPCDCS'!R34</f>
        <v>0</v>
      </c>
    </row>
    <row r="28" spans="1:19">
      <c r="A28" s="1549">
        <v>7.7</v>
      </c>
      <c r="B28" s="1698" t="s">
        <v>2380</v>
      </c>
      <c r="C28" s="2138" t="s">
        <v>2381</v>
      </c>
      <c r="D28" s="1779" t="s">
        <v>85</v>
      </c>
      <c r="E28" s="1697" t="s">
        <v>150</v>
      </c>
      <c r="F28" s="1766"/>
      <c r="G28" s="1766"/>
      <c r="H28" s="1766"/>
      <c r="I28" s="1766"/>
      <c r="J28" s="1766"/>
      <c r="K28" s="2201"/>
      <c r="L28" s="2139"/>
      <c r="M28" s="2140">
        <f>L28/100000</f>
        <v>0</v>
      </c>
      <c r="N28" s="2139"/>
      <c r="O28" s="2141">
        <f>M28*N28</f>
        <v>0</v>
      </c>
      <c r="P28" s="2202"/>
      <c r="Q28" s="1530">
        <f>'Abs16. NMHP'!Q17</f>
        <v>0</v>
      </c>
      <c r="R28" s="2203">
        <f>'Abs16. NMHP'!R17</f>
        <v>0</v>
      </c>
    </row>
    <row r="29" spans="1:19" s="2204" customFormat="1">
      <c r="A29" s="1549">
        <v>7.8</v>
      </c>
      <c r="B29" s="1698"/>
      <c r="C29" s="2138" t="s">
        <v>2550</v>
      </c>
      <c r="D29" s="1281" t="s">
        <v>70</v>
      </c>
      <c r="E29" s="1548" t="s">
        <v>70</v>
      </c>
      <c r="F29" s="1713"/>
      <c r="G29" s="1713"/>
      <c r="H29" s="1713"/>
      <c r="I29" s="1713"/>
      <c r="J29" s="1713"/>
      <c r="K29" s="1713"/>
      <c r="L29" s="2139"/>
      <c r="M29" s="2140">
        <f>L29/100000</f>
        <v>0</v>
      </c>
      <c r="N29" s="2139"/>
      <c r="O29" s="2146">
        <f>M29*N29</f>
        <v>0</v>
      </c>
      <c r="P29" s="1553"/>
      <c r="Q29" s="2167"/>
      <c r="R29" s="2168"/>
      <c r="S29" s="2133"/>
    </row>
    <row r="30" spans="1:19">
      <c r="M30" s="2206"/>
      <c r="N30" s="2206"/>
      <c r="O30" s="2206"/>
    </row>
  </sheetData>
  <sheetProtection sheet="1" formatCells="0" formatColumns="0" formatRows="0" autoFilter="0"/>
  <autoFilter ref="A6:S29"/>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honeticPr fontId="27" type="noConversion"/>
  <pageMargins left="0.89" right="0.26" top="0.42" bottom="0.24" header="0.3" footer="0.3"/>
  <pageSetup paperSize="5" scale="70"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sheetPr codeName="Sheet6"/>
  <dimension ref="A1:BA175"/>
  <sheetViews>
    <sheetView zoomScale="60" zoomScaleNormal="60" workbookViewId="0">
      <pane xSplit="5" ySplit="7" topLeftCell="F8" activePane="bottomRight" state="frozen"/>
      <selection activeCell="Q172" sqref="A1:BE179"/>
      <selection pane="topRight" activeCell="Q172" sqref="A1:BE179"/>
      <selection pane="bottomLeft" activeCell="Q172" sqref="A1:BE179"/>
      <selection pane="bottomRight" sqref="A1:C1"/>
    </sheetView>
  </sheetViews>
  <sheetFormatPr defaultColWidth="9.140625" defaultRowHeight="16.5"/>
  <cols>
    <col min="1" max="1" width="11.140625" style="1551" customWidth="1"/>
    <col min="2" max="2" width="17.42578125" style="2280" customWidth="1"/>
    <col min="3" max="3" width="35.42578125" style="1551" customWidth="1"/>
    <col min="4" max="4" width="7.42578125" style="1509" customWidth="1"/>
    <col min="5" max="5" width="12.42578125" style="1509" customWidth="1"/>
    <col min="6" max="10" width="9.42578125" style="1509" hidden="1" customWidth="1"/>
    <col min="11" max="11" width="18" style="1509" customWidth="1"/>
    <col min="12" max="12" width="13.7109375" style="1509" customWidth="1"/>
    <col min="13" max="13" width="16.140625" style="1509" customWidth="1"/>
    <col min="14" max="14" width="13.5703125" style="1552" customWidth="1"/>
    <col min="15" max="15" width="9.42578125" style="1509" customWidth="1"/>
    <col min="16" max="16" width="14.7109375" style="1552" customWidth="1"/>
    <col min="17" max="17" width="53" style="1551" customWidth="1"/>
    <col min="18" max="18" width="42.28515625" style="1551" hidden="1" customWidth="1"/>
    <col min="19" max="19" width="9.42578125" style="1552" hidden="1" customWidth="1"/>
    <col min="20" max="20" width="3.7109375" style="1507" hidden="1" customWidth="1"/>
    <col min="21" max="22" width="4.140625" style="1507" hidden="1" customWidth="1"/>
    <col min="23" max="23" width="3.85546875" style="1507" hidden="1" customWidth="1"/>
    <col min="24" max="24" width="4.5703125" style="1507" hidden="1" customWidth="1"/>
    <col min="25" max="25" width="6.140625" style="1507" hidden="1" customWidth="1"/>
    <col min="26" max="26" width="7.5703125" style="1507" hidden="1" customWidth="1"/>
    <col min="27" max="27" width="6.5703125" style="1507" hidden="1" customWidth="1"/>
    <col min="28" max="28" width="8.140625" style="1507" hidden="1" customWidth="1"/>
    <col min="29" max="30" width="4.140625" style="1507" hidden="1" customWidth="1"/>
    <col min="31" max="31" width="7.42578125" style="1507" hidden="1" customWidth="1"/>
    <col min="32" max="32" width="3.7109375" style="1507" hidden="1" customWidth="1"/>
    <col min="33" max="33" width="7.42578125" style="1507" hidden="1" customWidth="1"/>
    <col min="34" max="34" width="7" style="1507" hidden="1" customWidth="1"/>
    <col min="35" max="35" width="4.85546875" style="1507" hidden="1" customWidth="1"/>
    <col min="36" max="36" width="8" style="1507" hidden="1" customWidth="1"/>
    <col min="37" max="37" width="5.140625" style="1507" hidden="1" customWidth="1"/>
    <col min="38" max="38" width="5.42578125" style="1507" hidden="1" customWidth="1"/>
    <col min="39" max="39" width="6.85546875" style="1507" hidden="1" customWidth="1"/>
    <col min="40" max="40" width="5.5703125" style="1507" hidden="1" customWidth="1"/>
    <col min="41" max="41" width="4.85546875" style="1507" hidden="1" customWidth="1"/>
    <col min="42" max="42" width="5.5703125" style="1507" hidden="1" customWidth="1"/>
    <col min="43" max="43" width="6.42578125" style="1507" hidden="1" customWidth="1"/>
    <col min="44" max="44" width="6.7109375" style="1507" hidden="1" customWidth="1"/>
    <col min="45" max="45" width="5.42578125" style="1507" hidden="1" customWidth="1"/>
    <col min="46" max="46" width="7.7109375" style="1507" hidden="1" customWidth="1"/>
    <col min="47" max="47" width="7.42578125" style="1507" hidden="1" customWidth="1"/>
    <col min="48" max="48" width="8" style="1507" hidden="1" customWidth="1"/>
    <col min="49" max="49" width="6" style="1507" hidden="1" customWidth="1"/>
    <col min="50" max="50" width="5.42578125" style="1507" hidden="1" customWidth="1"/>
    <col min="51" max="51" width="6.42578125" style="1507" hidden="1" customWidth="1"/>
    <col min="52" max="52" width="6.7109375" style="1507" hidden="1" customWidth="1"/>
    <col min="53" max="53" width="7.7109375" style="1507" hidden="1" customWidth="1"/>
    <col min="54" max="56" width="9.42578125" style="1507" customWidth="1"/>
    <col min="57" max="16384" width="9.140625" style="1507"/>
  </cols>
  <sheetData>
    <row r="1" spans="1:53" s="1509" customFormat="1" ht="14.45" customHeight="1">
      <c r="A1" s="4424" t="s">
        <v>420</v>
      </c>
      <c r="B1" s="4425"/>
      <c r="C1" s="4426"/>
      <c r="D1" s="2207"/>
      <c r="E1" s="4391" t="s">
        <v>4709</v>
      </c>
      <c r="F1" s="4427" t="s">
        <v>4707</v>
      </c>
      <c r="G1" s="4428"/>
      <c r="H1" s="4428"/>
      <c r="I1" s="4428"/>
      <c r="J1" s="4428"/>
      <c r="K1" s="4428"/>
      <c r="L1" s="4428"/>
      <c r="M1" s="4428"/>
      <c r="N1" s="4429"/>
      <c r="O1" s="4430" t="s">
        <v>70</v>
      </c>
      <c r="P1" s="4431"/>
      <c r="Q1" s="4431"/>
      <c r="R1" s="4431"/>
      <c r="S1" s="4431"/>
      <c r="T1" s="4431"/>
      <c r="U1" s="4431"/>
      <c r="V1" s="4431"/>
      <c r="W1" s="4431"/>
      <c r="X1" s="4431"/>
      <c r="Y1" s="4431"/>
      <c r="Z1" s="4431"/>
      <c r="AA1" s="4431"/>
      <c r="AB1" s="4431"/>
      <c r="AC1" s="4431"/>
      <c r="AD1" s="4431"/>
      <c r="AE1" s="4431"/>
      <c r="AF1" s="4431"/>
      <c r="AG1" s="4431"/>
      <c r="AH1" s="4431"/>
      <c r="AI1" s="4416" t="s">
        <v>4358</v>
      </c>
      <c r="AJ1" s="4417"/>
      <c r="AK1" s="4417"/>
      <c r="AL1" s="4417"/>
      <c r="AM1" s="4417"/>
      <c r="AN1" s="4417"/>
      <c r="AO1" s="4418"/>
      <c r="AP1" s="4419" t="s">
        <v>85</v>
      </c>
      <c r="AQ1" s="4420"/>
      <c r="AR1" s="4420"/>
      <c r="AS1" s="4420"/>
      <c r="AT1" s="4420"/>
      <c r="AU1" s="4420"/>
      <c r="AV1" s="4420"/>
      <c r="AW1" s="4420"/>
      <c r="AX1" s="4420"/>
      <c r="AY1" s="4420"/>
      <c r="AZ1" s="4420"/>
      <c r="BA1" s="4421"/>
    </row>
    <row r="2" spans="1:53" s="2209" customFormat="1" ht="49.5">
      <c r="A2" s="4365" t="str">
        <f>HYPERLINK("#Index!A4", "Index Pg")</f>
        <v>Index Pg</v>
      </c>
      <c r="B2" s="2208" t="str">
        <f>HYPERLINK("#'Summary of Abstracts'!A2", "Summary of Abst.")</f>
        <v>Summary of Abst.</v>
      </c>
      <c r="C2" s="1278"/>
      <c r="D2" s="1340"/>
      <c r="E2" s="4391"/>
      <c r="F2" s="1279" t="s">
        <v>118</v>
      </c>
      <c r="G2" s="1279" t="s">
        <v>131</v>
      </c>
      <c r="H2" s="1279" t="s">
        <v>91</v>
      </c>
      <c r="I2" s="1279" t="s">
        <v>4705</v>
      </c>
      <c r="J2" s="1279" t="s">
        <v>96</v>
      </c>
      <c r="K2" s="1352" t="s">
        <v>4064</v>
      </c>
      <c r="L2" s="1280" t="s">
        <v>4706</v>
      </c>
      <c r="M2" s="1279" t="s">
        <v>4710</v>
      </c>
      <c r="N2" s="1280" t="s">
        <v>208</v>
      </c>
      <c r="O2" s="1281" t="s">
        <v>4357</v>
      </c>
      <c r="P2" s="1282" t="s">
        <v>3848</v>
      </c>
      <c r="Q2" s="1282" t="s">
        <v>4719</v>
      </c>
      <c r="R2" s="1282" t="s">
        <v>4716</v>
      </c>
      <c r="S2" s="1282" t="s">
        <v>4717</v>
      </c>
      <c r="T2" s="1282" t="s">
        <v>4718</v>
      </c>
      <c r="U2" s="1282" t="s">
        <v>4720</v>
      </c>
      <c r="V2" s="1282" t="s">
        <v>4695</v>
      </c>
      <c r="W2" s="1282" t="s">
        <v>4721</v>
      </c>
      <c r="X2" s="1282" t="s">
        <v>33</v>
      </c>
      <c r="Y2" s="1282" t="s">
        <v>4722</v>
      </c>
      <c r="Z2" s="1282" t="s">
        <v>4723</v>
      </c>
      <c r="AA2" s="1282" t="s">
        <v>4713</v>
      </c>
      <c r="AB2" s="1282" t="s">
        <v>742</v>
      </c>
      <c r="AC2" s="1282" t="s">
        <v>4714</v>
      </c>
      <c r="AD2" s="1282" t="s">
        <v>4715</v>
      </c>
      <c r="AE2" s="1282" t="s">
        <v>2379</v>
      </c>
      <c r="AF2" s="1282" t="s">
        <v>4724</v>
      </c>
      <c r="AG2" s="1282" t="s">
        <v>3847</v>
      </c>
      <c r="AH2" s="1282" t="s">
        <v>307</v>
      </c>
      <c r="AI2" s="1283" t="s">
        <v>293</v>
      </c>
      <c r="AJ2" s="1283" t="s">
        <v>114</v>
      </c>
      <c r="AK2" s="1283" t="s">
        <v>146</v>
      </c>
      <c r="AL2" s="1283" t="s">
        <v>4674</v>
      </c>
      <c r="AM2" s="1283" t="s">
        <v>3316</v>
      </c>
      <c r="AN2" s="1283" t="s">
        <v>3986</v>
      </c>
      <c r="AO2" s="1283" t="s">
        <v>4544</v>
      </c>
      <c r="AP2" s="3619" t="s">
        <v>86</v>
      </c>
      <c r="AQ2" s="3619" t="s">
        <v>150</v>
      </c>
      <c r="AR2" s="3619" t="s">
        <v>399</v>
      </c>
      <c r="AS2" s="3619" t="s">
        <v>152</v>
      </c>
      <c r="AT2" s="3619" t="s">
        <v>415</v>
      </c>
      <c r="AU2" s="3619" t="s">
        <v>4598</v>
      </c>
      <c r="AV2" s="3619" t="s">
        <v>4124</v>
      </c>
      <c r="AW2" s="3619" t="s">
        <v>312</v>
      </c>
      <c r="AX2" s="3619" t="s">
        <v>314</v>
      </c>
      <c r="AY2" s="3619" t="s">
        <v>1034</v>
      </c>
      <c r="AZ2" s="3619" t="s">
        <v>1020</v>
      </c>
      <c r="BA2" s="3619" t="s">
        <v>4708</v>
      </c>
    </row>
    <row r="3" spans="1:53" s="2209" customFormat="1">
      <c r="A3" s="4366"/>
      <c r="B3" s="2210" t="str">
        <f>HYPERLINK("#'Budget Summary I'!A1:AL1", "Budget Summary I")</f>
        <v>Budget Summary I</v>
      </c>
      <c r="C3" s="1286" t="s">
        <v>4599</v>
      </c>
      <c r="D3" s="1340"/>
      <c r="E3" s="2211">
        <f>S7</f>
        <v>0</v>
      </c>
      <c r="F3" s="1338"/>
      <c r="G3" s="1338"/>
      <c r="H3" s="1338">
        <f>S168+S169+S170+S171</f>
        <v>0</v>
      </c>
      <c r="I3" s="1338">
        <f>S167</f>
        <v>0</v>
      </c>
      <c r="J3" s="1338">
        <f>S166</f>
        <v>0</v>
      </c>
      <c r="K3" s="1338"/>
      <c r="L3" s="1338"/>
      <c r="M3" s="1338"/>
      <c r="N3" s="1338"/>
      <c r="O3" s="1338">
        <f>S106+S107+S172+S173</f>
        <v>0</v>
      </c>
      <c r="P3" s="1338"/>
      <c r="Q3" s="1338"/>
      <c r="R3" s="1338"/>
      <c r="S3" s="1338"/>
      <c r="T3" s="1338"/>
      <c r="U3" s="1338"/>
      <c r="V3" s="1338"/>
      <c r="W3" s="1338"/>
      <c r="X3" s="1338"/>
      <c r="Y3" s="1338"/>
      <c r="Z3" s="1338"/>
      <c r="AA3" s="1338">
        <f>S10+S28+S35+S46+S54+S57+S62+S68+S81+S88+S95+S100+S109+S132+S138+S150+S152+S154+S159+S160+S161+S162+S164+S165+S175+S174</f>
        <v>0</v>
      </c>
      <c r="AB3" s="1338"/>
      <c r="AC3" s="1338"/>
      <c r="AD3" s="1338"/>
      <c r="AE3" s="1338"/>
      <c r="AF3" s="1338"/>
      <c r="AG3" s="1338"/>
      <c r="AH3" s="1338"/>
      <c r="AI3" s="1338"/>
      <c r="AJ3" s="1338"/>
      <c r="AK3" s="1338"/>
      <c r="AL3" s="1338"/>
      <c r="AM3" s="1338"/>
      <c r="AN3" s="1338"/>
      <c r="AO3" s="1338"/>
      <c r="AP3" s="1338"/>
      <c r="AQ3" s="1338"/>
      <c r="AR3" s="1338"/>
      <c r="AS3" s="1338"/>
      <c r="AT3" s="1338"/>
      <c r="AU3" s="1338"/>
      <c r="AV3" s="1338"/>
      <c r="AW3" s="1338"/>
      <c r="AX3" s="1338"/>
      <c r="AY3" s="1338"/>
      <c r="AZ3" s="1338"/>
      <c r="BA3" s="1338"/>
    </row>
    <row r="4" spans="1:53" s="2209" customFormat="1">
      <c r="A4" s="4367"/>
      <c r="B4" s="2210" t="str">
        <f>HYPERLINK("#'Budget Summary II'!A3:B5", "Budget Summary II")</f>
        <v>Budget Summary II</v>
      </c>
      <c r="C4" s="1286" t="s">
        <v>4600</v>
      </c>
      <c r="D4" s="1340"/>
      <c r="E4" s="2211">
        <f>P7</f>
        <v>99331.498920000027</v>
      </c>
      <c r="F4" s="1338"/>
      <c r="G4" s="1338"/>
      <c r="H4" s="1338">
        <f>P168+P169+P170+P171</f>
        <v>367.20042000000001</v>
      </c>
      <c r="I4" s="1338">
        <f>P167</f>
        <v>0</v>
      </c>
      <c r="J4" s="1338">
        <f>P166</f>
        <v>0</v>
      </c>
      <c r="K4" s="1338"/>
      <c r="L4" s="1338"/>
      <c r="M4" s="1338"/>
      <c r="N4" s="1338"/>
      <c r="O4" s="1338">
        <f>P106+P107+P172+P173</f>
        <v>18239.7</v>
      </c>
      <c r="P4" s="1338"/>
      <c r="Q4" s="1338"/>
      <c r="R4" s="1338"/>
      <c r="S4" s="1338"/>
      <c r="T4" s="1338"/>
      <c r="U4" s="1338"/>
      <c r="V4" s="1338"/>
      <c r="W4" s="1338"/>
      <c r="X4" s="1338"/>
      <c r="Y4" s="1338"/>
      <c r="Z4" s="1338"/>
      <c r="AA4" s="1338">
        <f>P10+P28+P35+P46+P54+P57+P62+P68+P81+P88+P95+P100+P109+P132+P138+P150+P152+P154+P159+P160+P161+P162+P164+P165+P175+P174</f>
        <v>80724.598499999993</v>
      </c>
      <c r="AB4" s="1338"/>
      <c r="AC4" s="1338"/>
      <c r="AD4" s="1338"/>
      <c r="AE4" s="1338"/>
      <c r="AF4" s="1338"/>
      <c r="AG4" s="1338"/>
      <c r="AH4" s="1338"/>
      <c r="AI4" s="1338"/>
      <c r="AJ4" s="1338"/>
      <c r="AK4" s="1338"/>
      <c r="AL4" s="1338"/>
      <c r="AM4" s="1338"/>
      <c r="AN4" s="1338"/>
      <c r="AO4" s="1338"/>
      <c r="AP4" s="1338"/>
      <c r="AQ4" s="1338"/>
      <c r="AR4" s="1338"/>
      <c r="AS4" s="1338"/>
      <c r="AT4" s="1338"/>
      <c r="AU4" s="1338"/>
      <c r="AV4" s="1338"/>
      <c r="AW4" s="1338"/>
      <c r="AX4" s="1338"/>
      <c r="AY4" s="1338"/>
      <c r="AZ4" s="1338"/>
      <c r="BA4" s="1338"/>
    </row>
    <row r="5" spans="1:53" s="1509" customFormat="1" ht="12.75" customHeight="1">
      <c r="A5" s="4343" t="s">
        <v>53</v>
      </c>
      <c r="B5" s="4343" t="s">
        <v>54</v>
      </c>
      <c r="C5" s="4343" t="s">
        <v>55</v>
      </c>
      <c r="D5" s="4343" t="s">
        <v>56</v>
      </c>
      <c r="E5" s="4343" t="s">
        <v>57</v>
      </c>
      <c r="F5" s="4339" t="s">
        <v>4620</v>
      </c>
      <c r="G5" s="4339"/>
      <c r="H5" s="4339"/>
      <c r="I5" s="4339"/>
      <c r="J5" s="4339"/>
      <c r="K5" s="4340" t="s">
        <v>4631</v>
      </c>
      <c r="L5" s="4380"/>
      <c r="M5" s="4380"/>
      <c r="N5" s="4380"/>
      <c r="O5" s="4380"/>
      <c r="P5" s="4380"/>
      <c r="Q5" s="4381"/>
      <c r="R5" s="4422" t="s">
        <v>4661</v>
      </c>
      <c r="S5" s="4423"/>
    </row>
    <row r="6" spans="1:53" s="1509" customFormat="1" ht="99">
      <c r="A6" s="4343"/>
      <c r="B6" s="4343"/>
      <c r="C6" s="4343"/>
      <c r="D6" s="4343"/>
      <c r="E6" s="4343"/>
      <c r="F6" s="1288" t="s">
        <v>4621</v>
      </c>
      <c r="G6" s="1288" t="s">
        <v>4629</v>
      </c>
      <c r="H6" s="1288" t="s">
        <v>4622</v>
      </c>
      <c r="I6" s="1288" t="s">
        <v>4630</v>
      </c>
      <c r="J6" s="1288" t="s">
        <v>2534</v>
      </c>
      <c r="K6" s="1289" t="s">
        <v>4668</v>
      </c>
      <c r="L6" s="1289" t="s">
        <v>58</v>
      </c>
      <c r="M6" s="1289" t="s">
        <v>59</v>
      </c>
      <c r="N6" s="1290" t="s">
        <v>60</v>
      </c>
      <c r="O6" s="1289" t="s">
        <v>61</v>
      </c>
      <c r="P6" s="1290" t="s">
        <v>62</v>
      </c>
      <c r="Q6" s="1289" t="s">
        <v>5564</v>
      </c>
      <c r="R6" s="1291" t="s">
        <v>2536</v>
      </c>
      <c r="S6" s="1292" t="s">
        <v>4662</v>
      </c>
    </row>
    <row r="7" spans="1:53" s="1659" customFormat="1">
      <c r="A7" s="1513">
        <v>8</v>
      </c>
      <c r="B7" s="1514"/>
      <c r="C7" s="1513" t="s">
        <v>41</v>
      </c>
      <c r="D7" s="1515"/>
      <c r="E7" s="1515"/>
      <c r="F7" s="1515"/>
      <c r="G7" s="1515"/>
      <c r="H7" s="1515"/>
      <c r="I7" s="1515"/>
      <c r="J7" s="1515"/>
      <c r="K7" s="2212">
        <f>K8+K161+K162+K163</f>
        <v>24378</v>
      </c>
      <c r="L7" s="1515"/>
      <c r="M7" s="1515"/>
      <c r="N7" s="1293"/>
      <c r="O7" s="1515"/>
      <c r="P7" s="1293">
        <f>P8+P161+P162+P163</f>
        <v>99331.498920000027</v>
      </c>
      <c r="Q7" s="1513"/>
      <c r="R7" s="1513"/>
      <c r="S7" s="1293">
        <f>S8+S161+S162+S163</f>
        <v>0</v>
      </c>
    </row>
    <row r="8" spans="1:53">
      <c r="A8" s="1880">
        <v>8.1</v>
      </c>
      <c r="B8" s="1295"/>
      <c r="C8" s="1296" t="s">
        <v>41</v>
      </c>
      <c r="D8" s="1881" t="s">
        <v>70</v>
      </c>
      <c r="E8" s="1881" t="s">
        <v>3888</v>
      </c>
      <c r="F8" s="1881"/>
      <c r="G8" s="1881"/>
      <c r="H8" s="1881"/>
      <c r="I8" s="1881"/>
      <c r="J8" s="1881"/>
      <c r="K8" s="2213">
        <f>K9+K27+K34+K45+K53+K56+K60+K80+K87+K94+K99+K108+K131+K137+K153+K105</f>
        <v>24378</v>
      </c>
      <c r="L8" s="1881"/>
      <c r="M8" s="1881"/>
      <c r="N8" s="1299"/>
      <c r="O8" s="2214"/>
      <c r="P8" s="1300">
        <f>P9+P27+P34+P45+P53+P56+P60+P80+P87+P94+P99+P108+P131+P137+P153+P105</f>
        <v>84026.000000000015</v>
      </c>
      <c r="Q8" s="2151"/>
      <c r="R8" s="2151"/>
      <c r="S8" s="1517">
        <f>S9+S27+S34+S45+S53+S56+S60+S80+S87+S94+S99+S108+S131+S137+S153+S105</f>
        <v>0</v>
      </c>
    </row>
    <row r="9" spans="1:53">
      <c r="A9" s="1519" t="s">
        <v>421</v>
      </c>
      <c r="B9" s="1302" t="s">
        <v>422</v>
      </c>
      <c r="C9" s="3618" t="s">
        <v>423</v>
      </c>
      <c r="D9" s="1520" t="s">
        <v>70</v>
      </c>
      <c r="E9" s="1520" t="s">
        <v>3888</v>
      </c>
      <c r="F9" s="1520"/>
      <c r="G9" s="1520"/>
      <c r="H9" s="1520"/>
      <c r="I9" s="1520"/>
      <c r="J9" s="1520"/>
      <c r="K9" s="2215">
        <f>SUM(K10:K12)+SUM(K20:K26)+K16+K17</f>
        <v>15717</v>
      </c>
      <c r="L9" s="1520"/>
      <c r="M9" s="1520"/>
      <c r="N9" s="2216"/>
      <c r="O9" s="2217"/>
      <c r="P9" s="1306">
        <f>SUM(P10:P12)+SUM(P20:P26)+P16+P17</f>
        <v>31271.29</v>
      </c>
      <c r="Q9" s="2218"/>
      <c r="R9" s="2218"/>
      <c r="S9" s="1306">
        <f>SUM(S10:S12)+SUM(S20:S26)+S16+S17</f>
        <v>0</v>
      </c>
    </row>
    <row r="10" spans="1:53">
      <c r="A10" s="1527" t="s">
        <v>424</v>
      </c>
      <c r="B10" s="1527" t="s">
        <v>425</v>
      </c>
      <c r="C10" s="1527" t="s">
        <v>426</v>
      </c>
      <c r="D10" s="1281" t="s">
        <v>70</v>
      </c>
      <c r="E10" s="1523" t="s">
        <v>3888</v>
      </c>
      <c r="F10" s="2219"/>
      <c r="G10" s="2219"/>
      <c r="H10" s="4441"/>
      <c r="I10" s="4441"/>
      <c r="J10" s="4441"/>
      <c r="K10" s="3643">
        <v>9586</v>
      </c>
      <c r="L10" s="4441" t="s">
        <v>6778</v>
      </c>
      <c r="M10" s="4438">
        <v>3127129000</v>
      </c>
      <c r="N10" s="4435">
        <f>M10/100000</f>
        <v>31271.29</v>
      </c>
      <c r="O10" s="4441">
        <v>1</v>
      </c>
      <c r="P10" s="4432">
        <f>N10*O10</f>
        <v>31271.29</v>
      </c>
      <c r="Q10" s="3634" t="s">
        <v>6770</v>
      </c>
      <c r="R10" s="1729"/>
      <c r="S10" s="4432"/>
    </row>
    <row r="11" spans="1:53">
      <c r="A11" s="1527" t="s">
        <v>427</v>
      </c>
      <c r="B11" s="1527" t="s">
        <v>428</v>
      </c>
      <c r="C11" s="1527" t="s">
        <v>429</v>
      </c>
      <c r="D11" s="1281" t="s">
        <v>70</v>
      </c>
      <c r="E11" s="1523" t="s">
        <v>3888</v>
      </c>
      <c r="F11" s="2219"/>
      <c r="G11" s="2219"/>
      <c r="H11" s="4442"/>
      <c r="I11" s="4442"/>
      <c r="J11" s="4442"/>
      <c r="K11" s="3643">
        <v>4185</v>
      </c>
      <c r="L11" s="4442"/>
      <c r="M11" s="4439"/>
      <c r="N11" s="4436"/>
      <c r="O11" s="4442"/>
      <c r="P11" s="4433"/>
      <c r="Q11" s="2220" t="s">
        <v>6769</v>
      </c>
      <c r="R11" s="1729"/>
      <c r="S11" s="4433"/>
    </row>
    <row r="12" spans="1:53" s="1540" customFormat="1">
      <c r="A12" s="2221" t="s">
        <v>430</v>
      </c>
      <c r="B12" s="2221"/>
      <c r="C12" s="2221" t="s">
        <v>2424</v>
      </c>
      <c r="D12" s="2222" t="s">
        <v>70</v>
      </c>
      <c r="E12" s="2222" t="s">
        <v>3888</v>
      </c>
      <c r="F12" s="2223"/>
      <c r="G12" s="2223"/>
      <c r="H12" s="4442"/>
      <c r="I12" s="4442"/>
      <c r="J12" s="4442"/>
      <c r="K12" s="2224">
        <f>SUM(K13:K15)</f>
        <v>76</v>
      </c>
      <c r="L12" s="4442"/>
      <c r="M12" s="4439"/>
      <c r="N12" s="4436"/>
      <c r="O12" s="4442"/>
      <c r="P12" s="4433"/>
      <c r="Q12" s="2225"/>
      <c r="R12" s="2226"/>
      <c r="S12" s="4433"/>
    </row>
    <row r="13" spans="1:53">
      <c r="A13" s="1527" t="s">
        <v>4298</v>
      </c>
      <c r="B13" s="1522"/>
      <c r="C13" s="1527" t="s">
        <v>2422</v>
      </c>
      <c r="D13" s="1281" t="s">
        <v>70</v>
      </c>
      <c r="E13" s="1523" t="s">
        <v>3888</v>
      </c>
      <c r="F13" s="2219"/>
      <c r="G13" s="2219"/>
      <c r="H13" s="4442"/>
      <c r="I13" s="4442"/>
      <c r="J13" s="4442"/>
      <c r="K13" s="3643">
        <v>38</v>
      </c>
      <c r="L13" s="4442"/>
      <c r="M13" s="4439"/>
      <c r="N13" s="4436"/>
      <c r="O13" s="4442"/>
      <c r="P13" s="4433"/>
      <c r="Q13" s="3634" t="s">
        <v>6770</v>
      </c>
      <c r="R13" s="1729"/>
      <c r="S13" s="4433"/>
    </row>
    <row r="14" spans="1:53">
      <c r="A14" s="1527" t="s">
        <v>4299</v>
      </c>
      <c r="B14" s="1522"/>
      <c r="C14" s="1527" t="s">
        <v>2423</v>
      </c>
      <c r="D14" s="1281" t="s">
        <v>70</v>
      </c>
      <c r="E14" s="1523" t="s">
        <v>3888</v>
      </c>
      <c r="F14" s="2219"/>
      <c r="G14" s="2219"/>
      <c r="H14" s="4442"/>
      <c r="I14" s="4442"/>
      <c r="J14" s="4442"/>
      <c r="K14" s="3643"/>
      <c r="L14" s="4442"/>
      <c r="M14" s="4439"/>
      <c r="N14" s="4436"/>
      <c r="O14" s="4442"/>
      <c r="P14" s="4433"/>
      <c r="Q14" s="3634" t="s">
        <v>6770</v>
      </c>
      <c r="R14" s="1729"/>
      <c r="S14" s="4433"/>
    </row>
    <row r="15" spans="1:53">
      <c r="A15" s="1527" t="s">
        <v>4300</v>
      </c>
      <c r="B15" s="1522"/>
      <c r="C15" s="1527" t="s">
        <v>2425</v>
      </c>
      <c r="D15" s="1281" t="s">
        <v>70</v>
      </c>
      <c r="E15" s="1523" t="s">
        <v>3888</v>
      </c>
      <c r="F15" s="2219"/>
      <c r="G15" s="2219"/>
      <c r="H15" s="4442"/>
      <c r="I15" s="4442"/>
      <c r="J15" s="4442"/>
      <c r="K15" s="3643">
        <v>38</v>
      </c>
      <c r="L15" s="4442"/>
      <c r="M15" s="4439"/>
      <c r="N15" s="4436"/>
      <c r="O15" s="4442"/>
      <c r="P15" s="4433"/>
      <c r="Q15" s="3634" t="s">
        <v>6770</v>
      </c>
      <c r="R15" s="1729"/>
      <c r="S15" s="4433"/>
    </row>
    <row r="16" spans="1:53" ht="33">
      <c r="A16" s="1527" t="s">
        <v>433</v>
      </c>
      <c r="B16" s="1527" t="s">
        <v>431</v>
      </c>
      <c r="C16" s="1527" t="s">
        <v>432</v>
      </c>
      <c r="D16" s="1281" t="s">
        <v>70</v>
      </c>
      <c r="E16" s="1523" t="s">
        <v>3888</v>
      </c>
      <c r="F16" s="2219"/>
      <c r="G16" s="2219"/>
      <c r="H16" s="4442"/>
      <c r="I16" s="4442"/>
      <c r="J16" s="4442"/>
      <c r="K16" s="3643">
        <v>0</v>
      </c>
      <c r="L16" s="4442"/>
      <c r="M16" s="4439"/>
      <c r="N16" s="4436"/>
      <c r="O16" s="4442"/>
      <c r="P16" s="4433"/>
      <c r="Q16" s="3634" t="s">
        <v>6770</v>
      </c>
      <c r="R16" s="1729"/>
      <c r="S16" s="4433"/>
    </row>
    <row r="17" spans="1:19">
      <c r="A17" s="2227" t="s">
        <v>435</v>
      </c>
      <c r="B17" s="2227" t="s">
        <v>434</v>
      </c>
      <c r="C17" s="2228" t="s">
        <v>4635</v>
      </c>
      <c r="D17" s="2229" t="s">
        <v>70</v>
      </c>
      <c r="E17" s="2229" t="s">
        <v>3888</v>
      </c>
      <c r="F17" s="2230"/>
      <c r="G17" s="2230"/>
      <c r="H17" s="4442"/>
      <c r="I17" s="4442"/>
      <c r="J17" s="4442"/>
      <c r="K17" s="4100">
        <f>SUM(K18:K19)</f>
        <v>1321</v>
      </c>
      <c r="L17" s="4442"/>
      <c r="M17" s="4439"/>
      <c r="N17" s="4436"/>
      <c r="O17" s="4442"/>
      <c r="P17" s="4433"/>
      <c r="Q17" s="2231"/>
      <c r="R17" s="2231"/>
      <c r="S17" s="4433"/>
    </row>
    <row r="18" spans="1:19">
      <c r="A18" s="1527" t="s">
        <v>4633</v>
      </c>
      <c r="B18" s="1527" t="s">
        <v>434</v>
      </c>
      <c r="C18" s="1331" t="s">
        <v>575</v>
      </c>
      <c r="D18" s="1281" t="s">
        <v>70</v>
      </c>
      <c r="E18" s="1719" t="s">
        <v>3888</v>
      </c>
      <c r="F18" s="2232"/>
      <c r="G18" s="2232"/>
      <c r="H18" s="4442"/>
      <c r="I18" s="4442"/>
      <c r="J18" s="4442"/>
      <c r="K18" s="3643">
        <v>1321</v>
      </c>
      <c r="L18" s="4442"/>
      <c r="M18" s="4439"/>
      <c r="N18" s="4436"/>
      <c r="O18" s="4442"/>
      <c r="P18" s="4433"/>
      <c r="Q18" s="3634" t="s">
        <v>6770</v>
      </c>
      <c r="R18" s="1544"/>
      <c r="S18" s="4433"/>
    </row>
    <row r="19" spans="1:19" ht="66">
      <c r="A19" s="1527" t="s">
        <v>4634</v>
      </c>
      <c r="B19" s="1527" t="s">
        <v>434</v>
      </c>
      <c r="C19" s="1331" t="s">
        <v>4636</v>
      </c>
      <c r="D19" s="1281" t="s">
        <v>70</v>
      </c>
      <c r="E19" s="1719" t="s">
        <v>3888</v>
      </c>
      <c r="F19" s="2232"/>
      <c r="G19" s="2232"/>
      <c r="H19" s="4442"/>
      <c r="I19" s="4442"/>
      <c r="J19" s="4442"/>
      <c r="K19" s="3643"/>
      <c r="L19" s="4442"/>
      <c r="M19" s="4439"/>
      <c r="N19" s="4436"/>
      <c r="O19" s="4442"/>
      <c r="P19" s="4433"/>
      <c r="Q19" s="3634" t="s">
        <v>6770</v>
      </c>
      <c r="R19" s="1544"/>
      <c r="S19" s="4433"/>
    </row>
    <row r="20" spans="1:19">
      <c r="A20" s="1527" t="s">
        <v>438</v>
      </c>
      <c r="B20" s="1527" t="s">
        <v>436</v>
      </c>
      <c r="C20" s="1527" t="s">
        <v>437</v>
      </c>
      <c r="D20" s="1281" t="s">
        <v>70</v>
      </c>
      <c r="E20" s="1523" t="s">
        <v>3888</v>
      </c>
      <c r="F20" s="2219"/>
      <c r="G20" s="2219"/>
      <c r="H20" s="4442"/>
      <c r="I20" s="4442"/>
      <c r="J20" s="4442"/>
      <c r="K20" s="3643"/>
      <c r="L20" s="4442"/>
      <c r="M20" s="4439"/>
      <c r="N20" s="4436"/>
      <c r="O20" s="4442"/>
      <c r="P20" s="4433"/>
      <c r="Q20" s="2165"/>
      <c r="R20" s="1729"/>
      <c r="S20" s="4433"/>
    </row>
    <row r="21" spans="1:19" ht="33">
      <c r="A21" s="1527" t="s">
        <v>441</v>
      </c>
      <c r="B21" s="1527" t="s">
        <v>439</v>
      </c>
      <c r="C21" s="1527" t="s">
        <v>440</v>
      </c>
      <c r="D21" s="1281" t="s">
        <v>70</v>
      </c>
      <c r="E21" s="1523" t="s">
        <v>3888</v>
      </c>
      <c r="F21" s="2219"/>
      <c r="G21" s="2219"/>
      <c r="H21" s="4442"/>
      <c r="I21" s="4442"/>
      <c r="J21" s="4442"/>
      <c r="K21" s="3643"/>
      <c r="L21" s="4442"/>
      <c r="M21" s="4439"/>
      <c r="N21" s="4436"/>
      <c r="O21" s="4442"/>
      <c r="P21" s="4433"/>
      <c r="Q21" s="2165"/>
      <c r="R21" s="1729"/>
      <c r="S21" s="4433"/>
    </row>
    <row r="22" spans="1:19">
      <c r="A22" s="1527" t="s">
        <v>444</v>
      </c>
      <c r="B22" s="1527" t="s">
        <v>442</v>
      </c>
      <c r="C22" s="1527" t="s">
        <v>443</v>
      </c>
      <c r="D22" s="1281" t="s">
        <v>70</v>
      </c>
      <c r="E22" s="1523" t="s">
        <v>3888</v>
      </c>
      <c r="F22" s="2219"/>
      <c r="G22" s="2219"/>
      <c r="H22" s="4442"/>
      <c r="I22" s="4442"/>
      <c r="J22" s="4442"/>
      <c r="K22" s="3643">
        <v>3</v>
      </c>
      <c r="L22" s="4442"/>
      <c r="M22" s="4439"/>
      <c r="N22" s="4436"/>
      <c r="O22" s="4442"/>
      <c r="P22" s="4433"/>
      <c r="Q22" s="3634" t="s">
        <v>6770</v>
      </c>
      <c r="R22" s="1729"/>
      <c r="S22" s="4433"/>
    </row>
    <row r="23" spans="1:19">
      <c r="A23" s="1527" t="s">
        <v>446</v>
      </c>
      <c r="B23" s="1527" t="s">
        <v>445</v>
      </c>
      <c r="C23" s="1527" t="s">
        <v>2427</v>
      </c>
      <c r="D23" s="1281" t="s">
        <v>70</v>
      </c>
      <c r="E23" s="1523" t="s">
        <v>3888</v>
      </c>
      <c r="F23" s="2219"/>
      <c r="G23" s="2219"/>
      <c r="H23" s="4442"/>
      <c r="I23" s="4442"/>
      <c r="J23" s="4442"/>
      <c r="K23" s="3643">
        <v>1</v>
      </c>
      <c r="L23" s="4442"/>
      <c r="M23" s="4439"/>
      <c r="N23" s="4436"/>
      <c r="O23" s="4442"/>
      <c r="P23" s="4433"/>
      <c r="Q23" s="2165" t="s">
        <v>6771</v>
      </c>
      <c r="R23" s="1729"/>
      <c r="S23" s="4433"/>
    </row>
    <row r="24" spans="1:19">
      <c r="A24" s="1527" t="s">
        <v>449</v>
      </c>
      <c r="B24" s="1527" t="s">
        <v>447</v>
      </c>
      <c r="C24" s="1527" t="s">
        <v>448</v>
      </c>
      <c r="D24" s="1281" t="s">
        <v>70</v>
      </c>
      <c r="E24" s="1523" t="s">
        <v>3888</v>
      </c>
      <c r="F24" s="2219"/>
      <c r="G24" s="2219"/>
      <c r="H24" s="4442"/>
      <c r="I24" s="4442"/>
      <c r="J24" s="4442"/>
      <c r="K24" s="3643">
        <v>110</v>
      </c>
      <c r="L24" s="4442"/>
      <c r="M24" s="4439"/>
      <c r="N24" s="4436"/>
      <c r="O24" s="4442"/>
      <c r="P24" s="4433"/>
      <c r="Q24" s="3634" t="s">
        <v>6770</v>
      </c>
      <c r="R24" s="1729"/>
      <c r="S24" s="4433"/>
    </row>
    <row r="25" spans="1:19">
      <c r="A25" s="1527" t="s">
        <v>452</v>
      </c>
      <c r="B25" s="1527" t="s">
        <v>450</v>
      </c>
      <c r="C25" s="1527" t="s">
        <v>451</v>
      </c>
      <c r="D25" s="1281" t="s">
        <v>70</v>
      </c>
      <c r="E25" s="1523" t="s">
        <v>3888</v>
      </c>
      <c r="F25" s="2219"/>
      <c r="G25" s="2219"/>
      <c r="H25" s="4442"/>
      <c r="I25" s="4442"/>
      <c r="J25" s="4442"/>
      <c r="K25" s="3643">
        <v>2</v>
      </c>
      <c r="L25" s="4442"/>
      <c r="M25" s="4439"/>
      <c r="N25" s="4436"/>
      <c r="O25" s="4442"/>
      <c r="P25" s="4433"/>
      <c r="Q25" s="3634" t="s">
        <v>6770</v>
      </c>
      <c r="R25" s="1729"/>
      <c r="S25" s="4433"/>
    </row>
    <row r="26" spans="1:19" ht="33">
      <c r="A26" s="1527" t="s">
        <v>2426</v>
      </c>
      <c r="B26" s="1527" t="s">
        <v>453</v>
      </c>
      <c r="C26" s="1527" t="s">
        <v>2437</v>
      </c>
      <c r="D26" s="1281" t="s">
        <v>70</v>
      </c>
      <c r="E26" s="1523" t="s">
        <v>3888</v>
      </c>
      <c r="F26" s="2219"/>
      <c r="G26" s="2219"/>
      <c r="H26" s="4443"/>
      <c r="I26" s="4443"/>
      <c r="J26" s="4443"/>
      <c r="K26" s="3643">
        <v>433</v>
      </c>
      <c r="L26" s="4443"/>
      <c r="M26" s="4440"/>
      <c r="N26" s="4437"/>
      <c r="O26" s="4443"/>
      <c r="P26" s="4434"/>
      <c r="Q26" s="3634" t="s">
        <v>6770</v>
      </c>
      <c r="R26" s="1729"/>
      <c r="S26" s="4434"/>
    </row>
    <row r="27" spans="1:19">
      <c r="A27" s="1519" t="s">
        <v>454</v>
      </c>
      <c r="B27" s="1302" t="s">
        <v>455</v>
      </c>
      <c r="C27" s="3618" t="s">
        <v>456</v>
      </c>
      <c r="D27" s="1520" t="s">
        <v>70</v>
      </c>
      <c r="E27" s="1520" t="s">
        <v>3888</v>
      </c>
      <c r="F27" s="2233"/>
      <c r="G27" s="2233"/>
      <c r="H27" s="2233"/>
      <c r="I27" s="2233"/>
      <c r="J27" s="2233"/>
      <c r="K27" s="4101">
        <f>SUM(K28:K33)</f>
        <v>488</v>
      </c>
      <c r="L27" s="2233"/>
      <c r="M27" s="2233"/>
      <c r="N27" s="2234"/>
      <c r="O27" s="2235"/>
      <c r="P27" s="2236">
        <f>SUM(P28:P33)</f>
        <v>7647</v>
      </c>
      <c r="Q27" s="2237"/>
      <c r="R27" s="2238"/>
      <c r="S27" s="2239">
        <f>SUM(S28:S33)</f>
        <v>0</v>
      </c>
    </row>
    <row r="28" spans="1:19">
      <c r="A28" s="1527" t="s">
        <v>457</v>
      </c>
      <c r="B28" s="1527" t="s">
        <v>458</v>
      </c>
      <c r="C28" s="1527" t="s">
        <v>459</v>
      </c>
      <c r="D28" s="1281" t="s">
        <v>70</v>
      </c>
      <c r="E28" s="1523" t="s">
        <v>3888</v>
      </c>
      <c r="F28" s="2219"/>
      <c r="G28" s="2219"/>
      <c r="H28" s="4444"/>
      <c r="I28" s="4444"/>
      <c r="J28" s="4444"/>
      <c r="K28" s="3643">
        <v>150</v>
      </c>
      <c r="L28" s="4444" t="s">
        <v>6778</v>
      </c>
      <c r="M28" s="4441">
        <v>764700000</v>
      </c>
      <c r="N28" s="4435">
        <f>M28/100000</f>
        <v>7647</v>
      </c>
      <c r="O28" s="4441">
        <v>1</v>
      </c>
      <c r="P28" s="4432">
        <f>N28*O28</f>
        <v>7647</v>
      </c>
      <c r="Q28" s="3634" t="s">
        <v>6770</v>
      </c>
      <c r="R28" s="1729"/>
      <c r="S28" s="4435"/>
    </row>
    <row r="29" spans="1:19">
      <c r="A29" s="1527" t="s">
        <v>460</v>
      </c>
      <c r="B29" s="1527" t="s">
        <v>461</v>
      </c>
      <c r="C29" s="1527" t="s">
        <v>462</v>
      </c>
      <c r="D29" s="1281" t="s">
        <v>70</v>
      </c>
      <c r="E29" s="1523" t="s">
        <v>3888</v>
      </c>
      <c r="F29" s="2219"/>
      <c r="G29" s="2219"/>
      <c r="H29" s="4445"/>
      <c r="I29" s="4445"/>
      <c r="J29" s="4445"/>
      <c r="K29" s="3643">
        <v>152</v>
      </c>
      <c r="L29" s="4445"/>
      <c r="M29" s="4442"/>
      <c r="N29" s="4436"/>
      <c r="O29" s="4442"/>
      <c r="P29" s="4433"/>
      <c r="Q29" s="3634" t="s">
        <v>6770</v>
      </c>
      <c r="R29" s="1729"/>
      <c r="S29" s="4436"/>
    </row>
    <row r="30" spans="1:19">
      <c r="A30" s="1527" t="s">
        <v>463</v>
      </c>
      <c r="B30" s="1527" t="s">
        <v>464</v>
      </c>
      <c r="C30" s="1527" t="s">
        <v>465</v>
      </c>
      <c r="D30" s="1281" t="s">
        <v>70</v>
      </c>
      <c r="E30" s="1523" t="s">
        <v>3888</v>
      </c>
      <c r="F30" s="2219"/>
      <c r="G30" s="2219"/>
      <c r="H30" s="4445"/>
      <c r="I30" s="4445"/>
      <c r="J30" s="4445"/>
      <c r="K30" s="3643">
        <v>150</v>
      </c>
      <c r="L30" s="4445"/>
      <c r="M30" s="4442"/>
      <c r="N30" s="4436"/>
      <c r="O30" s="4442"/>
      <c r="P30" s="4433"/>
      <c r="Q30" s="3634" t="s">
        <v>6770</v>
      </c>
      <c r="R30" s="1729"/>
      <c r="S30" s="4436"/>
    </row>
    <row r="31" spans="1:19">
      <c r="A31" s="1527" t="s">
        <v>466</v>
      </c>
      <c r="B31" s="1527" t="s">
        <v>468</v>
      </c>
      <c r="C31" s="1527" t="s">
        <v>469</v>
      </c>
      <c r="D31" s="1281" t="s">
        <v>70</v>
      </c>
      <c r="E31" s="1523" t="s">
        <v>3888</v>
      </c>
      <c r="F31" s="2219"/>
      <c r="G31" s="2219"/>
      <c r="H31" s="4445"/>
      <c r="I31" s="4445"/>
      <c r="J31" s="4445"/>
      <c r="K31" s="3643">
        <v>36</v>
      </c>
      <c r="L31" s="4445"/>
      <c r="M31" s="4442"/>
      <c r="N31" s="4436"/>
      <c r="O31" s="4442"/>
      <c r="P31" s="4433"/>
      <c r="Q31" s="3634" t="s">
        <v>6770</v>
      </c>
      <c r="R31" s="1729"/>
      <c r="S31" s="4436"/>
    </row>
    <row r="32" spans="1:19">
      <c r="A32" s="1527" t="s">
        <v>467</v>
      </c>
      <c r="B32" s="1527" t="s">
        <v>471</v>
      </c>
      <c r="C32" s="1527" t="s">
        <v>472</v>
      </c>
      <c r="D32" s="1281" t="s">
        <v>70</v>
      </c>
      <c r="E32" s="1523" t="s">
        <v>3888</v>
      </c>
      <c r="F32" s="2219"/>
      <c r="G32" s="2219"/>
      <c r="H32" s="4445"/>
      <c r="I32" s="4445"/>
      <c r="J32" s="4445"/>
      <c r="K32" s="3643"/>
      <c r="L32" s="4445"/>
      <c r="M32" s="4442"/>
      <c r="N32" s="4436"/>
      <c r="O32" s="4442"/>
      <c r="P32" s="4433"/>
      <c r="Q32" s="2165"/>
      <c r="R32" s="1729"/>
      <c r="S32" s="4436"/>
    </row>
    <row r="33" spans="1:19">
      <c r="A33" s="1527" t="s">
        <v>470</v>
      </c>
      <c r="B33" s="1527" t="s">
        <v>473</v>
      </c>
      <c r="C33" s="1527" t="s">
        <v>4099</v>
      </c>
      <c r="D33" s="1281" t="s">
        <v>70</v>
      </c>
      <c r="E33" s="1523" t="s">
        <v>3888</v>
      </c>
      <c r="F33" s="2219"/>
      <c r="G33" s="2219"/>
      <c r="H33" s="4446"/>
      <c r="I33" s="4446"/>
      <c r="J33" s="4446"/>
      <c r="K33" s="3643">
        <v>0</v>
      </c>
      <c r="L33" s="4446"/>
      <c r="M33" s="4443"/>
      <c r="N33" s="4437"/>
      <c r="O33" s="4443"/>
      <c r="P33" s="4434"/>
      <c r="Q33" s="3634" t="s">
        <v>6770</v>
      </c>
      <c r="R33" s="1729"/>
      <c r="S33" s="4437"/>
    </row>
    <row r="34" spans="1:19">
      <c r="A34" s="1519" t="s">
        <v>476</v>
      </c>
      <c r="B34" s="1302" t="s">
        <v>477</v>
      </c>
      <c r="C34" s="3618" t="s">
        <v>478</v>
      </c>
      <c r="D34" s="1520" t="s">
        <v>70</v>
      </c>
      <c r="E34" s="1520" t="s">
        <v>3888</v>
      </c>
      <c r="F34" s="2233"/>
      <c r="G34" s="2233"/>
      <c r="H34" s="2233"/>
      <c r="I34" s="2233"/>
      <c r="J34" s="2233"/>
      <c r="K34" s="4101">
        <f>SUM(K35:K44)</f>
        <v>280</v>
      </c>
      <c r="L34" s="2233"/>
      <c r="M34" s="2233"/>
      <c r="N34" s="2234"/>
      <c r="O34" s="2235"/>
      <c r="P34" s="2236">
        <f>SUM(P35:P44)</f>
        <v>3342.77</v>
      </c>
      <c r="Q34" s="2237"/>
      <c r="R34" s="2238"/>
      <c r="S34" s="2239">
        <f>SUM(S35:S44)</f>
        <v>0</v>
      </c>
    </row>
    <row r="35" spans="1:19">
      <c r="A35" s="1527" t="s">
        <v>479</v>
      </c>
      <c r="B35" s="1527" t="s">
        <v>2429</v>
      </c>
      <c r="C35" s="1527" t="s">
        <v>2428</v>
      </c>
      <c r="D35" s="1281" t="s">
        <v>70</v>
      </c>
      <c r="E35" s="1523" t="s">
        <v>3888</v>
      </c>
      <c r="F35" s="2219"/>
      <c r="G35" s="2219"/>
      <c r="H35" s="4444"/>
      <c r="I35" s="4444"/>
      <c r="J35" s="4444"/>
      <c r="K35" s="3643">
        <v>78</v>
      </c>
      <c r="L35" s="4444" t="s">
        <v>6778</v>
      </c>
      <c r="M35" s="4441">
        <v>334277000</v>
      </c>
      <c r="N35" s="4435">
        <f>M35/100000</f>
        <v>3342.77</v>
      </c>
      <c r="O35" s="4441">
        <v>1</v>
      </c>
      <c r="P35" s="4432">
        <f>N35*O35</f>
        <v>3342.77</v>
      </c>
      <c r="Q35" s="1939" t="s">
        <v>6770</v>
      </c>
      <c r="R35" s="1729"/>
      <c r="S35" s="4435"/>
    </row>
    <row r="36" spans="1:19">
      <c r="A36" s="1527" t="s">
        <v>480</v>
      </c>
      <c r="B36" s="1527" t="s">
        <v>481</v>
      </c>
      <c r="C36" s="1527" t="s">
        <v>482</v>
      </c>
      <c r="D36" s="1281" t="s">
        <v>70</v>
      </c>
      <c r="E36" s="1523" t="s">
        <v>3888</v>
      </c>
      <c r="F36" s="2219"/>
      <c r="G36" s="2219"/>
      <c r="H36" s="4445"/>
      <c r="I36" s="4445"/>
      <c r="J36" s="4445"/>
      <c r="K36" s="3643">
        <v>38</v>
      </c>
      <c r="L36" s="4445"/>
      <c r="M36" s="4442"/>
      <c r="N36" s="4436"/>
      <c r="O36" s="4442"/>
      <c r="P36" s="4433"/>
      <c r="Q36" s="3635" t="s">
        <v>6770</v>
      </c>
      <c r="R36" s="1729"/>
      <c r="S36" s="4436"/>
    </row>
    <row r="37" spans="1:19">
      <c r="A37" s="1527" t="s">
        <v>483</v>
      </c>
      <c r="B37" s="1527" t="s">
        <v>484</v>
      </c>
      <c r="C37" s="1527" t="s">
        <v>485</v>
      </c>
      <c r="D37" s="1281" t="s">
        <v>70</v>
      </c>
      <c r="E37" s="1523" t="s">
        <v>3888</v>
      </c>
      <c r="F37" s="2219"/>
      <c r="G37" s="2219"/>
      <c r="H37" s="4445"/>
      <c r="I37" s="4445"/>
      <c r="J37" s="4445"/>
      <c r="K37" s="3643">
        <v>36</v>
      </c>
      <c r="L37" s="4445"/>
      <c r="M37" s="4442"/>
      <c r="N37" s="4436"/>
      <c r="O37" s="4442"/>
      <c r="P37" s="4433"/>
      <c r="Q37" s="2165" t="s">
        <v>6770</v>
      </c>
      <c r="R37" s="1729"/>
      <c r="S37" s="4436"/>
    </row>
    <row r="38" spans="1:19">
      <c r="A38" s="1527" t="s">
        <v>486</v>
      </c>
      <c r="B38" s="1527" t="s">
        <v>474</v>
      </c>
      <c r="C38" s="1527" t="s">
        <v>475</v>
      </c>
      <c r="D38" s="1281" t="s">
        <v>70</v>
      </c>
      <c r="E38" s="1523" t="s">
        <v>3888</v>
      </c>
      <c r="F38" s="2219"/>
      <c r="G38" s="2219"/>
      <c r="H38" s="4445"/>
      <c r="I38" s="4445"/>
      <c r="J38" s="4445"/>
      <c r="K38" s="3643">
        <v>47</v>
      </c>
      <c r="L38" s="4445"/>
      <c r="M38" s="4442"/>
      <c r="N38" s="4436"/>
      <c r="O38" s="4442"/>
      <c r="P38" s="4433"/>
      <c r="Q38" s="2177" t="s">
        <v>6770</v>
      </c>
      <c r="R38" s="1729"/>
      <c r="S38" s="4436"/>
    </row>
    <row r="39" spans="1:19">
      <c r="A39" s="1527" t="s">
        <v>489</v>
      </c>
      <c r="B39" s="1527" t="s">
        <v>487</v>
      </c>
      <c r="C39" s="1527" t="s">
        <v>488</v>
      </c>
      <c r="D39" s="1281" t="s">
        <v>70</v>
      </c>
      <c r="E39" s="1523" t="s">
        <v>3888</v>
      </c>
      <c r="F39" s="2219"/>
      <c r="G39" s="2219"/>
      <c r="H39" s="4445"/>
      <c r="I39" s="4445"/>
      <c r="J39" s="4445"/>
      <c r="K39" s="3643">
        <v>37</v>
      </c>
      <c r="L39" s="4445"/>
      <c r="M39" s="4442"/>
      <c r="N39" s="4436"/>
      <c r="O39" s="4442"/>
      <c r="P39" s="4433"/>
      <c r="Q39" s="2165" t="s">
        <v>6770</v>
      </c>
      <c r="R39" s="1729"/>
      <c r="S39" s="4436"/>
    </row>
    <row r="40" spans="1:19">
      <c r="A40" s="1527" t="s">
        <v>492</v>
      </c>
      <c r="B40" s="1527" t="s">
        <v>490</v>
      </c>
      <c r="C40" s="1527" t="s">
        <v>491</v>
      </c>
      <c r="D40" s="1281" t="s">
        <v>70</v>
      </c>
      <c r="E40" s="1523" t="s">
        <v>3888</v>
      </c>
      <c r="F40" s="2219"/>
      <c r="G40" s="2219"/>
      <c r="H40" s="4445"/>
      <c r="I40" s="4445"/>
      <c r="J40" s="4445"/>
      <c r="K40" s="3643">
        <v>36</v>
      </c>
      <c r="L40" s="4445"/>
      <c r="M40" s="4442"/>
      <c r="N40" s="4436"/>
      <c r="O40" s="4442"/>
      <c r="P40" s="4433"/>
      <c r="Q40" s="2165" t="s">
        <v>6770</v>
      </c>
      <c r="R40" s="1729"/>
      <c r="S40" s="4436"/>
    </row>
    <row r="41" spans="1:19">
      <c r="A41" s="1527" t="s">
        <v>495</v>
      </c>
      <c r="B41" s="1527" t="s">
        <v>493</v>
      </c>
      <c r="C41" s="1527" t="s">
        <v>494</v>
      </c>
      <c r="D41" s="1281" t="s">
        <v>70</v>
      </c>
      <c r="E41" s="1523" t="s">
        <v>3888</v>
      </c>
      <c r="F41" s="2219"/>
      <c r="G41" s="2219"/>
      <c r="H41" s="4445"/>
      <c r="I41" s="4445"/>
      <c r="J41" s="4445"/>
      <c r="K41" s="3643"/>
      <c r="L41" s="4445"/>
      <c r="M41" s="4442"/>
      <c r="N41" s="4436"/>
      <c r="O41" s="4442"/>
      <c r="P41" s="4433"/>
      <c r="Q41" s="1939" t="s">
        <v>6770</v>
      </c>
      <c r="R41" s="1729"/>
      <c r="S41" s="4436"/>
    </row>
    <row r="42" spans="1:19">
      <c r="A42" s="1527" t="s">
        <v>498</v>
      </c>
      <c r="B42" s="1527" t="s">
        <v>496</v>
      </c>
      <c r="C42" s="1527" t="s">
        <v>2430</v>
      </c>
      <c r="D42" s="1281" t="s">
        <v>70</v>
      </c>
      <c r="E42" s="1523" t="s">
        <v>3888</v>
      </c>
      <c r="F42" s="2219"/>
      <c r="G42" s="2219"/>
      <c r="H42" s="4445"/>
      <c r="I42" s="4445"/>
      <c r="J42" s="4445"/>
      <c r="K42" s="3643">
        <v>8</v>
      </c>
      <c r="L42" s="4445"/>
      <c r="M42" s="4442"/>
      <c r="N42" s="4436"/>
      <c r="O42" s="4442"/>
      <c r="P42" s="4433"/>
      <c r="Q42" s="3636"/>
      <c r="R42" s="1729"/>
      <c r="S42" s="4436"/>
    </row>
    <row r="43" spans="1:19">
      <c r="A43" s="1527" t="s">
        <v>501</v>
      </c>
      <c r="B43" s="1527" t="s">
        <v>499</v>
      </c>
      <c r="C43" s="1527" t="s">
        <v>500</v>
      </c>
      <c r="D43" s="1281" t="s">
        <v>70</v>
      </c>
      <c r="E43" s="1523" t="s">
        <v>3888</v>
      </c>
      <c r="F43" s="2219"/>
      <c r="G43" s="2219"/>
      <c r="H43" s="4445"/>
      <c r="I43" s="4445"/>
      <c r="J43" s="4445"/>
      <c r="K43" s="3643"/>
      <c r="L43" s="4445"/>
      <c r="M43" s="4442"/>
      <c r="N43" s="4436"/>
      <c r="O43" s="4442"/>
      <c r="P43" s="4433"/>
      <c r="Q43" s="2165" t="s">
        <v>6770</v>
      </c>
      <c r="R43" s="1729"/>
      <c r="S43" s="4436"/>
    </row>
    <row r="44" spans="1:19">
      <c r="A44" s="1527" t="s">
        <v>2431</v>
      </c>
      <c r="B44" s="1527" t="s">
        <v>502</v>
      </c>
      <c r="C44" s="1527" t="s">
        <v>478</v>
      </c>
      <c r="D44" s="1281" t="s">
        <v>70</v>
      </c>
      <c r="E44" s="1523" t="s">
        <v>3888</v>
      </c>
      <c r="F44" s="2219"/>
      <c r="G44" s="2219"/>
      <c r="H44" s="4446"/>
      <c r="I44" s="4446"/>
      <c r="J44" s="4446"/>
      <c r="K44" s="3643"/>
      <c r="L44" s="4446"/>
      <c r="M44" s="4443"/>
      <c r="N44" s="4437"/>
      <c r="O44" s="4443"/>
      <c r="P44" s="4434"/>
      <c r="Q44" s="2165"/>
      <c r="R44" s="1729"/>
      <c r="S44" s="4437"/>
    </row>
    <row r="45" spans="1:19">
      <c r="A45" s="1519" t="s">
        <v>503</v>
      </c>
      <c r="B45" s="1302" t="s">
        <v>504</v>
      </c>
      <c r="C45" s="3618" t="s">
        <v>505</v>
      </c>
      <c r="D45" s="1520" t="s">
        <v>70</v>
      </c>
      <c r="E45" s="1520" t="s">
        <v>3888</v>
      </c>
      <c r="F45" s="2233"/>
      <c r="G45" s="2233"/>
      <c r="H45" s="2233"/>
      <c r="I45" s="2233"/>
      <c r="J45" s="2233"/>
      <c r="K45" s="4101">
        <f>SUM(K46:K48)</f>
        <v>20</v>
      </c>
      <c r="L45" s="2233"/>
      <c r="M45" s="2233"/>
      <c r="N45" s="2234"/>
      <c r="O45" s="2235"/>
      <c r="P45" s="2236">
        <f>SUM(P46:P48)</f>
        <v>15.3</v>
      </c>
      <c r="Q45" s="2237"/>
      <c r="R45" s="2238"/>
      <c r="S45" s="2239">
        <f>SUM(S46:S47)</f>
        <v>0</v>
      </c>
    </row>
    <row r="46" spans="1:19">
      <c r="A46" s="1527" t="s">
        <v>506</v>
      </c>
      <c r="B46" s="1527" t="s">
        <v>507</v>
      </c>
      <c r="C46" s="1527" t="s">
        <v>508</v>
      </c>
      <c r="D46" s="1281" t="s">
        <v>70</v>
      </c>
      <c r="E46" s="1523" t="s">
        <v>3888</v>
      </c>
      <c r="F46" s="2219"/>
      <c r="G46" s="2219"/>
      <c r="H46" s="4444"/>
      <c r="I46" s="4444"/>
      <c r="J46" s="4444"/>
      <c r="K46" s="3643"/>
      <c r="L46" s="4444" t="s">
        <v>6778</v>
      </c>
      <c r="M46" s="4441">
        <v>1530000</v>
      </c>
      <c r="N46" s="4435">
        <f>M46/100000</f>
        <v>15.3</v>
      </c>
      <c r="O46" s="4441">
        <v>1</v>
      </c>
      <c r="P46" s="4432">
        <f>N46*O46</f>
        <v>15.3</v>
      </c>
      <c r="Q46" s="3635" t="s">
        <v>6770</v>
      </c>
      <c r="R46" s="1729"/>
      <c r="S46" s="4432"/>
    </row>
    <row r="47" spans="1:19">
      <c r="A47" s="1527" t="s">
        <v>509</v>
      </c>
      <c r="B47" s="1527" t="s">
        <v>510</v>
      </c>
      <c r="C47" s="1527" t="s">
        <v>511</v>
      </c>
      <c r="D47" s="1281" t="s">
        <v>70</v>
      </c>
      <c r="E47" s="1523" t="s">
        <v>3888</v>
      </c>
      <c r="F47" s="2219"/>
      <c r="G47" s="2219"/>
      <c r="H47" s="4445"/>
      <c r="I47" s="4445"/>
      <c r="J47" s="4445"/>
      <c r="K47" s="3643"/>
      <c r="L47" s="4445"/>
      <c r="M47" s="4442"/>
      <c r="N47" s="4436"/>
      <c r="O47" s="4442"/>
      <c r="P47" s="4433"/>
      <c r="Q47" s="2165"/>
      <c r="R47" s="1729"/>
      <c r="S47" s="4433"/>
    </row>
    <row r="48" spans="1:19">
      <c r="A48" s="2240" t="s">
        <v>512</v>
      </c>
      <c r="B48" s="2240" t="s">
        <v>513</v>
      </c>
      <c r="C48" s="2240" t="s">
        <v>514</v>
      </c>
      <c r="D48" s="2241" t="s">
        <v>70</v>
      </c>
      <c r="E48" s="2241" t="s">
        <v>3888</v>
      </c>
      <c r="F48" s="2242"/>
      <c r="G48" s="2242"/>
      <c r="H48" s="4445"/>
      <c r="I48" s="4445"/>
      <c r="J48" s="4445"/>
      <c r="K48" s="4102">
        <f>SUM(K49:K52)</f>
        <v>20</v>
      </c>
      <c r="L48" s="4445"/>
      <c r="M48" s="4442"/>
      <c r="N48" s="4436"/>
      <c r="O48" s="4442"/>
      <c r="P48" s="4433"/>
      <c r="Q48" s="1939" t="s">
        <v>6770</v>
      </c>
      <c r="R48" s="2243"/>
      <c r="S48" s="4433"/>
    </row>
    <row r="49" spans="1:19">
      <c r="A49" s="1527" t="s">
        <v>4301</v>
      </c>
      <c r="B49" s="1527" t="s">
        <v>515</v>
      </c>
      <c r="C49" s="1527" t="s">
        <v>516</v>
      </c>
      <c r="D49" s="1281" t="s">
        <v>70</v>
      </c>
      <c r="E49" s="1523" t="s">
        <v>3888</v>
      </c>
      <c r="F49" s="2219"/>
      <c r="G49" s="2219"/>
      <c r="H49" s="4445"/>
      <c r="I49" s="4445"/>
      <c r="J49" s="4445"/>
      <c r="K49" s="3643">
        <v>10</v>
      </c>
      <c r="L49" s="4445"/>
      <c r="M49" s="4442"/>
      <c r="N49" s="4436"/>
      <c r="O49" s="4442"/>
      <c r="P49" s="4433"/>
      <c r="Q49" s="2165"/>
      <c r="R49" s="1729"/>
      <c r="S49" s="4433"/>
    </row>
    <row r="50" spans="1:19">
      <c r="A50" s="1527" t="s">
        <v>4302</v>
      </c>
      <c r="B50" s="1527" t="s">
        <v>517</v>
      </c>
      <c r="C50" s="1527" t="s">
        <v>518</v>
      </c>
      <c r="D50" s="1281" t="s">
        <v>70</v>
      </c>
      <c r="E50" s="1523" t="s">
        <v>3888</v>
      </c>
      <c r="F50" s="2219"/>
      <c r="G50" s="2219"/>
      <c r="H50" s="4445"/>
      <c r="I50" s="4445"/>
      <c r="J50" s="4445"/>
      <c r="K50" s="3643"/>
      <c r="L50" s="4445"/>
      <c r="M50" s="4442"/>
      <c r="N50" s="4436"/>
      <c r="O50" s="4442"/>
      <c r="P50" s="4433"/>
      <c r="Q50" s="2165"/>
      <c r="R50" s="1729"/>
      <c r="S50" s="4433"/>
    </row>
    <row r="51" spans="1:19">
      <c r="A51" s="1527" t="s">
        <v>4303</v>
      </c>
      <c r="B51" s="1527" t="s">
        <v>519</v>
      </c>
      <c r="C51" s="1527" t="s">
        <v>520</v>
      </c>
      <c r="D51" s="1281" t="s">
        <v>70</v>
      </c>
      <c r="E51" s="1523" t="s">
        <v>3888</v>
      </c>
      <c r="F51" s="2219"/>
      <c r="G51" s="2219"/>
      <c r="H51" s="4445"/>
      <c r="I51" s="4445"/>
      <c r="J51" s="4445"/>
      <c r="K51" s="3643">
        <v>10</v>
      </c>
      <c r="L51" s="4445"/>
      <c r="M51" s="4442"/>
      <c r="N51" s="4436"/>
      <c r="O51" s="4442"/>
      <c r="P51" s="4433"/>
      <c r="Q51" s="1939"/>
      <c r="R51" s="1729"/>
      <c r="S51" s="4433"/>
    </row>
    <row r="52" spans="1:19">
      <c r="A52" s="1527" t="s">
        <v>4304</v>
      </c>
      <c r="B52" s="1527" t="s">
        <v>521</v>
      </c>
      <c r="C52" s="1527" t="s">
        <v>307</v>
      </c>
      <c r="D52" s="1281" t="s">
        <v>70</v>
      </c>
      <c r="E52" s="1523" t="s">
        <v>3888</v>
      </c>
      <c r="F52" s="2219"/>
      <c r="G52" s="2219"/>
      <c r="H52" s="4446"/>
      <c r="I52" s="4446"/>
      <c r="J52" s="4446"/>
      <c r="K52" s="3643"/>
      <c r="L52" s="4446"/>
      <c r="M52" s="4443"/>
      <c r="N52" s="4437"/>
      <c r="O52" s="4443"/>
      <c r="P52" s="4434"/>
      <c r="Q52" s="2165"/>
      <c r="R52" s="1729"/>
      <c r="S52" s="4434"/>
    </row>
    <row r="53" spans="1:19">
      <c r="A53" s="1519" t="s">
        <v>522</v>
      </c>
      <c r="B53" s="1302" t="s">
        <v>523</v>
      </c>
      <c r="C53" s="3618" t="s">
        <v>524</v>
      </c>
      <c r="D53" s="1520" t="s">
        <v>70</v>
      </c>
      <c r="E53" s="1520" t="s">
        <v>3888</v>
      </c>
      <c r="F53" s="1526"/>
      <c r="G53" s="1526"/>
      <c r="H53" s="1526"/>
      <c r="I53" s="1526"/>
      <c r="J53" s="1526"/>
      <c r="K53" s="4103">
        <f>SUM(K54:K55)</f>
        <v>593</v>
      </c>
      <c r="L53" s="1526"/>
      <c r="M53" s="1526"/>
      <c r="N53" s="2236"/>
      <c r="O53" s="1934"/>
      <c r="P53" s="2236">
        <f>SUM(P54:P55)</f>
        <v>4625.3999999999996</v>
      </c>
      <c r="Q53" s="2238"/>
      <c r="R53" s="2238"/>
      <c r="S53" s="2236">
        <f>SUM(S54:S55)</f>
        <v>0</v>
      </c>
    </row>
    <row r="54" spans="1:19">
      <c r="A54" s="2244" t="s">
        <v>3339</v>
      </c>
      <c r="B54" s="1530"/>
      <c r="C54" s="1331" t="s">
        <v>3332</v>
      </c>
      <c r="D54" s="1281" t="s">
        <v>70</v>
      </c>
      <c r="E54" s="1719" t="s">
        <v>3888</v>
      </c>
      <c r="F54" s="2232"/>
      <c r="G54" s="2232"/>
      <c r="H54" s="4449"/>
      <c r="I54" s="4449"/>
      <c r="J54" s="4449"/>
      <c r="K54" s="3643">
        <v>593</v>
      </c>
      <c r="L54" s="4449" t="s">
        <v>6778</v>
      </c>
      <c r="M54" s="4441">
        <v>462540000</v>
      </c>
      <c r="N54" s="4435">
        <f>M54/100000</f>
        <v>4625.3999999999996</v>
      </c>
      <c r="O54" s="4441">
        <v>1</v>
      </c>
      <c r="P54" s="4432">
        <f>N54*O54</f>
        <v>4625.3999999999996</v>
      </c>
      <c r="Q54" s="1939" t="s">
        <v>6770</v>
      </c>
      <c r="R54" s="1544"/>
      <c r="S54" s="4447"/>
    </row>
    <row r="55" spans="1:19">
      <c r="A55" s="2244" t="s">
        <v>3340</v>
      </c>
      <c r="B55" s="1530"/>
      <c r="C55" s="1331" t="s">
        <v>3333</v>
      </c>
      <c r="D55" s="1281" t="s">
        <v>70</v>
      </c>
      <c r="E55" s="1719" t="s">
        <v>3888</v>
      </c>
      <c r="F55" s="2232"/>
      <c r="G55" s="2232"/>
      <c r="H55" s="4450"/>
      <c r="I55" s="4450"/>
      <c r="J55" s="4450"/>
      <c r="K55" s="3643"/>
      <c r="L55" s="4450"/>
      <c r="M55" s="4443"/>
      <c r="N55" s="4437"/>
      <c r="O55" s="4443"/>
      <c r="P55" s="4434"/>
      <c r="Q55" s="1939"/>
      <c r="R55" s="1544"/>
      <c r="S55" s="4448"/>
    </row>
    <row r="56" spans="1:19">
      <c r="A56" s="1519" t="s">
        <v>525</v>
      </c>
      <c r="B56" s="1302" t="s">
        <v>526</v>
      </c>
      <c r="C56" s="3618" t="s">
        <v>527</v>
      </c>
      <c r="D56" s="1520" t="s">
        <v>70</v>
      </c>
      <c r="E56" s="1520" t="s">
        <v>3888</v>
      </c>
      <c r="F56" s="1526"/>
      <c r="G56" s="1526"/>
      <c r="H56" s="1526"/>
      <c r="I56" s="1526"/>
      <c r="J56" s="1526"/>
      <c r="K56" s="4103">
        <f>SUM(K57:K59)</f>
        <v>1384</v>
      </c>
      <c r="L56" s="1526"/>
      <c r="M56" s="1526"/>
      <c r="N56" s="2236"/>
      <c r="O56" s="1934"/>
      <c r="P56" s="2236">
        <f>SUM(P57:P59)</f>
        <v>5596</v>
      </c>
      <c r="Q56" s="2238"/>
      <c r="R56" s="2238"/>
      <c r="S56" s="2239">
        <f>SUM(S57:S59)</f>
        <v>0</v>
      </c>
    </row>
    <row r="57" spans="1:19">
      <c r="A57" s="1527" t="s">
        <v>528</v>
      </c>
      <c r="B57" s="1527" t="s">
        <v>529</v>
      </c>
      <c r="C57" s="1527" t="s">
        <v>530</v>
      </c>
      <c r="D57" s="1281" t="s">
        <v>70</v>
      </c>
      <c r="E57" s="1523" t="s">
        <v>3888</v>
      </c>
      <c r="F57" s="2219"/>
      <c r="G57" s="2219"/>
      <c r="H57" s="4444"/>
      <c r="I57" s="4444"/>
      <c r="J57" s="4444"/>
      <c r="K57" s="3643">
        <v>1384</v>
      </c>
      <c r="L57" s="4444" t="s">
        <v>6778</v>
      </c>
      <c r="M57" s="4441">
        <v>559600000</v>
      </c>
      <c r="N57" s="4435">
        <f>M57/100000</f>
        <v>5596</v>
      </c>
      <c r="O57" s="4441">
        <v>1</v>
      </c>
      <c r="P57" s="4432">
        <f>N57*O57</f>
        <v>5596</v>
      </c>
      <c r="Q57" s="3637" t="s">
        <v>6770</v>
      </c>
      <c r="R57" s="1729"/>
      <c r="S57" s="4435"/>
    </row>
    <row r="58" spans="1:19">
      <c r="A58" s="1527" t="s">
        <v>531</v>
      </c>
      <c r="B58" s="1527" t="s">
        <v>532</v>
      </c>
      <c r="C58" s="1527" t="s">
        <v>533</v>
      </c>
      <c r="D58" s="1281" t="s">
        <v>70</v>
      </c>
      <c r="E58" s="1523" t="s">
        <v>70</v>
      </c>
      <c r="F58" s="2219"/>
      <c r="G58" s="2219"/>
      <c r="H58" s="4445"/>
      <c r="I58" s="4445"/>
      <c r="J58" s="4445"/>
      <c r="K58" s="3643"/>
      <c r="L58" s="4445"/>
      <c r="M58" s="4442"/>
      <c r="N58" s="4436"/>
      <c r="O58" s="4442"/>
      <c r="P58" s="4433"/>
      <c r="Q58" s="2220"/>
      <c r="R58" s="1729"/>
      <c r="S58" s="4436"/>
    </row>
    <row r="59" spans="1:19">
      <c r="A59" s="1527" t="s">
        <v>534</v>
      </c>
      <c r="B59" s="1527" t="s">
        <v>535</v>
      </c>
      <c r="C59" s="1527" t="s">
        <v>307</v>
      </c>
      <c r="D59" s="1281" t="s">
        <v>70</v>
      </c>
      <c r="E59" s="1523" t="s">
        <v>70</v>
      </c>
      <c r="F59" s="2219"/>
      <c r="G59" s="2219"/>
      <c r="H59" s="4446"/>
      <c r="I59" s="4446"/>
      <c r="J59" s="4446"/>
      <c r="K59" s="3643"/>
      <c r="L59" s="4446"/>
      <c r="M59" s="4443"/>
      <c r="N59" s="4437"/>
      <c r="O59" s="4443"/>
      <c r="P59" s="4434"/>
      <c r="Q59" s="2165"/>
      <c r="R59" s="1729"/>
      <c r="S59" s="4437"/>
    </row>
    <row r="60" spans="1:19" ht="33">
      <c r="A60" s="1519" t="s">
        <v>536</v>
      </c>
      <c r="B60" s="1302" t="s">
        <v>537</v>
      </c>
      <c r="C60" s="3618" t="s">
        <v>538</v>
      </c>
      <c r="D60" s="1520" t="s">
        <v>70</v>
      </c>
      <c r="E60" s="1520" t="s">
        <v>3888</v>
      </c>
      <c r="F60" s="1526"/>
      <c r="G60" s="1526"/>
      <c r="H60" s="1526"/>
      <c r="I60" s="1526"/>
      <c r="J60" s="1526"/>
      <c r="K60" s="4103">
        <f>K61+K67</f>
        <v>3264</v>
      </c>
      <c r="L60" s="1526"/>
      <c r="M60" s="1526"/>
      <c r="N60" s="2236"/>
      <c r="O60" s="1934"/>
      <c r="P60" s="2236">
        <f>P61+P67</f>
        <v>9502.7000000000007</v>
      </c>
      <c r="Q60" s="2238"/>
      <c r="R60" s="2238"/>
      <c r="S60" s="2239">
        <f>S61+S67</f>
        <v>0</v>
      </c>
    </row>
    <row r="61" spans="1:19">
      <c r="A61" s="2245" t="s">
        <v>539</v>
      </c>
      <c r="B61" s="2246" t="s">
        <v>540</v>
      </c>
      <c r="C61" s="2245" t="s">
        <v>541</v>
      </c>
      <c r="D61" s="2247" t="s">
        <v>70</v>
      </c>
      <c r="E61" s="2247" t="s">
        <v>96</v>
      </c>
      <c r="F61" s="2248"/>
      <c r="G61" s="2248"/>
      <c r="H61" s="2248"/>
      <c r="I61" s="2248"/>
      <c r="J61" s="2248"/>
      <c r="K61" s="4104">
        <f>SUM(K62:K66)</f>
        <v>3156</v>
      </c>
      <c r="L61" s="2248"/>
      <c r="M61" s="2248"/>
      <c r="N61" s="2249"/>
      <c r="O61" s="2248"/>
      <c r="P61" s="2249">
        <f>SUM(P62:P66)</f>
        <v>8983.0300000000007</v>
      </c>
      <c r="Q61" s="2250"/>
      <c r="R61" s="2250"/>
      <c r="S61" s="2251">
        <f>SUM(S62:S66)</f>
        <v>0</v>
      </c>
    </row>
    <row r="62" spans="1:19">
      <c r="A62" s="2252" t="s">
        <v>4305</v>
      </c>
      <c r="B62" s="1527" t="s">
        <v>543</v>
      </c>
      <c r="C62" s="1527" t="s">
        <v>544</v>
      </c>
      <c r="D62" s="1281" t="s">
        <v>70</v>
      </c>
      <c r="E62" s="1523" t="s">
        <v>96</v>
      </c>
      <c r="F62" s="2219"/>
      <c r="G62" s="2253"/>
      <c r="H62" s="4444"/>
      <c r="I62" s="4444"/>
      <c r="J62" s="4444"/>
      <c r="K62" s="3643">
        <v>1637</v>
      </c>
      <c r="L62" s="4444" t="s">
        <v>6778</v>
      </c>
      <c r="M62" s="4441">
        <v>898303000</v>
      </c>
      <c r="N62" s="4435">
        <f>M62/100000</f>
        <v>8983.0300000000007</v>
      </c>
      <c r="O62" s="4441">
        <v>1</v>
      </c>
      <c r="P62" s="4432">
        <f>N62*O62</f>
        <v>8983.0300000000007</v>
      </c>
      <c r="Q62" s="2165" t="s">
        <v>6770</v>
      </c>
      <c r="R62" s="1729"/>
      <c r="S62" s="4435"/>
    </row>
    <row r="63" spans="1:19">
      <c r="A63" s="2252" t="s">
        <v>4306</v>
      </c>
      <c r="B63" s="1527" t="s">
        <v>545</v>
      </c>
      <c r="C63" s="1527" t="s">
        <v>546</v>
      </c>
      <c r="D63" s="1281" t="s">
        <v>70</v>
      </c>
      <c r="E63" s="1523" t="s">
        <v>96</v>
      </c>
      <c r="F63" s="2219"/>
      <c r="G63" s="2219"/>
      <c r="H63" s="4445"/>
      <c r="I63" s="4445"/>
      <c r="J63" s="4445"/>
      <c r="K63" s="3643"/>
      <c r="L63" s="4445"/>
      <c r="M63" s="4442"/>
      <c r="N63" s="4436"/>
      <c r="O63" s="4442"/>
      <c r="P63" s="4433"/>
      <c r="Q63" s="2165"/>
      <c r="R63" s="1729"/>
      <c r="S63" s="4436"/>
    </row>
    <row r="64" spans="1:19">
      <c r="A64" s="2252" t="s">
        <v>4307</v>
      </c>
      <c r="B64" s="1527" t="s">
        <v>547</v>
      </c>
      <c r="C64" s="1527" t="s">
        <v>548</v>
      </c>
      <c r="D64" s="1281" t="s">
        <v>70</v>
      </c>
      <c r="E64" s="1523" t="s">
        <v>96</v>
      </c>
      <c r="F64" s="2219"/>
      <c r="G64" s="2219"/>
      <c r="H64" s="4445"/>
      <c r="I64" s="4445"/>
      <c r="J64" s="4445"/>
      <c r="K64" s="3643"/>
      <c r="L64" s="4445"/>
      <c r="M64" s="4442"/>
      <c r="N64" s="4436"/>
      <c r="O64" s="4442"/>
      <c r="P64" s="4433"/>
      <c r="Q64" s="2165"/>
      <c r="R64" s="1729"/>
      <c r="S64" s="4436"/>
    </row>
    <row r="65" spans="1:19">
      <c r="A65" s="2252" t="s">
        <v>4308</v>
      </c>
      <c r="B65" s="1527" t="s">
        <v>549</v>
      </c>
      <c r="C65" s="1527" t="s">
        <v>550</v>
      </c>
      <c r="D65" s="1281" t="s">
        <v>70</v>
      </c>
      <c r="E65" s="1523" t="s">
        <v>96</v>
      </c>
      <c r="F65" s="2219"/>
      <c r="G65" s="2219"/>
      <c r="H65" s="4445"/>
      <c r="I65" s="4445"/>
      <c r="J65" s="4445"/>
      <c r="K65" s="3643">
        <v>755</v>
      </c>
      <c r="L65" s="4445"/>
      <c r="M65" s="4442"/>
      <c r="N65" s="4436"/>
      <c r="O65" s="4442"/>
      <c r="P65" s="4433"/>
      <c r="Q65" s="2165" t="s">
        <v>6770</v>
      </c>
      <c r="R65" s="1729"/>
      <c r="S65" s="4436"/>
    </row>
    <row r="66" spans="1:19">
      <c r="A66" s="2252" t="s">
        <v>4309</v>
      </c>
      <c r="B66" s="1527" t="s">
        <v>551</v>
      </c>
      <c r="C66" s="1527" t="s">
        <v>552</v>
      </c>
      <c r="D66" s="1281" t="s">
        <v>70</v>
      </c>
      <c r="E66" s="1523" t="s">
        <v>96</v>
      </c>
      <c r="F66" s="2219"/>
      <c r="G66" s="2219"/>
      <c r="H66" s="4446"/>
      <c r="I66" s="4446"/>
      <c r="J66" s="4446"/>
      <c r="K66" s="3643">
        <v>764</v>
      </c>
      <c r="L66" s="4446"/>
      <c r="M66" s="4443"/>
      <c r="N66" s="4437"/>
      <c r="O66" s="4443"/>
      <c r="P66" s="4434"/>
      <c r="Q66" s="2165" t="s">
        <v>6770</v>
      </c>
      <c r="R66" s="1729"/>
      <c r="S66" s="4437"/>
    </row>
    <row r="67" spans="1:19">
      <c r="A67" s="2245" t="s">
        <v>542</v>
      </c>
      <c r="B67" s="2246" t="s">
        <v>553</v>
      </c>
      <c r="C67" s="2245" t="s">
        <v>554</v>
      </c>
      <c r="D67" s="2247" t="s">
        <v>70</v>
      </c>
      <c r="E67" s="2247" t="s">
        <v>96</v>
      </c>
      <c r="F67" s="2248"/>
      <c r="G67" s="2248"/>
      <c r="H67" s="2248"/>
      <c r="I67" s="2248"/>
      <c r="J67" s="2248"/>
      <c r="K67" s="4104">
        <f>SUM(K68:K79)</f>
        <v>108</v>
      </c>
      <c r="L67" s="2248"/>
      <c r="M67" s="2248"/>
      <c r="N67" s="2249"/>
      <c r="O67" s="2248"/>
      <c r="P67" s="2249">
        <f>SUM(P68:P79)</f>
        <v>519.66999999999996</v>
      </c>
      <c r="Q67" s="2250"/>
      <c r="R67" s="2250"/>
      <c r="S67" s="2251">
        <f>SUM(S68:S79)</f>
        <v>0</v>
      </c>
    </row>
    <row r="68" spans="1:19">
      <c r="A68" s="2252" t="s">
        <v>4310</v>
      </c>
      <c r="B68" s="1527" t="s">
        <v>555</v>
      </c>
      <c r="C68" s="1527" t="s">
        <v>556</v>
      </c>
      <c r="D68" s="1281" t="s">
        <v>70</v>
      </c>
      <c r="E68" s="1523" t="s">
        <v>96</v>
      </c>
      <c r="F68" s="2219"/>
      <c r="G68" s="2219"/>
      <c r="H68" s="4444"/>
      <c r="I68" s="4444"/>
      <c r="J68" s="4444"/>
      <c r="K68" s="3643">
        <v>9</v>
      </c>
      <c r="L68" s="4444" t="s">
        <v>6778</v>
      </c>
      <c r="M68" s="4441">
        <v>51967000</v>
      </c>
      <c r="N68" s="4435">
        <f>M68/100000</f>
        <v>519.66999999999996</v>
      </c>
      <c r="O68" s="4441">
        <v>1</v>
      </c>
      <c r="P68" s="4432">
        <f>N68*O68</f>
        <v>519.66999999999996</v>
      </c>
      <c r="Q68" s="3635" t="s">
        <v>6770</v>
      </c>
      <c r="R68" s="1729"/>
      <c r="S68" s="4435"/>
    </row>
    <row r="69" spans="1:19">
      <c r="A69" s="2252" t="s">
        <v>4311</v>
      </c>
      <c r="B69" s="1527" t="s">
        <v>557</v>
      </c>
      <c r="C69" s="1527" t="s">
        <v>558</v>
      </c>
      <c r="D69" s="1281" t="s">
        <v>70</v>
      </c>
      <c r="E69" s="1523" t="s">
        <v>96</v>
      </c>
      <c r="F69" s="2219"/>
      <c r="G69" s="2219"/>
      <c r="H69" s="4445"/>
      <c r="I69" s="4445"/>
      <c r="J69" s="4445"/>
      <c r="K69" s="3643">
        <v>9</v>
      </c>
      <c r="L69" s="4445"/>
      <c r="M69" s="4442"/>
      <c r="N69" s="4436"/>
      <c r="O69" s="4442"/>
      <c r="P69" s="4433"/>
      <c r="Q69" s="3635" t="s">
        <v>6770</v>
      </c>
      <c r="R69" s="1729"/>
      <c r="S69" s="4436"/>
    </row>
    <row r="70" spans="1:19">
      <c r="A70" s="2252" t="s">
        <v>4312</v>
      </c>
      <c r="B70" s="1527" t="s">
        <v>559</v>
      </c>
      <c r="C70" s="1527" t="s">
        <v>560</v>
      </c>
      <c r="D70" s="1281" t="s">
        <v>70</v>
      </c>
      <c r="E70" s="1523" t="s">
        <v>96</v>
      </c>
      <c r="F70" s="2219"/>
      <c r="G70" s="2219"/>
      <c r="H70" s="4445"/>
      <c r="I70" s="4445"/>
      <c r="J70" s="4445"/>
      <c r="K70" s="3643">
        <v>9</v>
      </c>
      <c r="L70" s="4445"/>
      <c r="M70" s="4442"/>
      <c r="N70" s="4436"/>
      <c r="O70" s="4442"/>
      <c r="P70" s="4433"/>
      <c r="Q70" s="2165" t="s">
        <v>6770</v>
      </c>
      <c r="R70" s="1729"/>
      <c r="S70" s="4436"/>
    </row>
    <row r="71" spans="1:19">
      <c r="A71" s="2252" t="s">
        <v>4313</v>
      </c>
      <c r="B71" s="1527" t="s">
        <v>561</v>
      </c>
      <c r="C71" s="1527" t="s">
        <v>548</v>
      </c>
      <c r="D71" s="1281" t="s">
        <v>70</v>
      </c>
      <c r="E71" s="1523" t="s">
        <v>96</v>
      </c>
      <c r="F71" s="2219"/>
      <c r="G71" s="2219"/>
      <c r="H71" s="4445"/>
      <c r="I71" s="4445"/>
      <c r="J71" s="4445"/>
      <c r="K71" s="3643">
        <v>9</v>
      </c>
      <c r="L71" s="4445"/>
      <c r="M71" s="4442"/>
      <c r="N71" s="4436"/>
      <c r="O71" s="4442"/>
      <c r="P71" s="4433"/>
      <c r="Q71" s="2165" t="s">
        <v>6770</v>
      </c>
      <c r="R71" s="1729"/>
      <c r="S71" s="4436"/>
    </row>
    <row r="72" spans="1:19">
      <c r="A72" s="2252" t="s">
        <v>4314</v>
      </c>
      <c r="B72" s="1527" t="s">
        <v>562</v>
      </c>
      <c r="C72" s="1527" t="s">
        <v>563</v>
      </c>
      <c r="D72" s="1281" t="s">
        <v>70</v>
      </c>
      <c r="E72" s="1523" t="s">
        <v>96</v>
      </c>
      <c r="F72" s="2219"/>
      <c r="G72" s="2219"/>
      <c r="H72" s="4445"/>
      <c r="I72" s="4445"/>
      <c r="J72" s="4445"/>
      <c r="K72" s="3643">
        <v>9</v>
      </c>
      <c r="L72" s="4445"/>
      <c r="M72" s="4442"/>
      <c r="N72" s="4436"/>
      <c r="O72" s="4442"/>
      <c r="P72" s="4433"/>
      <c r="Q72" s="3635" t="s">
        <v>6770</v>
      </c>
      <c r="R72" s="1729"/>
      <c r="S72" s="4436"/>
    </row>
    <row r="73" spans="1:19">
      <c r="A73" s="2252" t="s">
        <v>4315</v>
      </c>
      <c r="B73" s="1527" t="s">
        <v>564</v>
      </c>
      <c r="C73" s="1527" t="s">
        <v>565</v>
      </c>
      <c r="D73" s="1281" t="s">
        <v>70</v>
      </c>
      <c r="E73" s="1523" t="s">
        <v>96</v>
      </c>
      <c r="F73" s="2219"/>
      <c r="G73" s="2219"/>
      <c r="H73" s="4445"/>
      <c r="I73" s="4445"/>
      <c r="J73" s="4445"/>
      <c r="K73" s="3643">
        <v>9</v>
      </c>
      <c r="L73" s="4445"/>
      <c r="M73" s="4442"/>
      <c r="N73" s="4436"/>
      <c r="O73" s="4442"/>
      <c r="P73" s="4433"/>
      <c r="Q73" s="3635" t="s">
        <v>6770</v>
      </c>
      <c r="R73" s="1729"/>
      <c r="S73" s="4436"/>
    </row>
    <row r="74" spans="1:19">
      <c r="A74" s="2252" t="s">
        <v>4316</v>
      </c>
      <c r="B74" s="1527" t="s">
        <v>566</v>
      </c>
      <c r="C74" s="1527" t="s">
        <v>567</v>
      </c>
      <c r="D74" s="1281" t="s">
        <v>70</v>
      </c>
      <c r="E74" s="1523" t="s">
        <v>96</v>
      </c>
      <c r="F74" s="2219"/>
      <c r="G74" s="2219"/>
      <c r="H74" s="4445"/>
      <c r="I74" s="4445"/>
      <c r="J74" s="4445"/>
      <c r="K74" s="3643">
        <v>9</v>
      </c>
      <c r="L74" s="4445"/>
      <c r="M74" s="4442"/>
      <c r="N74" s="4436"/>
      <c r="O74" s="4442"/>
      <c r="P74" s="4433"/>
      <c r="Q74" s="3635" t="s">
        <v>6770</v>
      </c>
      <c r="R74" s="1729"/>
      <c r="S74" s="4436"/>
    </row>
    <row r="75" spans="1:19">
      <c r="A75" s="2252" t="s">
        <v>4317</v>
      </c>
      <c r="B75" s="1527" t="s">
        <v>568</v>
      </c>
      <c r="C75" s="1527" t="s">
        <v>569</v>
      </c>
      <c r="D75" s="1281" t="s">
        <v>70</v>
      </c>
      <c r="E75" s="1523" t="s">
        <v>96</v>
      </c>
      <c r="F75" s="2219"/>
      <c r="G75" s="2219"/>
      <c r="H75" s="4445"/>
      <c r="I75" s="4445"/>
      <c r="J75" s="4445"/>
      <c r="K75" s="3643">
        <v>9</v>
      </c>
      <c r="L75" s="4445"/>
      <c r="M75" s="4442"/>
      <c r="N75" s="4436"/>
      <c r="O75" s="4442"/>
      <c r="P75" s="4433"/>
      <c r="Q75" s="3635" t="s">
        <v>6770</v>
      </c>
      <c r="R75" s="1729"/>
      <c r="S75" s="4436"/>
    </row>
    <row r="76" spans="1:19">
      <c r="A76" s="2252" t="s">
        <v>4318</v>
      </c>
      <c r="B76" s="1527" t="s">
        <v>570</v>
      </c>
      <c r="C76" s="1527" t="s">
        <v>571</v>
      </c>
      <c r="D76" s="1281" t="s">
        <v>70</v>
      </c>
      <c r="E76" s="1523" t="s">
        <v>96</v>
      </c>
      <c r="F76" s="2219"/>
      <c r="G76" s="2219"/>
      <c r="H76" s="4445"/>
      <c r="I76" s="4445"/>
      <c r="J76" s="4445"/>
      <c r="K76" s="3643">
        <v>9</v>
      </c>
      <c r="L76" s="4445"/>
      <c r="M76" s="4442"/>
      <c r="N76" s="4436"/>
      <c r="O76" s="4442"/>
      <c r="P76" s="4433"/>
      <c r="Q76" s="2165" t="s">
        <v>6770</v>
      </c>
      <c r="R76" s="1729"/>
      <c r="S76" s="4436"/>
    </row>
    <row r="77" spans="1:19">
      <c r="A77" s="2252" t="s">
        <v>4319</v>
      </c>
      <c r="B77" s="1527" t="s">
        <v>572</v>
      </c>
      <c r="C77" s="1527" t="s">
        <v>573</v>
      </c>
      <c r="D77" s="1281" t="s">
        <v>70</v>
      </c>
      <c r="E77" s="1523" t="s">
        <v>96</v>
      </c>
      <c r="F77" s="2219"/>
      <c r="G77" s="2219"/>
      <c r="H77" s="4445"/>
      <c r="I77" s="4445"/>
      <c r="J77" s="4445"/>
      <c r="K77" s="3643">
        <v>9</v>
      </c>
      <c r="L77" s="4445"/>
      <c r="M77" s="4442"/>
      <c r="N77" s="4436"/>
      <c r="O77" s="4442"/>
      <c r="P77" s="4433"/>
      <c r="Q77" s="3635" t="s">
        <v>6770</v>
      </c>
      <c r="R77" s="1729"/>
      <c r="S77" s="4436"/>
    </row>
    <row r="78" spans="1:19">
      <c r="A78" s="2252" t="s">
        <v>4320</v>
      </c>
      <c r="B78" s="1527" t="s">
        <v>574</v>
      </c>
      <c r="C78" s="1527" t="s">
        <v>575</v>
      </c>
      <c r="D78" s="1281" t="s">
        <v>70</v>
      </c>
      <c r="E78" s="1523" t="s">
        <v>96</v>
      </c>
      <c r="F78" s="2219"/>
      <c r="G78" s="2219"/>
      <c r="H78" s="4445"/>
      <c r="I78" s="4445"/>
      <c r="J78" s="4445"/>
      <c r="K78" s="3643">
        <v>9</v>
      </c>
      <c r="L78" s="4445"/>
      <c r="M78" s="4442"/>
      <c r="N78" s="4436"/>
      <c r="O78" s="4442"/>
      <c r="P78" s="4433"/>
      <c r="Q78" s="3635" t="s">
        <v>6770</v>
      </c>
      <c r="R78" s="1729"/>
      <c r="S78" s="4436"/>
    </row>
    <row r="79" spans="1:19">
      <c r="A79" s="2252" t="s">
        <v>4321</v>
      </c>
      <c r="B79" s="1527" t="s">
        <v>576</v>
      </c>
      <c r="C79" s="1527" t="s">
        <v>577</v>
      </c>
      <c r="D79" s="1281" t="s">
        <v>70</v>
      </c>
      <c r="E79" s="1523" t="s">
        <v>96</v>
      </c>
      <c r="F79" s="2219"/>
      <c r="G79" s="2219"/>
      <c r="H79" s="4446"/>
      <c r="I79" s="4446"/>
      <c r="J79" s="4446"/>
      <c r="K79" s="3643">
        <v>9</v>
      </c>
      <c r="L79" s="4446"/>
      <c r="M79" s="4443"/>
      <c r="N79" s="4437"/>
      <c r="O79" s="4443"/>
      <c r="P79" s="4434"/>
      <c r="Q79" s="2165" t="s">
        <v>6770</v>
      </c>
      <c r="R79" s="1729"/>
      <c r="S79" s="4437"/>
    </row>
    <row r="80" spans="1:19">
      <c r="A80" s="1519" t="s">
        <v>578</v>
      </c>
      <c r="B80" s="1302" t="s">
        <v>579</v>
      </c>
      <c r="C80" s="3618" t="s">
        <v>580</v>
      </c>
      <c r="D80" s="1520" t="s">
        <v>70</v>
      </c>
      <c r="E80" s="1520" t="s">
        <v>3888</v>
      </c>
      <c r="F80" s="1526"/>
      <c r="G80" s="1526"/>
      <c r="H80" s="1526"/>
      <c r="I80" s="1526"/>
      <c r="J80" s="1526"/>
      <c r="K80" s="4103">
        <f>SUM(K81:K86)</f>
        <v>520</v>
      </c>
      <c r="L80" s="1526"/>
      <c r="M80" s="1526"/>
      <c r="N80" s="2236"/>
      <c r="O80" s="1934"/>
      <c r="P80" s="2236">
        <f>SUM(P81:P86)</f>
        <v>1173.96</v>
      </c>
      <c r="Q80" s="2238"/>
      <c r="R80" s="2238"/>
      <c r="S80" s="2239">
        <f>SUM(S81:S86)</f>
        <v>0</v>
      </c>
    </row>
    <row r="81" spans="1:19">
      <c r="A81" s="1527" t="s">
        <v>581</v>
      </c>
      <c r="B81" s="1527" t="s">
        <v>582</v>
      </c>
      <c r="C81" s="1527" t="s">
        <v>524</v>
      </c>
      <c r="D81" s="1281" t="s">
        <v>70</v>
      </c>
      <c r="E81" s="1523" t="s">
        <v>3888</v>
      </c>
      <c r="F81" s="1317"/>
      <c r="G81" s="1317"/>
      <c r="H81" s="4441"/>
      <c r="I81" s="4441"/>
      <c r="J81" s="4441"/>
      <c r="K81" s="3641">
        <v>93</v>
      </c>
      <c r="L81" s="4441" t="s">
        <v>6778</v>
      </c>
      <c r="M81" s="4441">
        <v>117396000</v>
      </c>
      <c r="N81" s="4435">
        <f>M81/100000</f>
        <v>1173.96</v>
      </c>
      <c r="O81" s="4441">
        <v>1</v>
      </c>
      <c r="P81" s="4432">
        <f>N81*O81</f>
        <v>1173.96</v>
      </c>
      <c r="Q81" s="1729" t="s">
        <v>6770</v>
      </c>
      <c r="R81" s="1729"/>
      <c r="S81" s="4435"/>
    </row>
    <row r="82" spans="1:19">
      <c r="A82" s="1527" t="s">
        <v>583</v>
      </c>
      <c r="B82" s="1527" t="s">
        <v>584</v>
      </c>
      <c r="C82" s="1527" t="s">
        <v>548</v>
      </c>
      <c r="D82" s="1281" t="s">
        <v>70</v>
      </c>
      <c r="E82" s="1523" t="s">
        <v>3888</v>
      </c>
      <c r="F82" s="1317"/>
      <c r="G82" s="1317"/>
      <c r="H82" s="4442"/>
      <c r="I82" s="4442"/>
      <c r="J82" s="4442"/>
      <c r="K82" s="3641"/>
      <c r="L82" s="4442"/>
      <c r="M82" s="4442"/>
      <c r="N82" s="4436"/>
      <c r="O82" s="4442"/>
      <c r="P82" s="4433"/>
      <c r="Q82" s="1729"/>
      <c r="R82" s="1729"/>
      <c r="S82" s="4436"/>
    </row>
    <row r="83" spans="1:19">
      <c r="A83" s="1527" t="s">
        <v>585</v>
      </c>
      <c r="B83" s="1527" t="s">
        <v>586</v>
      </c>
      <c r="C83" s="1527" t="s">
        <v>587</v>
      </c>
      <c r="D83" s="1281" t="s">
        <v>70</v>
      </c>
      <c r="E83" s="1523" t="s">
        <v>3888</v>
      </c>
      <c r="F83" s="1317"/>
      <c r="G83" s="1317"/>
      <c r="H83" s="4442"/>
      <c r="I83" s="4442"/>
      <c r="J83" s="4442"/>
      <c r="K83" s="3641">
        <v>93</v>
      </c>
      <c r="L83" s="4442"/>
      <c r="M83" s="4442"/>
      <c r="N83" s="4436"/>
      <c r="O83" s="4442"/>
      <c r="P83" s="4433"/>
      <c r="Q83" s="1729" t="s">
        <v>6770</v>
      </c>
      <c r="R83" s="1729"/>
      <c r="S83" s="4436"/>
    </row>
    <row r="84" spans="1:19">
      <c r="A84" s="2254" t="s">
        <v>588</v>
      </c>
      <c r="B84" s="2254" t="s">
        <v>589</v>
      </c>
      <c r="C84" s="2254" t="s">
        <v>590</v>
      </c>
      <c r="D84" s="2255" t="s">
        <v>70</v>
      </c>
      <c r="E84" s="2255" t="s">
        <v>3888</v>
      </c>
      <c r="F84" s="2256"/>
      <c r="G84" s="2256"/>
      <c r="H84" s="4442"/>
      <c r="I84" s="4442"/>
      <c r="J84" s="4442"/>
      <c r="K84" s="4105"/>
      <c r="L84" s="4442"/>
      <c r="M84" s="4442"/>
      <c r="N84" s="4436"/>
      <c r="O84" s="4442"/>
      <c r="P84" s="4433"/>
      <c r="Q84" s="3638" t="s">
        <v>4465</v>
      </c>
      <c r="R84" s="2257"/>
      <c r="S84" s="4436"/>
    </row>
    <row r="85" spans="1:19">
      <c r="A85" s="1527" t="s">
        <v>591</v>
      </c>
      <c r="B85" s="1527" t="s">
        <v>592</v>
      </c>
      <c r="C85" s="1527" t="s">
        <v>593</v>
      </c>
      <c r="D85" s="1281" t="s">
        <v>70</v>
      </c>
      <c r="E85" s="1523" t="s">
        <v>3888</v>
      </c>
      <c r="F85" s="1317"/>
      <c r="G85" s="1317"/>
      <c r="H85" s="4442"/>
      <c r="I85" s="4442"/>
      <c r="J85" s="4442"/>
      <c r="K85" s="3641">
        <v>94</v>
      </c>
      <c r="L85" s="4442"/>
      <c r="M85" s="4442"/>
      <c r="N85" s="4436"/>
      <c r="O85" s="4442"/>
      <c r="P85" s="4433"/>
      <c r="Q85" s="1729" t="s">
        <v>6770</v>
      </c>
      <c r="R85" s="1729"/>
      <c r="S85" s="4436"/>
    </row>
    <row r="86" spans="1:19">
      <c r="A86" s="1527" t="s">
        <v>594</v>
      </c>
      <c r="B86" s="1527" t="s">
        <v>595</v>
      </c>
      <c r="C86" s="1527" t="s">
        <v>307</v>
      </c>
      <c r="D86" s="1281" t="s">
        <v>70</v>
      </c>
      <c r="E86" s="1523" t="s">
        <v>3888</v>
      </c>
      <c r="F86" s="1317"/>
      <c r="G86" s="1317"/>
      <c r="H86" s="4443"/>
      <c r="I86" s="4443"/>
      <c r="J86" s="4443"/>
      <c r="K86" s="3641">
        <v>240</v>
      </c>
      <c r="L86" s="4443"/>
      <c r="M86" s="4443"/>
      <c r="N86" s="4437"/>
      <c r="O86" s="4443"/>
      <c r="P86" s="4434"/>
      <c r="Q86" s="1729" t="s">
        <v>6770</v>
      </c>
      <c r="R86" s="1729"/>
      <c r="S86" s="4437"/>
    </row>
    <row r="87" spans="1:19" ht="33">
      <c r="A87" s="1519" t="s">
        <v>596</v>
      </c>
      <c r="B87" s="1302" t="s">
        <v>597</v>
      </c>
      <c r="C87" s="3618" t="s">
        <v>3335</v>
      </c>
      <c r="D87" s="1520" t="s">
        <v>70</v>
      </c>
      <c r="E87" s="1520" t="s">
        <v>3888</v>
      </c>
      <c r="F87" s="1526"/>
      <c r="G87" s="1526"/>
      <c r="H87" s="1526"/>
      <c r="I87" s="1526"/>
      <c r="J87" s="1526"/>
      <c r="K87" s="4103">
        <f>SUM(K88:K93)</f>
        <v>538</v>
      </c>
      <c r="L87" s="1526"/>
      <c r="M87" s="1526"/>
      <c r="N87" s="2236"/>
      <c r="O87" s="1934"/>
      <c r="P87" s="2236">
        <f>SUM(P88:P93)</f>
        <v>1568.66</v>
      </c>
      <c r="Q87" s="2238"/>
      <c r="R87" s="2238"/>
      <c r="S87" s="2239">
        <f>SUM(S88:S93)</f>
        <v>0</v>
      </c>
    </row>
    <row r="88" spans="1:19">
      <c r="A88" s="1527" t="s">
        <v>598</v>
      </c>
      <c r="B88" s="1527" t="s">
        <v>599</v>
      </c>
      <c r="C88" s="1527" t="s">
        <v>556</v>
      </c>
      <c r="D88" s="1281" t="s">
        <v>70</v>
      </c>
      <c r="E88" s="1523" t="s">
        <v>3888</v>
      </c>
      <c r="F88" s="2219"/>
      <c r="G88" s="2219"/>
      <c r="H88" s="4444"/>
      <c r="I88" s="4444"/>
      <c r="J88" s="4444"/>
      <c r="K88" s="3643">
        <v>1</v>
      </c>
      <c r="L88" s="4444" t="s">
        <v>6778</v>
      </c>
      <c r="M88" s="4441">
        <v>156866000</v>
      </c>
      <c r="N88" s="4435">
        <f>M88/100000</f>
        <v>1568.66</v>
      </c>
      <c r="O88" s="4441">
        <v>1</v>
      </c>
      <c r="P88" s="4432">
        <f>N88*O88</f>
        <v>1568.66</v>
      </c>
      <c r="Q88" s="1939" t="s">
        <v>6770</v>
      </c>
      <c r="R88" s="1729"/>
      <c r="S88" s="4435"/>
    </row>
    <row r="89" spans="1:19">
      <c r="A89" s="1527" t="s">
        <v>600</v>
      </c>
      <c r="B89" s="1527" t="s">
        <v>601</v>
      </c>
      <c r="C89" s="1527" t="s">
        <v>524</v>
      </c>
      <c r="D89" s="1281" t="s">
        <v>70</v>
      </c>
      <c r="E89" s="1523" t="s">
        <v>3888</v>
      </c>
      <c r="F89" s="2219"/>
      <c r="G89" s="2219"/>
      <c r="H89" s="4445"/>
      <c r="I89" s="4445"/>
      <c r="J89" s="4445"/>
      <c r="K89" s="3643"/>
      <c r="L89" s="4445"/>
      <c r="M89" s="4442"/>
      <c r="N89" s="4436"/>
      <c r="O89" s="4442"/>
      <c r="P89" s="4433"/>
      <c r="Q89" s="2165"/>
      <c r="R89" s="1729"/>
      <c r="S89" s="4436"/>
    </row>
    <row r="90" spans="1:19">
      <c r="A90" s="1527" t="s">
        <v>602</v>
      </c>
      <c r="B90" s="1527" t="s">
        <v>603</v>
      </c>
      <c r="C90" s="1527" t="s">
        <v>548</v>
      </c>
      <c r="D90" s="1281" t="s">
        <v>70</v>
      </c>
      <c r="E90" s="1523" t="s">
        <v>3888</v>
      </c>
      <c r="F90" s="2219"/>
      <c r="G90" s="2219"/>
      <c r="H90" s="4445"/>
      <c r="I90" s="4445"/>
      <c r="J90" s="4445"/>
      <c r="K90" s="3643">
        <v>536</v>
      </c>
      <c r="L90" s="4445"/>
      <c r="M90" s="4442"/>
      <c r="N90" s="4436"/>
      <c r="O90" s="4442"/>
      <c r="P90" s="4433"/>
      <c r="Q90" s="2165" t="s">
        <v>6770</v>
      </c>
      <c r="R90" s="1729"/>
      <c r="S90" s="4436"/>
    </row>
    <row r="91" spans="1:19" ht="33">
      <c r="A91" s="1527" t="s">
        <v>604</v>
      </c>
      <c r="B91" s="1522"/>
      <c r="C91" s="1314" t="s">
        <v>3336</v>
      </c>
      <c r="D91" s="1281" t="s">
        <v>70</v>
      </c>
      <c r="E91" s="1322" t="s">
        <v>3334</v>
      </c>
      <c r="F91" s="2219"/>
      <c r="G91" s="2219"/>
      <c r="H91" s="4445"/>
      <c r="I91" s="4445"/>
      <c r="J91" s="4445"/>
      <c r="K91" s="3643">
        <v>1</v>
      </c>
      <c r="L91" s="4445"/>
      <c r="M91" s="4442"/>
      <c r="N91" s="4436"/>
      <c r="O91" s="4442"/>
      <c r="P91" s="4433"/>
      <c r="Q91" s="1939" t="s">
        <v>6770</v>
      </c>
      <c r="R91" s="1729"/>
      <c r="S91" s="4436"/>
    </row>
    <row r="92" spans="1:19" ht="33">
      <c r="A92" s="1527" t="s">
        <v>3804</v>
      </c>
      <c r="B92" s="1522"/>
      <c r="C92" s="1314" t="s">
        <v>3337</v>
      </c>
      <c r="D92" s="1281" t="s">
        <v>70</v>
      </c>
      <c r="E92" s="1322" t="s">
        <v>3334</v>
      </c>
      <c r="F92" s="2219"/>
      <c r="G92" s="2219"/>
      <c r="H92" s="4445"/>
      <c r="I92" s="4445"/>
      <c r="J92" s="4445"/>
      <c r="K92" s="3643"/>
      <c r="L92" s="4445"/>
      <c r="M92" s="4442"/>
      <c r="N92" s="4436"/>
      <c r="O92" s="4442"/>
      <c r="P92" s="4433"/>
      <c r="Q92" s="2165"/>
      <c r="R92" s="1729"/>
      <c r="S92" s="4436"/>
    </row>
    <row r="93" spans="1:19">
      <c r="A93" s="1527" t="s">
        <v>3805</v>
      </c>
      <c r="B93" s="1527" t="s">
        <v>605</v>
      </c>
      <c r="C93" s="1527" t="s">
        <v>606</v>
      </c>
      <c r="D93" s="1281" t="s">
        <v>70</v>
      </c>
      <c r="E93" s="1523" t="s">
        <v>3888</v>
      </c>
      <c r="F93" s="1317"/>
      <c r="G93" s="1317"/>
      <c r="H93" s="4446"/>
      <c r="I93" s="4446"/>
      <c r="J93" s="4446"/>
      <c r="K93" s="3643"/>
      <c r="L93" s="4446"/>
      <c r="M93" s="4443"/>
      <c r="N93" s="4437"/>
      <c r="O93" s="4443"/>
      <c r="P93" s="4434"/>
      <c r="Q93" s="1729"/>
      <c r="R93" s="1729"/>
      <c r="S93" s="4437"/>
    </row>
    <row r="94" spans="1:19" ht="33">
      <c r="A94" s="1519" t="s">
        <v>607</v>
      </c>
      <c r="B94" s="1302"/>
      <c r="C94" s="3618" t="s">
        <v>4779</v>
      </c>
      <c r="D94" s="1520" t="s">
        <v>70</v>
      </c>
      <c r="E94" s="1520" t="s">
        <v>3888</v>
      </c>
      <c r="F94" s="1526"/>
      <c r="G94" s="1526"/>
      <c r="H94" s="1526"/>
      <c r="I94" s="1526"/>
      <c r="J94" s="1526"/>
      <c r="K94" s="4103">
        <f>SUM(K95:K98)</f>
        <v>32</v>
      </c>
      <c r="L94" s="1526"/>
      <c r="M94" s="1526"/>
      <c r="N94" s="2236"/>
      <c r="O94" s="1934"/>
      <c r="P94" s="2236">
        <f>SUM(P95:P98)</f>
        <v>43.2</v>
      </c>
      <c r="Q94" s="2238"/>
      <c r="R94" s="2238"/>
      <c r="S94" s="2239">
        <f>SUM(S95:S98)</f>
        <v>0</v>
      </c>
    </row>
    <row r="95" spans="1:19">
      <c r="A95" s="1527" t="s">
        <v>610</v>
      </c>
      <c r="B95" s="1522"/>
      <c r="C95" s="1527" t="s">
        <v>465</v>
      </c>
      <c r="D95" s="1281" t="s">
        <v>70</v>
      </c>
      <c r="E95" s="1523" t="s">
        <v>3888</v>
      </c>
      <c r="F95" s="1317"/>
      <c r="G95" s="1317"/>
      <c r="H95" s="4441"/>
      <c r="I95" s="4441"/>
      <c r="J95" s="4441"/>
      <c r="K95" s="3641"/>
      <c r="L95" s="4441" t="s">
        <v>6778</v>
      </c>
      <c r="M95" s="4441">
        <v>4320000</v>
      </c>
      <c r="N95" s="4435">
        <f>M95/100000</f>
        <v>43.2</v>
      </c>
      <c r="O95" s="4441">
        <v>1</v>
      </c>
      <c r="P95" s="4432">
        <f>N95*O95</f>
        <v>43.2</v>
      </c>
      <c r="Q95" s="1729"/>
      <c r="R95" s="1729"/>
      <c r="S95" s="4435"/>
    </row>
    <row r="96" spans="1:19">
      <c r="A96" s="1527" t="s">
        <v>612</v>
      </c>
      <c r="B96" s="1522"/>
      <c r="C96" s="1527" t="s">
        <v>524</v>
      </c>
      <c r="D96" s="1281" t="s">
        <v>70</v>
      </c>
      <c r="E96" s="1523" t="s">
        <v>3888</v>
      </c>
      <c r="F96" s="1317"/>
      <c r="G96" s="1317"/>
      <c r="H96" s="4442"/>
      <c r="I96" s="4442"/>
      <c r="J96" s="4442"/>
      <c r="K96" s="3641"/>
      <c r="L96" s="4442"/>
      <c r="M96" s="4442"/>
      <c r="N96" s="4436"/>
      <c r="O96" s="4442"/>
      <c r="P96" s="4433"/>
      <c r="Q96" s="1729"/>
      <c r="R96" s="1729"/>
      <c r="S96" s="4436"/>
    </row>
    <row r="97" spans="1:19">
      <c r="A97" s="1527" t="s">
        <v>615</v>
      </c>
      <c r="B97" s="1522"/>
      <c r="C97" s="1527" t="s">
        <v>429</v>
      </c>
      <c r="D97" s="1281" t="s">
        <v>70</v>
      </c>
      <c r="E97" s="1523" t="s">
        <v>3888</v>
      </c>
      <c r="F97" s="1317"/>
      <c r="G97" s="1317"/>
      <c r="H97" s="4442"/>
      <c r="I97" s="4442"/>
      <c r="J97" s="4442"/>
      <c r="K97" s="3641">
        <v>32</v>
      </c>
      <c r="L97" s="4442"/>
      <c r="M97" s="4442"/>
      <c r="N97" s="4436"/>
      <c r="O97" s="4442"/>
      <c r="P97" s="4433"/>
      <c r="Q97" s="1729" t="s">
        <v>6770</v>
      </c>
      <c r="R97" s="1729"/>
      <c r="S97" s="4436"/>
    </row>
    <row r="98" spans="1:19">
      <c r="A98" s="1527" t="s">
        <v>617</v>
      </c>
      <c r="B98" s="1522"/>
      <c r="C98" s="1527" t="s">
        <v>307</v>
      </c>
      <c r="D98" s="1281" t="s">
        <v>70</v>
      </c>
      <c r="E98" s="1523" t="s">
        <v>3888</v>
      </c>
      <c r="F98" s="1317"/>
      <c r="G98" s="1317"/>
      <c r="H98" s="4443"/>
      <c r="I98" s="4443"/>
      <c r="J98" s="4443"/>
      <c r="K98" s="3641"/>
      <c r="L98" s="4443"/>
      <c r="M98" s="4443"/>
      <c r="N98" s="4437"/>
      <c r="O98" s="4443"/>
      <c r="P98" s="4434"/>
      <c r="Q98" s="1729"/>
      <c r="R98" s="1729"/>
      <c r="S98" s="4437"/>
    </row>
    <row r="99" spans="1:19">
      <c r="A99" s="3618" t="s">
        <v>620</v>
      </c>
      <c r="B99" s="1302" t="s">
        <v>608</v>
      </c>
      <c r="C99" s="3618" t="s">
        <v>609</v>
      </c>
      <c r="D99" s="1520" t="s">
        <v>70</v>
      </c>
      <c r="E99" s="1520" t="s">
        <v>3888</v>
      </c>
      <c r="F99" s="1526"/>
      <c r="G99" s="1526"/>
      <c r="H99" s="1526"/>
      <c r="I99" s="1526"/>
      <c r="J99" s="1526"/>
      <c r="K99" s="4103">
        <f>SUM(K100:K104)</f>
        <v>0</v>
      </c>
      <c r="L99" s="1526"/>
      <c r="M99" s="1526"/>
      <c r="N99" s="2236"/>
      <c r="O99" s="1934"/>
      <c r="P99" s="2236">
        <f>SUM(P100:P104)</f>
        <v>0</v>
      </c>
      <c r="Q99" s="2238"/>
      <c r="R99" s="2238"/>
      <c r="S99" s="2239">
        <f>SUM(S100:S104)</f>
        <v>0</v>
      </c>
    </row>
    <row r="100" spans="1:19">
      <c r="A100" s="1527" t="s">
        <v>623</v>
      </c>
      <c r="B100" s="1527" t="s">
        <v>611</v>
      </c>
      <c r="C100" s="1527" t="s">
        <v>524</v>
      </c>
      <c r="D100" s="1281" t="s">
        <v>70</v>
      </c>
      <c r="E100" s="1523" t="s">
        <v>3888</v>
      </c>
      <c r="F100" s="1317"/>
      <c r="G100" s="1317"/>
      <c r="H100" s="4441"/>
      <c r="I100" s="4441"/>
      <c r="J100" s="4441"/>
      <c r="K100" s="3641"/>
      <c r="L100" s="4441"/>
      <c r="M100" s="4441"/>
      <c r="N100" s="4435">
        <f>M100/100000</f>
        <v>0</v>
      </c>
      <c r="O100" s="4441"/>
      <c r="P100" s="4432">
        <f>N100*O100</f>
        <v>0</v>
      </c>
      <c r="Q100" s="1729"/>
      <c r="R100" s="1729"/>
      <c r="S100" s="4435"/>
    </row>
    <row r="101" spans="1:19">
      <c r="A101" s="1527" t="s">
        <v>626</v>
      </c>
      <c r="B101" s="1527" t="s">
        <v>613</v>
      </c>
      <c r="C101" s="1527" t="s">
        <v>614</v>
      </c>
      <c r="D101" s="1281" t="s">
        <v>70</v>
      </c>
      <c r="E101" s="1523" t="s">
        <v>3888</v>
      </c>
      <c r="F101" s="1317"/>
      <c r="G101" s="1317"/>
      <c r="H101" s="4442"/>
      <c r="I101" s="4442"/>
      <c r="J101" s="4442"/>
      <c r="K101" s="3641"/>
      <c r="L101" s="4442"/>
      <c r="M101" s="4442"/>
      <c r="N101" s="4436"/>
      <c r="O101" s="4442"/>
      <c r="P101" s="4433"/>
      <c r="Q101" s="1729"/>
      <c r="R101" s="1729"/>
      <c r="S101" s="4436"/>
    </row>
    <row r="102" spans="1:19">
      <c r="A102" s="1527" t="s">
        <v>2870</v>
      </c>
      <c r="B102" s="1527" t="s">
        <v>616</v>
      </c>
      <c r="C102" s="1527" t="s">
        <v>443</v>
      </c>
      <c r="D102" s="1281" t="s">
        <v>70</v>
      </c>
      <c r="E102" s="1523" t="s">
        <v>3888</v>
      </c>
      <c r="F102" s="1317"/>
      <c r="G102" s="1317"/>
      <c r="H102" s="4442"/>
      <c r="I102" s="4442"/>
      <c r="J102" s="4442"/>
      <c r="K102" s="3641"/>
      <c r="L102" s="4442"/>
      <c r="M102" s="4442"/>
      <c r="N102" s="4436"/>
      <c r="O102" s="4442"/>
      <c r="P102" s="4433"/>
      <c r="Q102" s="1729"/>
      <c r="R102" s="1729"/>
      <c r="S102" s="4436"/>
    </row>
    <row r="103" spans="1:19">
      <c r="A103" s="1527" t="s">
        <v>2871</v>
      </c>
      <c r="B103" s="1527" t="s">
        <v>618</v>
      </c>
      <c r="C103" s="1527" t="s">
        <v>575</v>
      </c>
      <c r="D103" s="1281" t="s">
        <v>70</v>
      </c>
      <c r="E103" s="1523" t="s">
        <v>3888</v>
      </c>
      <c r="F103" s="1317"/>
      <c r="G103" s="1317"/>
      <c r="H103" s="4442"/>
      <c r="I103" s="4442"/>
      <c r="J103" s="4442"/>
      <c r="K103" s="3641"/>
      <c r="L103" s="4442"/>
      <c r="M103" s="4442"/>
      <c r="N103" s="4436"/>
      <c r="O103" s="4442"/>
      <c r="P103" s="4433"/>
      <c r="Q103" s="1729"/>
      <c r="R103" s="1729"/>
      <c r="S103" s="4436"/>
    </row>
    <row r="104" spans="1:19">
      <c r="A104" s="1527" t="s">
        <v>2872</v>
      </c>
      <c r="B104" s="1527" t="s">
        <v>619</v>
      </c>
      <c r="C104" s="1527" t="s">
        <v>307</v>
      </c>
      <c r="D104" s="1281" t="s">
        <v>70</v>
      </c>
      <c r="E104" s="1523" t="s">
        <v>3888</v>
      </c>
      <c r="F104" s="1317"/>
      <c r="G104" s="1317"/>
      <c r="H104" s="4443"/>
      <c r="I104" s="4443"/>
      <c r="J104" s="4443"/>
      <c r="K104" s="3641"/>
      <c r="L104" s="4443"/>
      <c r="M104" s="4443"/>
      <c r="N104" s="4437"/>
      <c r="O104" s="4443"/>
      <c r="P104" s="4434"/>
      <c r="Q104" s="1729"/>
      <c r="R104" s="1729"/>
      <c r="S104" s="4437"/>
    </row>
    <row r="105" spans="1:19" ht="33">
      <c r="A105" s="1519" t="s">
        <v>658</v>
      </c>
      <c r="B105" s="1302" t="s">
        <v>608</v>
      </c>
      <c r="C105" s="3618" t="s">
        <v>2417</v>
      </c>
      <c r="D105" s="1520" t="s">
        <v>70</v>
      </c>
      <c r="E105" s="1520" t="s">
        <v>3888</v>
      </c>
      <c r="F105" s="1526"/>
      <c r="G105" s="1526"/>
      <c r="H105" s="1526"/>
      <c r="I105" s="1526"/>
      <c r="J105" s="1526"/>
      <c r="K105" s="4103">
        <f>SUM(K106:K107)</f>
        <v>0</v>
      </c>
      <c r="L105" s="1526"/>
      <c r="M105" s="1526"/>
      <c r="N105" s="2236"/>
      <c r="O105" s="1934"/>
      <c r="P105" s="2236">
        <f>SUM(P106:P107)</f>
        <v>15689.7</v>
      </c>
      <c r="Q105" s="2238"/>
      <c r="R105" s="2238"/>
      <c r="S105" s="2239">
        <f>SUM(S106:S107)</f>
        <v>0</v>
      </c>
    </row>
    <row r="106" spans="1:19" s="1546" customFormat="1" ht="83.25" customHeight="1">
      <c r="A106" s="1522" t="s">
        <v>661</v>
      </c>
      <c r="B106" s="1522"/>
      <c r="C106" s="1522" t="s">
        <v>2418</v>
      </c>
      <c r="D106" s="1340" t="s">
        <v>70</v>
      </c>
      <c r="E106" s="1741" t="s">
        <v>4357</v>
      </c>
      <c r="F106" s="2189"/>
      <c r="G106" s="2189"/>
      <c r="H106" s="2189"/>
      <c r="I106" s="2189"/>
      <c r="J106" s="2189"/>
      <c r="K106" s="3643"/>
      <c r="L106" s="2189" t="s">
        <v>6779</v>
      </c>
      <c r="M106" s="1714">
        <v>25000</v>
      </c>
      <c r="N106" s="3221">
        <f>M106/100000</f>
        <v>0.25</v>
      </c>
      <c r="O106" s="2408">
        <v>48276</v>
      </c>
      <c r="P106" s="2279">
        <f>N106*O106</f>
        <v>12069</v>
      </c>
      <c r="Q106" s="1917" t="s">
        <v>6935</v>
      </c>
      <c r="R106" s="1522">
        <f>'Abs6. CPHC'!Q18</f>
        <v>0</v>
      </c>
      <c r="S106" s="2542">
        <f>'Abs6. CPHC'!R18</f>
        <v>0</v>
      </c>
    </row>
    <row r="107" spans="1:19" s="3920" customFormat="1" ht="198">
      <c r="A107" s="3826" t="s">
        <v>664</v>
      </c>
      <c r="B107" s="3826"/>
      <c r="C107" s="3826" t="s">
        <v>2419</v>
      </c>
      <c r="D107" s="3813" t="s">
        <v>70</v>
      </c>
      <c r="E107" s="3915" t="s">
        <v>4357</v>
      </c>
      <c r="F107" s="3739"/>
      <c r="G107" s="3739"/>
      <c r="H107" s="3739"/>
      <c r="I107" s="3739"/>
      <c r="J107" s="3739"/>
      <c r="K107" s="3641"/>
      <c r="L107" s="3739" t="s">
        <v>6779</v>
      </c>
      <c r="M107" s="3739">
        <v>15000</v>
      </c>
      <c r="N107" s="3917">
        <f>M107/100000</f>
        <v>0.15</v>
      </c>
      <c r="O107" s="3940">
        <v>24138</v>
      </c>
      <c r="P107" s="3918">
        <f>N107*O107</f>
        <v>3620.7</v>
      </c>
      <c r="Q107" s="2398" t="s">
        <v>6856</v>
      </c>
      <c r="R107" s="3826">
        <f>'Abs6. CPHC'!Q19</f>
        <v>0</v>
      </c>
      <c r="S107" s="3919">
        <f>'Abs6. CPHC'!R19</f>
        <v>0</v>
      </c>
    </row>
    <row r="108" spans="1:19">
      <c r="A108" s="1519" t="s">
        <v>671</v>
      </c>
      <c r="B108" s="1302" t="s">
        <v>621</v>
      </c>
      <c r="C108" s="3618" t="s">
        <v>622</v>
      </c>
      <c r="D108" s="1520" t="s">
        <v>70</v>
      </c>
      <c r="E108" s="1520" t="s">
        <v>3888</v>
      </c>
      <c r="F108" s="1526"/>
      <c r="G108" s="1526"/>
      <c r="H108" s="1526"/>
      <c r="I108" s="1526"/>
      <c r="J108" s="1526"/>
      <c r="K108" s="4103">
        <f>SUM(K109:K130)</f>
        <v>1217</v>
      </c>
      <c r="L108" s="1526"/>
      <c r="M108" s="1526"/>
      <c r="N108" s="2234"/>
      <c r="O108" s="1934"/>
      <c r="P108" s="2236">
        <f>SUM(P109:P130)</f>
        <v>2950.31</v>
      </c>
      <c r="Q108" s="2238"/>
      <c r="R108" s="2238"/>
      <c r="S108" s="2239">
        <f>SUM(S109:S130)</f>
        <v>0</v>
      </c>
    </row>
    <row r="109" spans="1:19">
      <c r="A109" s="1527" t="s">
        <v>674</v>
      </c>
      <c r="B109" s="1527" t="s">
        <v>624</v>
      </c>
      <c r="C109" s="1527" t="s">
        <v>625</v>
      </c>
      <c r="D109" s="1281" t="s">
        <v>70</v>
      </c>
      <c r="E109" s="1523" t="s">
        <v>3888</v>
      </c>
      <c r="F109" s="2219"/>
      <c r="G109" s="2219"/>
      <c r="H109" s="4444"/>
      <c r="I109" s="4444"/>
      <c r="J109" s="4444"/>
      <c r="K109" s="4106">
        <v>677</v>
      </c>
      <c r="L109" s="4444" t="s">
        <v>6778</v>
      </c>
      <c r="M109" s="4451">
        <v>295031000</v>
      </c>
      <c r="N109" s="4435">
        <f>M109/100000</f>
        <v>2950.31</v>
      </c>
      <c r="O109" s="4441">
        <v>1</v>
      </c>
      <c r="P109" s="4435">
        <f>N109*O109</f>
        <v>2950.31</v>
      </c>
      <c r="Q109" s="2177"/>
      <c r="R109" s="1729"/>
      <c r="S109" s="4435"/>
    </row>
    <row r="110" spans="1:19">
      <c r="A110" s="1527" t="s">
        <v>677</v>
      </c>
      <c r="B110" s="1527" t="s">
        <v>627</v>
      </c>
      <c r="C110" s="1527" t="s">
        <v>567</v>
      </c>
      <c r="D110" s="1281" t="s">
        <v>70</v>
      </c>
      <c r="E110" s="1523" t="s">
        <v>3888</v>
      </c>
      <c r="F110" s="2219"/>
      <c r="G110" s="2219"/>
      <c r="H110" s="4445"/>
      <c r="I110" s="4445"/>
      <c r="J110" s="4445"/>
      <c r="K110" s="4106">
        <v>76</v>
      </c>
      <c r="L110" s="4445"/>
      <c r="M110" s="4452"/>
      <c r="N110" s="4436"/>
      <c r="O110" s="4442"/>
      <c r="P110" s="4436"/>
      <c r="Q110" s="3635" t="s">
        <v>6772</v>
      </c>
      <c r="R110" s="1729"/>
      <c r="S110" s="4436"/>
    </row>
    <row r="111" spans="1:19" ht="33">
      <c r="A111" s="1527" t="s">
        <v>680</v>
      </c>
      <c r="B111" s="1527" t="s">
        <v>655</v>
      </c>
      <c r="C111" s="1527" t="s">
        <v>656</v>
      </c>
      <c r="D111" s="1281" t="s">
        <v>70</v>
      </c>
      <c r="E111" s="1523" t="s">
        <v>3888</v>
      </c>
      <c r="F111" s="2219"/>
      <c r="G111" s="2219"/>
      <c r="H111" s="4445"/>
      <c r="I111" s="4445"/>
      <c r="J111" s="4445"/>
      <c r="K111" s="4106"/>
      <c r="L111" s="4445"/>
      <c r="M111" s="4452"/>
      <c r="N111" s="4436"/>
      <c r="O111" s="4442"/>
      <c r="P111" s="4436"/>
      <c r="Q111" s="2165"/>
      <c r="R111" s="1729"/>
      <c r="S111" s="4436"/>
    </row>
    <row r="112" spans="1:19">
      <c r="A112" s="1527" t="s">
        <v>683</v>
      </c>
      <c r="B112" s="1527" t="s">
        <v>496</v>
      </c>
      <c r="C112" s="1527" t="s">
        <v>497</v>
      </c>
      <c r="D112" s="1281" t="s">
        <v>70</v>
      </c>
      <c r="E112" s="1523" t="s">
        <v>3888</v>
      </c>
      <c r="F112" s="2219"/>
      <c r="G112" s="2219"/>
      <c r="H112" s="4445"/>
      <c r="I112" s="4445"/>
      <c r="J112" s="4445"/>
      <c r="K112" s="4106"/>
      <c r="L112" s="4445"/>
      <c r="M112" s="4452"/>
      <c r="N112" s="4436"/>
      <c r="O112" s="4442"/>
      <c r="P112" s="4436"/>
      <c r="Q112" s="2165"/>
      <c r="R112" s="1729"/>
      <c r="S112" s="4436"/>
    </row>
    <row r="113" spans="1:19">
      <c r="A113" s="1527" t="s">
        <v>685</v>
      </c>
      <c r="B113" s="1527" t="s">
        <v>649</v>
      </c>
      <c r="C113" s="1527" t="s">
        <v>650</v>
      </c>
      <c r="D113" s="1281" t="s">
        <v>70</v>
      </c>
      <c r="E113" s="1523" t="s">
        <v>3888</v>
      </c>
      <c r="F113" s="2219"/>
      <c r="G113" s="2219"/>
      <c r="H113" s="4445"/>
      <c r="I113" s="4445"/>
      <c r="J113" s="4445"/>
      <c r="K113" s="4106">
        <v>11</v>
      </c>
      <c r="L113" s="4445"/>
      <c r="M113" s="4452"/>
      <c r="N113" s="4436"/>
      <c r="O113" s="4442"/>
      <c r="P113" s="4436"/>
      <c r="Q113" s="3639"/>
      <c r="R113" s="1729"/>
      <c r="S113" s="4436"/>
    </row>
    <row r="114" spans="1:19">
      <c r="A114" s="1527" t="s">
        <v>2873</v>
      </c>
      <c r="B114" s="1527" t="s">
        <v>628</v>
      </c>
      <c r="C114" s="1527" t="s">
        <v>629</v>
      </c>
      <c r="D114" s="1281" t="s">
        <v>70</v>
      </c>
      <c r="E114" s="1523" t="s">
        <v>3888</v>
      </c>
      <c r="F114" s="2219"/>
      <c r="G114" s="2219"/>
      <c r="H114" s="4445"/>
      <c r="I114" s="4445"/>
      <c r="J114" s="4445"/>
      <c r="K114" s="4106"/>
      <c r="L114" s="4445"/>
      <c r="M114" s="4452"/>
      <c r="N114" s="4436"/>
      <c r="O114" s="4442"/>
      <c r="P114" s="4436"/>
      <c r="Q114" s="3635"/>
      <c r="R114" s="1729"/>
      <c r="S114" s="4436"/>
    </row>
    <row r="115" spans="1:19">
      <c r="A115" s="1527" t="s">
        <v>2874</v>
      </c>
      <c r="B115" s="1527" t="s">
        <v>632</v>
      </c>
      <c r="C115" s="1527" t="s">
        <v>633</v>
      </c>
      <c r="D115" s="1281" t="s">
        <v>70</v>
      </c>
      <c r="E115" s="1523" t="s">
        <v>3888</v>
      </c>
      <c r="F115" s="2219"/>
      <c r="G115" s="2219"/>
      <c r="H115" s="4445"/>
      <c r="I115" s="4445"/>
      <c r="J115" s="4445"/>
      <c r="K115" s="4106"/>
      <c r="L115" s="4445"/>
      <c r="M115" s="4452"/>
      <c r="N115" s="4436"/>
      <c r="O115" s="4442"/>
      <c r="P115" s="4436"/>
      <c r="Q115" s="2165"/>
      <c r="R115" s="1729"/>
      <c r="S115" s="4436"/>
    </row>
    <row r="116" spans="1:19">
      <c r="A116" s="1527" t="s">
        <v>2875</v>
      </c>
      <c r="B116" s="1527" t="s">
        <v>630</v>
      </c>
      <c r="C116" s="1527" t="s">
        <v>631</v>
      </c>
      <c r="D116" s="1281" t="s">
        <v>70</v>
      </c>
      <c r="E116" s="1523" t="s">
        <v>3888</v>
      </c>
      <c r="F116" s="2219"/>
      <c r="G116" s="2219"/>
      <c r="H116" s="4445"/>
      <c r="I116" s="4445"/>
      <c r="J116" s="4445"/>
      <c r="K116" s="4106">
        <v>76</v>
      </c>
      <c r="L116" s="4445"/>
      <c r="M116" s="4452"/>
      <c r="N116" s="4436"/>
      <c r="O116" s="4442"/>
      <c r="P116" s="4436"/>
      <c r="Q116" s="3640" t="s">
        <v>6772</v>
      </c>
      <c r="R116" s="1729"/>
      <c r="S116" s="4436"/>
    </row>
    <row r="117" spans="1:19">
      <c r="A117" s="1527" t="s">
        <v>2876</v>
      </c>
      <c r="B117" s="1527" t="s">
        <v>651</v>
      </c>
      <c r="C117" s="1527" t="s">
        <v>652</v>
      </c>
      <c r="D117" s="1281" t="s">
        <v>70</v>
      </c>
      <c r="E117" s="1523" t="s">
        <v>3888</v>
      </c>
      <c r="F117" s="2219"/>
      <c r="G117" s="2219"/>
      <c r="H117" s="4445"/>
      <c r="I117" s="4445"/>
      <c r="J117" s="4445"/>
      <c r="K117" s="4106"/>
      <c r="L117" s="4445"/>
      <c r="M117" s="4452"/>
      <c r="N117" s="4436"/>
      <c r="O117" s="4442"/>
      <c r="P117" s="4436"/>
      <c r="Q117" s="2165"/>
      <c r="R117" s="1729"/>
      <c r="S117" s="4436"/>
    </row>
    <row r="118" spans="1:19">
      <c r="A118" s="1527" t="s">
        <v>2877</v>
      </c>
      <c r="B118" s="1527" t="s">
        <v>2141</v>
      </c>
      <c r="C118" s="1527" t="s">
        <v>2359</v>
      </c>
      <c r="D118" s="1281" t="s">
        <v>70</v>
      </c>
      <c r="E118" s="1523" t="s">
        <v>4674</v>
      </c>
      <c r="F118" s="2219"/>
      <c r="G118" s="2219"/>
      <c r="H118" s="4445"/>
      <c r="I118" s="4445"/>
      <c r="J118" s="4445"/>
      <c r="K118" s="4106"/>
      <c r="L118" s="4445"/>
      <c r="M118" s="4452"/>
      <c r="N118" s="4436"/>
      <c r="O118" s="4442"/>
      <c r="P118" s="4436"/>
      <c r="Q118" s="3636"/>
      <c r="R118" s="1729"/>
      <c r="S118" s="4436"/>
    </row>
    <row r="119" spans="1:19" ht="33">
      <c r="A119" s="1527" t="s">
        <v>2878</v>
      </c>
      <c r="B119" s="1527" t="s">
        <v>636</v>
      </c>
      <c r="C119" s="1527" t="s">
        <v>637</v>
      </c>
      <c r="D119" s="1281" t="s">
        <v>70</v>
      </c>
      <c r="E119" s="1523" t="s">
        <v>3888</v>
      </c>
      <c r="F119" s="2219"/>
      <c r="G119" s="2219"/>
      <c r="H119" s="4445"/>
      <c r="I119" s="4445"/>
      <c r="J119" s="4445"/>
      <c r="K119" s="4106">
        <v>11</v>
      </c>
      <c r="L119" s="4445"/>
      <c r="M119" s="4452"/>
      <c r="N119" s="4436"/>
      <c r="O119" s="4442"/>
      <c r="P119" s="4436"/>
      <c r="Q119" s="2177" t="s">
        <v>6773</v>
      </c>
      <c r="R119" s="1729"/>
      <c r="S119" s="4436"/>
    </row>
    <row r="120" spans="1:19">
      <c r="A120" s="1527" t="s">
        <v>2879</v>
      </c>
      <c r="B120" s="1527" t="s">
        <v>638</v>
      </c>
      <c r="C120" s="1527" t="s">
        <v>639</v>
      </c>
      <c r="D120" s="1281" t="s">
        <v>70</v>
      </c>
      <c r="E120" s="1523" t="s">
        <v>3888</v>
      </c>
      <c r="F120" s="2219"/>
      <c r="G120" s="2219"/>
      <c r="H120" s="4445"/>
      <c r="I120" s="4445"/>
      <c r="J120" s="4445"/>
      <c r="K120" s="4106">
        <v>36</v>
      </c>
      <c r="L120" s="4445"/>
      <c r="M120" s="4452"/>
      <c r="N120" s="4436"/>
      <c r="O120" s="4442"/>
      <c r="P120" s="4436"/>
      <c r="Q120" s="2165"/>
      <c r="R120" s="1729"/>
      <c r="S120" s="4436"/>
    </row>
    <row r="121" spans="1:19">
      <c r="A121" s="1527" t="s">
        <v>2880</v>
      </c>
      <c r="B121" s="1527" t="s">
        <v>641</v>
      </c>
      <c r="C121" s="1527" t="s">
        <v>642</v>
      </c>
      <c r="D121" s="1281" t="s">
        <v>70</v>
      </c>
      <c r="E121" s="1523" t="s">
        <v>3888</v>
      </c>
      <c r="F121" s="2219"/>
      <c r="G121" s="2219"/>
      <c r="H121" s="4445"/>
      <c r="I121" s="4445"/>
      <c r="J121" s="4445"/>
      <c r="K121" s="4106"/>
      <c r="L121" s="4445"/>
      <c r="M121" s="4452"/>
      <c r="N121" s="4436"/>
      <c r="O121" s="4442"/>
      <c r="P121" s="4436"/>
      <c r="Q121" s="2165"/>
      <c r="R121" s="1729"/>
      <c r="S121" s="4436"/>
    </row>
    <row r="122" spans="1:19">
      <c r="A122" s="1527" t="s">
        <v>2881</v>
      </c>
      <c r="B122" s="1527" t="s">
        <v>643</v>
      </c>
      <c r="C122" s="1527" t="s">
        <v>644</v>
      </c>
      <c r="D122" s="1281" t="s">
        <v>70</v>
      </c>
      <c r="E122" s="1523" t="s">
        <v>3888</v>
      </c>
      <c r="F122" s="2219"/>
      <c r="G122" s="2219"/>
      <c r="H122" s="4445"/>
      <c r="I122" s="4445"/>
      <c r="J122" s="4445"/>
      <c r="K122" s="4106"/>
      <c r="L122" s="4445"/>
      <c r="M122" s="4452"/>
      <c r="N122" s="4436"/>
      <c r="O122" s="4442"/>
      <c r="P122" s="4436"/>
      <c r="Q122" s="2165"/>
      <c r="R122" s="1729"/>
      <c r="S122" s="4436"/>
    </row>
    <row r="123" spans="1:19">
      <c r="A123" s="1527" t="s">
        <v>2882</v>
      </c>
      <c r="B123" s="1527" t="s">
        <v>645</v>
      </c>
      <c r="C123" s="1527" t="s">
        <v>646</v>
      </c>
      <c r="D123" s="1281" t="s">
        <v>70</v>
      </c>
      <c r="E123" s="1523" t="s">
        <v>3888</v>
      </c>
      <c r="F123" s="2219"/>
      <c r="G123" s="2219"/>
      <c r="H123" s="4445"/>
      <c r="I123" s="4445"/>
      <c r="J123" s="4445"/>
      <c r="K123" s="4106"/>
      <c r="L123" s="4445"/>
      <c r="M123" s="4452"/>
      <c r="N123" s="4436"/>
      <c r="O123" s="4442"/>
      <c r="P123" s="4436"/>
      <c r="Q123" s="2165"/>
      <c r="R123" s="1729"/>
      <c r="S123" s="4436"/>
    </row>
    <row r="124" spans="1:19">
      <c r="A124" s="1527" t="s">
        <v>2883</v>
      </c>
      <c r="B124" s="1527" t="s">
        <v>647</v>
      </c>
      <c r="C124" s="1527" t="s">
        <v>648</v>
      </c>
      <c r="D124" s="1281" t="s">
        <v>70</v>
      </c>
      <c r="E124" s="1523" t="s">
        <v>3888</v>
      </c>
      <c r="F124" s="2219"/>
      <c r="G124" s="2219"/>
      <c r="H124" s="4445"/>
      <c r="I124" s="4445"/>
      <c r="J124" s="4445"/>
      <c r="K124" s="4106">
        <v>220</v>
      </c>
      <c r="L124" s="4445"/>
      <c r="M124" s="4452"/>
      <c r="N124" s="4436"/>
      <c r="O124" s="4442"/>
      <c r="P124" s="4436"/>
      <c r="Q124" s="1939"/>
      <c r="R124" s="1729"/>
      <c r="S124" s="4436"/>
    </row>
    <row r="125" spans="1:19">
      <c r="A125" s="1527" t="s">
        <v>2884</v>
      </c>
      <c r="B125" s="1527" t="s">
        <v>653</v>
      </c>
      <c r="C125" s="1527" t="s">
        <v>654</v>
      </c>
      <c r="D125" s="1281" t="s">
        <v>70</v>
      </c>
      <c r="E125" s="1523" t="s">
        <v>3888</v>
      </c>
      <c r="F125" s="2219"/>
      <c r="G125" s="2219"/>
      <c r="H125" s="4445"/>
      <c r="I125" s="4445"/>
      <c r="J125" s="4445"/>
      <c r="K125" s="4106">
        <v>5</v>
      </c>
      <c r="L125" s="4445"/>
      <c r="M125" s="4452"/>
      <c r="N125" s="4436"/>
      <c r="O125" s="4442"/>
      <c r="P125" s="4436"/>
      <c r="Q125" s="2165"/>
      <c r="R125" s="1729"/>
      <c r="S125" s="4436"/>
    </row>
    <row r="126" spans="1:19">
      <c r="A126" s="1527" t="s">
        <v>2885</v>
      </c>
      <c r="B126" s="1527" t="s">
        <v>657</v>
      </c>
      <c r="C126" s="1527" t="s">
        <v>4100</v>
      </c>
      <c r="D126" s="1281" t="s">
        <v>70</v>
      </c>
      <c r="E126" s="1523" t="s">
        <v>3888</v>
      </c>
      <c r="F126" s="2219"/>
      <c r="G126" s="2219"/>
      <c r="H126" s="4445"/>
      <c r="I126" s="4445"/>
      <c r="J126" s="4445"/>
      <c r="K126" s="4106">
        <v>11</v>
      </c>
      <c r="L126" s="4445"/>
      <c r="M126" s="4452"/>
      <c r="N126" s="4436"/>
      <c r="O126" s="4442"/>
      <c r="P126" s="4436"/>
      <c r="Q126" s="3636"/>
      <c r="R126" s="1729"/>
      <c r="S126" s="4436"/>
    </row>
    <row r="127" spans="1:19">
      <c r="A127" s="1527" t="s">
        <v>2886</v>
      </c>
      <c r="B127" s="1527" t="s">
        <v>657</v>
      </c>
      <c r="C127" s="1527" t="s">
        <v>4101</v>
      </c>
      <c r="D127" s="1281" t="s">
        <v>70</v>
      </c>
      <c r="E127" s="1523" t="s">
        <v>3888</v>
      </c>
      <c r="F127" s="2219"/>
      <c r="G127" s="2219"/>
      <c r="H127" s="4445"/>
      <c r="I127" s="4445"/>
      <c r="J127" s="4445"/>
      <c r="K127" s="4106">
        <v>11</v>
      </c>
      <c r="L127" s="4445"/>
      <c r="M127" s="4452"/>
      <c r="N127" s="4436"/>
      <c r="O127" s="4442"/>
      <c r="P127" s="4436"/>
      <c r="Q127" s="2165"/>
      <c r="R127" s="1729"/>
      <c r="S127" s="4436"/>
    </row>
    <row r="128" spans="1:19">
      <c r="A128" s="1527" t="s">
        <v>2887</v>
      </c>
      <c r="B128" s="1527" t="s">
        <v>657</v>
      </c>
      <c r="C128" s="1527" t="s">
        <v>2436</v>
      </c>
      <c r="D128" s="1281" t="s">
        <v>70</v>
      </c>
      <c r="E128" s="1523" t="s">
        <v>3888</v>
      </c>
      <c r="F128" s="2219"/>
      <c r="G128" s="2219"/>
      <c r="H128" s="4445"/>
      <c r="I128" s="4445"/>
      <c r="J128" s="4445"/>
      <c r="K128" s="4106">
        <v>33</v>
      </c>
      <c r="L128" s="4445"/>
      <c r="M128" s="4452"/>
      <c r="N128" s="4436"/>
      <c r="O128" s="4442"/>
      <c r="P128" s="4436"/>
      <c r="Q128" s="3636"/>
      <c r="R128" s="1729"/>
      <c r="S128" s="4436"/>
    </row>
    <row r="129" spans="1:19">
      <c r="A129" s="1527" t="s">
        <v>2888</v>
      </c>
      <c r="B129" s="1527" t="s">
        <v>634</v>
      </c>
      <c r="C129" s="1527" t="s">
        <v>635</v>
      </c>
      <c r="D129" s="1281" t="s">
        <v>70</v>
      </c>
      <c r="E129" s="1523" t="s">
        <v>3888</v>
      </c>
      <c r="F129" s="2219"/>
      <c r="G129" s="2219"/>
      <c r="H129" s="4445"/>
      <c r="I129" s="4445"/>
      <c r="J129" s="4445"/>
      <c r="K129" s="4106">
        <v>1</v>
      </c>
      <c r="L129" s="4445"/>
      <c r="M129" s="4452"/>
      <c r="N129" s="4436"/>
      <c r="O129" s="4442"/>
      <c r="P129" s="4436"/>
      <c r="Q129" s="2165"/>
      <c r="R129" s="1729"/>
      <c r="S129" s="4436"/>
    </row>
    <row r="130" spans="1:19">
      <c r="A130" s="1527" t="s">
        <v>2889</v>
      </c>
      <c r="B130" s="1527" t="s">
        <v>657</v>
      </c>
      <c r="C130" s="1527" t="s">
        <v>606</v>
      </c>
      <c r="D130" s="1281" t="s">
        <v>70</v>
      </c>
      <c r="E130" s="1523" t="s">
        <v>3888</v>
      </c>
      <c r="F130" s="2219"/>
      <c r="G130" s="2219"/>
      <c r="H130" s="4446"/>
      <c r="I130" s="4446"/>
      <c r="J130" s="4446"/>
      <c r="K130" s="4106">
        <v>49</v>
      </c>
      <c r="L130" s="4446"/>
      <c r="M130" s="4453"/>
      <c r="N130" s="4437"/>
      <c r="O130" s="4443"/>
      <c r="P130" s="4437"/>
      <c r="Q130" s="2220"/>
      <c r="R130" s="1729"/>
      <c r="S130" s="4437"/>
    </row>
    <row r="131" spans="1:19">
      <c r="A131" s="1519" t="s">
        <v>708</v>
      </c>
      <c r="B131" s="1302" t="s">
        <v>659</v>
      </c>
      <c r="C131" s="3618" t="s">
        <v>660</v>
      </c>
      <c r="D131" s="1520" t="s">
        <v>70</v>
      </c>
      <c r="E131" s="1520" t="s">
        <v>3888</v>
      </c>
      <c r="F131" s="1526"/>
      <c r="G131" s="1526"/>
      <c r="H131" s="1526"/>
      <c r="I131" s="1526"/>
      <c r="J131" s="1526"/>
      <c r="K131" s="4103">
        <f>SUM(K132:K136)</f>
        <v>58</v>
      </c>
      <c r="L131" s="1526"/>
      <c r="M131" s="1526"/>
      <c r="N131" s="2234"/>
      <c r="O131" s="1934"/>
      <c r="P131" s="2236">
        <f>SUM(P132:P136)</f>
        <v>71.849999999999994</v>
      </c>
      <c r="Q131" s="2238"/>
      <c r="R131" s="2238"/>
      <c r="S131" s="2239">
        <f>SUM(S132:S136)</f>
        <v>0</v>
      </c>
    </row>
    <row r="132" spans="1:19">
      <c r="A132" s="1527" t="s">
        <v>711</v>
      </c>
      <c r="B132" s="1527" t="s">
        <v>662</v>
      </c>
      <c r="C132" s="1527" t="s">
        <v>663</v>
      </c>
      <c r="D132" s="1281" t="s">
        <v>70</v>
      </c>
      <c r="E132" s="1523" t="s">
        <v>3888</v>
      </c>
      <c r="F132" s="1317"/>
      <c r="G132" s="1317"/>
      <c r="H132" s="4441"/>
      <c r="I132" s="4441"/>
      <c r="J132" s="4441"/>
      <c r="K132" s="3641">
        <v>6</v>
      </c>
      <c r="L132" s="4441" t="s">
        <v>6778</v>
      </c>
      <c r="M132" s="4441">
        <v>7185000</v>
      </c>
      <c r="N132" s="4435">
        <f>M132/100000</f>
        <v>71.849999999999994</v>
      </c>
      <c r="O132" s="4441">
        <v>1</v>
      </c>
      <c r="P132" s="4432">
        <f>N132*O132</f>
        <v>71.849999999999994</v>
      </c>
      <c r="Q132" s="3642" t="s">
        <v>6774</v>
      </c>
      <c r="R132" s="1729"/>
      <c r="S132" s="4435"/>
    </row>
    <row r="133" spans="1:19">
      <c r="A133" s="1527" t="s">
        <v>712</v>
      </c>
      <c r="B133" s="1527" t="s">
        <v>665</v>
      </c>
      <c r="C133" s="1527" t="s">
        <v>548</v>
      </c>
      <c r="D133" s="1281" t="s">
        <v>70</v>
      </c>
      <c r="E133" s="1523" t="s">
        <v>3888</v>
      </c>
      <c r="F133" s="1317"/>
      <c r="G133" s="1317"/>
      <c r="H133" s="4442"/>
      <c r="I133" s="4442"/>
      <c r="J133" s="4442"/>
      <c r="K133" s="3641">
        <v>12</v>
      </c>
      <c r="L133" s="4442"/>
      <c r="M133" s="4442"/>
      <c r="N133" s="4436"/>
      <c r="O133" s="4442"/>
      <c r="P133" s="4433"/>
      <c r="Q133" s="3642" t="s">
        <v>6775</v>
      </c>
      <c r="R133" s="1729"/>
      <c r="S133" s="4436"/>
    </row>
    <row r="134" spans="1:19">
      <c r="A134" s="1527" t="s">
        <v>713</v>
      </c>
      <c r="B134" s="1527" t="s">
        <v>666</v>
      </c>
      <c r="C134" s="1527" t="s">
        <v>667</v>
      </c>
      <c r="D134" s="1281" t="s">
        <v>70</v>
      </c>
      <c r="E134" s="1523" t="s">
        <v>3888</v>
      </c>
      <c r="F134" s="1317"/>
      <c r="G134" s="1317"/>
      <c r="H134" s="4442"/>
      <c r="I134" s="4442"/>
      <c r="J134" s="4442"/>
      <c r="K134" s="3641">
        <v>2</v>
      </c>
      <c r="L134" s="4442"/>
      <c r="M134" s="4442"/>
      <c r="N134" s="4436"/>
      <c r="O134" s="4442"/>
      <c r="P134" s="4433"/>
      <c r="Q134" s="3642" t="s">
        <v>6775</v>
      </c>
      <c r="R134" s="1729"/>
      <c r="S134" s="4436"/>
    </row>
    <row r="135" spans="1:19">
      <c r="A135" s="1527" t="s">
        <v>2440</v>
      </c>
      <c r="B135" s="1527" t="s">
        <v>668</v>
      </c>
      <c r="C135" s="1527" t="s">
        <v>669</v>
      </c>
      <c r="D135" s="1281" t="s">
        <v>70</v>
      </c>
      <c r="E135" s="1523" t="s">
        <v>3888</v>
      </c>
      <c r="F135" s="1317"/>
      <c r="G135" s="1317"/>
      <c r="H135" s="4442"/>
      <c r="I135" s="4442"/>
      <c r="J135" s="4442"/>
      <c r="K135" s="3641">
        <v>14</v>
      </c>
      <c r="L135" s="4442"/>
      <c r="M135" s="4442"/>
      <c r="N135" s="4436"/>
      <c r="O135" s="4442"/>
      <c r="P135" s="4433"/>
      <c r="Q135" s="3642" t="s">
        <v>6770</v>
      </c>
      <c r="R135" s="1729"/>
      <c r="S135" s="4436"/>
    </row>
    <row r="136" spans="1:19">
      <c r="A136" s="1527" t="s">
        <v>2441</v>
      </c>
      <c r="B136" s="1527" t="s">
        <v>670</v>
      </c>
      <c r="C136" s="1527" t="s">
        <v>307</v>
      </c>
      <c r="D136" s="1281" t="s">
        <v>70</v>
      </c>
      <c r="E136" s="1523" t="s">
        <v>3888</v>
      </c>
      <c r="F136" s="1317"/>
      <c r="G136" s="1317"/>
      <c r="H136" s="4443"/>
      <c r="I136" s="4443"/>
      <c r="J136" s="4443"/>
      <c r="K136" s="3641">
        <v>24</v>
      </c>
      <c r="L136" s="4443"/>
      <c r="M136" s="4443"/>
      <c r="N136" s="4437"/>
      <c r="O136" s="4443"/>
      <c r="P136" s="4434"/>
      <c r="Q136" s="3642" t="s">
        <v>6770</v>
      </c>
      <c r="R136" s="1729"/>
      <c r="S136" s="4437"/>
    </row>
    <row r="137" spans="1:19">
      <c r="A137" s="1519" t="s">
        <v>2444</v>
      </c>
      <c r="B137" s="1302" t="s">
        <v>672</v>
      </c>
      <c r="C137" s="3618" t="s">
        <v>673</v>
      </c>
      <c r="D137" s="1520" t="s">
        <v>70</v>
      </c>
      <c r="E137" s="1520" t="s">
        <v>3888</v>
      </c>
      <c r="F137" s="1526"/>
      <c r="G137" s="1526"/>
      <c r="H137" s="1526"/>
      <c r="I137" s="1526"/>
      <c r="J137" s="1526"/>
      <c r="K137" s="4103">
        <f>SUM(K138:K149)+K152</f>
        <v>77</v>
      </c>
      <c r="L137" s="1526"/>
      <c r="M137" s="1526"/>
      <c r="N137" s="2234"/>
      <c r="O137" s="1934"/>
      <c r="P137" s="2236">
        <f>SUM(P138:P149)+P152</f>
        <v>159.30000000000001</v>
      </c>
      <c r="Q137" s="2238"/>
      <c r="R137" s="2238"/>
      <c r="S137" s="2239">
        <f>SUM(S138:S149)+S152</f>
        <v>0</v>
      </c>
    </row>
    <row r="138" spans="1:19">
      <c r="A138" s="1527" t="s">
        <v>2445</v>
      </c>
      <c r="B138" s="1527" t="s">
        <v>675</v>
      </c>
      <c r="C138" s="1527" t="s">
        <v>676</v>
      </c>
      <c r="D138" s="1281" t="s">
        <v>70</v>
      </c>
      <c r="E138" s="1523" t="s">
        <v>3888</v>
      </c>
      <c r="F138" s="2219"/>
      <c r="G138" s="2219"/>
      <c r="H138" s="4444"/>
      <c r="I138" s="4444"/>
      <c r="J138" s="4444"/>
      <c r="K138" s="3643"/>
      <c r="L138" s="4444" t="s">
        <v>6778</v>
      </c>
      <c r="M138" s="4441">
        <v>15930000</v>
      </c>
      <c r="N138" s="4435">
        <f>M138/100000</f>
        <v>159.30000000000001</v>
      </c>
      <c r="O138" s="4441">
        <v>1</v>
      </c>
      <c r="P138" s="4432">
        <f>N138*O138</f>
        <v>159.30000000000001</v>
      </c>
      <c r="Q138" s="2165"/>
      <c r="R138" s="1729"/>
      <c r="S138" s="4435"/>
    </row>
    <row r="139" spans="1:19">
      <c r="A139" s="1527" t="s">
        <v>2446</v>
      </c>
      <c r="B139" s="1527" t="s">
        <v>678</v>
      </c>
      <c r="C139" s="1527" t="s">
        <v>679</v>
      </c>
      <c r="D139" s="1281" t="s">
        <v>70</v>
      </c>
      <c r="E139" s="1523" t="s">
        <v>3888</v>
      </c>
      <c r="F139" s="2219"/>
      <c r="G139" s="2219"/>
      <c r="H139" s="4445"/>
      <c r="I139" s="4445"/>
      <c r="J139" s="4445"/>
      <c r="K139" s="3643"/>
      <c r="L139" s="4445"/>
      <c r="M139" s="4442"/>
      <c r="N139" s="4436"/>
      <c r="O139" s="4442"/>
      <c r="P139" s="4433"/>
      <c r="Q139" s="2165"/>
      <c r="R139" s="1729"/>
      <c r="S139" s="4436"/>
    </row>
    <row r="140" spans="1:19" ht="33">
      <c r="A140" s="1527" t="s">
        <v>2447</v>
      </c>
      <c r="B140" s="1527" t="s">
        <v>681</v>
      </c>
      <c r="C140" s="1527" t="s">
        <v>682</v>
      </c>
      <c r="D140" s="1281" t="s">
        <v>70</v>
      </c>
      <c r="E140" s="1523" t="s">
        <v>3888</v>
      </c>
      <c r="F140" s="2219"/>
      <c r="G140" s="2219"/>
      <c r="H140" s="4445"/>
      <c r="I140" s="4445"/>
      <c r="J140" s="4445"/>
      <c r="K140" s="3643"/>
      <c r="L140" s="4445"/>
      <c r="M140" s="4442"/>
      <c r="N140" s="4436"/>
      <c r="O140" s="4442"/>
      <c r="P140" s="4433"/>
      <c r="Q140" s="2165"/>
      <c r="R140" s="1729"/>
      <c r="S140" s="4436"/>
    </row>
    <row r="141" spans="1:19">
      <c r="A141" s="1527" t="s">
        <v>2448</v>
      </c>
      <c r="B141" s="1527" t="s">
        <v>684</v>
      </c>
      <c r="C141" s="1527" t="s">
        <v>2442</v>
      </c>
      <c r="D141" s="1281" t="s">
        <v>70</v>
      </c>
      <c r="E141" s="1523" t="s">
        <v>3888</v>
      </c>
      <c r="F141" s="2219"/>
      <c r="G141" s="2219"/>
      <c r="H141" s="4445"/>
      <c r="I141" s="4445"/>
      <c r="J141" s="4445"/>
      <c r="K141" s="3643"/>
      <c r="L141" s="4445"/>
      <c r="M141" s="4442"/>
      <c r="N141" s="4436"/>
      <c r="O141" s="4442"/>
      <c r="P141" s="4433"/>
      <c r="Q141" s="2165"/>
      <c r="R141" s="1729"/>
      <c r="S141" s="4436"/>
    </row>
    <row r="142" spans="1:19">
      <c r="A142" s="1527" t="s">
        <v>2449</v>
      </c>
      <c r="B142" s="1527" t="s">
        <v>686</v>
      </c>
      <c r="C142" s="1527" t="s">
        <v>687</v>
      </c>
      <c r="D142" s="1281" t="s">
        <v>70</v>
      </c>
      <c r="E142" s="1523" t="s">
        <v>3888</v>
      </c>
      <c r="F142" s="2219"/>
      <c r="G142" s="2219"/>
      <c r="H142" s="4445"/>
      <c r="I142" s="4445"/>
      <c r="J142" s="4445"/>
      <c r="K142" s="3643"/>
      <c r="L142" s="4445"/>
      <c r="M142" s="4442"/>
      <c r="N142" s="4436"/>
      <c r="O142" s="4442"/>
      <c r="P142" s="4433"/>
      <c r="Q142" s="2165"/>
      <c r="R142" s="1729"/>
      <c r="S142" s="4436"/>
    </row>
    <row r="143" spans="1:19">
      <c r="A143" s="1527" t="s">
        <v>2450</v>
      </c>
      <c r="B143" s="1527" t="s">
        <v>688</v>
      </c>
      <c r="C143" s="1527" t="s">
        <v>689</v>
      </c>
      <c r="D143" s="1281" t="s">
        <v>70</v>
      </c>
      <c r="E143" s="1523" t="s">
        <v>3888</v>
      </c>
      <c r="F143" s="2219"/>
      <c r="G143" s="2219"/>
      <c r="H143" s="4445"/>
      <c r="I143" s="4445"/>
      <c r="J143" s="4445"/>
      <c r="K143" s="3643"/>
      <c r="L143" s="4445"/>
      <c r="M143" s="4442"/>
      <c r="N143" s="4436"/>
      <c r="O143" s="4442"/>
      <c r="P143" s="4433"/>
      <c r="Q143" s="2165"/>
      <c r="R143" s="1729"/>
      <c r="S143" s="4436"/>
    </row>
    <row r="144" spans="1:19" ht="33">
      <c r="A144" s="1527" t="s">
        <v>2451</v>
      </c>
      <c r="B144" s="1527" t="s">
        <v>690</v>
      </c>
      <c r="C144" s="1527" t="s">
        <v>691</v>
      </c>
      <c r="D144" s="1281" t="s">
        <v>70</v>
      </c>
      <c r="E144" s="1523" t="s">
        <v>3888</v>
      </c>
      <c r="F144" s="2219"/>
      <c r="G144" s="2219"/>
      <c r="H144" s="4445"/>
      <c r="I144" s="4445"/>
      <c r="J144" s="4445"/>
      <c r="K144" s="3643">
        <v>77</v>
      </c>
      <c r="L144" s="4445"/>
      <c r="M144" s="4442"/>
      <c r="N144" s="4436"/>
      <c r="O144" s="4442"/>
      <c r="P144" s="4433"/>
      <c r="Q144" s="1939" t="s">
        <v>6776</v>
      </c>
      <c r="R144" s="1729"/>
      <c r="S144" s="4436"/>
    </row>
    <row r="145" spans="1:19">
      <c r="A145" s="1527" t="s">
        <v>2890</v>
      </c>
      <c r="B145" s="1527" t="s">
        <v>692</v>
      </c>
      <c r="C145" s="1527" t="s">
        <v>693</v>
      </c>
      <c r="D145" s="1281" t="s">
        <v>70</v>
      </c>
      <c r="E145" s="1523" t="s">
        <v>3888</v>
      </c>
      <c r="F145" s="2219"/>
      <c r="G145" s="2219"/>
      <c r="H145" s="4445"/>
      <c r="I145" s="4445"/>
      <c r="J145" s="4445"/>
      <c r="K145" s="3643"/>
      <c r="L145" s="4445"/>
      <c r="M145" s="4442"/>
      <c r="N145" s="4436"/>
      <c r="O145" s="4442"/>
      <c r="P145" s="4433"/>
      <c r="Q145" s="2165"/>
      <c r="R145" s="1729"/>
      <c r="S145" s="4436"/>
    </row>
    <row r="146" spans="1:19">
      <c r="A146" s="1527" t="s">
        <v>2891</v>
      </c>
      <c r="B146" s="1527" t="s">
        <v>694</v>
      </c>
      <c r="C146" s="1527" t="s">
        <v>695</v>
      </c>
      <c r="D146" s="1281" t="s">
        <v>70</v>
      </c>
      <c r="E146" s="1523" t="s">
        <v>3888</v>
      </c>
      <c r="F146" s="2219"/>
      <c r="G146" s="2219"/>
      <c r="H146" s="4445"/>
      <c r="I146" s="4445"/>
      <c r="J146" s="4445"/>
      <c r="K146" s="3643"/>
      <c r="L146" s="4445"/>
      <c r="M146" s="4442"/>
      <c r="N146" s="4436"/>
      <c r="O146" s="4442"/>
      <c r="P146" s="4433"/>
      <c r="Q146" s="2165"/>
      <c r="R146" s="1729"/>
      <c r="S146" s="4436"/>
    </row>
    <row r="147" spans="1:19">
      <c r="A147" s="1527" t="s">
        <v>2892</v>
      </c>
      <c r="B147" s="1527" t="s">
        <v>696</v>
      </c>
      <c r="C147" s="1527" t="s">
        <v>697</v>
      </c>
      <c r="D147" s="1281" t="s">
        <v>70</v>
      </c>
      <c r="E147" s="1523" t="s">
        <v>3888</v>
      </c>
      <c r="F147" s="2219"/>
      <c r="G147" s="2219"/>
      <c r="H147" s="4445"/>
      <c r="I147" s="4445"/>
      <c r="J147" s="4445"/>
      <c r="K147" s="3643"/>
      <c r="L147" s="4445"/>
      <c r="M147" s="4442"/>
      <c r="N147" s="4436"/>
      <c r="O147" s="4442"/>
      <c r="P147" s="4433"/>
      <c r="Q147" s="2165"/>
      <c r="R147" s="1729"/>
      <c r="S147" s="4436"/>
    </row>
    <row r="148" spans="1:19">
      <c r="A148" s="1527" t="s">
        <v>2893</v>
      </c>
      <c r="B148" s="1527" t="s">
        <v>698</v>
      </c>
      <c r="C148" s="1527" t="s">
        <v>699</v>
      </c>
      <c r="D148" s="1281" t="s">
        <v>70</v>
      </c>
      <c r="E148" s="1523" t="s">
        <v>3888</v>
      </c>
      <c r="F148" s="2219"/>
      <c r="G148" s="2219"/>
      <c r="H148" s="4446"/>
      <c r="I148" s="4446"/>
      <c r="J148" s="4446"/>
      <c r="K148" s="3643"/>
      <c r="L148" s="4446"/>
      <c r="M148" s="4443"/>
      <c r="N148" s="4437"/>
      <c r="O148" s="4443"/>
      <c r="P148" s="4434"/>
      <c r="Q148" s="2165"/>
      <c r="R148" s="1729"/>
      <c r="S148" s="4437"/>
    </row>
    <row r="149" spans="1:19" ht="33">
      <c r="A149" s="2261" t="s">
        <v>2894</v>
      </c>
      <c r="B149" s="2261" t="s">
        <v>701</v>
      </c>
      <c r="C149" s="2261" t="s">
        <v>702</v>
      </c>
      <c r="D149" s="2262" t="s">
        <v>70</v>
      </c>
      <c r="E149" s="2262" t="s">
        <v>3888</v>
      </c>
      <c r="F149" s="2263"/>
      <c r="G149" s="2263"/>
      <c r="H149" s="2263"/>
      <c r="I149" s="2263"/>
      <c r="J149" s="2263"/>
      <c r="K149" s="4104">
        <f>SUM(K150:K151)</f>
        <v>0</v>
      </c>
      <c r="L149" s="2263"/>
      <c r="M149" s="2263"/>
      <c r="N149" s="2249"/>
      <c r="O149" s="2248"/>
      <c r="P149" s="2249">
        <f>SUM(P150:P151)</f>
        <v>0</v>
      </c>
      <c r="Q149" s="2264"/>
      <c r="R149" s="2264"/>
      <c r="S149" s="2251">
        <f>SUM(S150:S151)</f>
        <v>0</v>
      </c>
    </row>
    <row r="150" spans="1:19">
      <c r="A150" s="2252" t="s">
        <v>4322</v>
      </c>
      <c r="B150" s="1527" t="s">
        <v>703</v>
      </c>
      <c r="C150" s="1527" t="s">
        <v>704</v>
      </c>
      <c r="D150" s="1281" t="s">
        <v>70</v>
      </c>
      <c r="E150" s="1523" t="s">
        <v>3888</v>
      </c>
      <c r="F150" s="1317"/>
      <c r="G150" s="1317"/>
      <c r="H150" s="4441"/>
      <c r="I150" s="4441"/>
      <c r="J150" s="4441"/>
      <c r="K150" s="3641"/>
      <c r="L150" s="4441"/>
      <c r="M150" s="4441"/>
      <c r="N150" s="4435">
        <f>M150/100000</f>
        <v>0</v>
      </c>
      <c r="O150" s="4441"/>
      <c r="P150" s="4432">
        <f>N150*O150</f>
        <v>0</v>
      </c>
      <c r="Q150" s="1729"/>
      <c r="R150" s="1729"/>
      <c r="S150" s="4435"/>
    </row>
    <row r="151" spans="1:19">
      <c r="A151" s="2252" t="s">
        <v>4323</v>
      </c>
      <c r="B151" s="1527" t="s">
        <v>705</v>
      </c>
      <c r="C151" s="1527" t="s">
        <v>706</v>
      </c>
      <c r="D151" s="1281" t="s">
        <v>70</v>
      </c>
      <c r="E151" s="1523" t="s">
        <v>3888</v>
      </c>
      <c r="F151" s="1317"/>
      <c r="G151" s="1317"/>
      <c r="H151" s="4443"/>
      <c r="I151" s="4443"/>
      <c r="J151" s="4443"/>
      <c r="K151" s="3641"/>
      <c r="L151" s="4443"/>
      <c r="M151" s="4443"/>
      <c r="N151" s="4437"/>
      <c r="O151" s="4443"/>
      <c r="P151" s="4434"/>
      <c r="Q151" s="1729"/>
      <c r="R151" s="1729"/>
      <c r="S151" s="4437"/>
    </row>
    <row r="152" spans="1:19">
      <c r="A152" s="2252" t="s">
        <v>2895</v>
      </c>
      <c r="B152" s="1527" t="s">
        <v>707</v>
      </c>
      <c r="C152" s="1527" t="s">
        <v>307</v>
      </c>
      <c r="D152" s="1281" t="s">
        <v>70</v>
      </c>
      <c r="E152" s="1523" t="s">
        <v>3888</v>
      </c>
      <c r="F152" s="1317"/>
      <c r="G152" s="1317"/>
      <c r="H152" s="1317"/>
      <c r="I152" s="1317"/>
      <c r="J152" s="1317"/>
      <c r="K152" s="3641"/>
      <c r="L152" s="1317"/>
      <c r="M152" s="1317"/>
      <c r="N152" s="2258">
        <f>M152/100000</f>
        <v>0</v>
      </c>
      <c r="O152" s="1317"/>
      <c r="P152" s="2259">
        <f>N152*O152</f>
        <v>0</v>
      </c>
      <c r="Q152" s="1729"/>
      <c r="R152" s="1729"/>
      <c r="S152" s="2258"/>
    </row>
    <row r="153" spans="1:19">
      <c r="A153" s="1519" t="s">
        <v>2896</v>
      </c>
      <c r="B153" s="1302" t="s">
        <v>709</v>
      </c>
      <c r="C153" s="3618" t="s">
        <v>2432</v>
      </c>
      <c r="D153" s="1520" t="s">
        <v>70</v>
      </c>
      <c r="E153" s="1520" t="s">
        <v>3888</v>
      </c>
      <c r="F153" s="1526"/>
      <c r="G153" s="1526"/>
      <c r="H153" s="1526"/>
      <c r="I153" s="1526"/>
      <c r="J153" s="1526"/>
      <c r="K153" s="4103">
        <f>SUM(K154:K160)</f>
        <v>190</v>
      </c>
      <c r="L153" s="1526"/>
      <c r="M153" s="1526"/>
      <c r="N153" s="2234"/>
      <c r="O153" s="1934"/>
      <c r="P153" s="2236">
        <f>SUM(P154:P160)</f>
        <v>368.56</v>
      </c>
      <c r="Q153" s="2238"/>
      <c r="R153" s="2238"/>
      <c r="S153" s="2239">
        <f>SUM(S154:S160)</f>
        <v>0</v>
      </c>
    </row>
    <row r="154" spans="1:19">
      <c r="A154" s="1527" t="s">
        <v>2897</v>
      </c>
      <c r="B154" s="1527" t="s">
        <v>640</v>
      </c>
      <c r="C154" s="1527" t="s">
        <v>2433</v>
      </c>
      <c r="D154" s="1281" t="s">
        <v>70</v>
      </c>
      <c r="E154" s="1523" t="s">
        <v>3888</v>
      </c>
      <c r="F154" s="2219"/>
      <c r="G154" s="2219"/>
      <c r="H154" s="4444"/>
      <c r="I154" s="4444"/>
      <c r="J154" s="4444"/>
      <c r="K154" s="3643">
        <v>38</v>
      </c>
      <c r="L154" s="4444" t="s">
        <v>6778</v>
      </c>
      <c r="M154" s="4441">
        <v>36856000</v>
      </c>
      <c r="N154" s="4435">
        <f t="shared" ref="N154:N160" si="0">M154/100000</f>
        <v>368.56</v>
      </c>
      <c r="O154" s="4441">
        <v>1</v>
      </c>
      <c r="P154" s="4432">
        <f>N154*O154</f>
        <v>368.56</v>
      </c>
      <c r="Q154" s="2177" t="s">
        <v>6776</v>
      </c>
      <c r="R154" s="1729"/>
      <c r="S154" s="4435"/>
    </row>
    <row r="155" spans="1:19">
      <c r="A155" s="1527" t="s">
        <v>2898</v>
      </c>
      <c r="B155" s="1527" t="s">
        <v>700</v>
      </c>
      <c r="C155" s="1527" t="s">
        <v>2434</v>
      </c>
      <c r="D155" s="1281" t="s">
        <v>70</v>
      </c>
      <c r="E155" s="1523" t="s">
        <v>3888</v>
      </c>
      <c r="F155" s="2219"/>
      <c r="G155" s="2219"/>
      <c r="H155" s="4445"/>
      <c r="I155" s="4445"/>
      <c r="J155" s="4445"/>
      <c r="K155" s="3643"/>
      <c r="L155" s="4445"/>
      <c r="M155" s="4442"/>
      <c r="N155" s="4436"/>
      <c r="O155" s="4442"/>
      <c r="P155" s="4433"/>
      <c r="Q155" s="1939"/>
      <c r="R155" s="1729"/>
      <c r="S155" s="4436"/>
    </row>
    <row r="156" spans="1:19">
      <c r="A156" s="1527" t="s">
        <v>2899</v>
      </c>
      <c r="B156" s="1522"/>
      <c r="C156" s="1527" t="s">
        <v>2435</v>
      </c>
      <c r="D156" s="1281" t="s">
        <v>70</v>
      </c>
      <c r="E156" s="1523" t="s">
        <v>3888</v>
      </c>
      <c r="F156" s="2219"/>
      <c r="G156" s="2219"/>
      <c r="H156" s="4445"/>
      <c r="I156" s="4445"/>
      <c r="J156" s="4445"/>
      <c r="K156" s="3643"/>
      <c r="L156" s="4445"/>
      <c r="M156" s="4442"/>
      <c r="N156" s="4436"/>
      <c r="O156" s="4442"/>
      <c r="P156" s="4433"/>
      <c r="Q156" s="2165"/>
      <c r="R156" s="1729"/>
      <c r="S156" s="4436"/>
    </row>
    <row r="157" spans="1:19">
      <c r="A157" s="1527" t="s">
        <v>2900</v>
      </c>
      <c r="B157" s="1522"/>
      <c r="C157" s="1527" t="s">
        <v>2438</v>
      </c>
      <c r="D157" s="1281" t="s">
        <v>70</v>
      </c>
      <c r="E157" s="1523" t="s">
        <v>3888</v>
      </c>
      <c r="F157" s="2219"/>
      <c r="G157" s="2219"/>
      <c r="H157" s="4445"/>
      <c r="I157" s="4445"/>
      <c r="J157" s="4445"/>
      <c r="K157" s="3643">
        <v>76</v>
      </c>
      <c r="L157" s="4445"/>
      <c r="M157" s="4442"/>
      <c r="N157" s="4436"/>
      <c r="O157" s="4442"/>
      <c r="P157" s="4433"/>
      <c r="Q157" s="3635" t="s">
        <v>6770</v>
      </c>
      <c r="R157" s="1729"/>
      <c r="S157" s="4436"/>
    </row>
    <row r="158" spans="1:19">
      <c r="A158" s="1527" t="s">
        <v>2901</v>
      </c>
      <c r="B158" s="1522"/>
      <c r="C158" s="1527" t="s">
        <v>2439</v>
      </c>
      <c r="D158" s="1281" t="s">
        <v>70</v>
      </c>
      <c r="E158" s="1523" t="s">
        <v>3888</v>
      </c>
      <c r="F158" s="2219"/>
      <c r="G158" s="2219"/>
      <c r="H158" s="4446"/>
      <c r="I158" s="4446"/>
      <c r="J158" s="4446"/>
      <c r="K158" s="3643">
        <v>76</v>
      </c>
      <c r="L158" s="4446"/>
      <c r="M158" s="4443"/>
      <c r="N158" s="4437"/>
      <c r="O158" s="4443"/>
      <c r="P158" s="4434"/>
      <c r="Q158" s="3635" t="s">
        <v>6770</v>
      </c>
      <c r="R158" s="1729"/>
      <c r="S158" s="4437"/>
    </row>
    <row r="159" spans="1:19">
      <c r="A159" s="1527" t="s">
        <v>2902</v>
      </c>
      <c r="B159" s="1522"/>
      <c r="C159" s="1527" t="s">
        <v>2443</v>
      </c>
      <c r="D159" s="1281" t="s">
        <v>70</v>
      </c>
      <c r="E159" s="1523" t="s">
        <v>3888</v>
      </c>
      <c r="F159" s="2219"/>
      <c r="G159" s="2219"/>
      <c r="H159" s="2219"/>
      <c r="I159" s="2219"/>
      <c r="J159" s="2219"/>
      <c r="K159" s="3643"/>
      <c r="L159" s="2219"/>
      <c r="M159" s="1317"/>
      <c r="N159" s="2258">
        <f t="shared" si="0"/>
        <v>0</v>
      </c>
      <c r="O159" s="1317"/>
      <c r="P159" s="2259">
        <f>N159*O159</f>
        <v>0</v>
      </c>
      <c r="Q159" s="2165"/>
      <c r="R159" s="1729"/>
      <c r="S159" s="2258"/>
    </row>
    <row r="160" spans="1:19" ht="33">
      <c r="A160" s="1527" t="s">
        <v>2903</v>
      </c>
      <c r="B160" s="1527" t="s">
        <v>714</v>
      </c>
      <c r="C160" s="1527" t="s">
        <v>710</v>
      </c>
      <c r="D160" s="1281" t="s">
        <v>70</v>
      </c>
      <c r="E160" s="1523" t="s">
        <v>3888</v>
      </c>
      <c r="F160" s="2219"/>
      <c r="G160" s="2219"/>
      <c r="H160" s="2219"/>
      <c r="I160" s="2219"/>
      <c r="J160" s="2219"/>
      <c r="K160" s="3643"/>
      <c r="L160" s="2219"/>
      <c r="M160" s="1317"/>
      <c r="N160" s="2258">
        <f t="shared" si="0"/>
        <v>0</v>
      </c>
      <c r="O160" s="1317"/>
      <c r="P160" s="2259">
        <f>N160*O160</f>
        <v>0</v>
      </c>
      <c r="Q160" s="2265"/>
      <c r="R160" s="1729"/>
      <c r="S160" s="2258"/>
    </row>
    <row r="161" spans="1:19" s="3920" customFormat="1" ht="49.5">
      <c r="A161" s="4097">
        <v>8.1999999999999993</v>
      </c>
      <c r="B161" s="3843" t="s">
        <v>715</v>
      </c>
      <c r="C161" s="4098" t="s">
        <v>3910</v>
      </c>
      <c r="D161" s="3813" t="s">
        <v>70</v>
      </c>
      <c r="E161" s="3869" t="s">
        <v>3888</v>
      </c>
      <c r="F161" s="2395"/>
      <c r="G161" s="2395"/>
      <c r="H161" s="2395"/>
      <c r="I161" s="2395"/>
      <c r="J161" s="2395"/>
      <c r="K161" s="4107"/>
      <c r="L161" s="2395"/>
      <c r="M161" s="2398">
        <v>346087850</v>
      </c>
      <c r="N161" s="3918">
        <f>M161/100000</f>
        <v>3460.8784999999998</v>
      </c>
      <c r="O161" s="3895">
        <v>1</v>
      </c>
      <c r="P161" s="3917">
        <f>N161*O161</f>
        <v>3460.8784999999998</v>
      </c>
      <c r="Q161" s="4044" t="s">
        <v>6936</v>
      </c>
      <c r="R161" s="3872"/>
      <c r="S161" s="3922"/>
    </row>
    <row r="162" spans="1:19" s="3920" customFormat="1" ht="49.5">
      <c r="A162" s="4097">
        <v>8.3000000000000007</v>
      </c>
      <c r="B162" s="3843" t="s">
        <v>717</v>
      </c>
      <c r="C162" s="4098" t="s">
        <v>718</v>
      </c>
      <c r="D162" s="3813" t="s">
        <v>70</v>
      </c>
      <c r="E162" s="3869" t="s">
        <v>3888</v>
      </c>
      <c r="F162" s="2395"/>
      <c r="G162" s="2395"/>
      <c r="H162" s="2395"/>
      <c r="I162" s="2395"/>
      <c r="J162" s="2395"/>
      <c r="K162" s="4107"/>
      <c r="L162" s="2395"/>
      <c r="M162" s="2398">
        <v>750000000</v>
      </c>
      <c r="N162" s="3918">
        <f>M162/100000</f>
        <v>7500</v>
      </c>
      <c r="O162" s="3895">
        <v>1</v>
      </c>
      <c r="P162" s="3917">
        <f>N162*O162</f>
        <v>7500</v>
      </c>
      <c r="Q162" s="4044" t="s">
        <v>6937</v>
      </c>
      <c r="R162" s="3872"/>
      <c r="S162" s="3922"/>
    </row>
    <row r="163" spans="1:19">
      <c r="A163" s="1880">
        <v>8.4</v>
      </c>
      <c r="B163" s="1295"/>
      <c r="C163" s="1296" t="s">
        <v>719</v>
      </c>
      <c r="D163" s="1881" t="s">
        <v>70</v>
      </c>
      <c r="E163" s="1881" t="s">
        <v>3888</v>
      </c>
      <c r="F163" s="2269"/>
      <c r="G163" s="2269"/>
      <c r="H163" s="2269"/>
      <c r="I163" s="2269"/>
      <c r="J163" s="2269"/>
      <c r="K163" s="4108"/>
      <c r="L163" s="2269"/>
      <c r="M163" s="2269"/>
      <c r="N163" s="2267"/>
      <c r="O163" s="2270"/>
      <c r="P163" s="2266">
        <f>SUM(P164:P175)</f>
        <v>4344.6204200000002</v>
      </c>
      <c r="Q163" s="2150"/>
      <c r="R163" s="2150"/>
      <c r="S163" s="2268">
        <f>SUM(S164:S175)</f>
        <v>0</v>
      </c>
    </row>
    <row r="164" spans="1:19" ht="66">
      <c r="A164" s="1533" t="s">
        <v>720</v>
      </c>
      <c r="B164" s="1331" t="s">
        <v>721</v>
      </c>
      <c r="C164" s="1331" t="s">
        <v>722</v>
      </c>
      <c r="D164" s="1281" t="s">
        <v>70</v>
      </c>
      <c r="E164" s="1335" t="s">
        <v>3888</v>
      </c>
      <c r="F164" s="2271">
        <v>10080</v>
      </c>
      <c r="G164" s="2271">
        <v>2811</v>
      </c>
      <c r="H164" s="2272">
        <f>30240000/100000</f>
        <v>302.39999999999998</v>
      </c>
      <c r="I164" s="2272">
        <f>8432896/100000</f>
        <v>84.328959999999995</v>
      </c>
      <c r="J164" s="2271"/>
      <c r="K164" s="4109"/>
      <c r="L164" s="2278" t="s">
        <v>6234</v>
      </c>
      <c r="M164" s="1714">
        <v>3000</v>
      </c>
      <c r="N164" s="3221">
        <f t="shared" ref="N164:N175" si="1">M164/100000</f>
        <v>0.03</v>
      </c>
      <c r="O164" s="1714">
        <v>10080</v>
      </c>
      <c r="P164" s="2279">
        <f t="shared" ref="P164:P174" si="2">N164*O164</f>
        <v>302.39999999999998</v>
      </c>
      <c r="Q164" s="2142" t="s">
        <v>6236</v>
      </c>
      <c r="R164" s="1544"/>
      <c r="S164" s="2273"/>
    </row>
    <row r="165" spans="1:19" ht="214.5">
      <c r="A165" s="1533" t="s">
        <v>723</v>
      </c>
      <c r="B165" s="1331" t="s">
        <v>724</v>
      </c>
      <c r="C165" s="1331" t="s">
        <v>725</v>
      </c>
      <c r="D165" s="1281" t="s">
        <v>70</v>
      </c>
      <c r="E165" s="1335" t="s">
        <v>3888</v>
      </c>
      <c r="F165" s="2271"/>
      <c r="G165" s="2271"/>
      <c r="H165" s="2271">
        <v>253.87</v>
      </c>
      <c r="I165" s="2272">
        <f>2667355/100000</f>
        <v>26.673549999999999</v>
      </c>
      <c r="J165" s="2271"/>
      <c r="K165" s="4109"/>
      <c r="L165" s="2278" t="s">
        <v>6235</v>
      </c>
      <c r="M165" s="1714">
        <v>25387000</v>
      </c>
      <c r="N165" s="3221">
        <f t="shared" si="1"/>
        <v>253.87</v>
      </c>
      <c r="O165" s="1714">
        <v>1</v>
      </c>
      <c r="P165" s="2279">
        <f t="shared" si="2"/>
        <v>253.87</v>
      </c>
      <c r="Q165" s="2142" t="s">
        <v>6370</v>
      </c>
      <c r="R165" s="1544"/>
      <c r="S165" s="2273"/>
    </row>
    <row r="166" spans="1:19" ht="49.5">
      <c r="A166" s="1533" t="s">
        <v>726</v>
      </c>
      <c r="B166" s="1331" t="s">
        <v>727</v>
      </c>
      <c r="C166" s="1331" t="s">
        <v>728</v>
      </c>
      <c r="D166" s="2274" t="s">
        <v>90</v>
      </c>
      <c r="E166" s="1335" t="s">
        <v>96</v>
      </c>
      <c r="F166" s="2232"/>
      <c r="G166" s="2232"/>
      <c r="H166" s="2232"/>
      <c r="I166" s="2232"/>
      <c r="J166" s="2232"/>
      <c r="K166" s="4109"/>
      <c r="L166" s="2278"/>
      <c r="M166" s="1714"/>
      <c r="N166" s="3221">
        <f t="shared" si="1"/>
        <v>0</v>
      </c>
      <c r="O166" s="1714"/>
      <c r="P166" s="2279">
        <f t="shared" si="2"/>
        <v>0</v>
      </c>
      <c r="Q166" s="2142"/>
      <c r="R166" s="1533">
        <f>'Ab1. RMNCH+A'!Q363</f>
        <v>0</v>
      </c>
      <c r="S166" s="1315">
        <f>'Ab1. RMNCH+A'!R363</f>
        <v>0</v>
      </c>
    </row>
    <row r="167" spans="1:19" ht="33">
      <c r="A167" s="1533" t="s">
        <v>729</v>
      </c>
      <c r="B167" s="1527" t="s">
        <v>730</v>
      </c>
      <c r="C167" s="1527" t="s">
        <v>4141</v>
      </c>
      <c r="D167" s="2274" t="s">
        <v>90</v>
      </c>
      <c r="E167" s="1523" t="s">
        <v>193</v>
      </c>
      <c r="F167" s="2219"/>
      <c r="G167" s="2219"/>
      <c r="H167" s="2219"/>
      <c r="I167" s="2219"/>
      <c r="J167" s="2219"/>
      <c r="K167" s="4109"/>
      <c r="L167" s="2189"/>
      <c r="M167" s="1714"/>
      <c r="N167" s="3221">
        <f t="shared" si="1"/>
        <v>0</v>
      </c>
      <c r="O167" s="1714"/>
      <c r="P167" s="2279">
        <f t="shared" si="2"/>
        <v>0</v>
      </c>
      <c r="Q167" s="1822"/>
      <c r="R167" s="1527">
        <f>'Ab1. RMNCH+A'!Q312</f>
        <v>0</v>
      </c>
      <c r="S167" s="2260">
        <f>'Ab1. RMNCH+A'!R312</f>
        <v>0</v>
      </c>
    </row>
    <row r="168" spans="1:19" ht="66">
      <c r="A168" s="1533" t="s">
        <v>731</v>
      </c>
      <c r="B168" s="1527" t="s">
        <v>732</v>
      </c>
      <c r="C168" s="1527" t="s">
        <v>733</v>
      </c>
      <c r="D168" s="2274" t="s">
        <v>90</v>
      </c>
      <c r="E168" s="1523" t="s">
        <v>91</v>
      </c>
      <c r="F168" s="2219">
        <v>582</v>
      </c>
      <c r="G168" s="2219">
        <v>0</v>
      </c>
      <c r="H168" s="2219">
        <v>64.2</v>
      </c>
      <c r="I168" s="2219">
        <v>0.12</v>
      </c>
      <c r="J168" s="2219"/>
      <c r="K168" s="4109"/>
      <c r="L168" s="2219" t="s">
        <v>5989</v>
      </c>
      <c r="M168" s="1317">
        <v>11031</v>
      </c>
      <c r="N168" s="2258">
        <f t="shared" si="1"/>
        <v>0.11031000000000001</v>
      </c>
      <c r="O168" s="1317">
        <v>582</v>
      </c>
      <c r="P168" s="2259">
        <f t="shared" si="2"/>
        <v>64.200420000000008</v>
      </c>
      <c r="Q168" s="2408" t="s">
        <v>5992</v>
      </c>
      <c r="R168" s="1527">
        <f>'Ab1. RMNCH+A'!Q237</f>
        <v>0</v>
      </c>
      <c r="S168" s="2260">
        <f>'Ab1. RMNCH+A'!R237</f>
        <v>0</v>
      </c>
    </row>
    <row r="169" spans="1:19" s="3675" customFormat="1" ht="66">
      <c r="A169" s="3661" t="s">
        <v>734</v>
      </c>
      <c r="B169" s="3667" t="s">
        <v>735</v>
      </c>
      <c r="C169" s="3667" t="s">
        <v>3973</v>
      </c>
      <c r="D169" s="3668" t="s">
        <v>90</v>
      </c>
      <c r="E169" s="3669" t="s">
        <v>91</v>
      </c>
      <c r="F169" s="3670">
        <v>0</v>
      </c>
      <c r="G169" s="3670">
        <v>0</v>
      </c>
      <c r="H169" s="3670">
        <v>0</v>
      </c>
      <c r="I169" s="3670">
        <v>0</v>
      </c>
      <c r="J169" s="3670"/>
      <c r="K169" s="4109"/>
      <c r="L169" s="3670"/>
      <c r="M169" s="3653"/>
      <c r="N169" s="3671">
        <f t="shared" si="1"/>
        <v>0</v>
      </c>
      <c r="O169" s="3653"/>
      <c r="P169" s="3672">
        <f t="shared" si="2"/>
        <v>0</v>
      </c>
      <c r="Q169" s="3673"/>
      <c r="R169" s="3667">
        <f>'Ab1. RMNCH+A'!Q238</f>
        <v>0</v>
      </c>
      <c r="S169" s="3674">
        <f>'Ab1. RMNCH+A'!R238</f>
        <v>0</v>
      </c>
    </row>
    <row r="170" spans="1:19" ht="99">
      <c r="A170" s="1533" t="s">
        <v>736</v>
      </c>
      <c r="B170" s="1527" t="s">
        <v>737</v>
      </c>
      <c r="C170" s="1527" t="s">
        <v>3974</v>
      </c>
      <c r="D170" s="2274" t="s">
        <v>90</v>
      </c>
      <c r="E170" s="1523" t="s">
        <v>91</v>
      </c>
      <c r="F170" s="1316">
        <v>200000</v>
      </c>
      <c r="G170" s="2232">
        <v>15704</v>
      </c>
      <c r="H170" s="2275">
        <v>300</v>
      </c>
      <c r="I170" s="2275">
        <v>23.56</v>
      </c>
      <c r="J170" s="2232"/>
      <c r="K170" s="4109"/>
      <c r="L170" s="2232" t="s">
        <v>5990</v>
      </c>
      <c r="M170" s="1317">
        <v>150</v>
      </c>
      <c r="N170" s="2258">
        <f t="shared" si="1"/>
        <v>1.5E-3</v>
      </c>
      <c r="O170" s="1317">
        <v>200000</v>
      </c>
      <c r="P170" s="2259">
        <f t="shared" si="2"/>
        <v>300</v>
      </c>
      <c r="Q170" s="2113" t="s">
        <v>6371</v>
      </c>
      <c r="R170" s="1527">
        <f>'Ab1. RMNCH+A'!Q239</f>
        <v>0</v>
      </c>
      <c r="S170" s="2260">
        <f>'Ab1. RMNCH+A'!R239</f>
        <v>0</v>
      </c>
    </row>
    <row r="171" spans="1:19" ht="115.5">
      <c r="A171" s="1533" t="s">
        <v>738</v>
      </c>
      <c r="B171" s="1527" t="s">
        <v>739</v>
      </c>
      <c r="C171" s="1527" t="s">
        <v>3975</v>
      </c>
      <c r="D171" s="2274" t="s">
        <v>90</v>
      </c>
      <c r="E171" s="1523" t="s">
        <v>91</v>
      </c>
      <c r="F171" s="1316">
        <v>2000</v>
      </c>
      <c r="G171" s="2232">
        <v>751</v>
      </c>
      <c r="H171" s="2275">
        <v>3</v>
      </c>
      <c r="I171" s="2275">
        <v>1.1299999999999999</v>
      </c>
      <c r="J171" s="2232"/>
      <c r="K171" s="4109"/>
      <c r="L171" s="2232" t="s">
        <v>5991</v>
      </c>
      <c r="M171" s="1317">
        <v>150</v>
      </c>
      <c r="N171" s="2258">
        <f t="shared" si="1"/>
        <v>1.5E-3</v>
      </c>
      <c r="O171" s="1317">
        <v>2000</v>
      </c>
      <c r="P171" s="2259">
        <f t="shared" si="2"/>
        <v>3</v>
      </c>
      <c r="Q171" s="2113" t="s">
        <v>6372</v>
      </c>
      <c r="R171" s="1527">
        <f>'Ab1. RMNCH+A'!Q240</f>
        <v>0</v>
      </c>
      <c r="S171" s="2260">
        <f>'Ab1. RMNCH+A'!R240</f>
        <v>0</v>
      </c>
    </row>
    <row r="172" spans="1:19" s="3920" customFormat="1" ht="181.5">
      <c r="A172" s="3867" t="s">
        <v>740</v>
      </c>
      <c r="B172" s="3826" t="s">
        <v>2037</v>
      </c>
      <c r="C172" s="3826" t="s">
        <v>5597</v>
      </c>
      <c r="D172" s="3813" t="s">
        <v>70</v>
      </c>
      <c r="E172" s="3915" t="s">
        <v>4357</v>
      </c>
      <c r="F172" s="3786"/>
      <c r="G172" s="3784"/>
      <c r="H172" s="3916"/>
      <c r="I172" s="3916"/>
      <c r="J172" s="3784"/>
      <c r="K172" s="4109"/>
      <c r="L172" s="3784" t="s">
        <v>5902</v>
      </c>
      <c r="M172" s="3739">
        <v>186050000</v>
      </c>
      <c r="N172" s="3917">
        <f t="shared" si="1"/>
        <v>1860.5</v>
      </c>
      <c r="O172" s="3739">
        <v>1</v>
      </c>
      <c r="P172" s="3918">
        <f t="shared" si="2"/>
        <v>1860.5</v>
      </c>
      <c r="Q172" s="2398" t="s">
        <v>6849</v>
      </c>
      <c r="R172" s="3826">
        <f>'Abs6. CPHC'!Q20</f>
        <v>0</v>
      </c>
      <c r="S172" s="3919">
        <f>'Abs6. CPHC'!R20</f>
        <v>0</v>
      </c>
    </row>
    <row r="173" spans="1:19" s="3920" customFormat="1" ht="181.5">
      <c r="A173" s="3867" t="s">
        <v>2416</v>
      </c>
      <c r="B173" s="3826" t="s">
        <v>4587</v>
      </c>
      <c r="C173" s="3826" t="s">
        <v>5596</v>
      </c>
      <c r="D173" s="3813" t="s">
        <v>70</v>
      </c>
      <c r="E173" s="3915" t="s">
        <v>4357</v>
      </c>
      <c r="F173" s="3784"/>
      <c r="G173" s="3784"/>
      <c r="H173" s="3916"/>
      <c r="I173" s="3916"/>
      <c r="J173" s="3784"/>
      <c r="K173" s="4109"/>
      <c r="L173" s="2395" t="s">
        <v>5901</v>
      </c>
      <c r="M173" s="3788">
        <v>68950000</v>
      </c>
      <c r="N173" s="3921">
        <f t="shared" si="1"/>
        <v>689.5</v>
      </c>
      <c r="O173" s="3788">
        <v>1</v>
      </c>
      <c r="P173" s="3922">
        <f t="shared" si="2"/>
        <v>689.5</v>
      </c>
      <c r="Q173" s="2398" t="s">
        <v>6850</v>
      </c>
      <c r="R173" s="3826">
        <f>'Abs6. CPHC'!Q20</f>
        <v>0</v>
      </c>
      <c r="S173" s="3919">
        <f>'Abs6. CPHC'!R20</f>
        <v>0</v>
      </c>
    </row>
    <row r="174" spans="1:19" s="1546" customFormat="1" ht="66">
      <c r="A174" s="1528" t="s">
        <v>4586</v>
      </c>
      <c r="B174" s="1522"/>
      <c r="C174" s="1522" t="s">
        <v>4612</v>
      </c>
      <c r="D174" s="1281" t="s">
        <v>70</v>
      </c>
      <c r="E174" s="1741" t="s">
        <v>3316</v>
      </c>
      <c r="F174" s="1767"/>
      <c r="G174" s="1767"/>
      <c r="H174" s="2277"/>
      <c r="I174" s="2277"/>
      <c r="J174" s="1767"/>
      <c r="K174" s="4109"/>
      <c r="L174" s="2278" t="s">
        <v>5830</v>
      </c>
      <c r="M174" s="1317">
        <v>2490000</v>
      </c>
      <c r="N174" s="2258">
        <f t="shared" si="1"/>
        <v>24.9</v>
      </c>
      <c r="O174" s="1317">
        <v>1</v>
      </c>
      <c r="P174" s="2279">
        <f t="shared" si="2"/>
        <v>24.9</v>
      </c>
      <c r="Q174" s="2142" t="s">
        <v>5810</v>
      </c>
      <c r="R174" s="1522">
        <f>'Abs12. NVHCP'!Q23</f>
        <v>0</v>
      </c>
      <c r="S174" s="1327">
        <f>'Abs12. NVHCP'!R23</f>
        <v>0</v>
      </c>
    </row>
    <row r="175" spans="1:19" s="1546" customFormat="1" ht="82.5">
      <c r="A175" s="1528" t="s">
        <v>4611</v>
      </c>
      <c r="B175" s="1522"/>
      <c r="C175" s="1522" t="s">
        <v>5700</v>
      </c>
      <c r="D175" s="1340" t="s">
        <v>70</v>
      </c>
      <c r="E175" s="1741" t="s">
        <v>3888</v>
      </c>
      <c r="F175" s="2189"/>
      <c r="G175" s="2189"/>
      <c r="H175" s="3220"/>
      <c r="I175" s="3220"/>
      <c r="J175" s="2189"/>
      <c r="K175" s="4109"/>
      <c r="L175" s="2408"/>
      <c r="M175" s="2292">
        <f>500*100000+34625000</f>
        <v>84625000</v>
      </c>
      <c r="N175" s="3221">
        <f t="shared" si="1"/>
        <v>846.25</v>
      </c>
      <c r="O175" s="1714">
        <v>1</v>
      </c>
      <c r="P175" s="2279">
        <f>N175*O175</f>
        <v>846.25</v>
      </c>
      <c r="Q175" s="1738" t="s">
        <v>6777</v>
      </c>
      <c r="R175" s="2423"/>
      <c r="S175" s="3221"/>
    </row>
  </sheetData>
  <sheetProtection sheet="1" formatCells="0" formatColumns="0" formatRows="0" autoFilter="0"/>
  <autoFilter ref="A6:S175"/>
  <mergeCells count="168">
    <mergeCell ref="AP1:BA1"/>
    <mergeCell ref="M154:M158"/>
    <mergeCell ref="N154:N158"/>
    <mergeCell ref="O154:O158"/>
    <mergeCell ref="P154:P158"/>
    <mergeCell ref="S154:S158"/>
    <mergeCell ref="L150:L151"/>
    <mergeCell ref="J150:J151"/>
    <mergeCell ref="N109:N130"/>
    <mergeCell ref="O109:O130"/>
    <mergeCell ref="P109:P130"/>
    <mergeCell ref="S109:S130"/>
    <mergeCell ref="J132:J136"/>
    <mergeCell ref="S132:S136"/>
    <mergeCell ref="N95:N98"/>
    <mergeCell ref="O95:O98"/>
    <mergeCell ref="P95:P98"/>
    <mergeCell ref="S95:S98"/>
    <mergeCell ref="P68:P79"/>
    <mergeCell ref="N57:N59"/>
    <mergeCell ref="M57:M59"/>
    <mergeCell ref="S46:S52"/>
    <mergeCell ref="O54:O55"/>
    <mergeCell ref="S81:S86"/>
    <mergeCell ref="I150:I151"/>
    <mergeCell ref="H150:H151"/>
    <mergeCell ref="H154:H158"/>
    <mergeCell ref="I154:I158"/>
    <mergeCell ref="J154:J158"/>
    <mergeCell ref="L154:L158"/>
    <mergeCell ref="S150:S151"/>
    <mergeCell ref="P150:P151"/>
    <mergeCell ref="O150:O151"/>
    <mergeCell ref="N150:N151"/>
    <mergeCell ref="M150:M151"/>
    <mergeCell ref="H138:H148"/>
    <mergeCell ref="I138:I148"/>
    <mergeCell ref="J138:J148"/>
    <mergeCell ref="L138:L148"/>
    <mergeCell ref="M138:M148"/>
    <mergeCell ref="N138:N148"/>
    <mergeCell ref="O138:O148"/>
    <mergeCell ref="P138:P148"/>
    <mergeCell ref="S138:S148"/>
    <mergeCell ref="H132:H136"/>
    <mergeCell ref="I132:I136"/>
    <mergeCell ref="L132:L136"/>
    <mergeCell ref="M132:M136"/>
    <mergeCell ref="N132:N136"/>
    <mergeCell ref="O132:O136"/>
    <mergeCell ref="P132:P136"/>
    <mergeCell ref="H109:H130"/>
    <mergeCell ref="I109:I130"/>
    <mergeCell ref="J109:J130"/>
    <mergeCell ref="L109:L130"/>
    <mergeCell ref="M109:M130"/>
    <mergeCell ref="S88:S93"/>
    <mergeCell ref="H100:H104"/>
    <mergeCell ref="I100:I104"/>
    <mergeCell ref="J100:J104"/>
    <mergeCell ref="L100:L104"/>
    <mergeCell ref="M100:M104"/>
    <mergeCell ref="N100:N104"/>
    <mergeCell ref="O100:O104"/>
    <mergeCell ref="P100:P104"/>
    <mergeCell ref="S100:S104"/>
    <mergeCell ref="H81:H86"/>
    <mergeCell ref="I81:I86"/>
    <mergeCell ref="J81:J86"/>
    <mergeCell ref="L81:L86"/>
    <mergeCell ref="M81:M86"/>
    <mergeCell ref="P57:P59"/>
    <mergeCell ref="H95:H98"/>
    <mergeCell ref="I95:I98"/>
    <mergeCell ref="J95:J98"/>
    <mergeCell ref="L95:L98"/>
    <mergeCell ref="M95:M98"/>
    <mergeCell ref="N81:N86"/>
    <mergeCell ref="O81:O86"/>
    <mergeCell ref="P81:P86"/>
    <mergeCell ref="H88:H93"/>
    <mergeCell ref="I88:I93"/>
    <mergeCell ref="J88:J93"/>
    <mergeCell ref="L88:L93"/>
    <mergeCell ref="M88:M93"/>
    <mergeCell ref="N88:N93"/>
    <mergeCell ref="O88:O93"/>
    <mergeCell ref="P88:P93"/>
    <mergeCell ref="N54:N55"/>
    <mergeCell ref="H68:H79"/>
    <mergeCell ref="I68:I79"/>
    <mergeCell ref="J68:J79"/>
    <mergeCell ref="S68:S79"/>
    <mergeCell ref="L68:L79"/>
    <mergeCell ref="M68:M79"/>
    <mergeCell ref="N68:N79"/>
    <mergeCell ref="O68:O79"/>
    <mergeCell ref="L57:L59"/>
    <mergeCell ref="J57:J59"/>
    <mergeCell ref="H57:H59"/>
    <mergeCell ref="I57:I59"/>
    <mergeCell ref="S62:S66"/>
    <mergeCell ref="P62:P66"/>
    <mergeCell ref="O62:O66"/>
    <mergeCell ref="N62:N66"/>
    <mergeCell ref="M62:M66"/>
    <mergeCell ref="L62:L66"/>
    <mergeCell ref="H62:H66"/>
    <mergeCell ref="I62:I66"/>
    <mergeCell ref="J62:J66"/>
    <mergeCell ref="S57:S59"/>
    <mergeCell ref="O57:O59"/>
    <mergeCell ref="P54:P55"/>
    <mergeCell ref="S54:S55"/>
    <mergeCell ref="L46:L52"/>
    <mergeCell ref="M46:M52"/>
    <mergeCell ref="N46:N52"/>
    <mergeCell ref="O46:O52"/>
    <mergeCell ref="P46:P52"/>
    <mergeCell ref="H35:H44"/>
    <mergeCell ref="I35:I44"/>
    <mergeCell ref="J35:J44"/>
    <mergeCell ref="L35:L44"/>
    <mergeCell ref="S35:S44"/>
    <mergeCell ref="P35:P44"/>
    <mergeCell ref="O35:O44"/>
    <mergeCell ref="N35:N44"/>
    <mergeCell ref="M35:M44"/>
    <mergeCell ref="H46:H52"/>
    <mergeCell ref="I46:I52"/>
    <mergeCell ref="J46:J52"/>
    <mergeCell ref="H54:H55"/>
    <mergeCell ref="I54:I55"/>
    <mergeCell ref="J54:J55"/>
    <mergeCell ref="L54:L55"/>
    <mergeCell ref="M54:M55"/>
    <mergeCell ref="L28:L33"/>
    <mergeCell ref="M28:M33"/>
    <mergeCell ref="N28:N33"/>
    <mergeCell ref="O28:O33"/>
    <mergeCell ref="P28:P33"/>
    <mergeCell ref="S28:S33"/>
    <mergeCell ref="H28:H33"/>
    <mergeCell ref="I28:I33"/>
    <mergeCell ref="J28:J33"/>
    <mergeCell ref="AI1:AO1"/>
    <mergeCell ref="K5:Q5"/>
    <mergeCell ref="P10:P26"/>
    <mergeCell ref="N10:N26"/>
    <mergeCell ref="M10:M26"/>
    <mergeCell ref="R5:S5"/>
    <mergeCell ref="A1:C1"/>
    <mergeCell ref="F5:J5"/>
    <mergeCell ref="A5:A6"/>
    <mergeCell ref="B5:B6"/>
    <mergeCell ref="C5:C6"/>
    <mergeCell ref="D5:D6"/>
    <mergeCell ref="E5:E6"/>
    <mergeCell ref="S10:S26"/>
    <mergeCell ref="H10:H26"/>
    <mergeCell ref="I10:I26"/>
    <mergeCell ref="J10:J26"/>
    <mergeCell ref="O10:O26"/>
    <mergeCell ref="L10:L26"/>
    <mergeCell ref="E1:E2"/>
    <mergeCell ref="F1:N1"/>
    <mergeCell ref="A2:A4"/>
    <mergeCell ref="O1:AH1"/>
  </mergeCells>
  <phoneticPr fontId="27" type="noConversion"/>
  <pageMargins left="0.7" right="0.44" top="0.54" bottom="0.32" header="0.3" footer="0.3"/>
  <pageSetup paperSize="5" scale="70"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dimension ref="A1:BA67"/>
  <sheetViews>
    <sheetView zoomScale="90" zoomScaleNormal="90" workbookViewId="0">
      <pane xSplit="5" ySplit="6" topLeftCell="K40"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9.140625" defaultRowHeight="15"/>
  <cols>
    <col min="1" max="1" width="12.28515625" style="688" customWidth="1"/>
    <col min="2" max="2" width="11.28515625" style="740" customWidth="1"/>
    <col min="3" max="3" width="55.5703125" style="689" customWidth="1"/>
    <col min="4" max="4" width="10.140625" style="589" bestFit="1" customWidth="1"/>
    <col min="5" max="5" width="18.140625" style="690" bestFit="1" customWidth="1"/>
    <col min="6" max="6" width="16.42578125" style="611" customWidth="1"/>
    <col min="7" max="7" width="21.140625" style="611" customWidth="1"/>
    <col min="8" max="8" width="15.85546875" style="611" customWidth="1"/>
    <col min="9" max="9" width="16.42578125" style="611" customWidth="1"/>
    <col min="10" max="10" width="16.140625" style="611" customWidth="1"/>
    <col min="11" max="11" width="14.85546875" style="683" bestFit="1" customWidth="1"/>
    <col min="12" max="12" width="15.42578125" style="683" bestFit="1" customWidth="1"/>
    <col min="13" max="13" width="13.42578125" style="741" customWidth="1"/>
    <col min="14" max="14" width="10.5703125" style="683" bestFit="1" customWidth="1"/>
    <col min="15" max="15" width="12.140625" style="741" bestFit="1" customWidth="1"/>
    <col min="16" max="16" width="46.28515625" style="688" customWidth="1"/>
    <col min="17" max="17" width="41.42578125" style="688" customWidth="1"/>
    <col min="18" max="18" width="11.5703125" style="673" customWidth="1"/>
    <col min="19" max="19" width="6" style="683" bestFit="1" customWidth="1"/>
    <col min="20" max="20" width="3.7109375" style="683" bestFit="1" customWidth="1"/>
    <col min="21" max="21" width="5.5703125" style="683" bestFit="1" customWidth="1"/>
    <col min="22" max="22" width="3.85546875" style="683" bestFit="1" customWidth="1"/>
    <col min="23" max="23" width="5.5703125" style="683" bestFit="1" customWidth="1"/>
    <col min="24" max="24" width="4.5703125" style="683" bestFit="1" customWidth="1"/>
    <col min="25" max="25" width="5.7109375" style="683" bestFit="1" customWidth="1"/>
    <col min="26" max="26" width="7.140625" style="683" bestFit="1" customWidth="1"/>
    <col min="27" max="27" width="5.5703125" style="683" bestFit="1" customWidth="1"/>
    <col min="28" max="28" width="8" style="683" bestFit="1" customWidth="1"/>
    <col min="29" max="29" width="4.140625" style="683" bestFit="1" customWidth="1"/>
    <col min="30" max="30" width="3.85546875" style="683" bestFit="1" customWidth="1"/>
    <col min="31" max="31" width="7.140625" style="683" bestFit="1" customWidth="1"/>
    <col min="32" max="32" width="5.5703125" style="683" bestFit="1" customWidth="1"/>
    <col min="33" max="34" width="7.140625" style="683" bestFit="1" customWidth="1"/>
    <col min="35" max="35" width="5.5703125" style="683" bestFit="1" customWidth="1"/>
    <col min="36" max="36" width="8" style="683" bestFit="1" customWidth="1"/>
    <col min="37" max="38" width="5.28515625" style="683" bestFit="1" customWidth="1"/>
    <col min="39" max="39" width="6.85546875" style="683" bestFit="1" customWidth="1"/>
    <col min="40" max="42" width="5.5703125" style="683" bestFit="1" customWidth="1"/>
    <col min="43" max="43" width="6.28515625" style="683" bestFit="1" customWidth="1"/>
    <col min="44" max="44" width="6.5703125" style="683" bestFit="1" customWidth="1"/>
    <col min="45" max="45" width="5.42578125" style="683" bestFit="1" customWidth="1"/>
    <col min="46" max="46" width="7.5703125" style="683" bestFit="1" customWidth="1"/>
    <col min="47" max="47" width="7.42578125" style="683" bestFit="1" customWidth="1"/>
    <col min="48" max="48" width="8" style="683" bestFit="1" customWidth="1"/>
    <col min="49" max="49" width="6" style="683" bestFit="1" customWidth="1"/>
    <col min="50" max="50" width="5.5703125" style="683" bestFit="1" customWidth="1"/>
    <col min="51" max="51" width="6.42578125" style="683" bestFit="1" customWidth="1"/>
    <col min="52" max="52" width="6.7109375" style="683" bestFit="1" customWidth="1"/>
    <col min="53" max="53" width="7.5703125" style="683" bestFit="1" customWidth="1"/>
    <col min="54" max="16384" width="9.140625" style="683"/>
  </cols>
  <sheetData>
    <row r="1" spans="1:53">
      <c r="A1" s="4314" t="s">
        <v>741</v>
      </c>
      <c r="B1" s="4315"/>
      <c r="C1" s="4316"/>
      <c r="D1" s="616"/>
      <c r="E1" s="4400" t="s">
        <v>4709</v>
      </c>
      <c r="F1" s="4401" t="s">
        <v>4707</v>
      </c>
      <c r="G1" s="4402"/>
      <c r="H1" s="4402"/>
      <c r="I1" s="4402"/>
      <c r="J1" s="4402"/>
      <c r="K1" s="4402"/>
      <c r="L1" s="4402"/>
      <c r="M1" s="4402"/>
      <c r="N1" s="4403"/>
      <c r="O1" s="4404" t="s">
        <v>70</v>
      </c>
      <c r="P1" s="4405"/>
      <c r="Q1" s="4405"/>
      <c r="R1" s="4405"/>
      <c r="S1" s="4405"/>
      <c r="T1" s="4405"/>
      <c r="U1" s="4405"/>
      <c r="V1" s="4405"/>
      <c r="W1" s="4405"/>
      <c r="X1" s="4405"/>
      <c r="Y1" s="4405"/>
      <c r="Z1" s="4405"/>
      <c r="AA1" s="4405"/>
      <c r="AB1" s="4405"/>
      <c r="AC1" s="4405"/>
      <c r="AD1" s="4405"/>
      <c r="AE1" s="4405"/>
      <c r="AF1" s="4405"/>
      <c r="AG1" s="4405"/>
      <c r="AH1" s="4405"/>
      <c r="AI1" s="4406" t="s">
        <v>4358</v>
      </c>
      <c r="AJ1" s="4407"/>
      <c r="AK1" s="4407"/>
      <c r="AL1" s="4407"/>
      <c r="AM1" s="4407"/>
      <c r="AN1" s="4407"/>
      <c r="AO1" s="4408"/>
      <c r="AP1" s="4335" t="s">
        <v>85</v>
      </c>
      <c r="AQ1" s="4336"/>
      <c r="AR1" s="4336"/>
      <c r="AS1" s="4336"/>
      <c r="AT1" s="4336"/>
      <c r="AU1" s="4336"/>
      <c r="AV1" s="4336"/>
      <c r="AW1" s="4336"/>
      <c r="AX1" s="4336"/>
      <c r="AY1" s="4336"/>
      <c r="AZ1" s="4336"/>
      <c r="BA1" s="4337"/>
    </row>
    <row r="2" spans="1:53" s="685" customFormat="1" ht="45">
      <c r="A2" s="4281" t="str">
        <f>HYPERLINK("#Index!A4", "Index Pg")</f>
        <v>Index Pg</v>
      </c>
      <c r="B2" s="684" t="str">
        <f>HYPERLINK("#'Summary of Abstracts'!A2", "Summary of Abst.")</f>
        <v>Summary of Abst.</v>
      </c>
      <c r="C2" s="408"/>
      <c r="D2" s="618"/>
      <c r="E2" s="4400"/>
      <c r="F2" s="455" t="s">
        <v>118</v>
      </c>
      <c r="G2" s="455" t="s">
        <v>131</v>
      </c>
      <c r="H2" s="455" t="s">
        <v>91</v>
      </c>
      <c r="I2" s="455" t="s">
        <v>4705</v>
      </c>
      <c r="J2" s="455" t="s">
        <v>96</v>
      </c>
      <c r="K2" s="619" t="s">
        <v>4064</v>
      </c>
      <c r="L2" s="456" t="s">
        <v>4706</v>
      </c>
      <c r="M2" s="456" t="s">
        <v>4710</v>
      </c>
      <c r="N2" s="456" t="s">
        <v>208</v>
      </c>
      <c r="O2" s="458" t="s">
        <v>4357</v>
      </c>
      <c r="P2" s="458" t="s">
        <v>3848</v>
      </c>
      <c r="Q2" s="458" t="s">
        <v>4719</v>
      </c>
      <c r="R2" s="458" t="s">
        <v>4716</v>
      </c>
      <c r="S2" s="458" t="s">
        <v>4717</v>
      </c>
      <c r="T2" s="458" t="s">
        <v>4718</v>
      </c>
      <c r="U2" s="458" t="s">
        <v>4720</v>
      </c>
      <c r="V2" s="458" t="s">
        <v>4695</v>
      </c>
      <c r="W2" s="458" t="s">
        <v>4721</v>
      </c>
      <c r="X2" s="458" t="s">
        <v>33</v>
      </c>
      <c r="Y2" s="458" t="s">
        <v>4722</v>
      </c>
      <c r="Z2" s="458" t="s">
        <v>4723</v>
      </c>
      <c r="AA2" s="458" t="s">
        <v>4713</v>
      </c>
      <c r="AB2" s="458" t="s">
        <v>742</v>
      </c>
      <c r="AC2" s="458" t="s">
        <v>4714</v>
      </c>
      <c r="AD2" s="458" t="s">
        <v>4715</v>
      </c>
      <c r="AE2" s="458" t="s">
        <v>2379</v>
      </c>
      <c r="AF2" s="458" t="s">
        <v>4724</v>
      </c>
      <c r="AG2" s="458" t="s">
        <v>3847</v>
      </c>
      <c r="AH2" s="458" t="s">
        <v>307</v>
      </c>
      <c r="AI2" s="459" t="s">
        <v>293</v>
      </c>
      <c r="AJ2" s="459" t="s">
        <v>114</v>
      </c>
      <c r="AK2" s="459" t="s">
        <v>146</v>
      </c>
      <c r="AL2" s="459" t="s">
        <v>4674</v>
      </c>
      <c r="AM2" s="459" t="s">
        <v>3316</v>
      </c>
      <c r="AN2" s="459" t="s">
        <v>3986</v>
      </c>
      <c r="AO2" s="459" t="s">
        <v>4544</v>
      </c>
      <c r="AP2" s="460" t="s">
        <v>86</v>
      </c>
      <c r="AQ2" s="460" t="s">
        <v>150</v>
      </c>
      <c r="AR2" s="460" t="s">
        <v>399</v>
      </c>
      <c r="AS2" s="460" t="s">
        <v>152</v>
      </c>
      <c r="AT2" s="460" t="s">
        <v>415</v>
      </c>
      <c r="AU2" s="460" t="s">
        <v>4598</v>
      </c>
      <c r="AV2" s="460" t="s">
        <v>4124</v>
      </c>
      <c r="AW2" s="460" t="s">
        <v>312</v>
      </c>
      <c r="AX2" s="460" t="s">
        <v>314</v>
      </c>
      <c r="AY2" s="460" t="s">
        <v>1034</v>
      </c>
      <c r="AZ2" s="460" t="s">
        <v>1020</v>
      </c>
      <c r="BA2" s="460" t="s">
        <v>4708</v>
      </c>
    </row>
    <row r="3" spans="1:53" s="685" customFormat="1">
      <c r="A3" s="4282"/>
      <c r="B3" s="403" t="str">
        <f>HYPERLINK("#'Budget Summary I'!A1:AL1", "Budget Summary I")</f>
        <v>Budget Summary I</v>
      </c>
      <c r="C3" s="404" t="s">
        <v>4599</v>
      </c>
      <c r="D3" s="618"/>
      <c r="E3" s="699">
        <f>R7</f>
        <v>0</v>
      </c>
      <c r="F3" s="135">
        <f>R9+R21</f>
        <v>0</v>
      </c>
      <c r="G3" s="135">
        <f>R22</f>
        <v>0</v>
      </c>
      <c r="H3" s="135">
        <f>R23</f>
        <v>0</v>
      </c>
      <c r="I3" s="135">
        <f>R24</f>
        <v>0</v>
      </c>
      <c r="J3" s="135">
        <f>R25</f>
        <v>0</v>
      </c>
      <c r="K3" s="483">
        <f>R26</f>
        <v>0</v>
      </c>
      <c r="L3" s="135">
        <f>R27</f>
        <v>0</v>
      </c>
      <c r="M3" s="135">
        <f>R28</f>
        <v>0</v>
      </c>
      <c r="N3" s="483"/>
      <c r="O3" s="483">
        <f>R37</f>
        <v>0</v>
      </c>
      <c r="P3" s="483">
        <f>R32</f>
        <v>0</v>
      </c>
      <c r="Q3" s="483"/>
      <c r="R3" s="483"/>
      <c r="S3" s="483"/>
      <c r="T3" s="483"/>
      <c r="U3" s="483">
        <f>R35</f>
        <v>0</v>
      </c>
      <c r="V3" s="483"/>
      <c r="W3" s="483"/>
      <c r="X3" s="483"/>
      <c r="Y3" s="483"/>
      <c r="Z3" s="483"/>
      <c r="AA3" s="483">
        <f>R13+R14+R15+R16+R17+R18</f>
        <v>0</v>
      </c>
      <c r="AB3" s="483"/>
      <c r="AC3" s="483"/>
      <c r="AD3" s="483"/>
      <c r="AE3" s="483">
        <f>R36</f>
        <v>0</v>
      </c>
      <c r="AF3" s="483">
        <f>R30</f>
        <v>0</v>
      </c>
      <c r="AG3" s="483">
        <f>R34</f>
        <v>0</v>
      </c>
      <c r="AH3" s="483">
        <f>R10+R11+R31+R33+R38+R39+R40+R41+R42+R43+R44+R45</f>
        <v>0</v>
      </c>
      <c r="AI3" s="483">
        <f>R47</f>
        <v>0</v>
      </c>
      <c r="AJ3" s="483">
        <f>R48</f>
        <v>0</v>
      </c>
      <c r="AK3" s="483">
        <f>R49</f>
        <v>0</v>
      </c>
      <c r="AL3" s="483">
        <f>R50</f>
        <v>0</v>
      </c>
      <c r="AM3" s="483">
        <f>R51</f>
        <v>0</v>
      </c>
      <c r="AN3" s="483">
        <f>R52</f>
        <v>0</v>
      </c>
      <c r="AO3" s="483">
        <f>R53</f>
        <v>0</v>
      </c>
      <c r="AP3" s="483">
        <f>R55</f>
        <v>0</v>
      </c>
      <c r="AQ3" s="483">
        <f>R56</f>
        <v>0</v>
      </c>
      <c r="AR3" s="483">
        <f>R57</f>
        <v>0</v>
      </c>
      <c r="AS3" s="483">
        <f>R58</f>
        <v>0</v>
      </c>
      <c r="AT3" s="483">
        <f>R59</f>
        <v>0</v>
      </c>
      <c r="AU3" s="483">
        <f>R64</f>
        <v>0</v>
      </c>
      <c r="AV3" s="483">
        <f>R63</f>
        <v>0</v>
      </c>
      <c r="AW3" s="483"/>
      <c r="AX3" s="483">
        <f>R61</f>
        <v>0</v>
      </c>
      <c r="AY3" s="483">
        <f>R62</f>
        <v>0</v>
      </c>
      <c r="AZ3" s="483">
        <f>R60</f>
        <v>0</v>
      </c>
      <c r="BA3" s="483"/>
    </row>
    <row r="4" spans="1:53" s="685" customFormat="1">
      <c r="A4" s="4283"/>
      <c r="B4" s="403" t="str">
        <f>HYPERLINK("#'Budget Summary II'!A3:B5", "Budget Summary II")</f>
        <v>Budget Summary II</v>
      </c>
      <c r="C4" s="404" t="s">
        <v>4600</v>
      </c>
      <c r="D4" s="618"/>
      <c r="E4" s="699">
        <f>O7</f>
        <v>12931.217954799999</v>
      </c>
      <c r="F4" s="135">
        <f>O9+O21</f>
        <v>1229.4960000000001</v>
      </c>
      <c r="G4" s="135">
        <f>O22</f>
        <v>864.70744999999977</v>
      </c>
      <c r="H4" s="135">
        <f>O23</f>
        <v>551.49628000000007</v>
      </c>
      <c r="I4" s="135">
        <f>O24</f>
        <v>656.77887999999996</v>
      </c>
      <c r="J4" s="135">
        <f>O25</f>
        <v>105.73471499999999</v>
      </c>
      <c r="K4" s="483">
        <f>O26</f>
        <v>7.5</v>
      </c>
      <c r="L4" s="135">
        <f>O27</f>
        <v>113.08752</v>
      </c>
      <c r="M4" s="135">
        <f>O28</f>
        <v>0</v>
      </c>
      <c r="N4" s="483"/>
      <c r="O4" s="483">
        <f>O37</f>
        <v>3980.3190000000004</v>
      </c>
      <c r="P4" s="483">
        <f>O32</f>
        <v>57.66</v>
      </c>
      <c r="Q4" s="483"/>
      <c r="R4" s="483"/>
      <c r="S4" s="483"/>
      <c r="T4" s="483"/>
      <c r="U4" s="483">
        <f>O35</f>
        <v>79.8</v>
      </c>
      <c r="V4" s="483"/>
      <c r="W4" s="483"/>
      <c r="X4" s="483"/>
      <c r="Y4" s="483"/>
      <c r="Z4" s="483"/>
      <c r="AA4" s="483">
        <f>O13+O14+O15+O16+O17+O18</f>
        <v>982.33249980000005</v>
      </c>
      <c r="AB4" s="483"/>
      <c r="AC4" s="483"/>
      <c r="AD4" s="483"/>
      <c r="AE4" s="483">
        <f>O36</f>
        <v>1025.4760000000001</v>
      </c>
      <c r="AF4" s="483">
        <f>O30</f>
        <v>47.5</v>
      </c>
      <c r="AG4" s="483">
        <f>O34</f>
        <v>0</v>
      </c>
      <c r="AH4" s="483">
        <f>O10+O11+O31+O33+O38+O39+O40+O41+O42+O43+O44+O45</f>
        <v>892.63236999999992</v>
      </c>
      <c r="AI4" s="483">
        <f>O47</f>
        <v>20.808</v>
      </c>
      <c r="AJ4" s="483">
        <f>O48</f>
        <v>656.40329999999994</v>
      </c>
      <c r="AK4" s="483">
        <f>O49</f>
        <v>48.77</v>
      </c>
      <c r="AL4" s="483">
        <f>O50</f>
        <v>223.42</v>
      </c>
      <c r="AM4" s="483">
        <f>O51</f>
        <v>14</v>
      </c>
      <c r="AN4" s="483">
        <f>O52</f>
        <v>2.1360000000000001</v>
      </c>
      <c r="AO4" s="483">
        <f>O53</f>
        <v>0</v>
      </c>
      <c r="AP4" s="483">
        <f>O55</f>
        <v>4</v>
      </c>
      <c r="AQ4" s="483">
        <f>O56</f>
        <v>55.099999999999994</v>
      </c>
      <c r="AR4" s="483">
        <f>O57</f>
        <v>0</v>
      </c>
      <c r="AS4" s="483">
        <f>O58</f>
        <v>11.5</v>
      </c>
      <c r="AT4" s="483">
        <f>O59</f>
        <v>1262.3600000000001</v>
      </c>
      <c r="AU4" s="483">
        <f>O64</f>
        <v>0</v>
      </c>
      <c r="AV4" s="483">
        <f>O63</f>
        <v>2.4000000000000004</v>
      </c>
      <c r="AW4" s="483"/>
      <c r="AX4" s="483">
        <f>O61</f>
        <v>0</v>
      </c>
      <c r="AY4" s="483">
        <f>O62</f>
        <v>3.3</v>
      </c>
      <c r="AZ4" s="483">
        <f>O60</f>
        <v>32.499940000000002</v>
      </c>
      <c r="BA4" s="483"/>
    </row>
    <row r="5" spans="1:53" s="589" customFormat="1" ht="12.75" customHeight="1">
      <c r="A5" s="4323" t="s">
        <v>53</v>
      </c>
      <c r="B5" s="4323" t="s">
        <v>54</v>
      </c>
      <c r="C5" s="4323" t="s">
        <v>55</v>
      </c>
      <c r="D5" s="4323" t="s">
        <v>56</v>
      </c>
      <c r="E5" s="4323" t="s">
        <v>57</v>
      </c>
      <c r="F5" s="4409" t="s">
        <v>4620</v>
      </c>
      <c r="G5" s="4409"/>
      <c r="H5" s="4409"/>
      <c r="I5" s="4409"/>
      <c r="J5" s="4409"/>
      <c r="K5" s="4454" t="s">
        <v>4631</v>
      </c>
      <c r="L5" s="4455"/>
      <c r="M5" s="4455"/>
      <c r="N5" s="4455"/>
      <c r="O5" s="4455"/>
      <c r="P5" s="4456"/>
      <c r="Q5" s="4457" t="s">
        <v>4661</v>
      </c>
      <c r="R5" s="4458"/>
    </row>
    <row r="6" spans="1:53" s="700" customFormat="1" ht="45">
      <c r="A6" s="4323"/>
      <c r="B6" s="4323"/>
      <c r="C6" s="4323"/>
      <c r="D6" s="4323"/>
      <c r="E6" s="4323"/>
      <c r="F6" s="464" t="s">
        <v>4621</v>
      </c>
      <c r="G6" s="464" t="s">
        <v>4629</v>
      </c>
      <c r="H6" s="464" t="s">
        <v>4622</v>
      </c>
      <c r="I6" s="464" t="s">
        <v>4630</v>
      </c>
      <c r="J6" s="464" t="s">
        <v>2534</v>
      </c>
      <c r="K6" s="465" t="s">
        <v>58</v>
      </c>
      <c r="L6" s="465" t="s">
        <v>59</v>
      </c>
      <c r="M6" s="466" t="s">
        <v>60</v>
      </c>
      <c r="N6" s="465" t="s">
        <v>61</v>
      </c>
      <c r="O6" s="466" t="s">
        <v>62</v>
      </c>
      <c r="P6" s="465" t="s">
        <v>5564</v>
      </c>
      <c r="Q6" s="467" t="s">
        <v>2536</v>
      </c>
      <c r="R6" s="468" t="s">
        <v>4662</v>
      </c>
    </row>
    <row r="7" spans="1:53" s="561" customFormat="1">
      <c r="A7" s="154">
        <v>9</v>
      </c>
      <c r="B7" s="484"/>
      <c r="C7" s="154" t="s">
        <v>5101</v>
      </c>
      <c r="D7" s="624"/>
      <c r="E7" s="624"/>
      <c r="F7" s="154"/>
      <c r="G7" s="154"/>
      <c r="H7" s="154"/>
      <c r="I7" s="154"/>
      <c r="J7" s="154"/>
      <c r="K7" s="154"/>
      <c r="L7" s="154"/>
      <c r="M7" s="410"/>
      <c r="N7" s="154"/>
      <c r="O7" s="148">
        <f>O8+O19</f>
        <v>12931.217954799999</v>
      </c>
      <c r="P7" s="154"/>
      <c r="Q7" s="154"/>
      <c r="R7" s="148">
        <f>R8+R19</f>
        <v>0</v>
      </c>
    </row>
    <row r="8" spans="1:53" s="561" customFormat="1" ht="45">
      <c r="A8" s="203">
        <v>9.1</v>
      </c>
      <c r="B8" s="612"/>
      <c r="C8" s="517" t="s">
        <v>4343</v>
      </c>
      <c r="D8" s="625"/>
      <c r="E8" s="625"/>
      <c r="F8" s="626"/>
      <c r="G8" s="626"/>
      <c r="H8" s="626"/>
      <c r="I8" s="626"/>
      <c r="J8" s="626"/>
      <c r="K8" s="626"/>
      <c r="L8" s="626"/>
      <c r="M8" s="701"/>
      <c r="N8" s="702"/>
      <c r="O8" s="703">
        <f>SUM(O9:O12)</f>
        <v>1884.0524998000001</v>
      </c>
      <c r="P8" s="226"/>
      <c r="Q8" s="226"/>
      <c r="R8" s="703">
        <f>SUM(R9:R12)</f>
        <v>0</v>
      </c>
    </row>
    <row r="9" spans="1:53" s="707" customFormat="1">
      <c r="A9" s="230" t="s">
        <v>743</v>
      </c>
      <c r="B9" s="474"/>
      <c r="C9" s="230" t="s">
        <v>5013</v>
      </c>
      <c r="D9" s="704" t="s">
        <v>90</v>
      </c>
      <c r="E9" s="608" t="s">
        <v>118</v>
      </c>
      <c r="F9" s="705"/>
      <c r="G9" s="705"/>
      <c r="H9" s="214"/>
      <c r="I9" s="214"/>
      <c r="J9" s="214"/>
      <c r="K9" s="214"/>
      <c r="L9" s="191"/>
      <c r="M9" s="344"/>
      <c r="N9" s="191"/>
      <c r="O9" s="742">
        <f>'9-A.Training Sub-Annex'!P6</f>
        <v>450.86</v>
      </c>
      <c r="P9" s="221"/>
      <c r="Q9" s="213"/>
      <c r="R9" s="201">
        <f>'9-A.Training Sub-Annex'!S6</f>
        <v>0</v>
      </c>
    </row>
    <row r="10" spans="1:53" ht="30">
      <c r="A10" s="230" t="s">
        <v>746</v>
      </c>
      <c r="B10" s="236" t="s">
        <v>756</v>
      </c>
      <c r="C10" s="236" t="s">
        <v>757</v>
      </c>
      <c r="D10" s="457" t="s">
        <v>70</v>
      </c>
      <c r="E10" s="604" t="s">
        <v>5102</v>
      </c>
      <c r="F10" s="708"/>
      <c r="G10" s="708"/>
      <c r="H10" s="189"/>
      <c r="I10" s="189"/>
      <c r="J10" s="189"/>
      <c r="K10" s="189"/>
      <c r="L10" s="190"/>
      <c r="M10" s="743"/>
      <c r="N10" s="190"/>
      <c r="O10" s="744">
        <f>'9-A.Training Sub-Annex'!P11</f>
        <v>450.86</v>
      </c>
      <c r="P10" s="210"/>
      <c r="Q10" s="212"/>
      <c r="R10" s="709">
        <f>'9-A.Training Sub-Annex'!S11</f>
        <v>0</v>
      </c>
    </row>
    <row r="11" spans="1:53">
      <c r="A11" s="230" t="s">
        <v>749</v>
      </c>
      <c r="B11" s="236"/>
      <c r="C11" s="236" t="s">
        <v>5014</v>
      </c>
      <c r="D11" s="457" t="s">
        <v>70</v>
      </c>
      <c r="E11" s="536" t="s">
        <v>4551</v>
      </c>
      <c r="F11" s="708"/>
      <c r="G11" s="708"/>
      <c r="H11" s="189"/>
      <c r="I11" s="189"/>
      <c r="J11" s="189"/>
      <c r="K11" s="189"/>
      <c r="L11" s="190"/>
      <c r="M11" s="743"/>
      <c r="N11" s="190"/>
      <c r="O11" s="744">
        <f>'9-A.Training Sub-Annex'!P12</f>
        <v>0</v>
      </c>
      <c r="P11" s="210"/>
      <c r="Q11" s="212"/>
      <c r="R11" s="709">
        <f>'9-A.Training Sub-Annex'!S12</f>
        <v>0</v>
      </c>
    </row>
    <row r="12" spans="1:53">
      <c r="A12" s="687" t="s">
        <v>752</v>
      </c>
      <c r="B12" s="475"/>
      <c r="C12" s="475" t="s">
        <v>3118</v>
      </c>
      <c r="D12" s="710"/>
      <c r="E12" s="710"/>
      <c r="F12" s="711"/>
      <c r="G12" s="711"/>
      <c r="H12" s="270"/>
      <c r="I12" s="270"/>
      <c r="J12" s="270"/>
      <c r="K12" s="270"/>
      <c r="L12" s="146"/>
      <c r="M12" s="745"/>
      <c r="N12" s="146"/>
      <c r="O12" s="746">
        <f>SUM(O13:O18)</f>
        <v>982.33249980000005</v>
      </c>
      <c r="P12" s="217"/>
      <c r="Q12" s="713"/>
      <c r="R12" s="712">
        <f>SUM(R13:R18)</f>
        <v>0</v>
      </c>
    </row>
    <row r="13" spans="1:53">
      <c r="A13" s="230" t="s">
        <v>5049</v>
      </c>
      <c r="B13" s="236" t="s">
        <v>764</v>
      </c>
      <c r="C13" s="236" t="s">
        <v>765</v>
      </c>
      <c r="D13" s="457" t="s">
        <v>70</v>
      </c>
      <c r="E13" s="579" t="s">
        <v>3899</v>
      </c>
      <c r="F13" s="708"/>
      <c r="G13" s="708"/>
      <c r="H13" s="189"/>
      <c r="I13" s="189"/>
      <c r="J13" s="189"/>
      <c r="K13" s="694">
        <f>'9-A.Training Sub-Annex'!L17</f>
        <v>0</v>
      </c>
      <c r="L13" s="694">
        <f>'9-A.Training Sub-Annex'!M17</f>
        <v>0</v>
      </c>
      <c r="M13" s="241">
        <f>'9-A.Training Sub-Annex'!N17</f>
        <v>0</v>
      </c>
      <c r="N13" s="694">
        <f>'9-A.Training Sub-Annex'!O17</f>
        <v>0</v>
      </c>
      <c r="O13" s="241">
        <f>'9-A.Training Sub-Annex'!P17</f>
        <v>0</v>
      </c>
      <c r="P13" s="686">
        <f>'9-A.Training Sub-Annex'!Q17</f>
        <v>0</v>
      </c>
      <c r="Q13" s="686">
        <f>'9-A.Training Sub-Annex'!R17</f>
        <v>0</v>
      </c>
      <c r="R13" s="241">
        <f>'9-A.Training Sub-Annex'!S17</f>
        <v>0</v>
      </c>
    </row>
    <row r="14" spans="1:53" ht="30">
      <c r="A14" s="230" t="s">
        <v>5050</v>
      </c>
      <c r="B14" s="236" t="s">
        <v>3117</v>
      </c>
      <c r="C14" s="236" t="s">
        <v>5015</v>
      </c>
      <c r="D14" s="457" t="s">
        <v>70</v>
      </c>
      <c r="E14" s="714" t="s">
        <v>5569</v>
      </c>
      <c r="F14" s="708"/>
      <c r="G14" s="708"/>
      <c r="H14" s="189"/>
      <c r="I14" s="189"/>
      <c r="J14" s="189"/>
      <c r="K14" s="694">
        <f>'9-A.Training Sub-Annex'!L18</f>
        <v>0</v>
      </c>
      <c r="L14" s="694">
        <f>'9-A.Training Sub-Annex'!M18</f>
        <v>89871000</v>
      </c>
      <c r="M14" s="241">
        <f>'9-A.Training Sub-Annex'!N18</f>
        <v>898.71</v>
      </c>
      <c r="N14" s="694">
        <f>'9-A.Training Sub-Annex'!O18</f>
        <v>1</v>
      </c>
      <c r="O14" s="241">
        <f>'9-A.Training Sub-Annex'!P18</f>
        <v>898.71</v>
      </c>
      <c r="P14" s="686" t="str">
        <f>'9-A.Training Sub-Annex'!Q18</f>
        <v>Details as per annexure</v>
      </c>
      <c r="Q14" s="686">
        <f>'9-A.Training Sub-Annex'!R18</f>
        <v>0</v>
      </c>
      <c r="R14" s="241">
        <f>'9-A.Training Sub-Annex'!S18</f>
        <v>0</v>
      </c>
    </row>
    <row r="15" spans="1:53" ht="195">
      <c r="A15" s="230" t="s">
        <v>5051</v>
      </c>
      <c r="B15" s="244"/>
      <c r="C15" s="236" t="s">
        <v>3815</v>
      </c>
      <c r="D15" s="457" t="s">
        <v>70</v>
      </c>
      <c r="E15" s="579" t="s">
        <v>3899</v>
      </c>
      <c r="F15" s="708"/>
      <c r="G15" s="708"/>
      <c r="H15" s="189"/>
      <c r="I15" s="189"/>
      <c r="J15" s="189"/>
      <c r="K15" s="694" t="str">
        <f>'9-A.Training Sub-Annex'!L19</f>
        <v>Per Participants</v>
      </c>
      <c r="L15" s="694">
        <f>'9-A.Training Sub-Annex'!M19</f>
        <v>1140000</v>
      </c>
      <c r="M15" s="241">
        <f>'9-A.Training Sub-Annex'!N19</f>
        <v>11.4</v>
      </c>
      <c r="N15" s="694">
        <f>'9-A.Training Sub-Annex'!O19</f>
        <v>1</v>
      </c>
      <c r="O15" s="241">
        <f>'9-A.Training Sub-Annex'!P19</f>
        <v>11.4</v>
      </c>
      <c r="P15" s="686" t="str">
        <f>'9-A.Training Sub-Annex'!Q19</f>
        <v>1) State level Midwifery Educators:  
Addtional Allowances @ 15000/- per month.
as in -service candidates are deputed for Midwifery educator training  (For one year 180000/- per MEs,So Toatl for 6 Participants Rs.1080000/-for 1 year at SMTI (IGIMS), Patna                                                             
 2) Program Co-Ordinator : 
Incentive @5000/-per month to Principal College of Nursing for Coordination and Management of NPM Course ,So Total Rs.60000/- for an year at SMTI (IGIMS), Patna                                                                    
Grand total=  Rs.1140000/- (Eleven lakh and fourty thousands)</v>
      </c>
      <c r="Q15" s="686">
        <f>'9-A.Training Sub-Annex'!R19</f>
        <v>0</v>
      </c>
      <c r="R15" s="241">
        <f>'9-A.Training Sub-Annex'!S19</f>
        <v>0</v>
      </c>
    </row>
    <row r="16" spans="1:53" ht="409.5">
      <c r="A16" s="230" t="s">
        <v>5052</v>
      </c>
      <c r="B16" s="474"/>
      <c r="C16" s="236" t="s">
        <v>1310</v>
      </c>
      <c r="D16" s="457" t="s">
        <v>70</v>
      </c>
      <c r="E16" s="579" t="s">
        <v>3888</v>
      </c>
      <c r="F16" s="708"/>
      <c r="G16" s="708"/>
      <c r="H16" s="189"/>
      <c r="I16" s="189"/>
      <c r="J16" s="189"/>
      <c r="K16" s="694" t="str">
        <f>'9-A.Training Sub-Annex'!L20</f>
        <v>No. of Training</v>
      </c>
      <c r="L16" s="694">
        <f>'9-A.Training Sub-Annex'!M20</f>
        <v>909566.66</v>
      </c>
      <c r="M16" s="241">
        <f>'9-A.Training Sub-Annex'!N20</f>
        <v>9.0956665999999995</v>
      </c>
      <c r="N16" s="694">
        <f>'9-A.Training Sub-Annex'!O20</f>
        <v>3</v>
      </c>
      <c r="O16" s="241">
        <f>'9-A.Training Sub-Annex'!P20</f>
        <v>27.286999799999997</v>
      </c>
      <c r="P16" s="686" t="str">
        <f>'9-A.Training Sub-Annex'!Q20</f>
        <v xml:space="preserve">Continued Activity:
1. 6 Weeks Training of Nursing Faculty- Fund is proposed for 6 weeks training for Nursing faculty of  all Govt. ANM and GNM institutes at State Nodal Centre, IGIMS. 43 Govt. ANM/GNM Institute are functional in the state. In F.Y. 2020-21 training of 45 nursing faculty from each school in 3 batches (per batch 15 faculty). The budget break-up as follows-
a.  (750 for stay + 300 DA + 250 Refreshment)/ Participants x 42 days x 15 Participants/Batch = 1300 x 42 x 15 = 8,19,000/-
b. Travel Expenses @ 1,000 (as per actuals) x 15 Participants = 1000 x 15 = 15,000/-
c. Principal- Coordinator (One time per training) = 5,000/-
d. Incentives for Master trainer @ Rs. 300 per day (for 2 lectures/day) x 24 day (excluding 12 day clinical + 6 Sunday) = 300 x 24 = 7,200/-
e. DA for clinical preceptor @ Rs. 250 (each clinical preceptor) x 2 preceptor (each shift) x 2 shift (each day) x 12 days = 250 x 2 x 2 x 12 = 12,000/-
f. POL from SNC to clinical area for 12 days = 10,000/-
g. Workshop kit (bag and stationary) @ Rs. 300 x 15 =  4,500/-
h. Teaching aids (Flip charts, markers, VIPP cards and photocopying, betadine, pregnancy kit, etc) = 20,000/-
i. Support staff-Office Boy @ Rs.100/day x 36 days = 100 x 36 = 3,600/-
j. Support staff-Sweeper @ Rs.100/day x 36 days = 100 x 36 = 3,600/-
Sub total amount per training = (8,19,000 + 15,000 + 5,000 + 7,200 + 12,000 + 10,000 + 4,500 + 20,000 + 3,600 + 3,600) = 8,99,900/-
Total amount required for 3 trainings = Rs. 8,99,900 x 3 = Rs. 26,99,700/-
2. Fund for Mentorship Visit of 2 Nursing Midwifery Tutor = Rs.29,000/-
Total fund proposed =  26,99,700 + 29,000 = Rs. 27,28,700/-
</v>
      </c>
      <c r="Q16" s="686">
        <f>'9-A.Training Sub-Annex'!R20</f>
        <v>0</v>
      </c>
      <c r="R16" s="241">
        <f>'9-A.Training Sub-Annex'!S20</f>
        <v>0</v>
      </c>
    </row>
    <row r="17" spans="1:23">
      <c r="A17" s="230" t="s">
        <v>5053</v>
      </c>
      <c r="B17" s="157"/>
      <c r="C17" s="533" t="s">
        <v>3911</v>
      </c>
      <c r="D17" s="457" t="s">
        <v>70</v>
      </c>
      <c r="E17" s="491" t="s">
        <v>3888</v>
      </c>
      <c r="F17" s="708"/>
      <c r="G17" s="708"/>
      <c r="H17" s="189"/>
      <c r="I17" s="189"/>
      <c r="J17" s="189"/>
      <c r="K17" s="694">
        <f>'9-A.Training Sub-Annex'!L21</f>
        <v>0</v>
      </c>
      <c r="L17" s="694">
        <f>'9-A.Training Sub-Annex'!M21</f>
        <v>4493550</v>
      </c>
      <c r="M17" s="241">
        <f>'9-A.Training Sub-Annex'!N21</f>
        <v>44.935499999999998</v>
      </c>
      <c r="N17" s="694">
        <f>'9-A.Training Sub-Annex'!O21</f>
        <v>1</v>
      </c>
      <c r="O17" s="241">
        <f>'9-A.Training Sub-Annex'!P21</f>
        <v>44.935499999999998</v>
      </c>
      <c r="P17" s="686">
        <f>'9-A.Training Sub-Annex'!Q21</f>
        <v>0</v>
      </c>
      <c r="Q17" s="686">
        <f>'9-A.Training Sub-Annex'!R21</f>
        <v>0</v>
      </c>
      <c r="R17" s="241">
        <f>'9-A.Training Sub-Annex'!S21</f>
        <v>0</v>
      </c>
    </row>
    <row r="18" spans="1:23" ht="30">
      <c r="A18" s="230" t="s">
        <v>5054</v>
      </c>
      <c r="B18" s="157"/>
      <c r="C18" s="533" t="s">
        <v>718</v>
      </c>
      <c r="D18" s="457" t="s">
        <v>70</v>
      </c>
      <c r="E18" s="491" t="s">
        <v>3888</v>
      </c>
      <c r="F18" s="708"/>
      <c r="G18" s="708"/>
      <c r="H18" s="189"/>
      <c r="I18" s="189"/>
      <c r="J18" s="189"/>
      <c r="K18" s="694">
        <f>'9-A.Training Sub-Annex'!L22</f>
        <v>0</v>
      </c>
      <c r="L18" s="694">
        <f>'9-A.Training Sub-Annex'!M22</f>
        <v>0</v>
      </c>
      <c r="M18" s="241">
        <f>'9-A.Training Sub-Annex'!N22</f>
        <v>0</v>
      </c>
      <c r="N18" s="694">
        <f>'9-A.Training Sub-Annex'!O22</f>
        <v>0</v>
      </c>
      <c r="O18" s="241">
        <f>'9-A.Training Sub-Annex'!P22</f>
        <v>0</v>
      </c>
      <c r="P18" s="686">
        <f>'9-A.Training Sub-Annex'!Q22</f>
        <v>0</v>
      </c>
      <c r="Q18" s="686">
        <f>'9-A.Training Sub-Annex'!R22</f>
        <v>0</v>
      </c>
      <c r="R18" s="241">
        <f>'9-A.Training Sub-Annex'!S22</f>
        <v>0</v>
      </c>
    </row>
    <row r="19" spans="1:23" ht="30">
      <c r="A19" s="715">
        <v>9.1999999999999993</v>
      </c>
      <c r="B19" s="641"/>
      <c r="C19" s="641" t="s">
        <v>5016</v>
      </c>
      <c r="D19" s="716"/>
      <c r="E19" s="693"/>
      <c r="F19" s="717"/>
      <c r="G19" s="717"/>
      <c r="H19" s="271"/>
      <c r="I19" s="271"/>
      <c r="J19" s="271"/>
      <c r="K19" s="272"/>
      <c r="L19" s="266"/>
      <c r="M19" s="326"/>
      <c r="N19" s="266"/>
      <c r="O19" s="747">
        <f>O20+O29+O46+O54</f>
        <v>11047.165454999998</v>
      </c>
      <c r="P19" s="253"/>
      <c r="Q19" s="718"/>
      <c r="R19" s="703">
        <f>R20+R29+R46+R54</f>
        <v>0</v>
      </c>
    </row>
    <row r="20" spans="1:23">
      <c r="A20" s="650" t="s">
        <v>763</v>
      </c>
      <c r="B20" s="719"/>
      <c r="C20" s="650" t="s">
        <v>5017</v>
      </c>
      <c r="D20" s="646"/>
      <c r="E20" s="646"/>
      <c r="F20" s="648"/>
      <c r="G20" s="648"/>
      <c r="H20" s="263"/>
      <c r="I20" s="263"/>
      <c r="J20" s="263"/>
      <c r="K20" s="263"/>
      <c r="L20" s="263"/>
      <c r="M20" s="748"/>
      <c r="N20" s="278"/>
      <c r="O20" s="748">
        <f>SUM(O21:O28)</f>
        <v>3077.9408449999996</v>
      </c>
      <c r="P20" s="262"/>
      <c r="Q20" s="650"/>
      <c r="R20" s="338">
        <f>SUM(R21:R28)</f>
        <v>0</v>
      </c>
    </row>
    <row r="21" spans="1:23" s="685" customFormat="1">
      <c r="A21" s="230" t="s">
        <v>5055</v>
      </c>
      <c r="B21" s="244"/>
      <c r="C21" s="720" t="s">
        <v>767</v>
      </c>
      <c r="D21" s="704" t="s">
        <v>90</v>
      </c>
      <c r="E21" s="608" t="s">
        <v>118</v>
      </c>
      <c r="F21" s="721"/>
      <c r="G21" s="721"/>
      <c r="H21" s="220"/>
      <c r="I21" s="220"/>
      <c r="J21" s="220"/>
      <c r="K21" s="220"/>
      <c r="L21" s="193"/>
      <c r="M21" s="337"/>
      <c r="N21" s="193"/>
      <c r="O21" s="742">
        <f>'9-A.Training Sub-Annex'!P25</f>
        <v>778.63599999999997</v>
      </c>
      <c r="P21" s="221"/>
      <c r="Q21" s="213"/>
      <c r="R21" s="706">
        <f>'9-A.Training Sub-Annex'!S25</f>
        <v>0</v>
      </c>
    </row>
    <row r="22" spans="1:23" s="685" customFormat="1">
      <c r="A22" s="230" t="s">
        <v>5056</v>
      </c>
      <c r="B22" s="244"/>
      <c r="C22" s="244" t="s">
        <v>827</v>
      </c>
      <c r="D22" s="704" t="s">
        <v>90</v>
      </c>
      <c r="E22" s="608" t="s">
        <v>131</v>
      </c>
      <c r="F22" s="721"/>
      <c r="G22" s="721"/>
      <c r="H22" s="220"/>
      <c r="I22" s="220"/>
      <c r="J22" s="220"/>
      <c r="K22" s="220"/>
      <c r="L22" s="193"/>
      <c r="M22" s="337"/>
      <c r="N22" s="193"/>
      <c r="O22" s="742">
        <f>'9-A.Training Sub-Annex'!P54</f>
        <v>864.70744999999977</v>
      </c>
      <c r="P22" s="221"/>
      <c r="Q22" s="213"/>
      <c r="R22" s="706">
        <f>'9-A.Training Sub-Annex'!S54</f>
        <v>0</v>
      </c>
    </row>
    <row r="23" spans="1:23" s="685" customFormat="1">
      <c r="A23" s="230" t="s">
        <v>5057</v>
      </c>
      <c r="B23" s="244"/>
      <c r="C23" s="244" t="s">
        <v>882</v>
      </c>
      <c r="D23" s="704" t="s">
        <v>90</v>
      </c>
      <c r="E23" s="608" t="s">
        <v>91</v>
      </c>
      <c r="F23" s="721"/>
      <c r="G23" s="721"/>
      <c r="H23" s="220"/>
      <c r="I23" s="220"/>
      <c r="J23" s="220"/>
      <c r="K23" s="220"/>
      <c r="L23" s="220"/>
      <c r="M23" s="742"/>
      <c r="N23" s="277"/>
      <c r="O23" s="742">
        <f>'9-A.Training Sub-Annex'!P81</f>
        <v>551.49628000000007</v>
      </c>
      <c r="P23" s="221"/>
      <c r="Q23" s="213"/>
      <c r="R23" s="706">
        <f>'9-A.Training Sub-Annex'!S81</f>
        <v>0</v>
      </c>
    </row>
    <row r="24" spans="1:23" s="685" customFormat="1">
      <c r="A24" s="230" t="s">
        <v>5058</v>
      </c>
      <c r="B24" s="244"/>
      <c r="C24" s="244" t="s">
        <v>955</v>
      </c>
      <c r="D24" s="704" t="s">
        <v>90</v>
      </c>
      <c r="E24" s="608" t="s">
        <v>193</v>
      </c>
      <c r="F24" s="721"/>
      <c r="G24" s="721"/>
      <c r="H24" s="220"/>
      <c r="I24" s="220"/>
      <c r="J24" s="220"/>
      <c r="K24" s="220"/>
      <c r="L24" s="193"/>
      <c r="M24" s="337"/>
      <c r="N24" s="193"/>
      <c r="O24" s="742">
        <f>'9-A.Training Sub-Annex'!P110</f>
        <v>656.77887999999996</v>
      </c>
      <c r="P24" s="221"/>
      <c r="Q24" s="213"/>
      <c r="R24" s="706">
        <f>'9-A.Training Sub-Annex'!S110</f>
        <v>0</v>
      </c>
    </row>
    <row r="25" spans="1:23" s="685" customFormat="1">
      <c r="A25" s="230" t="s">
        <v>5059</v>
      </c>
      <c r="B25" s="244"/>
      <c r="C25" s="244" t="s">
        <v>2578</v>
      </c>
      <c r="D25" s="704" t="s">
        <v>90</v>
      </c>
      <c r="E25" s="608" t="s">
        <v>96</v>
      </c>
      <c r="F25" s="721"/>
      <c r="G25" s="721"/>
      <c r="H25" s="220"/>
      <c r="I25" s="220"/>
      <c r="J25" s="220"/>
      <c r="K25" s="220"/>
      <c r="L25" s="193"/>
      <c r="M25" s="337"/>
      <c r="N25" s="193"/>
      <c r="O25" s="742">
        <f>'9-A.Training Sub-Annex'!P128</f>
        <v>105.73471499999999</v>
      </c>
      <c r="P25" s="221"/>
      <c r="Q25" s="213"/>
      <c r="R25" s="706">
        <f>'9-A.Training Sub-Annex'!S128</f>
        <v>0</v>
      </c>
    </row>
    <row r="26" spans="1:23" s="685" customFormat="1">
      <c r="A26" s="230" t="s">
        <v>5060</v>
      </c>
      <c r="B26" s="244"/>
      <c r="C26" s="244" t="s">
        <v>1131</v>
      </c>
      <c r="D26" s="704" t="s">
        <v>90</v>
      </c>
      <c r="E26" s="608" t="s">
        <v>4064</v>
      </c>
      <c r="F26" s="721"/>
      <c r="G26" s="721"/>
      <c r="H26" s="220"/>
      <c r="I26" s="220"/>
      <c r="J26" s="220"/>
      <c r="K26" s="220"/>
      <c r="L26" s="193"/>
      <c r="M26" s="337"/>
      <c r="N26" s="193"/>
      <c r="O26" s="742">
        <f>'9-A.Training Sub-Annex'!P134</f>
        <v>7.5</v>
      </c>
      <c r="P26" s="221"/>
      <c r="Q26" s="213"/>
      <c r="R26" s="706">
        <f>'9-A.Training Sub-Annex'!S134</f>
        <v>0</v>
      </c>
    </row>
    <row r="27" spans="1:23" s="685" customFormat="1">
      <c r="A27" s="230" t="s">
        <v>5061</v>
      </c>
      <c r="B27" s="542"/>
      <c r="C27" s="542" t="s">
        <v>1036</v>
      </c>
      <c r="D27" s="704" t="s">
        <v>90</v>
      </c>
      <c r="E27" s="491" t="s">
        <v>205</v>
      </c>
      <c r="F27" s="607"/>
      <c r="G27" s="607"/>
      <c r="H27" s="159"/>
      <c r="I27" s="159"/>
      <c r="J27" s="159"/>
      <c r="K27" s="159"/>
      <c r="L27" s="159"/>
      <c r="M27" s="742"/>
      <c r="N27" s="273"/>
      <c r="O27" s="742">
        <f>'9-A.Training Sub-Annex'!P139</f>
        <v>113.08752</v>
      </c>
      <c r="P27" s="160"/>
      <c r="Q27" s="157"/>
      <c r="R27" s="706">
        <f>'9-A.Training Sub-Annex'!S139</f>
        <v>0</v>
      </c>
    </row>
    <row r="28" spans="1:23" s="685" customFormat="1" ht="30">
      <c r="A28" s="230" t="s">
        <v>5062</v>
      </c>
      <c r="B28" s="244"/>
      <c r="C28" s="244" t="s">
        <v>5063</v>
      </c>
      <c r="D28" s="704" t="s">
        <v>90</v>
      </c>
      <c r="E28" s="608" t="s">
        <v>90</v>
      </c>
      <c r="F28" s="609"/>
      <c r="G28" s="610"/>
      <c r="H28" s="218"/>
      <c r="I28" s="218"/>
      <c r="J28" s="194"/>
      <c r="K28" s="194"/>
      <c r="L28" s="193"/>
      <c r="M28" s="337"/>
      <c r="N28" s="193"/>
      <c r="O28" s="742">
        <f>'9-A.Training Sub-Annex'!P142</f>
        <v>0</v>
      </c>
      <c r="P28" s="144"/>
      <c r="Q28" s="213"/>
      <c r="R28" s="706">
        <f>'9-A.Training Sub-Annex'!S142</f>
        <v>0</v>
      </c>
    </row>
    <row r="29" spans="1:23" s="561" customFormat="1">
      <c r="A29" s="650" t="s">
        <v>2409</v>
      </c>
      <c r="B29" s="722"/>
      <c r="C29" s="723" t="s">
        <v>5037</v>
      </c>
      <c r="D29" s="724"/>
      <c r="E29" s="725"/>
      <c r="F29" s="726"/>
      <c r="G29" s="727"/>
      <c r="H29" s="280"/>
      <c r="I29" s="280"/>
      <c r="J29" s="279"/>
      <c r="K29" s="279"/>
      <c r="L29" s="269"/>
      <c r="M29" s="748"/>
      <c r="N29" s="269"/>
      <c r="O29" s="748">
        <f>SUM(O30:O45)</f>
        <v>5632.5273699999998</v>
      </c>
      <c r="P29" s="281"/>
      <c r="Q29" s="728"/>
      <c r="R29" s="338">
        <f>SUM(R30:R45)</f>
        <v>0</v>
      </c>
    </row>
    <row r="30" spans="1:23" s="561" customFormat="1">
      <c r="A30" s="230" t="s">
        <v>5064</v>
      </c>
      <c r="B30" s="474"/>
      <c r="C30" s="244" t="s">
        <v>2581</v>
      </c>
      <c r="D30" s="457" t="s">
        <v>70</v>
      </c>
      <c r="E30" s="579" t="s">
        <v>2087</v>
      </c>
      <c r="F30" s="729"/>
      <c r="G30" s="729"/>
      <c r="H30" s="188"/>
      <c r="I30" s="188"/>
      <c r="J30" s="188"/>
      <c r="K30" s="188"/>
      <c r="L30" s="193"/>
      <c r="M30" s="337"/>
      <c r="N30" s="193"/>
      <c r="O30" s="742">
        <f>'9-A.Training Sub-Annex'!P146</f>
        <v>47.5</v>
      </c>
      <c r="P30" s="215"/>
      <c r="Q30" s="402"/>
      <c r="R30" s="706">
        <f>'9-A.Training Sub-Annex'!S146</f>
        <v>0</v>
      </c>
      <c r="S30" s="707"/>
      <c r="T30" s="707"/>
      <c r="U30" s="707"/>
      <c r="V30" s="707"/>
      <c r="W30" s="707"/>
    </row>
    <row r="31" spans="1:23">
      <c r="A31" s="230" t="s">
        <v>5065</v>
      </c>
      <c r="B31" s="157"/>
      <c r="C31" s="542" t="s">
        <v>1121</v>
      </c>
      <c r="D31" s="457" t="s">
        <v>70</v>
      </c>
      <c r="E31" s="491" t="s">
        <v>5080</v>
      </c>
      <c r="F31" s="730"/>
      <c r="G31" s="730"/>
      <c r="H31" s="195"/>
      <c r="I31" s="195"/>
      <c r="J31" s="195"/>
      <c r="K31" s="195"/>
      <c r="L31" s="267"/>
      <c r="M31" s="337"/>
      <c r="N31" s="268"/>
      <c r="O31" s="337">
        <f>'9-A.Training Sub-Annex'!P150</f>
        <v>341.5</v>
      </c>
      <c r="P31" s="195"/>
      <c r="Q31" s="157"/>
      <c r="R31" s="201">
        <f>'9-A.Training Sub-Annex'!S150</f>
        <v>0</v>
      </c>
      <c r="S31" s="685"/>
      <c r="T31" s="685"/>
      <c r="U31" s="685"/>
      <c r="V31" s="685"/>
      <c r="W31" s="685"/>
    </row>
    <row r="32" spans="1:23">
      <c r="A32" s="230" t="s">
        <v>5066</v>
      </c>
      <c r="B32" s="157"/>
      <c r="C32" s="542" t="s">
        <v>2604</v>
      </c>
      <c r="D32" s="457" t="s">
        <v>70</v>
      </c>
      <c r="E32" s="491" t="s">
        <v>4985</v>
      </c>
      <c r="F32" s="730"/>
      <c r="G32" s="730"/>
      <c r="H32" s="195"/>
      <c r="I32" s="195"/>
      <c r="J32" s="195"/>
      <c r="K32" s="195"/>
      <c r="L32" s="267"/>
      <c r="M32" s="337"/>
      <c r="N32" s="268"/>
      <c r="O32" s="337">
        <f>'9-A.Training Sub-Annex'!P163</f>
        <v>57.66</v>
      </c>
      <c r="P32" s="195"/>
      <c r="Q32" s="157"/>
      <c r="R32" s="201">
        <f>'9-A.Training Sub-Annex'!S163</f>
        <v>0</v>
      </c>
      <c r="S32" s="685"/>
      <c r="T32" s="685"/>
      <c r="U32" s="685"/>
      <c r="V32" s="685"/>
      <c r="W32" s="685"/>
    </row>
    <row r="33" spans="1:23" s="561" customFormat="1">
      <c r="A33" s="230" t="s">
        <v>5067</v>
      </c>
      <c r="B33" s="542"/>
      <c r="C33" s="542" t="s">
        <v>5103</v>
      </c>
      <c r="D33" s="457" t="s">
        <v>70</v>
      </c>
      <c r="E33" s="491" t="s">
        <v>5081</v>
      </c>
      <c r="F33" s="607"/>
      <c r="G33" s="607"/>
      <c r="H33" s="159"/>
      <c r="I33" s="159"/>
      <c r="J33" s="159"/>
      <c r="K33" s="159"/>
      <c r="L33" s="159"/>
      <c r="M33" s="344"/>
      <c r="N33" s="273"/>
      <c r="O33" s="337">
        <f>'9-A.Training Sub-Annex'!P169</f>
        <v>26.799869999999999</v>
      </c>
      <c r="P33" s="160"/>
      <c r="Q33" s="157"/>
      <c r="R33" s="201">
        <f>'9-A.Training Sub-Annex'!S169</f>
        <v>0</v>
      </c>
      <c r="S33" s="707"/>
      <c r="T33" s="707"/>
      <c r="U33" s="707"/>
      <c r="V33" s="707"/>
      <c r="W33" s="707"/>
    </row>
    <row r="34" spans="1:23" s="561" customFormat="1">
      <c r="A34" s="230" t="s">
        <v>5068</v>
      </c>
      <c r="B34" s="542"/>
      <c r="C34" s="542" t="s">
        <v>1149</v>
      </c>
      <c r="D34" s="457" t="s">
        <v>70</v>
      </c>
      <c r="E34" s="491" t="s">
        <v>70</v>
      </c>
      <c r="F34" s="607"/>
      <c r="G34" s="607"/>
      <c r="H34" s="159"/>
      <c r="I34" s="159"/>
      <c r="J34" s="159"/>
      <c r="K34" s="159"/>
      <c r="L34" s="159"/>
      <c r="M34" s="742"/>
      <c r="N34" s="274"/>
      <c r="O34" s="742">
        <f>'9-A.Training Sub-Annex'!P174</f>
        <v>0</v>
      </c>
      <c r="P34" s="160"/>
      <c r="Q34" s="157"/>
      <c r="R34" s="706">
        <f>'9-A.Training Sub-Annex'!S174</f>
        <v>0</v>
      </c>
      <c r="S34" s="707"/>
      <c r="T34" s="707"/>
      <c r="U34" s="707"/>
      <c r="V34" s="707"/>
      <c r="W34" s="707"/>
    </row>
    <row r="35" spans="1:23" s="561" customFormat="1">
      <c r="A35" s="230" t="s">
        <v>5069</v>
      </c>
      <c r="B35" s="731"/>
      <c r="C35" s="238" t="s">
        <v>1152</v>
      </c>
      <c r="D35" s="457" t="s">
        <v>70</v>
      </c>
      <c r="E35" s="608" t="s">
        <v>4720</v>
      </c>
      <c r="F35" s="721"/>
      <c r="G35" s="721"/>
      <c r="H35" s="220"/>
      <c r="I35" s="220"/>
      <c r="J35" s="220"/>
      <c r="K35" s="220"/>
      <c r="L35" s="193"/>
      <c r="M35" s="337"/>
      <c r="N35" s="193"/>
      <c r="O35" s="742">
        <f>'9-A.Training Sub-Annex'!P177</f>
        <v>79.8</v>
      </c>
      <c r="P35" s="221"/>
      <c r="Q35" s="213"/>
      <c r="R35" s="706">
        <f>'9-A.Training Sub-Annex'!S177</f>
        <v>0</v>
      </c>
      <c r="S35" s="707"/>
      <c r="T35" s="707"/>
      <c r="U35" s="707"/>
      <c r="V35" s="707"/>
      <c r="W35" s="707"/>
    </row>
    <row r="36" spans="1:23">
      <c r="A36" s="230" t="s">
        <v>5070</v>
      </c>
      <c r="B36" s="244"/>
      <c r="C36" s="244" t="s">
        <v>2853</v>
      </c>
      <c r="D36" s="457" t="s">
        <v>70</v>
      </c>
      <c r="E36" s="608" t="s">
        <v>2379</v>
      </c>
      <c r="F36" s="721"/>
      <c r="G36" s="721"/>
      <c r="H36" s="220"/>
      <c r="I36" s="220"/>
      <c r="J36" s="220"/>
      <c r="K36" s="220"/>
      <c r="L36" s="193"/>
      <c r="M36" s="337"/>
      <c r="N36" s="193"/>
      <c r="O36" s="742">
        <f>'9-A.Training Sub-Annex'!P184</f>
        <v>1025.4760000000001</v>
      </c>
      <c r="P36" s="221"/>
      <c r="Q36" s="213"/>
      <c r="R36" s="706">
        <f>'9-A.Training Sub-Annex'!S184</f>
        <v>0</v>
      </c>
      <c r="S36" s="685"/>
      <c r="T36" s="685"/>
      <c r="U36" s="685"/>
      <c r="V36" s="685"/>
      <c r="W36" s="685"/>
    </row>
    <row r="37" spans="1:23" ht="30">
      <c r="A37" s="230" t="s">
        <v>5071</v>
      </c>
      <c r="B37" s="244"/>
      <c r="C37" s="244" t="s">
        <v>4606</v>
      </c>
      <c r="D37" s="457" t="s">
        <v>70</v>
      </c>
      <c r="E37" s="608" t="s">
        <v>4357</v>
      </c>
      <c r="F37" s="609"/>
      <c r="G37" s="610"/>
      <c r="H37" s="218"/>
      <c r="I37" s="218"/>
      <c r="J37" s="194"/>
      <c r="K37" s="194"/>
      <c r="L37" s="193"/>
      <c r="M37" s="337"/>
      <c r="N37" s="193"/>
      <c r="O37" s="742">
        <f>'9-A.Training Sub-Annex'!P189</f>
        <v>3980.3190000000004</v>
      </c>
      <c r="P37" s="144"/>
      <c r="Q37" s="213"/>
      <c r="R37" s="706">
        <f>'9-A.Training Sub-Annex'!S189</f>
        <v>0</v>
      </c>
      <c r="S37" s="685"/>
      <c r="T37" s="685"/>
      <c r="U37" s="685"/>
      <c r="V37" s="685"/>
      <c r="W37" s="685"/>
    </row>
    <row r="38" spans="1:23">
      <c r="A38" s="230" t="s">
        <v>5072</v>
      </c>
      <c r="B38" s="244" t="s">
        <v>817</v>
      </c>
      <c r="C38" s="244" t="s">
        <v>818</v>
      </c>
      <c r="D38" s="457" t="s">
        <v>70</v>
      </c>
      <c r="E38" s="608" t="s">
        <v>70</v>
      </c>
      <c r="F38" s="609"/>
      <c r="G38" s="610"/>
      <c r="H38" s="218"/>
      <c r="I38" s="218"/>
      <c r="J38" s="275"/>
      <c r="K38" s="194"/>
      <c r="L38" s="193"/>
      <c r="M38" s="337"/>
      <c r="N38" s="193"/>
      <c r="O38" s="742">
        <f>'9-A.Training Sub-Annex'!P195</f>
        <v>21.422499999999999</v>
      </c>
      <c r="P38" s="144"/>
      <c r="Q38" s="213"/>
      <c r="R38" s="706">
        <f>'9-A.Training Sub-Annex'!S195</f>
        <v>0</v>
      </c>
      <c r="S38" s="685"/>
      <c r="T38" s="685"/>
      <c r="U38" s="685"/>
      <c r="V38" s="685"/>
      <c r="W38" s="685"/>
    </row>
    <row r="39" spans="1:23" s="561" customFormat="1">
      <c r="A39" s="230" t="s">
        <v>5073</v>
      </c>
      <c r="B39" s="244" t="s">
        <v>1163</v>
      </c>
      <c r="C39" s="244" t="s">
        <v>1164</v>
      </c>
      <c r="D39" s="457" t="s">
        <v>70</v>
      </c>
      <c r="E39" s="608" t="s">
        <v>70</v>
      </c>
      <c r="F39" s="732"/>
      <c r="G39" s="733"/>
      <c r="H39" s="218"/>
      <c r="I39" s="218"/>
      <c r="J39" s="275"/>
      <c r="K39" s="194"/>
      <c r="L39" s="193"/>
      <c r="M39" s="337"/>
      <c r="N39" s="193"/>
      <c r="O39" s="742">
        <f>'9-A.Training Sub-Annex'!P201</f>
        <v>13</v>
      </c>
      <c r="P39" s="209"/>
      <c r="Q39" s="213"/>
      <c r="R39" s="706">
        <f>'9-A.Training Sub-Annex'!S201</f>
        <v>0</v>
      </c>
      <c r="S39" s="707"/>
      <c r="T39" s="707"/>
      <c r="U39" s="707"/>
      <c r="V39" s="707"/>
      <c r="W39" s="707"/>
    </row>
    <row r="40" spans="1:23" s="561" customFormat="1" ht="30">
      <c r="A40" s="230" t="s">
        <v>5074</v>
      </c>
      <c r="B40" s="244" t="s">
        <v>1166</v>
      </c>
      <c r="C40" s="244" t="s">
        <v>5082</v>
      </c>
      <c r="D40" s="457" t="s">
        <v>70</v>
      </c>
      <c r="E40" s="608" t="s">
        <v>5081</v>
      </c>
      <c r="F40" s="732"/>
      <c r="G40" s="610"/>
      <c r="H40" s="218"/>
      <c r="I40" s="218"/>
      <c r="J40" s="194"/>
      <c r="K40" s="194"/>
      <c r="L40" s="193"/>
      <c r="M40" s="337"/>
      <c r="N40" s="193"/>
      <c r="O40" s="742">
        <f>'9-A.Training Sub-Annex'!P202</f>
        <v>0</v>
      </c>
      <c r="P40" s="209"/>
      <c r="Q40" s="213"/>
      <c r="R40" s="706">
        <f>'9-A.Training Sub-Annex'!S202</f>
        <v>0</v>
      </c>
      <c r="S40" s="707"/>
      <c r="T40" s="707"/>
      <c r="U40" s="707"/>
      <c r="V40" s="707"/>
      <c r="W40" s="707"/>
    </row>
    <row r="41" spans="1:23">
      <c r="A41" s="230" t="s">
        <v>5075</v>
      </c>
      <c r="B41" s="244" t="s">
        <v>1013</v>
      </c>
      <c r="C41" s="244" t="s">
        <v>1014</v>
      </c>
      <c r="D41" s="457" t="s">
        <v>70</v>
      </c>
      <c r="E41" s="608" t="s">
        <v>70</v>
      </c>
      <c r="F41" s="721"/>
      <c r="G41" s="721"/>
      <c r="H41" s="220"/>
      <c r="I41" s="220"/>
      <c r="J41" s="220"/>
      <c r="K41" s="220"/>
      <c r="L41" s="193"/>
      <c r="M41" s="337"/>
      <c r="N41" s="193"/>
      <c r="O41" s="742">
        <f>'9-A.Training Sub-Annex'!P203</f>
        <v>0</v>
      </c>
      <c r="P41" s="221"/>
      <c r="Q41" s="213"/>
      <c r="R41" s="706">
        <f>'9-A.Training Sub-Annex'!S203</f>
        <v>0</v>
      </c>
      <c r="S41" s="685"/>
      <c r="T41" s="685"/>
      <c r="U41" s="685"/>
      <c r="V41" s="685"/>
      <c r="W41" s="685"/>
    </row>
    <row r="42" spans="1:23">
      <c r="A42" s="230" t="s">
        <v>5076</v>
      </c>
      <c r="B42" s="244" t="s">
        <v>1015</v>
      </c>
      <c r="C42" s="244" t="s">
        <v>1016</v>
      </c>
      <c r="D42" s="457" t="s">
        <v>70</v>
      </c>
      <c r="E42" s="608" t="s">
        <v>70</v>
      </c>
      <c r="F42" s="721"/>
      <c r="G42" s="721"/>
      <c r="H42" s="220"/>
      <c r="I42" s="220"/>
      <c r="J42" s="220"/>
      <c r="K42" s="220"/>
      <c r="L42" s="193"/>
      <c r="M42" s="337"/>
      <c r="N42" s="193"/>
      <c r="O42" s="742">
        <f>'9-A.Training Sub-Annex'!P204</f>
        <v>0</v>
      </c>
      <c r="P42" s="221"/>
      <c r="Q42" s="213"/>
      <c r="R42" s="706">
        <f>'9-A.Training Sub-Annex'!S204</f>
        <v>0</v>
      </c>
      <c r="S42" s="685"/>
      <c r="T42" s="685"/>
      <c r="U42" s="685"/>
      <c r="V42" s="685"/>
      <c r="W42" s="685"/>
    </row>
    <row r="43" spans="1:23">
      <c r="A43" s="230" t="s">
        <v>5077</v>
      </c>
      <c r="B43" s="244"/>
      <c r="C43" s="244" t="s">
        <v>4497</v>
      </c>
      <c r="D43" s="457" t="s">
        <v>70</v>
      </c>
      <c r="E43" s="608" t="s">
        <v>742</v>
      </c>
      <c r="F43" s="721"/>
      <c r="G43" s="721"/>
      <c r="H43" s="220"/>
      <c r="I43" s="220"/>
      <c r="J43" s="220"/>
      <c r="K43" s="220"/>
      <c r="L43" s="193"/>
      <c r="M43" s="337"/>
      <c r="N43" s="193"/>
      <c r="O43" s="742">
        <f>'9-A.Training Sub-Annex'!P205</f>
        <v>0</v>
      </c>
      <c r="P43" s="221"/>
      <c r="Q43" s="213"/>
      <c r="R43" s="706">
        <f>'9-A.Training Sub-Annex'!S205</f>
        <v>0</v>
      </c>
      <c r="S43" s="685"/>
      <c r="T43" s="685"/>
      <c r="U43" s="685"/>
      <c r="V43" s="685"/>
      <c r="W43" s="685"/>
    </row>
    <row r="44" spans="1:23" ht="45">
      <c r="A44" s="230" t="s">
        <v>5078</v>
      </c>
      <c r="B44" s="244"/>
      <c r="C44" s="244" t="s">
        <v>4541</v>
      </c>
      <c r="D44" s="457" t="s">
        <v>70</v>
      </c>
      <c r="E44" s="608" t="s">
        <v>4915</v>
      </c>
      <c r="F44" s="721"/>
      <c r="G44" s="721"/>
      <c r="H44" s="220"/>
      <c r="I44" s="220"/>
      <c r="J44" s="220"/>
      <c r="K44" s="220"/>
      <c r="L44" s="193"/>
      <c r="M44" s="337"/>
      <c r="N44" s="193"/>
      <c r="O44" s="742">
        <f>'9-A.Training Sub-Annex'!P206</f>
        <v>29</v>
      </c>
      <c r="P44" s="221"/>
      <c r="Q44" s="213"/>
      <c r="R44" s="706">
        <f>'9-A.Training Sub-Annex'!S206</f>
        <v>0</v>
      </c>
      <c r="S44" s="685"/>
      <c r="T44" s="685"/>
      <c r="U44" s="685"/>
      <c r="V44" s="685"/>
      <c r="W44" s="685"/>
    </row>
    <row r="45" spans="1:23">
      <c r="A45" s="230" t="s">
        <v>5079</v>
      </c>
      <c r="B45" s="244"/>
      <c r="C45" s="244" t="s">
        <v>1310</v>
      </c>
      <c r="D45" s="457" t="s">
        <v>70</v>
      </c>
      <c r="E45" s="608" t="s">
        <v>70</v>
      </c>
      <c r="F45" s="732"/>
      <c r="G45" s="610"/>
      <c r="H45" s="218"/>
      <c r="I45" s="218"/>
      <c r="J45" s="71"/>
      <c r="K45" s="202"/>
      <c r="L45" s="193"/>
      <c r="M45" s="337"/>
      <c r="N45" s="193"/>
      <c r="O45" s="742">
        <f>'9-A.Training Sub-Annex'!P207</f>
        <v>10.050000000000001</v>
      </c>
      <c r="P45" s="282"/>
      <c r="Q45" s="213"/>
      <c r="R45" s="706">
        <f>'9-A.Training Sub-Annex'!S207</f>
        <v>0</v>
      </c>
      <c r="S45" s="685"/>
      <c r="T45" s="685"/>
      <c r="U45" s="685"/>
      <c r="V45" s="685"/>
      <c r="W45" s="685"/>
    </row>
    <row r="46" spans="1:23">
      <c r="A46" s="650" t="s">
        <v>2571</v>
      </c>
      <c r="B46" s="722"/>
      <c r="C46" s="723" t="s">
        <v>5038</v>
      </c>
      <c r="D46" s="724"/>
      <c r="E46" s="725"/>
      <c r="F46" s="726"/>
      <c r="G46" s="727"/>
      <c r="H46" s="280"/>
      <c r="I46" s="280"/>
      <c r="J46" s="283"/>
      <c r="K46" s="284"/>
      <c r="L46" s="269"/>
      <c r="M46" s="748"/>
      <c r="N46" s="269"/>
      <c r="O46" s="749">
        <f>SUM(O47:O53)</f>
        <v>965.53729999999985</v>
      </c>
      <c r="P46" s="285"/>
      <c r="Q46" s="728"/>
      <c r="R46" s="735">
        <f>SUM(R47:R53)</f>
        <v>0</v>
      </c>
      <c r="S46" s="685"/>
      <c r="T46" s="685"/>
      <c r="U46" s="685"/>
      <c r="V46" s="685"/>
      <c r="W46" s="685"/>
    </row>
    <row r="47" spans="1:23">
      <c r="A47" s="230" t="s">
        <v>5084</v>
      </c>
      <c r="B47" s="236"/>
      <c r="C47" s="236" t="s">
        <v>1041</v>
      </c>
      <c r="D47" s="736" t="s">
        <v>4358</v>
      </c>
      <c r="E47" s="608" t="s">
        <v>293</v>
      </c>
      <c r="F47" s="721"/>
      <c r="G47" s="721"/>
      <c r="H47" s="220"/>
      <c r="I47" s="220"/>
      <c r="J47" s="220"/>
      <c r="K47" s="220"/>
      <c r="L47" s="193"/>
      <c r="M47" s="337"/>
      <c r="N47" s="193"/>
      <c r="O47" s="742">
        <f>'9-A.Training Sub-Annex'!P209</f>
        <v>20.808</v>
      </c>
      <c r="P47" s="221"/>
      <c r="Q47" s="213"/>
      <c r="R47" s="706">
        <f>'9-A.Training Sub-Annex'!S209</f>
        <v>0</v>
      </c>
    </row>
    <row r="48" spans="1:23">
      <c r="A48" s="230" t="s">
        <v>5095</v>
      </c>
      <c r="B48" s="236"/>
      <c r="C48" s="236" t="s">
        <v>1061</v>
      </c>
      <c r="D48" s="736" t="s">
        <v>4358</v>
      </c>
      <c r="E48" s="608" t="s">
        <v>114</v>
      </c>
      <c r="F48" s="721"/>
      <c r="G48" s="721"/>
      <c r="H48" s="220"/>
      <c r="I48" s="220"/>
      <c r="J48" s="220"/>
      <c r="K48" s="220"/>
      <c r="L48" s="193"/>
      <c r="M48" s="337"/>
      <c r="N48" s="193"/>
      <c r="O48" s="742">
        <f>'9-A.Training Sub-Annex'!P219</f>
        <v>656.40329999999994</v>
      </c>
      <c r="P48" s="221"/>
      <c r="Q48" s="213"/>
      <c r="R48" s="706">
        <f>'9-A.Training Sub-Annex'!S219</f>
        <v>0</v>
      </c>
    </row>
    <row r="49" spans="1:19">
      <c r="A49" s="230" t="s">
        <v>5096</v>
      </c>
      <c r="B49" s="244"/>
      <c r="C49" s="236" t="s">
        <v>1081</v>
      </c>
      <c r="D49" s="736" t="s">
        <v>4358</v>
      </c>
      <c r="E49" s="608" t="s">
        <v>146</v>
      </c>
      <c r="F49" s="721"/>
      <c r="G49" s="721"/>
      <c r="H49" s="220"/>
      <c r="I49" s="220"/>
      <c r="J49" s="220"/>
      <c r="K49" s="220"/>
      <c r="L49" s="193"/>
      <c r="M49" s="337"/>
      <c r="N49" s="193"/>
      <c r="O49" s="742">
        <f>'9-A.Training Sub-Annex'!P228</f>
        <v>48.77</v>
      </c>
      <c r="P49" s="221"/>
      <c r="Q49" s="213"/>
      <c r="R49" s="706">
        <f>'9-A.Training Sub-Annex'!S228</f>
        <v>0</v>
      </c>
    </row>
    <row r="50" spans="1:19">
      <c r="A50" s="230" t="s">
        <v>5097</v>
      </c>
      <c r="B50" s="236"/>
      <c r="C50" s="236" t="s">
        <v>4885</v>
      </c>
      <c r="D50" s="736" t="s">
        <v>4358</v>
      </c>
      <c r="E50" s="608" t="s">
        <v>4674</v>
      </c>
      <c r="F50" s="721"/>
      <c r="G50" s="721"/>
      <c r="H50" s="220"/>
      <c r="I50" s="220"/>
      <c r="J50" s="220"/>
      <c r="K50" s="220"/>
      <c r="L50" s="193"/>
      <c r="M50" s="337"/>
      <c r="N50" s="193"/>
      <c r="O50" s="742">
        <f>'9-A.Training Sub-Annex'!P231</f>
        <v>223.42</v>
      </c>
      <c r="P50" s="221"/>
      <c r="Q50" s="213"/>
      <c r="R50" s="706">
        <f>'9-A.Training Sub-Annex'!S231</f>
        <v>0</v>
      </c>
    </row>
    <row r="51" spans="1:19">
      <c r="A51" s="230" t="s">
        <v>5098</v>
      </c>
      <c r="B51" s="236"/>
      <c r="C51" s="236" t="s">
        <v>3345</v>
      </c>
      <c r="D51" s="736" t="s">
        <v>4358</v>
      </c>
      <c r="E51" s="608" t="s">
        <v>3316</v>
      </c>
      <c r="F51" s="732"/>
      <c r="G51" s="610"/>
      <c r="H51" s="218"/>
      <c r="I51" s="218"/>
      <c r="J51" s="194"/>
      <c r="K51" s="194"/>
      <c r="L51" s="193"/>
      <c r="M51" s="337"/>
      <c r="N51" s="193"/>
      <c r="O51" s="742">
        <f>'9-A.Training Sub-Annex'!P235</f>
        <v>14</v>
      </c>
      <c r="P51" s="209"/>
      <c r="Q51" s="213"/>
      <c r="R51" s="706">
        <f>'9-A.Training Sub-Annex'!S235</f>
        <v>0</v>
      </c>
    </row>
    <row r="52" spans="1:19">
      <c r="A52" s="230" t="s">
        <v>5099</v>
      </c>
      <c r="B52" s="236"/>
      <c r="C52" s="236" t="s">
        <v>5040</v>
      </c>
      <c r="D52" s="736" t="s">
        <v>4358</v>
      </c>
      <c r="E52" s="608" t="s">
        <v>3986</v>
      </c>
      <c r="F52" s="732"/>
      <c r="G52" s="610"/>
      <c r="H52" s="218"/>
      <c r="I52" s="218"/>
      <c r="J52" s="194"/>
      <c r="K52" s="194"/>
      <c r="L52" s="193"/>
      <c r="M52" s="337"/>
      <c r="N52" s="193"/>
      <c r="O52" s="742">
        <f>'9-A.Training Sub-Annex'!P243</f>
        <v>2.1360000000000001</v>
      </c>
      <c r="P52" s="209"/>
      <c r="Q52" s="213"/>
      <c r="R52" s="706">
        <f>'9-A.Training Sub-Annex'!S243</f>
        <v>0</v>
      </c>
    </row>
    <row r="53" spans="1:19">
      <c r="A53" s="230" t="s">
        <v>5100</v>
      </c>
      <c r="B53" s="244"/>
      <c r="C53" s="423" t="s">
        <v>5045</v>
      </c>
      <c r="D53" s="736" t="s">
        <v>4358</v>
      </c>
      <c r="E53" s="608" t="s">
        <v>4544</v>
      </c>
      <c r="F53" s="721"/>
      <c r="G53" s="721"/>
      <c r="H53" s="220"/>
      <c r="I53" s="220"/>
      <c r="J53" s="220"/>
      <c r="K53" s="220"/>
      <c r="L53" s="193"/>
      <c r="M53" s="337"/>
      <c r="N53" s="193"/>
      <c r="O53" s="742">
        <f>'9-A.Training Sub-Annex'!P245</f>
        <v>0</v>
      </c>
      <c r="P53" s="221"/>
      <c r="Q53" s="213"/>
      <c r="R53" s="706">
        <f>'9-A.Training Sub-Annex'!S245</f>
        <v>0</v>
      </c>
    </row>
    <row r="54" spans="1:19">
      <c r="A54" s="650" t="s">
        <v>3814</v>
      </c>
      <c r="B54" s="722"/>
      <c r="C54" s="723" t="s">
        <v>5039</v>
      </c>
      <c r="D54" s="724"/>
      <c r="E54" s="725"/>
      <c r="F54" s="734"/>
      <c r="G54" s="727"/>
      <c r="H54" s="280"/>
      <c r="I54" s="280"/>
      <c r="J54" s="283"/>
      <c r="K54" s="284"/>
      <c r="L54" s="269"/>
      <c r="M54" s="748"/>
      <c r="N54" s="269"/>
      <c r="O54" s="749">
        <f>SUM(O55:O64)</f>
        <v>1371.15994</v>
      </c>
      <c r="P54" s="285"/>
      <c r="Q54" s="728"/>
      <c r="R54" s="735">
        <f>SUM(R55:R64)</f>
        <v>0</v>
      </c>
    </row>
    <row r="55" spans="1:19">
      <c r="A55" s="230" t="s">
        <v>5085</v>
      </c>
      <c r="B55" s="244"/>
      <c r="C55" s="423" t="s">
        <v>1090</v>
      </c>
      <c r="D55" s="460" t="s">
        <v>85</v>
      </c>
      <c r="E55" s="608" t="s">
        <v>86</v>
      </c>
      <c r="F55" s="629"/>
      <c r="G55" s="610"/>
      <c r="H55" s="218"/>
      <c r="I55" s="218"/>
      <c r="J55" s="197"/>
      <c r="K55" s="202"/>
      <c r="L55" s="193"/>
      <c r="M55" s="337"/>
      <c r="N55" s="193"/>
      <c r="O55" s="742">
        <f>'9-A.Training Sub-Annex'!P248</f>
        <v>4</v>
      </c>
      <c r="P55" s="282"/>
      <c r="Q55" s="213"/>
      <c r="R55" s="706">
        <f>'9-A.Training Sub-Annex'!S248</f>
        <v>0</v>
      </c>
    </row>
    <row r="56" spans="1:19">
      <c r="A56" s="230" t="s">
        <v>5086</v>
      </c>
      <c r="B56" s="244"/>
      <c r="C56" s="423" t="s">
        <v>1095</v>
      </c>
      <c r="D56" s="460" t="s">
        <v>85</v>
      </c>
      <c r="E56" s="608" t="s">
        <v>150</v>
      </c>
      <c r="F56" s="609"/>
      <c r="G56" s="610"/>
      <c r="H56" s="218"/>
      <c r="I56" s="218"/>
      <c r="J56" s="194"/>
      <c r="K56" s="194"/>
      <c r="L56" s="193"/>
      <c r="M56" s="337"/>
      <c r="N56" s="193"/>
      <c r="O56" s="742">
        <f>'9-A.Training Sub-Annex'!P251</f>
        <v>55.099999999999994</v>
      </c>
      <c r="P56" s="209"/>
      <c r="Q56" s="213"/>
      <c r="R56" s="706">
        <f>'9-A.Training Sub-Annex'!S251</f>
        <v>0</v>
      </c>
    </row>
    <row r="57" spans="1:19">
      <c r="A57" s="230" t="s">
        <v>5087</v>
      </c>
      <c r="B57" s="244"/>
      <c r="C57" s="423" t="s">
        <v>1100</v>
      </c>
      <c r="D57" s="460" t="s">
        <v>85</v>
      </c>
      <c r="E57" s="608" t="s">
        <v>399</v>
      </c>
      <c r="F57" s="629"/>
      <c r="G57" s="610"/>
      <c r="H57" s="218"/>
      <c r="I57" s="218"/>
      <c r="J57" s="71"/>
      <c r="K57" s="202"/>
      <c r="L57" s="193"/>
      <c r="M57" s="337"/>
      <c r="N57" s="193"/>
      <c r="O57" s="742">
        <f>'9-A.Training Sub-Annex'!P254</f>
        <v>0</v>
      </c>
      <c r="P57" s="282"/>
      <c r="Q57" s="213"/>
      <c r="R57" s="706">
        <f>'9-A.Training Sub-Annex'!S254</f>
        <v>0</v>
      </c>
    </row>
    <row r="58" spans="1:19">
      <c r="A58" s="230" t="s">
        <v>5088</v>
      </c>
      <c r="B58" s="244"/>
      <c r="C58" s="423" t="s">
        <v>1106</v>
      </c>
      <c r="D58" s="460" t="s">
        <v>85</v>
      </c>
      <c r="E58" s="608" t="s">
        <v>152</v>
      </c>
      <c r="F58" s="721"/>
      <c r="G58" s="721"/>
      <c r="H58" s="220"/>
      <c r="I58" s="220"/>
      <c r="J58" s="220"/>
      <c r="K58" s="220"/>
      <c r="L58" s="193"/>
      <c r="M58" s="337"/>
      <c r="N58" s="193"/>
      <c r="O58" s="742">
        <f>'9-A.Training Sub-Annex'!P259</f>
        <v>11.5</v>
      </c>
      <c r="P58" s="221"/>
      <c r="Q58" s="213"/>
      <c r="R58" s="706">
        <f>'9-A.Training Sub-Annex'!S259</f>
        <v>0</v>
      </c>
    </row>
    <row r="59" spans="1:19">
      <c r="A59" s="230" t="s">
        <v>5089</v>
      </c>
      <c r="B59" s="244" t="s">
        <v>1112</v>
      </c>
      <c r="C59" s="423" t="s">
        <v>1113</v>
      </c>
      <c r="D59" s="460" t="s">
        <v>85</v>
      </c>
      <c r="E59" s="608" t="s">
        <v>415</v>
      </c>
      <c r="F59" s="721"/>
      <c r="G59" s="721"/>
      <c r="H59" s="220"/>
      <c r="I59" s="220"/>
      <c r="J59" s="220"/>
      <c r="K59" s="220"/>
      <c r="L59" s="193"/>
      <c r="M59" s="337"/>
      <c r="N59" s="193"/>
      <c r="O59" s="742">
        <f>'9-A.Training Sub-Annex'!P262</f>
        <v>1262.3600000000001</v>
      </c>
      <c r="P59" s="221"/>
      <c r="Q59" s="213"/>
      <c r="R59" s="706">
        <f>'9-A.Training Sub-Annex'!S262</f>
        <v>0</v>
      </c>
    </row>
    <row r="60" spans="1:19">
      <c r="A60" s="230" t="s">
        <v>5090</v>
      </c>
      <c r="B60" s="244"/>
      <c r="C60" s="423" t="s">
        <v>1018</v>
      </c>
      <c r="D60" s="460" t="s">
        <v>85</v>
      </c>
      <c r="E60" s="608" t="s">
        <v>1020</v>
      </c>
      <c r="F60" s="721"/>
      <c r="G60" s="721"/>
      <c r="H60" s="220"/>
      <c r="I60" s="220"/>
      <c r="J60" s="220"/>
      <c r="K60" s="220"/>
      <c r="L60" s="193"/>
      <c r="M60" s="337"/>
      <c r="N60" s="193"/>
      <c r="O60" s="742">
        <f>'9-A.Training Sub-Annex'!P267</f>
        <v>32.499940000000002</v>
      </c>
      <c r="P60" s="221"/>
      <c r="Q60" s="213"/>
      <c r="R60" s="706">
        <f>'9-A.Training Sub-Annex'!S267</f>
        <v>0</v>
      </c>
    </row>
    <row r="61" spans="1:19">
      <c r="A61" s="230" t="s">
        <v>5091</v>
      </c>
      <c r="B61" s="236"/>
      <c r="C61" s="236" t="s">
        <v>1025</v>
      </c>
      <c r="D61" s="460" t="s">
        <v>85</v>
      </c>
      <c r="E61" s="608" t="s">
        <v>314</v>
      </c>
      <c r="F61" s="609"/>
      <c r="G61" s="610"/>
      <c r="H61" s="218"/>
      <c r="I61" s="218"/>
      <c r="J61" s="286"/>
      <c r="K61" s="202"/>
      <c r="L61" s="193"/>
      <c r="M61" s="337"/>
      <c r="N61" s="193"/>
      <c r="O61" s="742">
        <f>'9-A.Training Sub-Annex'!P272</f>
        <v>0</v>
      </c>
      <c r="P61" s="282"/>
      <c r="Q61" s="213"/>
      <c r="R61" s="706">
        <f>'9-A.Training Sub-Annex'!S272</f>
        <v>0</v>
      </c>
    </row>
    <row r="62" spans="1:19" s="561" customFormat="1">
      <c r="A62" s="230" t="s">
        <v>5092</v>
      </c>
      <c r="B62" s="542"/>
      <c r="C62" s="542" t="s">
        <v>1030</v>
      </c>
      <c r="D62" s="460" t="s">
        <v>85</v>
      </c>
      <c r="E62" s="491" t="s">
        <v>1034</v>
      </c>
      <c r="F62" s="737"/>
      <c r="G62" s="737"/>
      <c r="H62" s="192"/>
      <c r="I62" s="192"/>
      <c r="J62" s="192"/>
      <c r="K62" s="192"/>
      <c r="L62" s="192"/>
      <c r="M62" s="750"/>
      <c r="N62" s="274"/>
      <c r="O62" s="742">
        <f>'9-A.Training Sub-Annex'!P275</f>
        <v>3.3</v>
      </c>
      <c r="P62" s="89"/>
      <c r="Q62" s="451"/>
      <c r="R62" s="706">
        <f>'9-A.Training Sub-Annex'!S275</f>
        <v>0</v>
      </c>
      <c r="S62" s="707"/>
    </row>
    <row r="63" spans="1:19">
      <c r="A63" s="230" t="s">
        <v>5093</v>
      </c>
      <c r="B63" s="489"/>
      <c r="C63" s="237" t="s">
        <v>5044</v>
      </c>
      <c r="D63" s="460" t="s">
        <v>85</v>
      </c>
      <c r="E63" s="608" t="s">
        <v>4124</v>
      </c>
      <c r="F63" s="721"/>
      <c r="G63" s="721"/>
      <c r="H63" s="220"/>
      <c r="I63" s="220"/>
      <c r="J63" s="220"/>
      <c r="K63" s="220"/>
      <c r="L63" s="193"/>
      <c r="M63" s="337"/>
      <c r="N63" s="193"/>
      <c r="O63" s="742">
        <f>'9-A.Training Sub-Annex'!P278</f>
        <v>2.4000000000000004</v>
      </c>
      <c r="P63" s="221"/>
      <c r="Q63" s="213"/>
      <c r="R63" s="706">
        <f>'9-A.Training Sub-Annex'!S278</f>
        <v>0</v>
      </c>
    </row>
    <row r="64" spans="1:19" s="561" customFormat="1">
      <c r="A64" s="230" t="s">
        <v>5094</v>
      </c>
      <c r="B64" s="738"/>
      <c r="C64" s="235" t="s">
        <v>5083</v>
      </c>
      <c r="D64" s="460" t="s">
        <v>85</v>
      </c>
      <c r="E64" s="608" t="s">
        <v>4915</v>
      </c>
      <c r="F64" s="739"/>
      <c r="G64" s="739"/>
      <c r="H64" s="219"/>
      <c r="I64" s="219"/>
      <c r="J64" s="219"/>
      <c r="K64" s="219"/>
      <c r="L64" s="193"/>
      <c r="M64" s="337"/>
      <c r="N64" s="193"/>
      <c r="O64" s="742">
        <f>'9-A.Training Sub-Annex'!P281</f>
        <v>0</v>
      </c>
      <c r="P64" s="92"/>
      <c r="Q64" s="213"/>
      <c r="R64" s="706">
        <f>'9-A.Training Sub-Annex'!S281</f>
        <v>0</v>
      </c>
    </row>
    <row r="67" spans="3:3">
      <c r="C67" s="683"/>
    </row>
  </sheetData>
  <sheetProtection sheet="1" objects="1" scenarios="1" autoFilter="0"/>
  <autoFilter ref="A6:BA64"/>
  <mergeCells count="15">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s>
  <phoneticPr fontId="27" type="noConversion"/>
  <pageMargins left="0.7" right="0.7" top="0.75" bottom="0.75" header="0.3" footer="0.3"/>
  <pageSetup paperSize="5" scale="75" orientation="landscape" horizontalDpi="0" verticalDpi="0" r:id="rId1"/>
</worksheet>
</file>

<file path=xl/worksheets/sheet2.xml><?xml version="1.0" encoding="utf-8"?>
<worksheet xmlns="http://schemas.openxmlformats.org/spreadsheetml/2006/main" xmlns:r="http://schemas.openxmlformats.org/officeDocument/2006/relationships">
  <sheetPr>
    <tabColor rgb="FF00B0F0"/>
  </sheetPr>
  <dimension ref="A1:U56"/>
  <sheetViews>
    <sheetView zoomScale="110" zoomScaleNormal="110" workbookViewId="0">
      <selection activeCell="Q172" sqref="A1:BE179"/>
    </sheetView>
  </sheetViews>
  <sheetFormatPr defaultColWidth="8.7109375" defaultRowHeight="12.75"/>
  <cols>
    <col min="1" max="1" width="7.85546875" style="7" bestFit="1" customWidth="1"/>
    <col min="2" max="2" width="36" style="1" customWidth="1"/>
    <col min="3" max="3" width="17.5703125" style="1" bestFit="1" customWidth="1"/>
    <col min="4" max="4" width="20" style="5" customWidth="1"/>
    <col min="5" max="5" width="21.5703125" style="5" customWidth="1"/>
    <col min="6" max="6" width="14.5703125" style="5" customWidth="1"/>
    <col min="7" max="7" width="12.5703125" style="5" bestFit="1" customWidth="1"/>
    <col min="8" max="8" width="10.5703125" style="5" customWidth="1"/>
    <col min="9" max="9" width="7.7109375" style="5" bestFit="1" customWidth="1"/>
    <col min="10" max="10" width="7.5703125" style="5" bestFit="1" customWidth="1"/>
    <col min="11" max="11" width="9.7109375" style="5" customWidth="1"/>
    <col min="12" max="12" width="11.42578125" style="5" bestFit="1" customWidth="1"/>
    <col min="13" max="13" width="4.28515625" style="5" bestFit="1" customWidth="1"/>
    <col min="14" max="14" width="11.85546875" style="5" bestFit="1" customWidth="1"/>
    <col min="15" max="15" width="18.7109375" style="5" customWidth="1"/>
    <col min="16" max="16" width="12.7109375" style="5" customWidth="1"/>
    <col min="17" max="17" width="7.7109375" style="5" bestFit="1" customWidth="1"/>
    <col min="18" max="18" width="16.42578125" style="5" customWidth="1"/>
    <col min="19" max="19" width="25.140625" style="5" customWidth="1"/>
    <col min="20" max="20" width="11.140625" style="5" bestFit="1" customWidth="1"/>
    <col min="21" max="21" width="13" style="5" customWidth="1"/>
    <col min="22" max="16384" width="8.7109375" style="5"/>
  </cols>
  <sheetData>
    <row r="1" spans="1:21">
      <c r="A1" s="26" t="str">
        <f>HYPERLINK("#Index!B1", "Index Pg")</f>
        <v>Index Pg</v>
      </c>
      <c r="B1" s="176" t="str">
        <f>HYPERLINK("#'Budget Summary I'!A2", "Budget Summary I")</f>
        <v>Budget Summary I</v>
      </c>
      <c r="C1" s="176" t="str">
        <f>HYPERLINK("#'Budget Summary II'!A2:B2", "Budget Summary II")</f>
        <v>Budget Summary II</v>
      </c>
    </row>
    <row r="2" spans="1:21">
      <c r="A2" s="4221" t="s">
        <v>4762</v>
      </c>
      <c r="B2" s="4221"/>
      <c r="C2" s="4221"/>
      <c r="D2" s="4221"/>
      <c r="E2" s="4221"/>
      <c r="F2" s="4221"/>
      <c r="G2" s="4221"/>
      <c r="H2" s="4221"/>
      <c r="I2" s="4221"/>
      <c r="J2" s="4221"/>
      <c r="K2" s="4221"/>
      <c r="L2" s="4221"/>
      <c r="M2" s="4221"/>
      <c r="N2" s="4221"/>
      <c r="O2" s="4221"/>
      <c r="P2" s="4221"/>
      <c r="Q2" s="4221"/>
      <c r="R2" s="4221"/>
      <c r="S2" s="4221"/>
      <c r="T2" s="4221"/>
      <c r="U2" s="4221"/>
    </row>
    <row r="3" spans="1:21" s="15" customFormat="1" ht="14.45" customHeight="1">
      <c r="A3" s="4222" t="s">
        <v>4758</v>
      </c>
      <c r="B3" s="4223" t="s">
        <v>4761</v>
      </c>
      <c r="C3" s="4224" t="s">
        <v>4760</v>
      </c>
      <c r="D3" s="4225" t="s">
        <v>4759</v>
      </c>
      <c r="E3" s="4225"/>
      <c r="F3" s="4225"/>
      <c r="G3" s="4225"/>
      <c r="H3" s="4225"/>
      <c r="I3" s="4225"/>
      <c r="J3" s="4225"/>
      <c r="K3" s="4225"/>
      <c r="L3" s="4225"/>
      <c r="M3" s="4225"/>
      <c r="N3" s="4225"/>
      <c r="O3" s="4225"/>
      <c r="P3" s="4225"/>
      <c r="Q3" s="4225"/>
      <c r="R3" s="4225"/>
      <c r="S3" s="4225"/>
      <c r="T3" s="4225"/>
      <c r="U3" s="4225"/>
    </row>
    <row r="4" spans="1:21" s="15" customFormat="1" ht="14.45" customHeight="1">
      <c r="A4" s="4222"/>
      <c r="B4" s="4223"/>
      <c r="C4" s="4224"/>
      <c r="D4" s="4224" t="s">
        <v>5</v>
      </c>
      <c r="E4" s="4224"/>
      <c r="F4" s="4224"/>
      <c r="G4" s="4224"/>
      <c r="H4" s="4224"/>
      <c r="I4" s="4224"/>
      <c r="J4" s="4224"/>
      <c r="K4" s="4224"/>
      <c r="L4" s="4224" t="s">
        <v>4678</v>
      </c>
      <c r="M4" s="4224"/>
      <c r="N4" s="4224" t="s">
        <v>4679</v>
      </c>
      <c r="O4" s="4224"/>
      <c r="P4" s="4224" t="s">
        <v>4689</v>
      </c>
      <c r="Q4" s="4224"/>
      <c r="R4" s="348" t="s">
        <v>4690</v>
      </c>
      <c r="S4" s="4224" t="s">
        <v>4680</v>
      </c>
      <c r="T4" s="4224"/>
      <c r="U4" s="348" t="s">
        <v>2344</v>
      </c>
    </row>
    <row r="5" spans="1:21" s="16" customFormat="1" ht="45">
      <c r="A5" s="4222"/>
      <c r="B5" s="4223"/>
      <c r="C5" s="4224"/>
      <c r="D5" s="181" t="s">
        <v>4</v>
      </c>
      <c r="E5" s="181" t="s">
        <v>6</v>
      </c>
      <c r="F5" s="181" t="s">
        <v>10</v>
      </c>
      <c r="G5" s="181" t="s">
        <v>14</v>
      </c>
      <c r="H5" s="181" t="s">
        <v>20</v>
      </c>
      <c r="I5" s="181" t="s">
        <v>1342</v>
      </c>
      <c r="J5" s="181" t="s">
        <v>29</v>
      </c>
      <c r="K5" s="181" t="s">
        <v>30</v>
      </c>
      <c r="L5" s="181" t="s">
        <v>2722</v>
      </c>
      <c r="M5" s="181" t="s">
        <v>33</v>
      </c>
      <c r="N5" s="181" t="s">
        <v>18</v>
      </c>
      <c r="O5" s="181" t="s">
        <v>1264</v>
      </c>
      <c r="P5" s="181" t="s">
        <v>41</v>
      </c>
      <c r="Q5" s="181" t="s">
        <v>742</v>
      </c>
      <c r="R5" s="181" t="s">
        <v>34</v>
      </c>
      <c r="S5" s="181" t="s">
        <v>2855</v>
      </c>
      <c r="T5" s="181" t="s">
        <v>4691</v>
      </c>
      <c r="U5" s="181" t="s">
        <v>2782</v>
      </c>
    </row>
    <row r="6" spans="1:21" s="16" customFormat="1" ht="14.45" customHeight="1">
      <c r="A6" s="4218" t="s">
        <v>5265</v>
      </c>
      <c r="B6" s="4219"/>
      <c r="C6" s="4219"/>
      <c r="D6" s="4219"/>
      <c r="E6" s="4219"/>
      <c r="F6" s="4219"/>
      <c r="G6" s="4219"/>
      <c r="H6" s="4219"/>
      <c r="I6" s="4219"/>
      <c r="J6" s="4219"/>
      <c r="K6" s="4219"/>
      <c r="L6" s="4219"/>
      <c r="M6" s="4219"/>
      <c r="N6" s="4219"/>
      <c r="O6" s="4219"/>
      <c r="P6" s="4219"/>
      <c r="Q6" s="4219"/>
      <c r="R6" s="4219"/>
      <c r="S6" s="4219"/>
      <c r="T6" s="4219"/>
      <c r="U6" s="4220"/>
    </row>
    <row r="7" spans="1:21">
      <c r="A7" s="187">
        <v>1</v>
      </c>
      <c r="B7" s="23" t="s">
        <v>4746</v>
      </c>
      <c r="C7" s="389"/>
      <c r="D7" s="390"/>
      <c r="E7" s="390"/>
      <c r="F7" s="390"/>
      <c r="G7" s="390"/>
      <c r="H7" s="390"/>
      <c r="I7" s="390"/>
      <c r="J7" s="390"/>
      <c r="K7" s="390"/>
      <c r="L7" s="390"/>
      <c r="M7" s="390"/>
      <c r="N7" s="390"/>
      <c r="O7" s="390"/>
      <c r="P7" s="390"/>
      <c r="Q7" s="390"/>
      <c r="R7" s="390"/>
      <c r="S7" s="390"/>
      <c r="T7" s="390"/>
      <c r="U7" s="390"/>
    </row>
    <row r="8" spans="1:21">
      <c r="A8" s="187">
        <v>2</v>
      </c>
      <c r="B8" s="23" t="s">
        <v>4747</v>
      </c>
      <c r="C8" s="389"/>
      <c r="D8" s="390"/>
      <c r="E8" s="390"/>
      <c r="F8" s="390"/>
      <c r="G8" s="390"/>
      <c r="H8" s="390"/>
      <c r="I8" s="390"/>
      <c r="J8" s="390"/>
      <c r="K8" s="390"/>
      <c r="L8" s="390"/>
      <c r="M8" s="390"/>
      <c r="N8" s="390"/>
      <c r="O8" s="390"/>
      <c r="P8" s="390"/>
      <c r="Q8" s="390"/>
      <c r="R8" s="390"/>
      <c r="S8" s="390"/>
      <c r="T8" s="390"/>
      <c r="U8" s="390"/>
    </row>
    <row r="9" spans="1:21" ht="25.5">
      <c r="A9" s="187">
        <v>3</v>
      </c>
      <c r="B9" s="23" t="s">
        <v>5263</v>
      </c>
      <c r="C9" s="389"/>
      <c r="D9" s="390"/>
      <c r="E9" s="390"/>
      <c r="F9" s="390"/>
      <c r="G9" s="390"/>
      <c r="H9" s="390"/>
      <c r="I9" s="390"/>
      <c r="J9" s="390"/>
      <c r="K9" s="390"/>
      <c r="L9" s="390"/>
      <c r="M9" s="390"/>
      <c r="N9" s="390"/>
      <c r="O9" s="390"/>
      <c r="P9" s="390"/>
      <c r="Q9" s="390"/>
      <c r="R9" s="390"/>
      <c r="S9" s="390"/>
      <c r="T9" s="390"/>
      <c r="U9" s="390"/>
    </row>
    <row r="10" spans="1:21" ht="38.25">
      <c r="A10" s="187">
        <v>4</v>
      </c>
      <c r="B10" s="23" t="s">
        <v>4811</v>
      </c>
      <c r="C10" s="389"/>
      <c r="D10" s="390"/>
      <c r="E10" s="390"/>
      <c r="F10" s="390"/>
      <c r="G10" s="390"/>
      <c r="H10" s="390"/>
      <c r="I10" s="390"/>
      <c r="J10" s="390"/>
      <c r="K10" s="390"/>
      <c r="L10" s="390"/>
      <c r="M10" s="390"/>
      <c r="N10" s="390"/>
      <c r="O10" s="390"/>
      <c r="P10" s="390"/>
      <c r="Q10" s="390"/>
      <c r="R10" s="390"/>
      <c r="S10" s="390"/>
      <c r="T10" s="390"/>
      <c r="U10" s="390"/>
    </row>
    <row r="11" spans="1:21">
      <c r="A11" s="187">
        <v>5</v>
      </c>
      <c r="B11" s="23" t="s">
        <v>5571</v>
      </c>
      <c r="C11" s="389"/>
      <c r="D11" s="390"/>
      <c r="E11" s="390"/>
      <c r="F11" s="390"/>
      <c r="G11" s="390"/>
      <c r="H11" s="390"/>
      <c r="I11" s="390"/>
      <c r="J11" s="390"/>
      <c r="K11" s="390"/>
      <c r="L11" s="390"/>
      <c r="M11" s="390"/>
      <c r="N11" s="390"/>
      <c r="O11" s="390"/>
      <c r="P11" s="390"/>
      <c r="Q11" s="390"/>
      <c r="R11" s="390"/>
      <c r="S11" s="390"/>
      <c r="T11" s="390"/>
      <c r="U11" s="390"/>
    </row>
    <row r="12" spans="1:21">
      <c r="A12" s="187">
        <v>6</v>
      </c>
      <c r="B12" s="23" t="s">
        <v>4812</v>
      </c>
      <c r="C12" s="389"/>
      <c r="D12" s="390"/>
      <c r="E12" s="390"/>
      <c r="F12" s="390"/>
      <c r="G12" s="390"/>
      <c r="H12" s="390"/>
      <c r="I12" s="390"/>
      <c r="J12" s="390"/>
      <c r="K12" s="390"/>
      <c r="L12" s="390"/>
      <c r="M12" s="390"/>
      <c r="N12" s="390"/>
      <c r="O12" s="390"/>
      <c r="P12" s="390"/>
      <c r="Q12" s="390"/>
      <c r="R12" s="390"/>
      <c r="S12" s="390"/>
      <c r="T12" s="390"/>
      <c r="U12" s="390"/>
    </row>
    <row r="13" spans="1:21">
      <c r="A13" s="187">
        <v>7</v>
      </c>
      <c r="B13" s="23" t="s">
        <v>4813</v>
      </c>
      <c r="C13" s="389"/>
      <c r="D13" s="390"/>
      <c r="E13" s="390"/>
      <c r="F13" s="390"/>
      <c r="G13" s="390"/>
      <c r="H13" s="390"/>
      <c r="I13" s="390"/>
      <c r="J13" s="390"/>
      <c r="K13" s="390"/>
      <c r="L13" s="390"/>
      <c r="M13" s="390"/>
      <c r="N13" s="390"/>
      <c r="O13" s="390"/>
      <c r="P13" s="390"/>
      <c r="Q13" s="390"/>
      <c r="R13" s="390"/>
      <c r="S13" s="390"/>
      <c r="T13" s="390"/>
      <c r="U13" s="390"/>
    </row>
    <row r="14" spans="1:21">
      <c r="A14" s="187">
        <v>8</v>
      </c>
      <c r="B14" s="23" t="s">
        <v>4748</v>
      </c>
      <c r="C14" s="389"/>
      <c r="D14" s="390"/>
      <c r="E14" s="390"/>
      <c r="F14" s="390"/>
      <c r="G14" s="390"/>
      <c r="H14" s="390"/>
      <c r="I14" s="390"/>
      <c r="J14" s="390"/>
      <c r="K14" s="390"/>
      <c r="L14" s="390"/>
      <c r="M14" s="390"/>
      <c r="N14" s="390"/>
      <c r="O14" s="390"/>
      <c r="P14" s="390"/>
      <c r="Q14" s="390"/>
      <c r="R14" s="390"/>
      <c r="S14" s="390"/>
      <c r="T14" s="390"/>
      <c r="U14" s="390"/>
    </row>
    <row r="15" spans="1:21">
      <c r="A15" s="187">
        <v>9</v>
      </c>
      <c r="B15" s="23" t="s">
        <v>4749</v>
      </c>
      <c r="C15" s="389"/>
      <c r="D15" s="390"/>
      <c r="E15" s="390"/>
      <c r="F15" s="390"/>
      <c r="G15" s="390"/>
      <c r="H15" s="390"/>
      <c r="I15" s="390"/>
      <c r="J15" s="390"/>
      <c r="K15" s="390"/>
      <c r="L15" s="390"/>
      <c r="M15" s="390"/>
      <c r="N15" s="390"/>
      <c r="O15" s="390"/>
      <c r="P15" s="390"/>
      <c r="Q15" s="390"/>
      <c r="R15" s="390"/>
      <c r="S15" s="390"/>
      <c r="T15" s="390"/>
      <c r="U15" s="390"/>
    </row>
    <row r="16" spans="1:21" ht="25.5">
      <c r="A16" s="187">
        <v>10</v>
      </c>
      <c r="B16" s="23" t="s">
        <v>4750</v>
      </c>
      <c r="C16" s="389"/>
      <c r="D16" s="390"/>
      <c r="E16" s="390"/>
      <c r="F16" s="390"/>
      <c r="G16" s="390"/>
      <c r="H16" s="390"/>
      <c r="I16" s="390"/>
      <c r="J16" s="390"/>
      <c r="K16" s="390"/>
      <c r="L16" s="390"/>
      <c r="M16" s="390"/>
      <c r="N16" s="390"/>
      <c r="O16" s="390"/>
      <c r="P16" s="390"/>
      <c r="Q16" s="390"/>
      <c r="R16" s="390"/>
      <c r="S16" s="390"/>
      <c r="T16" s="390"/>
      <c r="U16" s="390"/>
    </row>
    <row r="17" spans="1:21" ht="25.5">
      <c r="A17" s="187">
        <v>11</v>
      </c>
      <c r="B17" s="23" t="s">
        <v>4751</v>
      </c>
      <c r="C17" s="389"/>
      <c r="D17" s="390"/>
      <c r="E17" s="390"/>
      <c r="F17" s="390"/>
      <c r="G17" s="390"/>
      <c r="H17" s="390"/>
      <c r="I17" s="390"/>
      <c r="J17" s="390"/>
      <c r="K17" s="390"/>
      <c r="L17" s="390"/>
      <c r="M17" s="390"/>
      <c r="N17" s="390"/>
      <c r="O17" s="390"/>
      <c r="P17" s="390"/>
      <c r="Q17" s="390"/>
      <c r="R17" s="390"/>
      <c r="S17" s="390"/>
      <c r="T17" s="390"/>
      <c r="U17" s="390"/>
    </row>
    <row r="18" spans="1:21" ht="25.5">
      <c r="A18" s="187">
        <v>12</v>
      </c>
      <c r="B18" s="23" t="s">
        <v>4752</v>
      </c>
      <c r="C18" s="389"/>
      <c r="D18" s="390"/>
      <c r="E18" s="390"/>
      <c r="F18" s="390"/>
      <c r="G18" s="390"/>
      <c r="H18" s="390"/>
      <c r="I18" s="390"/>
      <c r="J18" s="390"/>
      <c r="K18" s="390"/>
      <c r="L18" s="390"/>
      <c r="M18" s="390"/>
      <c r="N18" s="390"/>
      <c r="O18" s="390"/>
      <c r="P18" s="390"/>
      <c r="Q18" s="390"/>
      <c r="R18" s="390"/>
      <c r="S18" s="390"/>
      <c r="T18" s="390"/>
      <c r="U18" s="390"/>
    </row>
    <row r="19" spans="1:21" ht="25.5">
      <c r="A19" s="187">
        <v>13</v>
      </c>
      <c r="B19" s="23" t="s">
        <v>4753</v>
      </c>
      <c r="C19" s="389"/>
      <c r="D19" s="390"/>
      <c r="E19" s="390"/>
      <c r="F19" s="390"/>
      <c r="G19" s="390"/>
      <c r="H19" s="390"/>
      <c r="I19" s="390"/>
      <c r="J19" s="390"/>
      <c r="K19" s="390"/>
      <c r="L19" s="390"/>
      <c r="M19" s="390"/>
      <c r="N19" s="390"/>
      <c r="O19" s="390"/>
      <c r="P19" s="390"/>
      <c r="Q19" s="390"/>
      <c r="R19" s="390"/>
      <c r="S19" s="390"/>
      <c r="T19" s="390"/>
      <c r="U19" s="390"/>
    </row>
    <row r="20" spans="1:21">
      <c r="A20" s="187">
        <v>14</v>
      </c>
      <c r="B20" s="23" t="s">
        <v>4754</v>
      </c>
      <c r="C20" s="389"/>
      <c r="D20" s="390"/>
      <c r="E20" s="390"/>
      <c r="F20" s="390"/>
      <c r="G20" s="390"/>
      <c r="H20" s="390"/>
      <c r="I20" s="390"/>
      <c r="J20" s="390"/>
      <c r="K20" s="390"/>
      <c r="L20" s="390"/>
      <c r="M20" s="390"/>
      <c r="N20" s="390"/>
      <c r="O20" s="390"/>
      <c r="P20" s="390"/>
      <c r="Q20" s="390"/>
      <c r="R20" s="390"/>
      <c r="S20" s="390"/>
      <c r="T20" s="390"/>
      <c r="U20" s="390"/>
    </row>
    <row r="21" spans="1:21">
      <c r="A21" s="187">
        <v>15</v>
      </c>
      <c r="B21" s="23" t="s">
        <v>4755</v>
      </c>
      <c r="C21" s="389"/>
      <c r="D21" s="390"/>
      <c r="E21" s="390"/>
      <c r="F21" s="390"/>
      <c r="G21" s="390"/>
      <c r="H21" s="390"/>
      <c r="I21" s="390"/>
      <c r="J21" s="390"/>
      <c r="K21" s="390"/>
      <c r="L21" s="390"/>
      <c r="M21" s="390"/>
      <c r="N21" s="390"/>
      <c r="O21" s="390"/>
      <c r="P21" s="390"/>
      <c r="Q21" s="390"/>
      <c r="R21" s="390"/>
      <c r="S21" s="390"/>
      <c r="T21" s="390"/>
      <c r="U21" s="390"/>
    </row>
    <row r="22" spans="1:21">
      <c r="A22" s="187">
        <v>16</v>
      </c>
      <c r="B22" s="23" t="s">
        <v>4756</v>
      </c>
      <c r="C22" s="389"/>
      <c r="D22" s="390"/>
      <c r="E22" s="390"/>
      <c r="F22" s="390"/>
      <c r="G22" s="390"/>
      <c r="H22" s="390"/>
      <c r="I22" s="390"/>
      <c r="J22" s="390"/>
      <c r="K22" s="390"/>
      <c r="L22" s="390"/>
      <c r="M22" s="390"/>
      <c r="N22" s="390"/>
      <c r="O22" s="390"/>
      <c r="P22" s="390"/>
      <c r="Q22" s="390"/>
      <c r="R22" s="390"/>
      <c r="S22" s="390"/>
      <c r="T22" s="390"/>
      <c r="U22" s="390"/>
    </row>
    <row r="23" spans="1:21">
      <c r="A23" s="187">
        <v>17</v>
      </c>
      <c r="B23" s="23" t="s">
        <v>4757</v>
      </c>
      <c r="C23" s="389"/>
      <c r="D23" s="390"/>
      <c r="E23" s="390"/>
      <c r="F23" s="390"/>
      <c r="G23" s="390"/>
      <c r="H23" s="390"/>
      <c r="I23" s="390"/>
      <c r="J23" s="390"/>
      <c r="K23" s="390"/>
      <c r="L23" s="390"/>
      <c r="M23" s="390"/>
      <c r="N23" s="390"/>
      <c r="O23" s="390"/>
      <c r="P23" s="390"/>
      <c r="Q23" s="390"/>
      <c r="R23" s="390"/>
      <c r="S23" s="390"/>
      <c r="T23" s="390"/>
      <c r="U23" s="390"/>
    </row>
    <row r="24" spans="1:21">
      <c r="A24" s="187">
        <v>18</v>
      </c>
      <c r="B24" s="23" t="s">
        <v>4814</v>
      </c>
      <c r="C24" s="389"/>
      <c r="D24" s="390"/>
      <c r="E24" s="390"/>
      <c r="F24" s="390"/>
      <c r="G24" s="390"/>
      <c r="H24" s="390"/>
      <c r="I24" s="390"/>
      <c r="J24" s="390"/>
      <c r="K24" s="390"/>
      <c r="L24" s="390"/>
      <c r="M24" s="390"/>
      <c r="N24" s="390"/>
      <c r="O24" s="390"/>
      <c r="P24" s="390"/>
      <c r="Q24" s="390"/>
      <c r="R24" s="390"/>
      <c r="S24" s="390"/>
      <c r="T24" s="390"/>
      <c r="U24" s="390"/>
    </row>
    <row r="25" spans="1:21" ht="25.5" customHeight="1">
      <c r="A25" s="187">
        <v>19</v>
      </c>
      <c r="B25" s="23" t="s">
        <v>5264</v>
      </c>
      <c r="C25" s="389"/>
      <c r="D25" s="390"/>
      <c r="E25" s="390"/>
      <c r="F25" s="390"/>
      <c r="G25" s="390"/>
      <c r="H25" s="390"/>
      <c r="I25" s="390"/>
      <c r="J25" s="390"/>
      <c r="K25" s="390"/>
      <c r="L25" s="390"/>
      <c r="M25" s="390"/>
      <c r="N25" s="390"/>
      <c r="O25" s="390"/>
      <c r="P25" s="390"/>
      <c r="Q25" s="390"/>
      <c r="R25" s="390"/>
      <c r="S25" s="390"/>
      <c r="T25" s="390"/>
      <c r="U25" s="390"/>
    </row>
    <row r="26" spans="1:21">
      <c r="A26" s="187">
        <v>20</v>
      </c>
      <c r="B26" s="389"/>
      <c r="C26" s="389"/>
      <c r="D26" s="390"/>
      <c r="E26" s="390"/>
      <c r="F26" s="390"/>
      <c r="G26" s="390"/>
      <c r="H26" s="390"/>
      <c r="I26" s="390"/>
      <c r="J26" s="390"/>
      <c r="K26" s="390"/>
      <c r="L26" s="390"/>
      <c r="M26" s="390"/>
      <c r="N26" s="390"/>
      <c r="O26" s="390"/>
      <c r="P26" s="390"/>
      <c r="Q26" s="390"/>
      <c r="R26" s="390"/>
      <c r="S26" s="390"/>
      <c r="T26" s="390"/>
      <c r="U26" s="390"/>
    </row>
    <row r="27" spans="1:21">
      <c r="A27" s="187">
        <v>21</v>
      </c>
      <c r="B27" s="389"/>
      <c r="C27" s="389"/>
      <c r="D27" s="390"/>
      <c r="E27" s="390"/>
      <c r="F27" s="390"/>
      <c r="G27" s="390"/>
      <c r="H27" s="390"/>
      <c r="I27" s="390"/>
      <c r="J27" s="390"/>
      <c r="K27" s="390"/>
      <c r="L27" s="390"/>
      <c r="M27" s="390"/>
      <c r="N27" s="390"/>
      <c r="O27" s="390"/>
      <c r="P27" s="390"/>
      <c r="Q27" s="390"/>
      <c r="R27" s="390"/>
      <c r="S27" s="390"/>
      <c r="T27" s="390"/>
      <c r="U27" s="390"/>
    </row>
    <row r="28" spans="1:21">
      <c r="A28" s="187">
        <v>22</v>
      </c>
      <c r="B28" s="389"/>
      <c r="C28" s="389"/>
      <c r="D28" s="390"/>
      <c r="E28" s="390"/>
      <c r="F28" s="390"/>
      <c r="G28" s="390"/>
      <c r="H28" s="390"/>
      <c r="I28" s="390"/>
      <c r="J28" s="390"/>
      <c r="K28" s="390"/>
      <c r="L28" s="390"/>
      <c r="M28" s="390"/>
      <c r="N28" s="390"/>
      <c r="O28" s="390"/>
      <c r="P28" s="390"/>
      <c r="Q28" s="390"/>
      <c r="R28" s="390"/>
      <c r="S28" s="390"/>
      <c r="T28" s="390"/>
      <c r="U28" s="390"/>
    </row>
    <row r="29" spans="1:21">
      <c r="A29" s="187">
        <v>23</v>
      </c>
      <c r="B29" s="389"/>
      <c r="C29" s="389"/>
      <c r="D29" s="390"/>
      <c r="E29" s="390"/>
      <c r="F29" s="390"/>
      <c r="G29" s="390"/>
      <c r="H29" s="390"/>
      <c r="I29" s="390"/>
      <c r="J29" s="390"/>
      <c r="K29" s="390"/>
      <c r="L29" s="390"/>
      <c r="M29" s="390"/>
      <c r="N29" s="390"/>
      <c r="O29" s="390"/>
      <c r="P29" s="390"/>
      <c r="Q29" s="390"/>
      <c r="R29" s="390"/>
      <c r="S29" s="390"/>
      <c r="T29" s="390"/>
      <c r="U29" s="390"/>
    </row>
    <row r="30" spans="1:21">
      <c r="A30" s="187">
        <v>24</v>
      </c>
      <c r="B30" s="389"/>
      <c r="C30" s="389"/>
      <c r="D30" s="390"/>
      <c r="E30" s="390"/>
      <c r="F30" s="390"/>
      <c r="G30" s="390"/>
      <c r="H30" s="390"/>
      <c r="I30" s="390"/>
      <c r="J30" s="390"/>
      <c r="K30" s="390"/>
      <c r="L30" s="390"/>
      <c r="M30" s="390"/>
      <c r="N30" s="390"/>
      <c r="O30" s="390"/>
      <c r="P30" s="390"/>
      <c r="Q30" s="390"/>
      <c r="R30" s="390"/>
      <c r="S30" s="390"/>
      <c r="T30" s="390"/>
      <c r="U30" s="390"/>
    </row>
    <row r="31" spans="1:21">
      <c r="A31" s="187">
        <v>25</v>
      </c>
      <c r="B31" s="389"/>
      <c r="C31" s="389"/>
      <c r="D31" s="390"/>
      <c r="E31" s="390"/>
      <c r="F31" s="390"/>
      <c r="G31" s="390"/>
      <c r="H31" s="390"/>
      <c r="I31" s="390"/>
      <c r="J31" s="390"/>
      <c r="K31" s="390"/>
      <c r="L31" s="390"/>
      <c r="M31" s="390"/>
      <c r="N31" s="390"/>
      <c r="O31" s="390"/>
      <c r="P31" s="390"/>
      <c r="Q31" s="390"/>
      <c r="R31" s="390"/>
      <c r="S31" s="390"/>
      <c r="T31" s="390"/>
      <c r="U31" s="390"/>
    </row>
    <row r="32" spans="1:21">
      <c r="A32" s="187">
        <v>26</v>
      </c>
      <c r="B32" s="389"/>
      <c r="C32" s="389"/>
      <c r="D32" s="390"/>
      <c r="E32" s="390"/>
      <c r="F32" s="390"/>
      <c r="G32" s="390"/>
      <c r="H32" s="390"/>
      <c r="I32" s="390"/>
      <c r="J32" s="390"/>
      <c r="K32" s="390"/>
      <c r="L32" s="390"/>
      <c r="M32" s="390"/>
      <c r="N32" s="390"/>
      <c r="O32" s="390"/>
      <c r="P32" s="390"/>
      <c r="Q32" s="390"/>
      <c r="R32" s="390"/>
      <c r="S32" s="390"/>
      <c r="T32" s="390"/>
      <c r="U32" s="390"/>
    </row>
    <row r="33" spans="1:21">
      <c r="A33" s="187">
        <v>27</v>
      </c>
      <c r="B33" s="389"/>
      <c r="C33" s="389"/>
      <c r="D33" s="390"/>
      <c r="E33" s="390"/>
      <c r="F33" s="390"/>
      <c r="G33" s="390"/>
      <c r="H33" s="390"/>
      <c r="I33" s="390"/>
      <c r="J33" s="390"/>
      <c r="K33" s="390"/>
      <c r="L33" s="390"/>
      <c r="M33" s="390"/>
      <c r="N33" s="390"/>
      <c r="O33" s="390"/>
      <c r="P33" s="390"/>
      <c r="Q33" s="390"/>
      <c r="R33" s="390"/>
      <c r="S33" s="390"/>
      <c r="T33" s="390"/>
      <c r="U33" s="390"/>
    </row>
    <row r="34" spans="1:21">
      <c r="A34" s="187">
        <v>28</v>
      </c>
      <c r="B34" s="389"/>
      <c r="C34" s="389"/>
      <c r="D34" s="390"/>
      <c r="E34" s="390"/>
      <c r="F34" s="390"/>
      <c r="G34" s="390"/>
      <c r="H34" s="390"/>
      <c r="I34" s="390"/>
      <c r="J34" s="390"/>
      <c r="K34" s="390"/>
      <c r="L34" s="390"/>
      <c r="M34" s="390"/>
      <c r="N34" s="390"/>
      <c r="O34" s="390"/>
      <c r="P34" s="390"/>
      <c r="Q34" s="390"/>
      <c r="R34" s="390"/>
      <c r="S34" s="390"/>
      <c r="T34" s="390"/>
      <c r="U34" s="390"/>
    </row>
    <row r="35" spans="1:21">
      <c r="A35" s="187">
        <v>29</v>
      </c>
      <c r="B35" s="389"/>
      <c r="C35" s="389"/>
      <c r="D35" s="390"/>
      <c r="E35" s="390"/>
      <c r="F35" s="390"/>
      <c r="G35" s="390"/>
      <c r="H35" s="390"/>
      <c r="I35" s="390"/>
      <c r="J35" s="390"/>
      <c r="K35" s="390"/>
      <c r="L35" s="390"/>
      <c r="M35" s="390"/>
      <c r="N35" s="390"/>
      <c r="O35" s="390"/>
      <c r="P35" s="390"/>
      <c r="Q35" s="390"/>
      <c r="R35" s="390"/>
      <c r="S35" s="390"/>
      <c r="T35" s="390"/>
      <c r="U35" s="390"/>
    </row>
    <row r="36" spans="1:21">
      <c r="A36" s="187">
        <v>30</v>
      </c>
      <c r="B36" s="389"/>
      <c r="C36" s="389"/>
      <c r="D36" s="390"/>
      <c r="E36" s="390"/>
      <c r="F36" s="390"/>
      <c r="G36" s="390"/>
      <c r="H36" s="390"/>
      <c r="I36" s="390"/>
      <c r="J36" s="390"/>
      <c r="K36" s="390"/>
      <c r="L36" s="390"/>
      <c r="M36" s="390"/>
      <c r="N36" s="390"/>
      <c r="O36" s="390"/>
      <c r="P36" s="390"/>
      <c r="Q36" s="390"/>
      <c r="R36" s="390"/>
      <c r="S36" s="390"/>
      <c r="T36" s="390"/>
      <c r="U36" s="390"/>
    </row>
    <row r="37" spans="1:21">
      <c r="A37" s="187">
        <v>31</v>
      </c>
      <c r="B37" s="389"/>
      <c r="C37" s="389"/>
      <c r="D37" s="390"/>
      <c r="E37" s="390"/>
      <c r="F37" s="390"/>
      <c r="G37" s="390"/>
      <c r="H37" s="390"/>
      <c r="I37" s="390"/>
      <c r="J37" s="390"/>
      <c r="K37" s="390"/>
      <c r="L37" s="390"/>
      <c r="M37" s="390"/>
      <c r="N37" s="390"/>
      <c r="O37" s="390"/>
      <c r="P37" s="390"/>
      <c r="Q37" s="390"/>
      <c r="R37" s="390"/>
      <c r="S37" s="390"/>
      <c r="T37" s="390"/>
      <c r="U37" s="390"/>
    </row>
    <row r="38" spans="1:21">
      <c r="A38" s="187">
        <v>32</v>
      </c>
      <c r="B38" s="389"/>
      <c r="C38" s="389"/>
      <c r="D38" s="390"/>
      <c r="E38" s="390"/>
      <c r="F38" s="390"/>
      <c r="G38" s="390"/>
      <c r="H38" s="390"/>
      <c r="I38" s="390"/>
      <c r="J38" s="390"/>
      <c r="K38" s="390"/>
      <c r="L38" s="390"/>
      <c r="M38" s="390"/>
      <c r="N38" s="390"/>
      <c r="O38" s="390"/>
      <c r="P38" s="390"/>
      <c r="Q38" s="390"/>
      <c r="R38" s="390"/>
      <c r="S38" s="390"/>
      <c r="T38" s="390"/>
      <c r="U38" s="390"/>
    </row>
    <row r="39" spans="1:21">
      <c r="A39" s="187">
        <v>33</v>
      </c>
      <c r="B39" s="389"/>
      <c r="C39" s="389"/>
      <c r="D39" s="390"/>
      <c r="E39" s="390"/>
      <c r="F39" s="390"/>
      <c r="G39" s="390"/>
      <c r="H39" s="390"/>
      <c r="I39" s="390"/>
      <c r="J39" s="390"/>
      <c r="K39" s="390"/>
      <c r="L39" s="390"/>
      <c r="M39" s="390"/>
      <c r="N39" s="390"/>
      <c r="O39" s="390"/>
      <c r="P39" s="390"/>
      <c r="Q39" s="390"/>
      <c r="R39" s="390"/>
      <c r="S39" s="390"/>
      <c r="T39" s="390"/>
      <c r="U39" s="390"/>
    </row>
    <row r="40" spans="1:21">
      <c r="A40" s="187">
        <v>34</v>
      </c>
      <c r="B40" s="389"/>
      <c r="C40" s="389"/>
      <c r="D40" s="390"/>
      <c r="E40" s="390"/>
      <c r="F40" s="390"/>
      <c r="G40" s="390"/>
      <c r="H40" s="390"/>
      <c r="I40" s="390"/>
      <c r="J40" s="390"/>
      <c r="K40" s="390"/>
      <c r="L40" s="390"/>
      <c r="M40" s="390"/>
      <c r="N40" s="390"/>
      <c r="O40" s="390"/>
      <c r="P40" s="390"/>
      <c r="Q40" s="390"/>
      <c r="R40" s="390"/>
      <c r="S40" s="390"/>
      <c r="T40" s="390"/>
      <c r="U40" s="390"/>
    </row>
    <row r="41" spans="1:21">
      <c r="A41" s="187">
        <v>35</v>
      </c>
      <c r="B41" s="389"/>
      <c r="C41" s="389"/>
      <c r="D41" s="390"/>
      <c r="E41" s="390"/>
      <c r="F41" s="390"/>
      <c r="G41" s="390"/>
      <c r="H41" s="390"/>
      <c r="I41" s="390"/>
      <c r="J41" s="390"/>
      <c r="K41" s="390"/>
      <c r="L41" s="390"/>
      <c r="M41" s="390"/>
      <c r="N41" s="390"/>
      <c r="O41" s="390"/>
      <c r="P41" s="390"/>
      <c r="Q41" s="390"/>
      <c r="R41" s="390"/>
      <c r="S41" s="390"/>
      <c r="T41" s="390"/>
      <c r="U41" s="390"/>
    </row>
    <row r="42" spans="1:21">
      <c r="A42" s="187">
        <v>36</v>
      </c>
      <c r="B42" s="389"/>
      <c r="C42" s="389"/>
      <c r="D42" s="390"/>
      <c r="E42" s="390"/>
      <c r="F42" s="390"/>
      <c r="G42" s="390"/>
      <c r="H42" s="390"/>
      <c r="I42" s="390"/>
      <c r="J42" s="390"/>
      <c r="K42" s="390"/>
      <c r="L42" s="390"/>
      <c r="M42" s="390"/>
      <c r="N42" s="390"/>
      <c r="O42" s="390"/>
      <c r="P42" s="390"/>
      <c r="Q42" s="390"/>
      <c r="R42" s="390"/>
      <c r="S42" s="390"/>
      <c r="T42" s="390"/>
      <c r="U42" s="390"/>
    </row>
    <row r="43" spans="1:21">
      <c r="A43" s="187">
        <v>37</v>
      </c>
      <c r="B43" s="389"/>
      <c r="C43" s="389"/>
      <c r="D43" s="390"/>
      <c r="E43" s="390"/>
      <c r="F43" s="390"/>
      <c r="G43" s="390"/>
      <c r="H43" s="390"/>
      <c r="I43" s="390"/>
      <c r="J43" s="390"/>
      <c r="K43" s="390"/>
      <c r="L43" s="390"/>
      <c r="M43" s="390"/>
      <c r="N43" s="390"/>
      <c r="O43" s="390"/>
      <c r="P43" s="390"/>
      <c r="Q43" s="390"/>
      <c r="R43" s="390"/>
      <c r="S43" s="390"/>
      <c r="T43" s="390"/>
      <c r="U43" s="390"/>
    </row>
    <row r="44" spans="1:21">
      <c r="A44" s="187">
        <v>38</v>
      </c>
      <c r="B44" s="389"/>
      <c r="C44" s="389"/>
      <c r="D44" s="390"/>
      <c r="E44" s="390"/>
      <c r="F44" s="390"/>
      <c r="G44" s="390"/>
      <c r="H44" s="390"/>
      <c r="I44" s="390"/>
      <c r="J44" s="390"/>
      <c r="K44" s="390"/>
      <c r="L44" s="390"/>
      <c r="M44" s="390"/>
      <c r="N44" s="390"/>
      <c r="O44" s="390"/>
      <c r="P44" s="390"/>
      <c r="Q44" s="390"/>
      <c r="R44" s="390"/>
      <c r="S44" s="390"/>
      <c r="T44" s="390"/>
      <c r="U44" s="390"/>
    </row>
    <row r="45" spans="1:21">
      <c r="A45" s="187">
        <v>39</v>
      </c>
      <c r="B45" s="389"/>
      <c r="C45" s="389"/>
      <c r="D45" s="390"/>
      <c r="E45" s="390"/>
      <c r="F45" s="390"/>
      <c r="G45" s="390"/>
      <c r="H45" s="390"/>
      <c r="I45" s="390"/>
      <c r="J45" s="390"/>
      <c r="K45" s="390"/>
      <c r="L45" s="390"/>
      <c r="M45" s="390"/>
      <c r="N45" s="390"/>
      <c r="O45" s="390"/>
      <c r="P45" s="390"/>
      <c r="Q45" s="390"/>
      <c r="R45" s="390"/>
      <c r="S45" s="390"/>
      <c r="T45" s="390"/>
      <c r="U45" s="390"/>
    </row>
    <row r="46" spans="1:21">
      <c r="A46" s="187">
        <v>40</v>
      </c>
      <c r="B46" s="389"/>
      <c r="C46" s="389"/>
      <c r="D46" s="390"/>
      <c r="E46" s="390"/>
      <c r="F46" s="390"/>
      <c r="G46" s="390"/>
      <c r="H46" s="390"/>
      <c r="I46" s="390"/>
      <c r="J46" s="390"/>
      <c r="K46" s="390"/>
      <c r="L46" s="390"/>
      <c r="M46" s="390"/>
      <c r="N46" s="390"/>
      <c r="O46" s="390"/>
      <c r="P46" s="390"/>
      <c r="Q46" s="390"/>
      <c r="R46" s="390"/>
      <c r="S46" s="390"/>
      <c r="T46" s="390"/>
      <c r="U46" s="390"/>
    </row>
    <row r="47" spans="1:21">
      <c r="A47" s="187">
        <v>41</v>
      </c>
      <c r="B47" s="389"/>
      <c r="C47" s="389"/>
      <c r="D47" s="390"/>
      <c r="E47" s="390"/>
      <c r="F47" s="390"/>
      <c r="G47" s="390"/>
      <c r="H47" s="390"/>
      <c r="I47" s="390"/>
      <c r="J47" s="390"/>
      <c r="K47" s="390"/>
      <c r="L47" s="390"/>
      <c r="M47" s="390"/>
      <c r="N47" s="390"/>
      <c r="O47" s="390"/>
      <c r="P47" s="390"/>
      <c r="Q47" s="390"/>
      <c r="R47" s="390"/>
      <c r="S47" s="390"/>
      <c r="T47" s="390"/>
      <c r="U47" s="390"/>
    </row>
    <row r="48" spans="1:21">
      <c r="A48" s="187">
        <v>42</v>
      </c>
      <c r="B48" s="389"/>
      <c r="C48" s="389"/>
      <c r="D48" s="390"/>
      <c r="E48" s="390"/>
      <c r="F48" s="390"/>
      <c r="G48" s="390"/>
      <c r="H48" s="390"/>
      <c r="I48" s="390"/>
      <c r="J48" s="390"/>
      <c r="K48" s="390"/>
      <c r="L48" s="390"/>
      <c r="M48" s="390"/>
      <c r="N48" s="390"/>
      <c r="O48" s="390"/>
      <c r="P48" s="390"/>
      <c r="Q48" s="390"/>
      <c r="R48" s="390"/>
      <c r="S48" s="390"/>
      <c r="T48" s="390"/>
      <c r="U48" s="390"/>
    </row>
    <row r="49" spans="1:21">
      <c r="A49" s="187">
        <v>43</v>
      </c>
      <c r="B49" s="389"/>
      <c r="C49" s="389"/>
      <c r="D49" s="390"/>
      <c r="E49" s="390"/>
      <c r="F49" s="390"/>
      <c r="G49" s="390"/>
      <c r="H49" s="390"/>
      <c r="I49" s="390"/>
      <c r="J49" s="390"/>
      <c r="K49" s="390"/>
      <c r="L49" s="390"/>
      <c r="M49" s="390"/>
      <c r="N49" s="390"/>
      <c r="O49" s="390"/>
      <c r="P49" s="390"/>
      <c r="Q49" s="390"/>
      <c r="R49" s="390"/>
      <c r="S49" s="390"/>
      <c r="T49" s="390"/>
      <c r="U49" s="390"/>
    </row>
    <row r="50" spans="1:21">
      <c r="A50" s="187">
        <v>44</v>
      </c>
      <c r="B50" s="389"/>
      <c r="C50" s="389"/>
      <c r="D50" s="390"/>
      <c r="E50" s="390"/>
      <c r="F50" s="390"/>
      <c r="G50" s="390"/>
      <c r="H50" s="390"/>
      <c r="I50" s="390"/>
      <c r="J50" s="390"/>
      <c r="K50" s="390"/>
      <c r="L50" s="390"/>
      <c r="M50" s="390"/>
      <c r="N50" s="390"/>
      <c r="O50" s="390"/>
      <c r="P50" s="390"/>
      <c r="Q50" s="390"/>
      <c r="R50" s="390"/>
      <c r="S50" s="390"/>
      <c r="T50" s="390"/>
      <c r="U50" s="390"/>
    </row>
    <row r="51" spans="1:21">
      <c r="A51" s="187">
        <v>45</v>
      </c>
      <c r="B51" s="389"/>
      <c r="C51" s="389"/>
      <c r="D51" s="390"/>
      <c r="E51" s="390"/>
      <c r="F51" s="390"/>
      <c r="G51" s="390"/>
      <c r="H51" s="390"/>
      <c r="I51" s="390"/>
      <c r="J51" s="390"/>
      <c r="K51" s="390"/>
      <c r="L51" s="390"/>
      <c r="M51" s="390"/>
      <c r="N51" s="390"/>
      <c r="O51" s="390"/>
      <c r="P51" s="390"/>
      <c r="Q51" s="390"/>
      <c r="R51" s="390"/>
      <c r="S51" s="390"/>
      <c r="T51" s="390"/>
      <c r="U51" s="390"/>
    </row>
    <row r="52" spans="1:21">
      <c r="A52" s="187">
        <v>46</v>
      </c>
      <c r="B52" s="389"/>
      <c r="C52" s="389"/>
      <c r="D52" s="390"/>
      <c r="E52" s="390"/>
      <c r="F52" s="390"/>
      <c r="G52" s="390"/>
      <c r="H52" s="390"/>
      <c r="I52" s="390"/>
      <c r="J52" s="390"/>
      <c r="K52" s="390"/>
      <c r="L52" s="390"/>
      <c r="M52" s="390"/>
      <c r="N52" s="390"/>
      <c r="O52" s="390"/>
      <c r="P52" s="390"/>
      <c r="Q52" s="390"/>
      <c r="R52" s="390"/>
      <c r="S52" s="390"/>
      <c r="T52" s="390"/>
      <c r="U52" s="390"/>
    </row>
    <row r="53" spans="1:21">
      <c r="A53" s="187">
        <v>47</v>
      </c>
      <c r="B53" s="389"/>
      <c r="C53" s="389"/>
      <c r="D53" s="390"/>
      <c r="E53" s="390"/>
      <c r="F53" s="390"/>
      <c r="G53" s="390"/>
      <c r="H53" s="390"/>
      <c r="I53" s="390"/>
      <c r="J53" s="390"/>
      <c r="K53" s="390"/>
      <c r="L53" s="390"/>
      <c r="M53" s="390"/>
      <c r="N53" s="390"/>
      <c r="O53" s="390"/>
      <c r="P53" s="390"/>
      <c r="Q53" s="390"/>
      <c r="R53" s="390"/>
      <c r="S53" s="390"/>
      <c r="T53" s="390"/>
      <c r="U53" s="390"/>
    </row>
    <row r="54" spans="1:21">
      <c r="A54" s="187">
        <v>48</v>
      </c>
      <c r="B54" s="389"/>
      <c r="C54" s="389"/>
      <c r="D54" s="390"/>
      <c r="E54" s="390"/>
      <c r="F54" s="390"/>
      <c r="G54" s="390"/>
      <c r="H54" s="390"/>
      <c r="I54" s="390"/>
      <c r="J54" s="390"/>
      <c r="K54" s="390"/>
      <c r="L54" s="390"/>
      <c r="M54" s="390"/>
      <c r="N54" s="390"/>
      <c r="O54" s="390"/>
      <c r="P54" s="390"/>
      <c r="Q54" s="390"/>
      <c r="R54" s="390"/>
      <c r="S54" s="390"/>
      <c r="T54" s="390"/>
      <c r="U54" s="390"/>
    </row>
    <row r="55" spans="1:21">
      <c r="A55" s="187">
        <v>49</v>
      </c>
      <c r="B55" s="389"/>
      <c r="C55" s="389"/>
      <c r="D55" s="390"/>
      <c r="E55" s="390"/>
      <c r="F55" s="390"/>
      <c r="G55" s="390"/>
      <c r="H55" s="390"/>
      <c r="I55" s="390"/>
      <c r="J55" s="390"/>
      <c r="K55" s="390"/>
      <c r="L55" s="390"/>
      <c r="M55" s="390"/>
      <c r="N55" s="390"/>
      <c r="O55" s="390"/>
      <c r="P55" s="390"/>
      <c r="Q55" s="390"/>
      <c r="R55" s="390"/>
      <c r="S55" s="390"/>
      <c r="T55" s="390"/>
      <c r="U55" s="390"/>
    </row>
    <row r="56" spans="1:21">
      <c r="A56" s="187">
        <v>50</v>
      </c>
      <c r="B56" s="389"/>
      <c r="C56" s="389"/>
      <c r="D56" s="390"/>
      <c r="E56" s="390"/>
      <c r="F56" s="390"/>
      <c r="G56" s="390"/>
      <c r="H56" s="390"/>
      <c r="I56" s="390"/>
      <c r="J56" s="390"/>
      <c r="K56" s="390"/>
      <c r="L56" s="390"/>
      <c r="M56" s="390"/>
      <c r="N56" s="390"/>
      <c r="O56" s="390"/>
      <c r="P56" s="390"/>
      <c r="Q56" s="390"/>
      <c r="R56" s="390"/>
      <c r="S56" s="390"/>
      <c r="T56" s="390"/>
      <c r="U56" s="390"/>
    </row>
  </sheetData>
  <mergeCells count="11">
    <mergeCell ref="A6:U6"/>
    <mergeCell ref="A2:U2"/>
    <mergeCell ref="A3:A5"/>
    <mergeCell ref="B3:B5"/>
    <mergeCell ref="C3:C5"/>
    <mergeCell ref="D3:U3"/>
    <mergeCell ref="L4:M4"/>
    <mergeCell ref="N4:O4"/>
    <mergeCell ref="P4:Q4"/>
    <mergeCell ref="S4:T4"/>
    <mergeCell ref="D4:K4"/>
  </mergeCells>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Sheet7"/>
  <dimension ref="A1:BD283"/>
  <sheetViews>
    <sheetView zoomScale="80" zoomScaleNormal="80" workbookViewId="0">
      <pane xSplit="6" ySplit="4" topLeftCell="G251" activePane="bottomRight" state="frozen"/>
      <selection activeCell="Q172" sqref="A1:BE179"/>
      <selection pane="topRight" activeCell="Q172" sqref="A1:BE179"/>
      <selection pane="bottomLeft" activeCell="Q172" sqref="A1:BE179"/>
      <selection pane="bottomRight" activeCell="D252" sqref="D252"/>
    </sheetView>
  </sheetViews>
  <sheetFormatPr defaultColWidth="9.140625" defaultRowHeight="16.5"/>
  <cols>
    <col min="1" max="1" width="8" style="2133" bestFit="1" customWidth="1"/>
    <col min="2" max="2" width="16.140625" style="2205" bestFit="1" customWidth="1"/>
    <col min="3" max="3" width="9.42578125" style="2417" customWidth="1"/>
    <col min="4" max="4" width="39.85546875" style="1551" customWidth="1"/>
    <col min="5" max="5" width="10.140625" style="2136" bestFit="1" customWidth="1"/>
    <col min="6" max="6" width="11.42578125" style="2136" customWidth="1"/>
    <col min="7" max="7" width="16.42578125" style="1507" hidden="1" customWidth="1"/>
    <col min="8" max="8" width="21.140625" style="1507" hidden="1" customWidth="1"/>
    <col min="9" max="9" width="15.85546875" style="1507" hidden="1" customWidth="1"/>
    <col min="10" max="10" width="16.42578125" style="1507" hidden="1" customWidth="1"/>
    <col min="11" max="11" width="16.140625" style="1507" hidden="1" customWidth="1"/>
    <col min="12" max="12" width="14.28515625" style="2136" customWidth="1"/>
    <col min="13" max="13" width="11.140625" style="2133" customWidth="1"/>
    <col min="14" max="14" width="10.5703125" style="2133" customWidth="1"/>
    <col min="15" max="15" width="7.85546875" style="2133" customWidth="1"/>
    <col min="16" max="16" width="12.140625" style="2133" bestFit="1" customWidth="1"/>
    <col min="17" max="17" width="88.28515625" style="2205" customWidth="1"/>
    <col min="18" max="18" width="41.42578125" style="2205" hidden="1" customWidth="1"/>
    <col min="19" max="19" width="11.5703125" style="2418" hidden="1" customWidth="1"/>
    <col min="20" max="20" width="6" style="2133" hidden="1" customWidth="1"/>
    <col min="21" max="21" width="3.7109375" style="2133" hidden="1" customWidth="1"/>
    <col min="22" max="22" width="4" style="2133" hidden="1" customWidth="1"/>
    <col min="23" max="23" width="3.85546875" style="2133" hidden="1" customWidth="1"/>
    <col min="24" max="24" width="5.5703125" style="2133" hidden="1" customWidth="1"/>
    <col min="25" max="25" width="4.5703125" style="2133" hidden="1" customWidth="1"/>
    <col min="26" max="26" width="5.85546875" style="2133" hidden="1" customWidth="1"/>
    <col min="27" max="27" width="7.140625" style="2133" hidden="1" customWidth="1"/>
    <col min="28" max="28" width="3.7109375" style="2133" hidden="1" customWidth="1"/>
    <col min="29" max="29" width="8" style="2133" hidden="1" customWidth="1"/>
    <col min="30" max="30" width="4.140625" style="2133" hidden="1" customWidth="1"/>
    <col min="31" max="31" width="3.85546875" style="2133" hidden="1" customWidth="1"/>
    <col min="32" max="32" width="7.140625" style="2133" hidden="1" customWidth="1"/>
    <col min="33" max="33" width="3.42578125" style="2133" hidden="1" customWidth="1"/>
    <col min="34" max="35" width="7.140625" style="2133" hidden="1" customWidth="1"/>
    <col min="36" max="36" width="4.5703125" style="2133" hidden="1" customWidth="1"/>
    <col min="37" max="37" width="8" style="2133" hidden="1" customWidth="1"/>
    <col min="38" max="39" width="5.28515625" style="2133" hidden="1" customWidth="1"/>
    <col min="40" max="40" width="6.85546875" style="2133" hidden="1" customWidth="1"/>
    <col min="41" max="41" width="5.5703125" style="2133" hidden="1" customWidth="1"/>
    <col min="42" max="42" width="5.140625" style="2133" hidden="1" customWidth="1"/>
    <col min="43" max="43" width="5.5703125" style="2133" hidden="1" customWidth="1"/>
    <col min="44" max="44" width="6.28515625" style="2133" hidden="1" customWidth="1"/>
    <col min="45" max="45" width="6.5703125" style="2133" hidden="1" customWidth="1"/>
    <col min="46" max="46" width="5.42578125" style="2133" hidden="1" customWidth="1"/>
    <col min="47" max="47" width="7.5703125" style="2133" hidden="1" customWidth="1"/>
    <col min="48" max="48" width="7.42578125" style="2133" hidden="1" customWidth="1"/>
    <col min="49" max="49" width="8" style="2133" hidden="1" customWidth="1"/>
    <col min="50" max="50" width="6" style="2133" hidden="1" customWidth="1"/>
    <col min="51" max="51" width="5.5703125" style="2133" hidden="1" customWidth="1"/>
    <col min="52" max="52" width="6.42578125" style="2133" hidden="1" customWidth="1"/>
    <col min="53" max="53" width="6.7109375" style="2133" hidden="1" customWidth="1"/>
    <col min="54" max="54" width="7.5703125" style="2133" hidden="1" customWidth="1"/>
    <col min="55" max="56" width="0" style="2133" hidden="1" customWidth="1"/>
    <col min="57" max="16384" width="9.140625" style="2133"/>
  </cols>
  <sheetData>
    <row r="1" spans="1:56" s="1659" customFormat="1" ht="14.45" customHeight="1">
      <c r="A1" s="4411" t="s">
        <v>5012</v>
      </c>
      <c r="B1" s="4412"/>
      <c r="C1" s="4412"/>
      <c r="D1" s="4413"/>
      <c r="F1" s="1506"/>
      <c r="H1" s="1655"/>
      <c r="I1" s="1656"/>
      <c r="J1" s="1656"/>
      <c r="K1" s="1656"/>
      <c r="L1" s="3238"/>
      <c r="M1" s="1656"/>
      <c r="N1" s="1656"/>
      <c r="O1" s="1656"/>
      <c r="P1" s="1656"/>
      <c r="Q1" s="1656"/>
      <c r="R1" s="1656"/>
      <c r="S1" s="2281"/>
      <c r="T1" s="1656"/>
      <c r="U1" s="1656"/>
      <c r="V1" s="1656"/>
      <c r="W1" s="1656"/>
      <c r="X1" s="1656"/>
      <c r="Y1" s="1656"/>
      <c r="Z1" s="1656"/>
      <c r="AA1" s="1656"/>
      <c r="AB1" s="1656"/>
      <c r="AC1" s="1656"/>
      <c r="AD1" s="1656"/>
      <c r="AE1" s="1656"/>
      <c r="AF1" s="1656"/>
      <c r="AG1" s="1656"/>
      <c r="AH1" s="1656"/>
      <c r="AI1" s="1656"/>
      <c r="AJ1" s="1656"/>
      <c r="AK1" s="1656"/>
      <c r="AL1" s="1656"/>
      <c r="AM1" s="1656"/>
      <c r="AN1" s="1656"/>
      <c r="AO1" s="1656"/>
      <c r="AP1" s="1656"/>
      <c r="AQ1" s="1657"/>
      <c r="AR1" s="1657"/>
      <c r="AS1" s="1657"/>
      <c r="AT1" s="1657"/>
      <c r="AU1" s="1657"/>
      <c r="AV1" s="1657"/>
      <c r="AW1" s="1657"/>
      <c r="AX1" s="1982"/>
      <c r="AY1" s="1982"/>
      <c r="AZ1" s="1982"/>
      <c r="BA1" s="1982"/>
      <c r="BB1" s="1982"/>
      <c r="BC1" s="1982"/>
      <c r="BD1" s="1982"/>
    </row>
    <row r="2" spans="1:56" s="1668" customFormat="1" ht="14.45" customHeight="1">
      <c r="A2" s="1983" t="str">
        <f>HYPERLINK("#Index!A4", "Index Pg")</f>
        <v>Index Pg</v>
      </c>
      <c r="B2" s="1287" t="str">
        <f>HYPERLINK("#'Budget Summary I'!A1:AL1", "Budget Summary I")</f>
        <v>Budget Summary I</v>
      </c>
      <c r="C2" s="1287" t="str">
        <f>HYPERLINK("#'Budget Summary II'!A3:B5", "Budget Summary II")</f>
        <v>Budget Summary II</v>
      </c>
      <c r="D2" s="1984" t="str">
        <f>HYPERLINK("#'Summary of Abstracts'!A2", "Summary of Abst.")</f>
        <v>Summary of Abst.</v>
      </c>
      <c r="F2" s="1506"/>
      <c r="H2" s="1655"/>
      <c r="I2" s="1664"/>
      <c r="J2" s="1664"/>
      <c r="K2" s="1664"/>
      <c r="L2" s="1664"/>
      <c r="M2" s="1664"/>
      <c r="N2" s="1664"/>
      <c r="O2" s="1665"/>
      <c r="P2" s="1665"/>
      <c r="Q2" s="1665"/>
      <c r="R2" s="1666"/>
      <c r="S2" s="1666"/>
      <c r="T2" s="1666"/>
      <c r="U2" s="1666"/>
      <c r="V2" s="1666"/>
      <c r="W2" s="1666"/>
      <c r="X2" s="1666"/>
      <c r="Y2" s="1666"/>
      <c r="Z2" s="1666"/>
      <c r="AA2" s="1666"/>
      <c r="AB2" s="1666"/>
      <c r="AC2" s="1666"/>
      <c r="AD2" s="1666"/>
      <c r="AE2" s="1666"/>
      <c r="AF2" s="1666"/>
      <c r="AG2" s="1666"/>
      <c r="AH2" s="1666"/>
      <c r="AI2" s="1666"/>
      <c r="AJ2" s="1666"/>
      <c r="AK2" s="1666"/>
      <c r="AL2" s="1666"/>
      <c r="AM2" s="1663"/>
      <c r="AN2" s="1663"/>
      <c r="AO2" s="1663"/>
      <c r="AP2" s="1663"/>
      <c r="AQ2" s="1663"/>
      <c r="AR2" s="1663"/>
      <c r="AS2" s="1663"/>
      <c r="AT2" s="1663"/>
      <c r="AU2" s="1663"/>
      <c r="AV2" s="1663"/>
      <c r="AW2" s="1663"/>
      <c r="AX2" s="1985"/>
      <c r="AY2" s="1985"/>
      <c r="AZ2" s="1985"/>
      <c r="BA2" s="1985"/>
      <c r="BB2" s="1985"/>
      <c r="BC2" s="1985"/>
      <c r="BD2" s="1985"/>
    </row>
    <row r="3" spans="1:56" s="2136" customFormat="1" ht="12.75" customHeight="1">
      <c r="A3" s="4343" t="s">
        <v>5048</v>
      </c>
      <c r="B3" s="4382" t="s">
        <v>54</v>
      </c>
      <c r="C3" s="4383"/>
      <c r="D3" s="4343" t="s">
        <v>55</v>
      </c>
      <c r="E3" s="4343" t="s">
        <v>56</v>
      </c>
      <c r="F3" s="4343" t="s">
        <v>57</v>
      </c>
      <c r="G3" s="4339" t="s">
        <v>4620</v>
      </c>
      <c r="H3" s="4339"/>
      <c r="I3" s="4339"/>
      <c r="J3" s="4339"/>
      <c r="K3" s="4339"/>
      <c r="L3" s="4340" t="s">
        <v>4631</v>
      </c>
      <c r="M3" s="4380"/>
      <c r="N3" s="4380"/>
      <c r="O3" s="4380"/>
      <c r="P3" s="4380"/>
      <c r="Q3" s="4381"/>
      <c r="R3" s="4382" t="s">
        <v>4661</v>
      </c>
      <c r="S3" s="4383"/>
    </row>
    <row r="4" spans="1:56" s="2282" customFormat="1" ht="49.5">
      <c r="A4" s="4343"/>
      <c r="B4" s="4414"/>
      <c r="C4" s="4415"/>
      <c r="D4" s="4343"/>
      <c r="E4" s="4343"/>
      <c r="F4" s="4343"/>
      <c r="G4" s="1288" t="s">
        <v>4621</v>
      </c>
      <c r="H4" s="1288" t="s">
        <v>4629</v>
      </c>
      <c r="I4" s="1288" t="s">
        <v>4622</v>
      </c>
      <c r="J4" s="1288" t="s">
        <v>4630</v>
      </c>
      <c r="K4" s="1288" t="s">
        <v>2534</v>
      </c>
      <c r="L4" s="1289" t="s">
        <v>58</v>
      </c>
      <c r="M4" s="1289" t="s">
        <v>59</v>
      </c>
      <c r="N4" s="1987" t="s">
        <v>60</v>
      </c>
      <c r="O4" s="1289" t="s">
        <v>61</v>
      </c>
      <c r="P4" s="1987" t="s">
        <v>62</v>
      </c>
      <c r="Q4" s="1510" t="s">
        <v>5564</v>
      </c>
      <c r="R4" s="1874" t="s">
        <v>2536</v>
      </c>
      <c r="S4" s="1512" t="s">
        <v>4662</v>
      </c>
    </row>
    <row r="5" spans="1:56" s="2187" customFormat="1" ht="66">
      <c r="A5" s="2283" t="s">
        <v>4774</v>
      </c>
      <c r="B5" s="1880">
        <v>9.1</v>
      </c>
      <c r="C5" s="1774"/>
      <c r="D5" s="1670" t="s">
        <v>4343</v>
      </c>
      <c r="E5" s="1881"/>
      <c r="F5" s="1881"/>
      <c r="G5" s="1882"/>
      <c r="H5" s="1882"/>
      <c r="I5" s="1882"/>
      <c r="J5" s="1882"/>
      <c r="K5" s="1882"/>
      <c r="L5" s="1881"/>
      <c r="M5" s="1882"/>
      <c r="N5" s="2284"/>
      <c r="O5" s="2284"/>
      <c r="P5" s="2285"/>
      <c r="Q5" s="1885"/>
      <c r="R5" s="2286"/>
      <c r="S5" s="2287"/>
    </row>
    <row r="6" spans="1:56" s="2187" customFormat="1">
      <c r="A6" s="2283" t="s">
        <v>4350</v>
      </c>
      <c r="B6" s="4459" t="s">
        <v>5013</v>
      </c>
      <c r="C6" s="4460"/>
      <c r="D6" s="4461"/>
      <c r="E6" s="1687"/>
      <c r="F6" s="1687"/>
      <c r="G6" s="1688"/>
      <c r="H6" s="1688"/>
      <c r="I6" s="1688"/>
      <c r="J6" s="1688"/>
      <c r="K6" s="1688"/>
      <c r="L6" s="1687"/>
      <c r="M6" s="1688"/>
      <c r="N6" s="2288"/>
      <c r="O6" s="2288"/>
      <c r="P6" s="2289">
        <f>SUM(P7:P11)</f>
        <v>450.86</v>
      </c>
      <c r="Q6" s="1692"/>
      <c r="R6" s="1693"/>
      <c r="S6" s="2290">
        <f>SUM(S7:S11)</f>
        <v>0</v>
      </c>
    </row>
    <row r="7" spans="1:56" s="2187" customFormat="1">
      <c r="A7" s="2133">
        <v>1</v>
      </c>
      <c r="B7" s="2199" t="s">
        <v>743</v>
      </c>
      <c r="C7" s="1309" t="s">
        <v>744</v>
      </c>
      <c r="D7" s="1309" t="s">
        <v>745</v>
      </c>
      <c r="E7" s="2291" t="s">
        <v>90</v>
      </c>
      <c r="F7" s="2164" t="s">
        <v>118</v>
      </c>
      <c r="G7" s="2292"/>
      <c r="H7" s="2292"/>
      <c r="I7" s="2292"/>
      <c r="J7" s="2292"/>
      <c r="K7" s="2292"/>
      <c r="L7" s="2219"/>
      <c r="M7" s="1317"/>
      <c r="N7" s="1857">
        <f>M7/100000</f>
        <v>0</v>
      </c>
      <c r="O7" s="1317"/>
      <c r="P7" s="2293">
        <f>N7*O7</f>
        <v>0</v>
      </c>
      <c r="Q7" s="2294"/>
      <c r="R7" s="1547">
        <f>'Ab1. RMNCH+A'!Q57</f>
        <v>0</v>
      </c>
      <c r="S7" s="2295">
        <f>'Ab1. RMNCH+A'!R57</f>
        <v>0</v>
      </c>
    </row>
    <row r="8" spans="1:56">
      <c r="A8" s="2133">
        <v>2</v>
      </c>
      <c r="B8" s="2199" t="s">
        <v>746</v>
      </c>
      <c r="C8" s="1309" t="s">
        <v>747</v>
      </c>
      <c r="D8" s="1309" t="s">
        <v>748</v>
      </c>
      <c r="E8" s="2291" t="s">
        <v>90</v>
      </c>
      <c r="F8" s="2164" t="s">
        <v>118</v>
      </c>
      <c r="G8" s="2292"/>
      <c r="H8" s="2292"/>
      <c r="I8" s="2292"/>
      <c r="J8" s="2292"/>
      <c r="K8" s="2292"/>
      <c r="L8" s="2219"/>
      <c r="M8" s="1317"/>
      <c r="N8" s="1857">
        <f>M8/100000</f>
        <v>0</v>
      </c>
      <c r="O8" s="1317"/>
      <c r="P8" s="2293">
        <f>N8*O8</f>
        <v>0</v>
      </c>
      <c r="Q8" s="2294"/>
      <c r="R8" s="1547">
        <f>'Ab1. RMNCH+A'!Q58</f>
        <v>0</v>
      </c>
      <c r="S8" s="2295">
        <f>'Ab1. RMNCH+A'!R58</f>
        <v>0</v>
      </c>
    </row>
    <row r="9" spans="1:56">
      <c r="A9" s="2133">
        <v>3</v>
      </c>
      <c r="B9" s="2199" t="s">
        <v>749</v>
      </c>
      <c r="C9" s="1309" t="s">
        <v>750</v>
      </c>
      <c r="D9" s="1309" t="s">
        <v>751</v>
      </c>
      <c r="E9" s="2291" t="s">
        <v>90</v>
      </c>
      <c r="F9" s="2164" t="s">
        <v>118</v>
      </c>
      <c r="G9" s="2292"/>
      <c r="H9" s="2292"/>
      <c r="I9" s="2292"/>
      <c r="J9" s="2292"/>
      <c r="K9" s="2292"/>
      <c r="L9" s="2219"/>
      <c r="M9" s="1317"/>
      <c r="N9" s="1857">
        <f>M9/100000</f>
        <v>0</v>
      </c>
      <c r="O9" s="1317"/>
      <c r="P9" s="2293">
        <f>N9*O9</f>
        <v>0</v>
      </c>
      <c r="Q9" s="2294"/>
      <c r="R9" s="1547">
        <f>'Ab1. RMNCH+A'!Q59</f>
        <v>0</v>
      </c>
      <c r="S9" s="2295">
        <f>'Ab1. RMNCH+A'!R59</f>
        <v>0</v>
      </c>
    </row>
    <row r="10" spans="1:56" ht="33">
      <c r="A10" s="2133">
        <v>4</v>
      </c>
      <c r="B10" s="2199" t="s">
        <v>752</v>
      </c>
      <c r="C10" s="1309" t="s">
        <v>753</v>
      </c>
      <c r="D10" s="1309" t="s">
        <v>754</v>
      </c>
      <c r="E10" s="2291" t="s">
        <v>90</v>
      </c>
      <c r="F10" s="2164" t="s">
        <v>118</v>
      </c>
      <c r="G10" s="2292"/>
      <c r="H10" s="2292"/>
      <c r="I10" s="2292"/>
      <c r="J10" s="2292"/>
      <c r="K10" s="2292"/>
      <c r="L10" s="2219"/>
      <c r="M10" s="1317"/>
      <c r="N10" s="1857">
        <f>M10/100000</f>
        <v>0</v>
      </c>
      <c r="O10" s="1317"/>
      <c r="P10" s="2293">
        <f>N10*O10</f>
        <v>0</v>
      </c>
      <c r="Q10" s="2294"/>
      <c r="R10" s="1547">
        <f>'Ab1. RMNCH+A'!Q60</f>
        <v>0</v>
      </c>
      <c r="S10" s="2295">
        <f>'Ab1. RMNCH+A'!R60</f>
        <v>0</v>
      </c>
    </row>
    <row r="11" spans="1:56" ht="318.75" customHeight="1">
      <c r="A11" s="2283" t="s">
        <v>4351</v>
      </c>
      <c r="B11" s="2199" t="s">
        <v>755</v>
      </c>
      <c r="C11" s="1309" t="s">
        <v>756</v>
      </c>
      <c r="D11" s="1309" t="s">
        <v>757</v>
      </c>
      <c r="E11" s="1281" t="s">
        <v>70</v>
      </c>
      <c r="F11" s="1523" t="s">
        <v>5566</v>
      </c>
      <c r="G11" s="2296"/>
      <c r="H11" s="2296"/>
      <c r="I11" s="2296"/>
      <c r="J11" s="2296"/>
      <c r="K11" s="2296"/>
      <c r="L11" s="2219" t="s">
        <v>5961</v>
      </c>
      <c r="M11" s="1317">
        <f>4025000+41061000</f>
        <v>45086000</v>
      </c>
      <c r="N11" s="1857">
        <f>M11/100000</f>
        <v>450.86</v>
      </c>
      <c r="O11" s="1317">
        <v>1</v>
      </c>
      <c r="P11" s="3597">
        <f>N11*O11</f>
        <v>450.86</v>
      </c>
      <c r="Q11" s="1711" t="s">
        <v>6756</v>
      </c>
      <c r="R11" s="1524"/>
      <c r="S11" s="1909"/>
    </row>
    <row r="12" spans="1:56">
      <c r="A12" s="2283" t="s">
        <v>4354</v>
      </c>
      <c r="B12" s="2298" t="s">
        <v>2570</v>
      </c>
      <c r="C12" s="2299"/>
      <c r="D12" s="2299" t="s">
        <v>5014</v>
      </c>
      <c r="E12" s="2300"/>
      <c r="F12" s="2300"/>
      <c r="G12" s="2301"/>
      <c r="H12" s="2301"/>
      <c r="I12" s="2301"/>
      <c r="J12" s="2301"/>
      <c r="K12" s="2301"/>
      <c r="L12" s="3239"/>
      <c r="M12" s="2301"/>
      <c r="N12" s="2302"/>
      <c r="O12" s="2303"/>
      <c r="P12" s="2302">
        <f>SUM(P13:P15)</f>
        <v>0</v>
      </c>
      <c r="Q12" s="2304"/>
      <c r="R12" s="1539"/>
      <c r="S12" s="2305">
        <f>SUM(S13:S15)</f>
        <v>0</v>
      </c>
    </row>
    <row r="13" spans="1:56" ht="33">
      <c r="A13" s="2133">
        <v>1</v>
      </c>
      <c r="B13" s="2163" t="s">
        <v>4549</v>
      </c>
      <c r="C13" s="1330"/>
      <c r="D13" s="1319" t="s">
        <v>4550</v>
      </c>
      <c r="E13" s="1281" t="s">
        <v>70</v>
      </c>
      <c r="F13" s="2306" t="s">
        <v>4551</v>
      </c>
      <c r="G13" s="2307"/>
      <c r="H13" s="2307"/>
      <c r="I13" s="2307"/>
      <c r="J13" s="2307"/>
      <c r="K13" s="2307"/>
      <c r="L13" s="3240"/>
      <c r="M13" s="1317"/>
      <c r="N13" s="1857">
        <f>M13/100000</f>
        <v>0</v>
      </c>
      <c r="O13" s="1317"/>
      <c r="P13" s="2308">
        <f>N13*O13</f>
        <v>0</v>
      </c>
      <c r="Q13" s="2309"/>
      <c r="R13" s="2310"/>
      <c r="S13" s="2311"/>
    </row>
    <row r="14" spans="1:56" ht="33">
      <c r="A14" s="2133">
        <v>2</v>
      </c>
      <c r="B14" s="2163" t="s">
        <v>4552</v>
      </c>
      <c r="C14" s="1330"/>
      <c r="D14" s="1319" t="s">
        <v>4553</v>
      </c>
      <c r="E14" s="1281" t="s">
        <v>70</v>
      </c>
      <c r="F14" s="2306" t="s">
        <v>4551</v>
      </c>
      <c r="G14" s="2307"/>
      <c r="H14" s="2307"/>
      <c r="I14" s="2307"/>
      <c r="J14" s="2307"/>
      <c r="K14" s="2307"/>
      <c r="L14" s="3240"/>
      <c r="M14" s="1317"/>
      <c r="N14" s="1857">
        <f>M14/100000</f>
        <v>0</v>
      </c>
      <c r="O14" s="1317"/>
      <c r="P14" s="2308">
        <f>N14*O14</f>
        <v>0</v>
      </c>
      <c r="Q14" s="2309"/>
      <c r="R14" s="2310"/>
      <c r="S14" s="2311"/>
    </row>
    <row r="15" spans="1:56">
      <c r="A15" s="2133">
        <v>3</v>
      </c>
      <c r="B15" s="2163" t="s">
        <v>4554</v>
      </c>
      <c r="C15" s="1330"/>
      <c r="D15" s="1319" t="s">
        <v>1310</v>
      </c>
      <c r="E15" s="1281" t="s">
        <v>70</v>
      </c>
      <c r="F15" s="2306" t="s">
        <v>4551</v>
      </c>
      <c r="G15" s="2307"/>
      <c r="H15" s="2307"/>
      <c r="I15" s="2307"/>
      <c r="J15" s="2307"/>
      <c r="K15" s="2307"/>
      <c r="L15" s="3240"/>
      <c r="M15" s="1317"/>
      <c r="N15" s="1857">
        <f>M15/100000</f>
        <v>0</v>
      </c>
      <c r="O15" s="1317"/>
      <c r="P15" s="2293">
        <f>N15*O15</f>
        <v>0</v>
      </c>
      <c r="Q15" s="2309"/>
      <c r="R15" s="2310"/>
      <c r="S15" s="2311"/>
    </row>
    <row r="16" spans="1:56" s="2187" customFormat="1">
      <c r="A16" s="2283" t="s">
        <v>4355</v>
      </c>
      <c r="B16" s="1880">
        <v>9.1999999999999993</v>
      </c>
      <c r="C16" s="1774"/>
      <c r="D16" s="1670" t="s">
        <v>3118</v>
      </c>
      <c r="E16" s="1881"/>
      <c r="F16" s="1881"/>
      <c r="G16" s="1936"/>
      <c r="H16" s="1936"/>
      <c r="I16" s="1936"/>
      <c r="J16" s="1936"/>
      <c r="K16" s="1936"/>
      <c r="L16" s="2269"/>
      <c r="M16" s="1936"/>
      <c r="N16" s="2312"/>
      <c r="O16" s="2313"/>
      <c r="P16" s="2285">
        <f>SUM(P17:P22)</f>
        <v>982.33249980000005</v>
      </c>
      <c r="Q16" s="1938"/>
      <c r="R16" s="2286"/>
      <c r="S16" s="2287">
        <f>SUM(S17:S22)</f>
        <v>0</v>
      </c>
    </row>
    <row r="17" spans="1:19">
      <c r="A17" s="2133">
        <v>1</v>
      </c>
      <c r="B17" s="2199" t="s">
        <v>763</v>
      </c>
      <c r="C17" s="1309" t="s">
        <v>764</v>
      </c>
      <c r="D17" s="1309" t="s">
        <v>765</v>
      </c>
      <c r="E17" s="1281" t="s">
        <v>70</v>
      </c>
      <c r="F17" s="2164" t="s">
        <v>3899</v>
      </c>
      <c r="G17" s="1903"/>
      <c r="H17" s="1911"/>
      <c r="I17" s="2314"/>
      <c r="J17" s="2314"/>
      <c r="K17" s="1903"/>
      <c r="L17" s="1911"/>
      <c r="M17" s="1317"/>
      <c r="N17" s="1857">
        <f t="shared" ref="N17:N22" si="0">M17/100000</f>
        <v>0</v>
      </c>
      <c r="O17" s="1317"/>
      <c r="P17" s="2293">
        <f t="shared" ref="P17:P22" si="1">N17*O17</f>
        <v>0</v>
      </c>
      <c r="Q17" s="2315"/>
      <c r="R17" s="1547">
        <f>'Ab1. RMNCH+A'!Q61</f>
        <v>0</v>
      </c>
      <c r="S17" s="2295">
        <f>'Ab1. RMNCH+A'!R61</f>
        <v>0</v>
      </c>
    </row>
    <row r="18" spans="1:19" ht="49.5">
      <c r="A18" s="2133">
        <v>2</v>
      </c>
      <c r="B18" s="2199" t="s">
        <v>2409</v>
      </c>
      <c r="C18" s="1309" t="s">
        <v>3117</v>
      </c>
      <c r="D18" s="1309" t="s">
        <v>5015</v>
      </c>
      <c r="E18" s="1281" t="s">
        <v>70</v>
      </c>
      <c r="F18" s="1523" t="s">
        <v>5570</v>
      </c>
      <c r="G18" s="1903"/>
      <c r="H18" s="1911"/>
      <c r="I18" s="2314"/>
      <c r="J18" s="2314"/>
      <c r="K18" s="1903"/>
      <c r="L18" s="1911"/>
      <c r="M18" s="1317">
        <v>89871000</v>
      </c>
      <c r="N18" s="1857">
        <f t="shared" si="0"/>
        <v>898.71</v>
      </c>
      <c r="O18" s="1317">
        <v>1</v>
      </c>
      <c r="P18" s="2293">
        <f t="shared" si="1"/>
        <v>898.71</v>
      </c>
      <c r="Q18" s="2315" t="s">
        <v>6780</v>
      </c>
      <c r="R18" s="1547">
        <f>'Ab1. RMNCH+A'!Q443</f>
        <v>0</v>
      </c>
      <c r="S18" s="2295">
        <f>'Ab1. RMNCH+A'!R443</f>
        <v>0</v>
      </c>
    </row>
    <row r="19" spans="1:19" ht="144" customHeight="1">
      <c r="A19" s="2133">
        <v>3</v>
      </c>
      <c r="B19" s="2199" t="s">
        <v>2571</v>
      </c>
      <c r="C19" s="1319"/>
      <c r="D19" s="1309" t="s">
        <v>3815</v>
      </c>
      <c r="E19" s="1281" t="s">
        <v>70</v>
      </c>
      <c r="F19" s="2164" t="s">
        <v>3899</v>
      </c>
      <c r="G19" s="1903"/>
      <c r="H19" s="1911"/>
      <c r="I19" s="2314"/>
      <c r="J19" s="2314"/>
      <c r="K19" s="1903"/>
      <c r="L19" s="1714" t="s">
        <v>6237</v>
      </c>
      <c r="M19" s="1714">
        <f>1140000</f>
        <v>1140000</v>
      </c>
      <c r="N19" s="2688">
        <f t="shared" si="0"/>
        <v>11.4</v>
      </c>
      <c r="O19" s="1714">
        <v>1</v>
      </c>
      <c r="P19" s="2308">
        <f t="shared" si="1"/>
        <v>11.4</v>
      </c>
      <c r="Q19" s="3180" t="s">
        <v>6373</v>
      </c>
      <c r="R19" s="1547">
        <f>'Ab1. RMNCH+A'!Q62</f>
        <v>0</v>
      </c>
      <c r="S19" s="2295">
        <f>'Ab1. RMNCH+A'!R62</f>
        <v>0</v>
      </c>
    </row>
    <row r="20" spans="1:19" s="2187" customFormat="1" ht="379.5">
      <c r="A20" s="2133">
        <v>4</v>
      </c>
      <c r="B20" s="2199" t="s">
        <v>3814</v>
      </c>
      <c r="C20" s="1330"/>
      <c r="D20" s="1309" t="s">
        <v>1310</v>
      </c>
      <c r="E20" s="1281" t="s">
        <v>70</v>
      </c>
      <c r="F20" s="2164" t="s">
        <v>3888</v>
      </c>
      <c r="G20" s="1558"/>
      <c r="H20" s="1558"/>
      <c r="I20" s="1558"/>
      <c r="J20" s="1558"/>
      <c r="K20" s="1558"/>
      <c r="L20" s="1317" t="s">
        <v>5846</v>
      </c>
      <c r="M20" s="1317">
        <v>909566.66</v>
      </c>
      <c r="N20" s="1857">
        <f t="shared" si="0"/>
        <v>9.0956665999999995</v>
      </c>
      <c r="O20" s="1317">
        <v>3</v>
      </c>
      <c r="P20" s="2316">
        <f t="shared" si="1"/>
        <v>27.286999799999997</v>
      </c>
      <c r="Q20" s="2317" t="s">
        <v>6426</v>
      </c>
      <c r="R20" s="2318"/>
      <c r="S20" s="2319"/>
    </row>
    <row r="21" spans="1:19" s="3778" customFormat="1" ht="33">
      <c r="A21" s="3778">
        <v>5</v>
      </c>
      <c r="B21" s="4097">
        <v>9.3000000000000007</v>
      </c>
      <c r="C21" s="3867"/>
      <c r="D21" s="4110" t="s">
        <v>3911</v>
      </c>
      <c r="E21" s="3813" t="s">
        <v>70</v>
      </c>
      <c r="F21" s="3869" t="s">
        <v>3888</v>
      </c>
      <c r="G21" s="4044"/>
      <c r="H21" s="4044"/>
      <c r="I21" s="4044"/>
      <c r="J21" s="4044"/>
      <c r="K21" s="4044"/>
      <c r="L21" s="2395"/>
      <c r="M21" s="2395">
        <v>4493550</v>
      </c>
      <c r="N21" s="4111">
        <f t="shared" si="0"/>
        <v>44.935499999999998</v>
      </c>
      <c r="O21" s="4099">
        <v>1</v>
      </c>
      <c r="P21" s="4111">
        <f t="shared" si="1"/>
        <v>44.935499999999998</v>
      </c>
      <c r="Q21" s="3839"/>
      <c r="R21" s="4112"/>
      <c r="S21" s="4113"/>
    </row>
    <row r="22" spans="1:19" ht="33">
      <c r="A22" s="2133">
        <v>6</v>
      </c>
      <c r="B22" s="1549">
        <v>9.4</v>
      </c>
      <c r="C22" s="1528"/>
      <c r="D22" s="2138" t="s">
        <v>718</v>
      </c>
      <c r="E22" s="1281" t="s">
        <v>70</v>
      </c>
      <c r="F22" s="1548" t="s">
        <v>3888</v>
      </c>
      <c r="G22" s="2142"/>
      <c r="H22" s="2142"/>
      <c r="I22" s="2142"/>
      <c r="J22" s="2142"/>
      <c r="K22" s="2142"/>
      <c r="L22" s="2278"/>
      <c r="M22" s="2278"/>
      <c r="N22" s="2190">
        <f t="shared" si="0"/>
        <v>0</v>
      </c>
      <c r="O22" s="2320"/>
      <c r="P22" s="2190">
        <f t="shared" si="1"/>
        <v>0</v>
      </c>
      <c r="Q22" s="1918"/>
      <c r="R22" s="2318"/>
      <c r="S22" s="2319"/>
    </row>
    <row r="23" spans="1:19" s="2187" customFormat="1" ht="33">
      <c r="A23" s="2283" t="s">
        <v>4930</v>
      </c>
      <c r="B23" s="1880">
        <v>9.5</v>
      </c>
      <c r="C23" s="1774"/>
      <c r="D23" s="1670" t="s">
        <v>5016</v>
      </c>
      <c r="E23" s="1881"/>
      <c r="F23" s="1881"/>
      <c r="G23" s="1936"/>
      <c r="H23" s="1936"/>
      <c r="I23" s="1936"/>
      <c r="J23" s="1936"/>
      <c r="K23" s="1936"/>
      <c r="L23" s="2269"/>
      <c r="M23" s="1936"/>
      <c r="N23" s="2149"/>
      <c r="O23" s="2313"/>
      <c r="P23" s="2149"/>
      <c r="Q23" s="1938"/>
      <c r="R23" s="2286"/>
      <c r="S23" s="1887"/>
    </row>
    <row r="24" spans="1:19" s="2187" customFormat="1">
      <c r="A24" s="2283"/>
      <c r="B24" s="4459" t="s">
        <v>5017</v>
      </c>
      <c r="C24" s="4460"/>
      <c r="D24" s="4461"/>
      <c r="E24" s="1687"/>
      <c r="F24" s="1687"/>
      <c r="G24" s="1708"/>
      <c r="H24" s="1708"/>
      <c r="I24" s="1708"/>
      <c r="J24" s="1708"/>
      <c r="K24" s="1708"/>
      <c r="L24" s="1804"/>
      <c r="M24" s="1708"/>
      <c r="N24" s="2321"/>
      <c r="O24" s="2322"/>
      <c r="P24" s="2321"/>
      <c r="Q24" s="1710"/>
      <c r="R24" s="1693"/>
      <c r="S24" s="2323"/>
    </row>
    <row r="25" spans="1:19" s="2187" customFormat="1">
      <c r="A25" s="2283" t="s">
        <v>4350</v>
      </c>
      <c r="B25" s="1519" t="s">
        <v>766</v>
      </c>
      <c r="C25" s="1769"/>
      <c r="D25" s="1770" t="s">
        <v>767</v>
      </c>
      <c r="E25" s="1520"/>
      <c r="F25" s="1520"/>
      <c r="G25" s="1722"/>
      <c r="H25" s="1722"/>
      <c r="I25" s="1722"/>
      <c r="J25" s="1722"/>
      <c r="K25" s="1722"/>
      <c r="L25" s="1526"/>
      <c r="M25" s="1722"/>
      <c r="N25" s="2324"/>
      <c r="O25" s="2325"/>
      <c r="P25" s="2326">
        <f>SUM(P26:P53)</f>
        <v>778.63599999999997</v>
      </c>
      <c r="Q25" s="1771"/>
      <c r="R25" s="1682"/>
      <c r="S25" s="2327">
        <f>SUM(S26:S53)</f>
        <v>0</v>
      </c>
    </row>
    <row r="26" spans="1:19" ht="33">
      <c r="A26" s="2133">
        <v>1</v>
      </c>
      <c r="B26" s="2199" t="s">
        <v>758</v>
      </c>
      <c r="C26" s="1309" t="s">
        <v>759</v>
      </c>
      <c r="D26" s="2328" t="s">
        <v>5018</v>
      </c>
      <c r="E26" s="1281" t="s">
        <v>70</v>
      </c>
      <c r="F26" s="2164" t="s">
        <v>5567</v>
      </c>
      <c r="G26" s="2292"/>
      <c r="H26" s="2292"/>
      <c r="I26" s="2292"/>
      <c r="J26" s="2292"/>
      <c r="K26" s="2292"/>
      <c r="L26" s="2219"/>
      <c r="M26" s="1317"/>
      <c r="N26" s="1857">
        <f>M26/100000</f>
        <v>0</v>
      </c>
      <c r="O26" s="1317"/>
      <c r="P26" s="2293">
        <f>N26*O26</f>
        <v>0</v>
      </c>
      <c r="Q26" s="2294"/>
      <c r="R26" s="1524"/>
      <c r="S26" s="1909"/>
    </row>
    <row r="27" spans="1:19" s="2187" customFormat="1" ht="132">
      <c r="A27" s="2133">
        <v>2</v>
      </c>
      <c r="B27" s="2199" t="s">
        <v>768</v>
      </c>
      <c r="C27" s="2329" t="s">
        <v>769</v>
      </c>
      <c r="D27" s="1855" t="s">
        <v>770</v>
      </c>
      <c r="E27" s="2291" t="s">
        <v>90</v>
      </c>
      <c r="F27" s="2164" t="s">
        <v>118</v>
      </c>
      <c r="G27" s="2292"/>
      <c r="H27" s="2292"/>
      <c r="I27" s="2330">
        <v>13.73</v>
      </c>
      <c r="J27" s="2331">
        <f>150/100000</f>
        <v>1.5E-3</v>
      </c>
      <c r="K27" s="2330"/>
      <c r="L27" s="2189" t="s">
        <v>6071</v>
      </c>
      <c r="M27" s="1714">
        <v>1436000</v>
      </c>
      <c r="N27" s="2688">
        <f t="shared" ref="N27:N53" si="2">M27/100000</f>
        <v>14.36</v>
      </c>
      <c r="O27" s="1714">
        <v>1</v>
      </c>
      <c r="P27" s="2308">
        <f t="shared" ref="P27:P32" si="3">N27*O27</f>
        <v>14.36</v>
      </c>
      <c r="Q27" s="2407" t="s">
        <v>6374</v>
      </c>
      <c r="R27" s="1547">
        <f>'Ab1. RMNCH+A'!Q63</f>
        <v>0</v>
      </c>
      <c r="S27" s="2295">
        <f>'Ab1. RMNCH+A'!R63</f>
        <v>0</v>
      </c>
    </row>
    <row r="28" spans="1:19" ht="33">
      <c r="A28" s="2133">
        <v>3</v>
      </c>
      <c r="B28" s="2199" t="s">
        <v>771</v>
      </c>
      <c r="C28" s="1309" t="s">
        <v>772</v>
      </c>
      <c r="D28" s="1309" t="s">
        <v>2401</v>
      </c>
      <c r="E28" s="2291" t="s">
        <v>90</v>
      </c>
      <c r="F28" s="2164" t="s">
        <v>118</v>
      </c>
      <c r="G28" s="2292"/>
      <c r="H28" s="2292"/>
      <c r="I28" s="2292"/>
      <c r="J28" s="2292"/>
      <c r="K28" s="2292"/>
      <c r="L28" s="2219"/>
      <c r="M28" s="1317"/>
      <c r="N28" s="1857">
        <f t="shared" si="2"/>
        <v>0</v>
      </c>
      <c r="O28" s="1317"/>
      <c r="P28" s="2293">
        <f t="shared" si="3"/>
        <v>0</v>
      </c>
      <c r="Q28" s="2294"/>
      <c r="R28" s="1547">
        <f>'Ab1. RMNCH+A'!Q64</f>
        <v>0</v>
      </c>
      <c r="S28" s="2295">
        <f>'Ab1. RMNCH+A'!R64</f>
        <v>0</v>
      </c>
    </row>
    <row r="29" spans="1:19">
      <c r="A29" s="2133">
        <v>4</v>
      </c>
      <c r="B29" s="2199" t="s">
        <v>774</v>
      </c>
      <c r="C29" s="1319"/>
      <c r="D29" s="1309" t="s">
        <v>2403</v>
      </c>
      <c r="E29" s="2291" t="s">
        <v>90</v>
      </c>
      <c r="F29" s="2164" t="s">
        <v>118</v>
      </c>
      <c r="G29" s="1903"/>
      <c r="H29" s="1911"/>
      <c r="I29" s="2314"/>
      <c r="J29" s="2314"/>
      <c r="K29" s="1903"/>
      <c r="L29" s="1911"/>
      <c r="M29" s="1317"/>
      <c r="N29" s="1857">
        <f t="shared" si="2"/>
        <v>0</v>
      </c>
      <c r="O29" s="1317"/>
      <c r="P29" s="2293">
        <f t="shared" si="3"/>
        <v>0</v>
      </c>
      <c r="Q29" s="2315"/>
      <c r="R29" s="1547">
        <f>'Ab1. RMNCH+A'!Q65</f>
        <v>0</v>
      </c>
      <c r="S29" s="2295">
        <f>'Ab1. RMNCH+A'!R65</f>
        <v>0</v>
      </c>
    </row>
    <row r="30" spans="1:19">
      <c r="A30" s="2133">
        <v>5</v>
      </c>
      <c r="B30" s="2199" t="s">
        <v>777</v>
      </c>
      <c r="C30" s="1319"/>
      <c r="D30" s="1309" t="s">
        <v>2454</v>
      </c>
      <c r="E30" s="2291" t="s">
        <v>90</v>
      </c>
      <c r="F30" s="2164" t="s">
        <v>118</v>
      </c>
      <c r="G30" s="1903"/>
      <c r="H30" s="1911"/>
      <c r="I30" s="2314"/>
      <c r="J30" s="2314"/>
      <c r="K30" s="1910"/>
      <c r="L30" s="1911"/>
      <c r="M30" s="1317"/>
      <c r="N30" s="1857">
        <f t="shared" si="2"/>
        <v>0</v>
      </c>
      <c r="O30" s="1317"/>
      <c r="P30" s="2293">
        <f t="shared" si="3"/>
        <v>0</v>
      </c>
      <c r="Q30" s="2315"/>
      <c r="R30" s="1547">
        <f>'Ab1. RMNCH+A'!Q66</f>
        <v>0</v>
      </c>
      <c r="S30" s="2295">
        <f>'Ab1. RMNCH+A'!R66</f>
        <v>0</v>
      </c>
    </row>
    <row r="31" spans="1:19" s="2187" customFormat="1" ht="33">
      <c r="A31" s="2133">
        <v>6</v>
      </c>
      <c r="B31" s="2199" t="s">
        <v>780</v>
      </c>
      <c r="C31" s="1309" t="s">
        <v>775</v>
      </c>
      <c r="D31" s="1309" t="s">
        <v>776</v>
      </c>
      <c r="E31" s="2291" t="s">
        <v>90</v>
      </c>
      <c r="F31" s="2164" t="s">
        <v>118</v>
      </c>
      <c r="G31" s="1910"/>
      <c r="H31" s="2332"/>
      <c r="I31" s="2314"/>
      <c r="J31" s="2314"/>
      <c r="K31" s="1910"/>
      <c r="L31" s="3241" t="s">
        <v>5931</v>
      </c>
      <c r="M31" s="2419">
        <v>150000</v>
      </c>
      <c r="N31" s="1857">
        <f t="shared" si="2"/>
        <v>1.5</v>
      </c>
      <c r="O31" s="1317">
        <v>1</v>
      </c>
      <c r="P31" s="2293">
        <f t="shared" si="3"/>
        <v>1.5</v>
      </c>
      <c r="Q31" s="2419" t="s">
        <v>6381</v>
      </c>
      <c r="R31" s="1547">
        <f>'Ab1. RMNCH+A'!Q67</f>
        <v>0</v>
      </c>
      <c r="S31" s="2295">
        <f>'Ab1. RMNCH+A'!R67</f>
        <v>0</v>
      </c>
    </row>
    <row r="32" spans="1:19" s="2187" customFormat="1" ht="82.5">
      <c r="A32" s="2133">
        <v>7</v>
      </c>
      <c r="B32" s="2199" t="s">
        <v>783</v>
      </c>
      <c r="C32" s="1309" t="s">
        <v>778</v>
      </c>
      <c r="D32" s="1309" t="s">
        <v>779</v>
      </c>
      <c r="E32" s="2291" t="s">
        <v>90</v>
      </c>
      <c r="F32" s="2164" t="s">
        <v>118</v>
      </c>
      <c r="G32" s="1910"/>
      <c r="H32" s="1911"/>
      <c r="I32" s="2314"/>
      <c r="J32" s="2314"/>
      <c r="K32" s="1903"/>
      <c r="L32" s="3241" t="s">
        <v>5932</v>
      </c>
      <c r="M32" s="2419">
        <v>198900</v>
      </c>
      <c r="N32" s="1857">
        <f t="shared" si="2"/>
        <v>1.9890000000000001</v>
      </c>
      <c r="O32" s="1317">
        <v>200</v>
      </c>
      <c r="P32" s="2293">
        <f t="shared" si="3"/>
        <v>397.8</v>
      </c>
      <c r="Q32" s="2420" t="s">
        <v>6382</v>
      </c>
      <c r="R32" s="1547">
        <f>'Ab1. RMNCH+A'!Q68</f>
        <v>0</v>
      </c>
      <c r="S32" s="2295">
        <f>'Ab1. RMNCH+A'!R68</f>
        <v>0</v>
      </c>
    </row>
    <row r="33" spans="1:19">
      <c r="A33" s="2133">
        <v>8</v>
      </c>
      <c r="B33" s="2199" t="s">
        <v>786</v>
      </c>
      <c r="C33" s="1309" t="s">
        <v>781</v>
      </c>
      <c r="D33" s="1309" t="s">
        <v>782</v>
      </c>
      <c r="E33" s="2291" t="s">
        <v>90</v>
      </c>
      <c r="F33" s="2164" t="s">
        <v>118</v>
      </c>
      <c r="G33" s="2292"/>
      <c r="H33" s="2292"/>
      <c r="I33" s="2292"/>
      <c r="J33" s="2292"/>
      <c r="K33" s="2292"/>
      <c r="L33" s="2219"/>
      <c r="M33" s="1317"/>
      <c r="N33" s="1857">
        <f t="shared" si="2"/>
        <v>0</v>
      </c>
      <c r="O33" s="1317"/>
      <c r="P33" s="2293">
        <f t="shared" ref="P33:P48" si="4">N33*O33</f>
        <v>0</v>
      </c>
      <c r="Q33" s="2294"/>
      <c r="R33" s="1547">
        <f>'Ab1. RMNCH+A'!Q69</f>
        <v>0</v>
      </c>
      <c r="S33" s="2295">
        <f>'Ab1. RMNCH+A'!R69</f>
        <v>0</v>
      </c>
    </row>
    <row r="34" spans="1:19" ht="33">
      <c r="A34" s="2133">
        <v>9</v>
      </c>
      <c r="B34" s="2199" t="s">
        <v>789</v>
      </c>
      <c r="C34" s="1309" t="s">
        <v>784</v>
      </c>
      <c r="D34" s="1309" t="s">
        <v>785</v>
      </c>
      <c r="E34" s="2291" t="s">
        <v>90</v>
      </c>
      <c r="F34" s="2164" t="s">
        <v>118</v>
      </c>
      <c r="G34" s="2292"/>
      <c r="H34" s="2292"/>
      <c r="I34" s="2292"/>
      <c r="J34" s="2292"/>
      <c r="K34" s="2292"/>
      <c r="L34" s="2427" t="s">
        <v>5933</v>
      </c>
      <c r="M34" s="1963">
        <v>2059400</v>
      </c>
      <c r="N34" s="1857">
        <f t="shared" si="2"/>
        <v>20.594000000000001</v>
      </c>
      <c r="O34" s="1317">
        <v>2</v>
      </c>
      <c r="P34" s="2293">
        <f t="shared" si="4"/>
        <v>41.188000000000002</v>
      </c>
      <c r="Q34" s="1964" t="s">
        <v>6383</v>
      </c>
      <c r="R34" s="1547">
        <f>'Ab1. RMNCH+A'!Q70</f>
        <v>0</v>
      </c>
      <c r="S34" s="2295">
        <f>'Ab1. RMNCH+A'!R70</f>
        <v>0</v>
      </c>
    </row>
    <row r="35" spans="1:19">
      <c r="A35" s="2133">
        <v>10</v>
      </c>
      <c r="B35" s="2199" t="s">
        <v>792</v>
      </c>
      <c r="C35" s="1309" t="s">
        <v>787</v>
      </c>
      <c r="D35" s="1309" t="s">
        <v>788</v>
      </c>
      <c r="E35" s="2291" t="s">
        <v>90</v>
      </c>
      <c r="F35" s="2164" t="s">
        <v>118</v>
      </c>
      <c r="G35" s="2292"/>
      <c r="H35" s="2292"/>
      <c r="I35" s="2292"/>
      <c r="J35" s="2292"/>
      <c r="K35" s="2292"/>
      <c r="L35" s="2219"/>
      <c r="M35" s="1317"/>
      <c r="N35" s="1857">
        <f t="shared" si="2"/>
        <v>0</v>
      </c>
      <c r="O35" s="1317"/>
      <c r="P35" s="2293">
        <f t="shared" si="4"/>
        <v>0</v>
      </c>
      <c r="Q35" s="2294"/>
      <c r="R35" s="1547">
        <f>'Ab1. RMNCH+A'!Q71</f>
        <v>0</v>
      </c>
      <c r="S35" s="2295">
        <f>'Ab1. RMNCH+A'!R71</f>
        <v>0</v>
      </c>
    </row>
    <row r="36" spans="1:19" ht="49.5">
      <c r="A36" s="2133">
        <v>11</v>
      </c>
      <c r="B36" s="2199" t="s">
        <v>795</v>
      </c>
      <c r="C36" s="1309" t="s">
        <v>790</v>
      </c>
      <c r="D36" s="1309" t="s">
        <v>791</v>
      </c>
      <c r="E36" s="2291" t="s">
        <v>90</v>
      </c>
      <c r="F36" s="2164" t="s">
        <v>118</v>
      </c>
      <c r="G36" s="2292"/>
      <c r="H36" s="2292"/>
      <c r="I36" s="2292"/>
      <c r="J36" s="2292"/>
      <c r="K36" s="2292"/>
      <c r="L36" s="2427" t="s">
        <v>5933</v>
      </c>
      <c r="M36" s="1963">
        <v>2047400</v>
      </c>
      <c r="N36" s="1857">
        <f t="shared" si="2"/>
        <v>20.474</v>
      </c>
      <c r="O36" s="1317">
        <v>2</v>
      </c>
      <c r="P36" s="2293">
        <f t="shared" si="4"/>
        <v>40.948</v>
      </c>
      <c r="Q36" s="1964" t="s">
        <v>6384</v>
      </c>
      <c r="R36" s="1547">
        <f>'Ab1. RMNCH+A'!Q72</f>
        <v>0</v>
      </c>
      <c r="S36" s="2295">
        <f>'Ab1. RMNCH+A'!R72</f>
        <v>0</v>
      </c>
    </row>
    <row r="37" spans="1:19" ht="66">
      <c r="A37" s="2133">
        <v>12</v>
      </c>
      <c r="B37" s="2199" t="s">
        <v>798</v>
      </c>
      <c r="C37" s="1309" t="s">
        <v>793</v>
      </c>
      <c r="D37" s="1309" t="s">
        <v>794</v>
      </c>
      <c r="E37" s="2291" t="s">
        <v>90</v>
      </c>
      <c r="F37" s="2164" t="s">
        <v>118</v>
      </c>
      <c r="G37" s="1910"/>
      <c r="H37" s="1911"/>
      <c r="I37" s="2314"/>
      <c r="J37" s="2314"/>
      <c r="K37" s="2333"/>
      <c r="L37" s="2421" t="s">
        <v>5934</v>
      </c>
      <c r="M37" s="2421">
        <v>54000</v>
      </c>
      <c r="N37" s="1857">
        <f t="shared" si="2"/>
        <v>0.54</v>
      </c>
      <c r="O37" s="1317">
        <v>1</v>
      </c>
      <c r="P37" s="2293">
        <f t="shared" si="4"/>
        <v>0.54</v>
      </c>
      <c r="Q37" s="1958" t="s">
        <v>6385</v>
      </c>
      <c r="R37" s="1547">
        <f>'Ab1. RMNCH+A'!Q73</f>
        <v>0</v>
      </c>
      <c r="S37" s="2295">
        <f>'Ab1. RMNCH+A'!R73</f>
        <v>0</v>
      </c>
    </row>
    <row r="38" spans="1:19" ht="33">
      <c r="A38" s="2133">
        <v>13</v>
      </c>
      <c r="B38" s="2199" t="s">
        <v>801</v>
      </c>
      <c r="C38" s="1309" t="s">
        <v>796</v>
      </c>
      <c r="D38" s="1309" t="s">
        <v>797</v>
      </c>
      <c r="E38" s="2291" t="s">
        <v>90</v>
      </c>
      <c r="F38" s="2164" t="s">
        <v>118</v>
      </c>
      <c r="G38" s="1910"/>
      <c r="H38" s="1911"/>
      <c r="I38" s="2314"/>
      <c r="J38" s="2314"/>
      <c r="K38" s="2276"/>
      <c r="L38" s="2421" t="s">
        <v>5935</v>
      </c>
      <c r="M38" s="2421">
        <v>117000</v>
      </c>
      <c r="N38" s="1857">
        <f t="shared" si="2"/>
        <v>1.17</v>
      </c>
      <c r="O38" s="1317">
        <v>15</v>
      </c>
      <c r="P38" s="2293">
        <f t="shared" si="4"/>
        <v>17.549999999999997</v>
      </c>
      <c r="Q38" s="2422" t="s">
        <v>6386</v>
      </c>
      <c r="R38" s="1547">
        <f>'Ab1. RMNCH+A'!Q74</f>
        <v>0</v>
      </c>
      <c r="S38" s="2295">
        <f>'Ab1. RMNCH+A'!R74</f>
        <v>0</v>
      </c>
    </row>
    <row r="39" spans="1:19">
      <c r="A39" s="2133">
        <v>14</v>
      </c>
      <c r="B39" s="2199" t="s">
        <v>804</v>
      </c>
      <c r="C39" s="1309" t="s">
        <v>799</v>
      </c>
      <c r="D39" s="1309" t="s">
        <v>800</v>
      </c>
      <c r="E39" s="2291" t="s">
        <v>90</v>
      </c>
      <c r="F39" s="2164" t="s">
        <v>118</v>
      </c>
      <c r="G39" s="2292"/>
      <c r="H39" s="2292"/>
      <c r="I39" s="2292"/>
      <c r="J39" s="2292"/>
      <c r="K39" s="2292"/>
      <c r="L39" s="2219"/>
      <c r="M39" s="1317"/>
      <c r="N39" s="1857">
        <f t="shared" si="2"/>
        <v>0</v>
      </c>
      <c r="O39" s="1317"/>
      <c r="P39" s="2293">
        <f t="shared" si="4"/>
        <v>0</v>
      </c>
      <c r="Q39" s="2294"/>
      <c r="R39" s="1547">
        <f>'Ab1. RMNCH+A'!Q75</f>
        <v>0</v>
      </c>
      <c r="S39" s="2295">
        <f>'Ab1. RMNCH+A'!R75</f>
        <v>0</v>
      </c>
    </row>
    <row r="40" spans="1:19">
      <c r="A40" s="2133">
        <v>15</v>
      </c>
      <c r="B40" s="2199" t="s">
        <v>807</v>
      </c>
      <c r="C40" s="1309" t="s">
        <v>802</v>
      </c>
      <c r="D40" s="1309" t="s">
        <v>803</v>
      </c>
      <c r="E40" s="2291" t="s">
        <v>90</v>
      </c>
      <c r="F40" s="2164" t="s">
        <v>118</v>
      </c>
      <c r="G40" s="2292"/>
      <c r="H40" s="2292"/>
      <c r="I40" s="2292"/>
      <c r="J40" s="2292"/>
      <c r="K40" s="2292"/>
      <c r="L40" s="2219"/>
      <c r="M40" s="1317"/>
      <c r="N40" s="1857">
        <f t="shared" si="2"/>
        <v>0</v>
      </c>
      <c r="O40" s="1317"/>
      <c r="P40" s="2293">
        <f t="shared" si="4"/>
        <v>0</v>
      </c>
      <c r="Q40" s="2294"/>
      <c r="R40" s="1547">
        <f>'Ab1. RMNCH+A'!Q76</f>
        <v>0</v>
      </c>
      <c r="S40" s="2295">
        <f>'Ab1. RMNCH+A'!R76</f>
        <v>0</v>
      </c>
    </row>
    <row r="41" spans="1:19">
      <c r="A41" s="2133">
        <v>16</v>
      </c>
      <c r="B41" s="2199" t="s">
        <v>810</v>
      </c>
      <c r="C41" s="1319"/>
      <c r="D41" s="1309" t="s">
        <v>2455</v>
      </c>
      <c r="E41" s="2291" t="s">
        <v>90</v>
      </c>
      <c r="F41" s="2164" t="s">
        <v>118</v>
      </c>
      <c r="G41" s="2292"/>
      <c r="H41" s="2292"/>
      <c r="I41" s="2292"/>
      <c r="J41" s="2292"/>
      <c r="K41" s="2292"/>
      <c r="L41" s="2219"/>
      <c r="M41" s="1317"/>
      <c r="N41" s="1857">
        <f t="shared" si="2"/>
        <v>0</v>
      </c>
      <c r="O41" s="1317"/>
      <c r="P41" s="2293">
        <f t="shared" si="4"/>
        <v>0</v>
      </c>
      <c r="Q41" s="2294"/>
      <c r="R41" s="1547">
        <f>'Ab1. RMNCH+A'!Q77</f>
        <v>0</v>
      </c>
      <c r="S41" s="2295">
        <f>'Ab1. RMNCH+A'!R77</f>
        <v>0</v>
      </c>
    </row>
    <row r="42" spans="1:19">
      <c r="A42" s="2133">
        <v>17</v>
      </c>
      <c r="B42" s="2199" t="s">
        <v>813</v>
      </c>
      <c r="C42" s="1309" t="s">
        <v>805</v>
      </c>
      <c r="D42" s="1309" t="s">
        <v>806</v>
      </c>
      <c r="E42" s="2291" t="s">
        <v>90</v>
      </c>
      <c r="F42" s="2164" t="s">
        <v>118</v>
      </c>
      <c r="G42" s="2292"/>
      <c r="H42" s="2292"/>
      <c r="I42" s="2292"/>
      <c r="J42" s="2292"/>
      <c r="K42" s="2292"/>
      <c r="L42" s="2219"/>
      <c r="M42" s="1317"/>
      <c r="N42" s="1857">
        <f t="shared" si="2"/>
        <v>0</v>
      </c>
      <c r="O42" s="1317"/>
      <c r="P42" s="2293">
        <f t="shared" si="4"/>
        <v>0</v>
      </c>
      <c r="Q42" s="2294"/>
      <c r="R42" s="1547">
        <f>'Ab1. RMNCH+A'!Q78</f>
        <v>0</v>
      </c>
      <c r="S42" s="2295">
        <f>'Ab1. RMNCH+A'!R78</f>
        <v>0</v>
      </c>
    </row>
    <row r="43" spans="1:19">
      <c r="A43" s="2133">
        <v>18</v>
      </c>
      <c r="B43" s="2199" t="s">
        <v>2364</v>
      </c>
      <c r="C43" s="1309" t="s">
        <v>808</v>
      </c>
      <c r="D43" s="1309" t="s">
        <v>809</v>
      </c>
      <c r="E43" s="2291" t="s">
        <v>90</v>
      </c>
      <c r="F43" s="2164" t="s">
        <v>118</v>
      </c>
      <c r="G43" s="1910"/>
      <c r="H43" s="1911"/>
      <c r="I43" s="2314"/>
      <c r="J43" s="2314"/>
      <c r="K43" s="1903"/>
      <c r="L43" s="1911"/>
      <c r="M43" s="1317"/>
      <c r="N43" s="1857">
        <f t="shared" si="2"/>
        <v>0</v>
      </c>
      <c r="O43" s="1317"/>
      <c r="P43" s="2293">
        <f t="shared" si="4"/>
        <v>0</v>
      </c>
      <c r="Q43" s="1940"/>
      <c r="R43" s="1547">
        <f>'Ab1. RMNCH+A'!Q79</f>
        <v>0</v>
      </c>
      <c r="S43" s="2295">
        <f>'Ab1. RMNCH+A'!R79</f>
        <v>0</v>
      </c>
    </row>
    <row r="44" spans="1:19" ht="66">
      <c r="A44" s="2133">
        <v>19</v>
      </c>
      <c r="B44" s="2199" t="s">
        <v>2365</v>
      </c>
      <c r="C44" s="1309" t="s">
        <v>811</v>
      </c>
      <c r="D44" s="1309" t="s">
        <v>812</v>
      </c>
      <c r="E44" s="2291" t="s">
        <v>90</v>
      </c>
      <c r="F44" s="2164" t="s">
        <v>118</v>
      </c>
      <c r="G44" s="1910"/>
      <c r="H44" s="1911"/>
      <c r="I44" s="2314"/>
      <c r="J44" s="2314"/>
      <c r="K44" s="1903"/>
      <c r="L44" s="3241" t="s">
        <v>5936</v>
      </c>
      <c r="M44" s="2419">
        <v>190000</v>
      </c>
      <c r="N44" s="1857">
        <f t="shared" si="2"/>
        <v>1.9</v>
      </c>
      <c r="O44" s="1317">
        <v>6</v>
      </c>
      <c r="P44" s="2293">
        <f t="shared" si="4"/>
        <v>11.399999999999999</v>
      </c>
      <c r="Q44" s="2420" t="s">
        <v>6444</v>
      </c>
      <c r="R44" s="1547">
        <f>'Ab1. RMNCH+A'!Q80</f>
        <v>0</v>
      </c>
      <c r="S44" s="2295">
        <f>'Ab1. RMNCH+A'!R80</f>
        <v>0</v>
      </c>
    </row>
    <row r="45" spans="1:19">
      <c r="A45" s="2133">
        <v>20</v>
      </c>
      <c r="B45" s="2199" t="s">
        <v>2366</v>
      </c>
      <c r="C45" s="1319"/>
      <c r="D45" s="1699" t="s">
        <v>2361</v>
      </c>
      <c r="E45" s="2291" t="s">
        <v>90</v>
      </c>
      <c r="F45" s="2164" t="s">
        <v>118</v>
      </c>
      <c r="G45" s="2292"/>
      <c r="H45" s="2292"/>
      <c r="I45" s="2292"/>
      <c r="J45" s="2292"/>
      <c r="K45" s="2292"/>
      <c r="L45" s="2219"/>
      <c r="M45" s="1317"/>
      <c r="N45" s="1857">
        <f t="shared" si="2"/>
        <v>0</v>
      </c>
      <c r="O45" s="1317"/>
      <c r="P45" s="2293">
        <f t="shared" si="4"/>
        <v>0</v>
      </c>
      <c r="Q45" s="2294"/>
      <c r="R45" s="1547">
        <f>'Ab1. RMNCH+A'!Q81</f>
        <v>0</v>
      </c>
      <c r="S45" s="2295">
        <f>'Ab1. RMNCH+A'!R81</f>
        <v>0</v>
      </c>
    </row>
    <row r="46" spans="1:19">
      <c r="A46" s="2133">
        <v>21</v>
      </c>
      <c r="B46" s="2199" t="s">
        <v>2367</v>
      </c>
      <c r="C46" s="1319"/>
      <c r="D46" s="1699" t="s">
        <v>2362</v>
      </c>
      <c r="E46" s="2291" t="s">
        <v>90</v>
      </c>
      <c r="F46" s="2164" t="s">
        <v>118</v>
      </c>
      <c r="G46" s="2334"/>
      <c r="H46" s="1911"/>
      <c r="I46" s="2314"/>
      <c r="J46" s="2314"/>
      <c r="K46" s="2276"/>
      <c r="L46" s="2334"/>
      <c r="M46" s="1317"/>
      <c r="N46" s="1857">
        <f t="shared" si="2"/>
        <v>0</v>
      </c>
      <c r="O46" s="1317"/>
      <c r="P46" s="2293">
        <f t="shared" si="4"/>
        <v>0</v>
      </c>
      <c r="Q46" s="2335"/>
      <c r="R46" s="1547">
        <f>'Ab1. RMNCH+A'!Q82</f>
        <v>0</v>
      </c>
      <c r="S46" s="2295">
        <f>'Ab1. RMNCH+A'!R82</f>
        <v>0</v>
      </c>
    </row>
    <row r="47" spans="1:19" s="3778" customFormat="1">
      <c r="A47" s="3778">
        <v>22</v>
      </c>
      <c r="B47" s="3779" t="s">
        <v>2402</v>
      </c>
      <c r="C47" s="3780"/>
      <c r="D47" s="3781" t="s">
        <v>2406</v>
      </c>
      <c r="E47" s="3747" t="s">
        <v>90</v>
      </c>
      <c r="F47" s="3782" t="s">
        <v>118</v>
      </c>
      <c r="G47" s="3783"/>
      <c r="H47" s="3784"/>
      <c r="I47" s="3785">
        <v>13.73</v>
      </c>
      <c r="J47" s="3785">
        <f>11200/100000</f>
        <v>0.112</v>
      </c>
      <c r="K47" s="3786"/>
      <c r="L47" s="3787"/>
      <c r="M47" s="3788"/>
      <c r="N47" s="3789">
        <f t="shared" si="2"/>
        <v>0</v>
      </c>
      <c r="O47" s="3788"/>
      <c r="P47" s="3790">
        <f t="shared" si="4"/>
        <v>0</v>
      </c>
      <c r="Q47" s="3791"/>
      <c r="R47" s="3792">
        <f>'Ab1. RMNCH+A'!Q83</f>
        <v>0</v>
      </c>
      <c r="S47" s="3793">
        <f>'Ab1. RMNCH+A'!R83</f>
        <v>0</v>
      </c>
    </row>
    <row r="48" spans="1:19" ht="148.5">
      <c r="A48" s="2133">
        <v>23</v>
      </c>
      <c r="B48" s="2199" t="s">
        <v>2404</v>
      </c>
      <c r="C48" s="1319"/>
      <c r="D48" s="1699" t="s">
        <v>2456</v>
      </c>
      <c r="E48" s="2291" t="s">
        <v>90</v>
      </c>
      <c r="F48" s="2164" t="s">
        <v>118</v>
      </c>
      <c r="G48" s="1903"/>
      <c r="H48" s="1911"/>
      <c r="I48" s="2336"/>
      <c r="J48" s="2336"/>
      <c r="K48" s="2337"/>
      <c r="L48" s="3208" t="s">
        <v>6071</v>
      </c>
      <c r="M48" s="3179">
        <v>3196000</v>
      </c>
      <c r="N48" s="3223">
        <f t="shared" si="2"/>
        <v>31.96</v>
      </c>
      <c r="O48" s="3179">
        <v>1</v>
      </c>
      <c r="P48" s="3224">
        <f t="shared" si="4"/>
        <v>31.96</v>
      </c>
      <c r="Q48" s="1918" t="s">
        <v>6375</v>
      </c>
      <c r="R48" s="1547">
        <f>'Ab1. RMNCH+A'!Q84</f>
        <v>0</v>
      </c>
      <c r="S48" s="2295">
        <f>'Ab1. RMNCH+A'!R84</f>
        <v>0</v>
      </c>
    </row>
    <row r="49" spans="1:19">
      <c r="A49" s="2133">
        <v>24</v>
      </c>
      <c r="B49" s="2199" t="s">
        <v>2405</v>
      </c>
      <c r="C49" s="1319"/>
      <c r="D49" s="1699" t="s">
        <v>2363</v>
      </c>
      <c r="E49" s="2291" t="s">
        <v>90</v>
      </c>
      <c r="F49" s="2164" t="s">
        <v>118</v>
      </c>
      <c r="G49" s="2334"/>
      <c r="H49" s="1911"/>
      <c r="I49" s="2336"/>
      <c r="J49" s="2336"/>
      <c r="K49" s="2338"/>
      <c r="L49" s="3208"/>
      <c r="M49" s="3179"/>
      <c r="N49" s="3223">
        <f t="shared" si="2"/>
        <v>0</v>
      </c>
      <c r="O49" s="3179"/>
      <c r="P49" s="3224">
        <f>N49*O49</f>
        <v>0</v>
      </c>
      <c r="Q49" s="1921"/>
      <c r="R49" s="1547">
        <f>'Ab1. RMNCH+A'!Q85</f>
        <v>0</v>
      </c>
      <c r="S49" s="2295">
        <f>'Ab1. RMNCH+A'!R85</f>
        <v>0</v>
      </c>
    </row>
    <row r="50" spans="1:19">
      <c r="A50" s="2133">
        <v>25</v>
      </c>
      <c r="B50" s="2199" t="s">
        <v>2407</v>
      </c>
      <c r="C50" s="1319"/>
      <c r="D50" s="1699" t="s">
        <v>773</v>
      </c>
      <c r="E50" s="2291" t="s">
        <v>90</v>
      </c>
      <c r="F50" s="2164" t="s">
        <v>118</v>
      </c>
      <c r="G50" s="2292"/>
      <c r="H50" s="2292"/>
      <c r="I50" s="2292"/>
      <c r="J50" s="2292"/>
      <c r="K50" s="2292"/>
      <c r="L50" s="2278"/>
      <c r="M50" s="3179"/>
      <c r="N50" s="3223">
        <f t="shared" si="2"/>
        <v>0</v>
      </c>
      <c r="O50" s="3179"/>
      <c r="P50" s="3224">
        <f>N50*O50</f>
        <v>0</v>
      </c>
      <c r="Q50" s="1918"/>
      <c r="R50" s="1547">
        <f>'Ab1. RMNCH+A'!Q86</f>
        <v>0</v>
      </c>
      <c r="S50" s="2295">
        <f>'Ab1. RMNCH+A'!R86</f>
        <v>0</v>
      </c>
    </row>
    <row r="51" spans="1:19" ht="82.5">
      <c r="A51" s="2133">
        <v>26</v>
      </c>
      <c r="B51" s="2163" t="s">
        <v>2408</v>
      </c>
      <c r="C51" s="1319"/>
      <c r="D51" s="1699" t="s">
        <v>3809</v>
      </c>
      <c r="E51" s="2291" t="s">
        <v>90</v>
      </c>
      <c r="F51" s="2164" t="s">
        <v>118</v>
      </c>
      <c r="G51" s="2292"/>
      <c r="H51" s="2292"/>
      <c r="I51" s="2330"/>
      <c r="J51" s="2330"/>
      <c r="K51" s="2330"/>
      <c r="L51" s="2278" t="s">
        <v>5869</v>
      </c>
      <c r="M51" s="3179">
        <v>2472000</v>
      </c>
      <c r="N51" s="3223">
        <f t="shared" si="2"/>
        <v>24.72</v>
      </c>
      <c r="O51" s="3179">
        <v>1</v>
      </c>
      <c r="P51" s="3224">
        <f>N51*O51</f>
        <v>24.72</v>
      </c>
      <c r="Q51" s="1918" t="s">
        <v>6707</v>
      </c>
      <c r="R51" s="1547">
        <f>'Ab1. RMNCH+A'!Q87</f>
        <v>0</v>
      </c>
      <c r="S51" s="2295">
        <f>'Ab1. RMNCH+A'!R87</f>
        <v>0</v>
      </c>
    </row>
    <row r="52" spans="1:19" ht="198">
      <c r="A52" s="2133">
        <v>27</v>
      </c>
      <c r="B52" s="2163" t="s">
        <v>3808</v>
      </c>
      <c r="C52" s="1319"/>
      <c r="D52" s="1699" t="s">
        <v>3810</v>
      </c>
      <c r="E52" s="2291" t="s">
        <v>90</v>
      </c>
      <c r="F52" s="2164" t="s">
        <v>118</v>
      </c>
      <c r="G52" s="2292"/>
      <c r="H52" s="2292"/>
      <c r="I52" s="2330">
        <v>78.25</v>
      </c>
      <c r="J52" s="2331">
        <f>85050/100000</f>
        <v>0.85050000000000003</v>
      </c>
      <c r="K52" s="2330"/>
      <c r="L52" s="2278" t="s">
        <v>6238</v>
      </c>
      <c r="M52" s="3179">
        <v>11425000</v>
      </c>
      <c r="N52" s="3223">
        <f t="shared" si="2"/>
        <v>114.25</v>
      </c>
      <c r="O52" s="3179">
        <v>1</v>
      </c>
      <c r="P52" s="3224">
        <f>N52*O52</f>
        <v>114.25</v>
      </c>
      <c r="Q52" s="1918" t="s">
        <v>6708</v>
      </c>
      <c r="R52" s="1547">
        <f>'Ab1. RMNCH+A'!Q88</f>
        <v>0</v>
      </c>
      <c r="S52" s="2295">
        <f>'Ab1. RMNCH+A'!R88</f>
        <v>0</v>
      </c>
    </row>
    <row r="53" spans="1:19" s="3778" customFormat="1" ht="247.5">
      <c r="A53" s="3778">
        <v>28</v>
      </c>
      <c r="B53" s="3779" t="s">
        <v>3811</v>
      </c>
      <c r="C53" s="3780" t="s">
        <v>814</v>
      </c>
      <c r="D53" s="3780" t="s">
        <v>2457</v>
      </c>
      <c r="E53" s="3747" t="s">
        <v>90</v>
      </c>
      <c r="F53" s="3782" t="s">
        <v>118</v>
      </c>
      <c r="G53" s="3794"/>
      <c r="H53" s="3784"/>
      <c r="I53" s="3785"/>
      <c r="J53" s="3785"/>
      <c r="K53" s="3795"/>
      <c r="L53" s="3787" t="s">
        <v>742</v>
      </c>
      <c r="M53" s="3796">
        <f>5962000+2280000</f>
        <v>8242000</v>
      </c>
      <c r="N53" s="3738">
        <f t="shared" si="2"/>
        <v>82.42</v>
      </c>
      <c r="O53" s="3739">
        <v>1</v>
      </c>
      <c r="P53" s="3797">
        <f>N53*O53</f>
        <v>82.42</v>
      </c>
      <c r="Q53" s="3798" t="s">
        <v>6814</v>
      </c>
      <c r="R53" s="3792">
        <f>'Ab1. RMNCH+A'!Q89</f>
        <v>0</v>
      </c>
      <c r="S53" s="3793">
        <f>'Ab1. RMNCH+A'!R89</f>
        <v>0</v>
      </c>
    </row>
    <row r="54" spans="1:19" s="2187" customFormat="1">
      <c r="A54" s="2339" t="s">
        <v>4351</v>
      </c>
      <c r="B54" s="1519" t="s">
        <v>826</v>
      </c>
      <c r="C54" s="1769"/>
      <c r="D54" s="1770" t="s">
        <v>827</v>
      </c>
      <c r="E54" s="1520"/>
      <c r="F54" s="1520"/>
      <c r="G54" s="1722"/>
      <c r="H54" s="1722"/>
      <c r="I54" s="1722"/>
      <c r="J54" s="1722"/>
      <c r="K54" s="1722"/>
      <c r="L54" s="1526"/>
      <c r="M54" s="1722"/>
      <c r="N54" s="2324"/>
      <c r="O54" s="2325"/>
      <c r="P54" s="2326">
        <f>SUM(P55:P80)</f>
        <v>864.70744999999977</v>
      </c>
      <c r="Q54" s="1771"/>
      <c r="R54" s="1682"/>
      <c r="S54" s="2327">
        <f>SUM(S55:S80)</f>
        <v>0</v>
      </c>
    </row>
    <row r="55" spans="1:19" ht="66">
      <c r="A55" s="2133">
        <v>1</v>
      </c>
      <c r="B55" s="2199" t="s">
        <v>828</v>
      </c>
      <c r="C55" s="1541" t="s">
        <v>829</v>
      </c>
      <c r="D55" s="1855" t="s">
        <v>830</v>
      </c>
      <c r="E55" s="2340" t="s">
        <v>90</v>
      </c>
      <c r="F55" s="2164" t="s">
        <v>131</v>
      </c>
      <c r="G55" s="2292"/>
      <c r="H55" s="2292"/>
      <c r="I55" s="2292"/>
      <c r="J55" s="2292"/>
      <c r="K55" s="2292"/>
      <c r="L55" s="2219"/>
      <c r="M55" s="1317"/>
      <c r="N55" s="1857">
        <f t="shared" ref="N55:N80" si="5">M55/100000</f>
        <v>0</v>
      </c>
      <c r="O55" s="1317"/>
      <c r="P55" s="2293">
        <f t="shared" ref="P55:P80" si="6">N55*O55</f>
        <v>0</v>
      </c>
      <c r="Q55" s="2294"/>
      <c r="R55" s="1547">
        <f>'Ab1. RMNCH+A'!Q147</f>
        <v>0</v>
      </c>
      <c r="S55" s="2295">
        <f>'Ab1. RMNCH+A'!R147</f>
        <v>0</v>
      </c>
    </row>
    <row r="56" spans="1:19">
      <c r="A56" s="2133">
        <v>2</v>
      </c>
      <c r="B56" s="2199"/>
      <c r="C56" s="1541"/>
      <c r="D56" s="1855" t="s">
        <v>5019</v>
      </c>
      <c r="E56" s="2340" t="s">
        <v>90</v>
      </c>
      <c r="F56" s="2164" t="s">
        <v>131</v>
      </c>
      <c r="G56" s="2292"/>
      <c r="H56" s="2292"/>
      <c r="I56" s="2292"/>
      <c r="J56" s="2292"/>
      <c r="K56" s="2292"/>
      <c r="L56" s="2219"/>
      <c r="M56" s="1317"/>
      <c r="N56" s="1857">
        <f>M56/100000</f>
        <v>0</v>
      </c>
      <c r="O56" s="1317"/>
      <c r="P56" s="2293">
        <f>N56*O56</f>
        <v>0</v>
      </c>
      <c r="Q56" s="2294"/>
      <c r="R56" s="1547">
        <f>'Ab1. RMNCH+A'!Q148</f>
        <v>0</v>
      </c>
      <c r="S56" s="2295">
        <f>'Ab1. RMNCH+A'!R148</f>
        <v>0</v>
      </c>
    </row>
    <row r="57" spans="1:19" s="2187" customFormat="1" ht="219.75" customHeight="1">
      <c r="A57" s="2133">
        <v>3</v>
      </c>
      <c r="B57" s="2199" t="s">
        <v>831</v>
      </c>
      <c r="C57" s="2329" t="s">
        <v>832</v>
      </c>
      <c r="D57" s="1943" t="s">
        <v>4361</v>
      </c>
      <c r="E57" s="2340" t="s">
        <v>90</v>
      </c>
      <c r="F57" s="2164" t="s">
        <v>131</v>
      </c>
      <c r="G57" s="2341"/>
      <c r="H57" s="2341"/>
      <c r="I57" s="2341"/>
      <c r="J57" s="2341"/>
      <c r="K57" s="2341"/>
      <c r="L57" s="2341" t="s">
        <v>6193</v>
      </c>
      <c r="M57" s="1317">
        <f>12527000+242000</f>
        <v>12769000</v>
      </c>
      <c r="N57" s="1857">
        <f t="shared" si="5"/>
        <v>127.69</v>
      </c>
      <c r="O57" s="1317">
        <v>1</v>
      </c>
      <c r="P57" s="2293">
        <f t="shared" si="6"/>
        <v>127.69</v>
      </c>
      <c r="Q57" s="2423" t="s">
        <v>6387</v>
      </c>
      <c r="R57" s="1547">
        <f>'Ab1. RMNCH+A'!Q149</f>
        <v>0</v>
      </c>
      <c r="S57" s="2295">
        <f>'Ab1. RMNCH+A'!R149</f>
        <v>0</v>
      </c>
    </row>
    <row r="58" spans="1:19" s="4088" customFormat="1" ht="276.75" customHeight="1">
      <c r="A58" s="3778">
        <v>4</v>
      </c>
      <c r="B58" s="3779" t="s">
        <v>833</v>
      </c>
      <c r="C58" s="4084" t="s">
        <v>132</v>
      </c>
      <c r="D58" s="3943" t="s">
        <v>4102</v>
      </c>
      <c r="E58" s="4085" t="s">
        <v>90</v>
      </c>
      <c r="F58" s="3782" t="s">
        <v>131</v>
      </c>
      <c r="G58" s="4086" t="s">
        <v>5867</v>
      </c>
      <c r="H58" s="4086"/>
      <c r="I58" s="4086">
        <v>88.12</v>
      </c>
      <c r="J58" s="4086"/>
      <c r="K58" s="4086"/>
      <c r="L58" s="4086" t="s">
        <v>5868</v>
      </c>
      <c r="M58" s="3739">
        <f>8444050+4197000</f>
        <v>12641050</v>
      </c>
      <c r="N58" s="3738">
        <f t="shared" si="5"/>
        <v>126.4105</v>
      </c>
      <c r="O58" s="3739">
        <v>1</v>
      </c>
      <c r="P58" s="3797">
        <f t="shared" si="6"/>
        <v>126.4105</v>
      </c>
      <c r="Q58" s="4087" t="s">
        <v>6926</v>
      </c>
      <c r="R58" s="3792">
        <f>'Ab1. RMNCH+A'!Q150</f>
        <v>0</v>
      </c>
      <c r="S58" s="3793">
        <f>'Ab1. RMNCH+A'!R150</f>
        <v>0</v>
      </c>
    </row>
    <row r="59" spans="1:19" s="2187" customFormat="1">
      <c r="A59" s="2133">
        <v>5</v>
      </c>
      <c r="B59" s="2199" t="s">
        <v>834</v>
      </c>
      <c r="C59" s="2329" t="s">
        <v>835</v>
      </c>
      <c r="D59" s="2343" t="s">
        <v>836</v>
      </c>
      <c r="E59" s="2291" t="s">
        <v>90</v>
      </c>
      <c r="F59" s="2164" t="s">
        <v>131</v>
      </c>
      <c r="G59" s="1903"/>
      <c r="H59" s="1911"/>
      <c r="I59" s="2314"/>
      <c r="J59" s="2314"/>
      <c r="K59" s="1903"/>
      <c r="L59" s="1911"/>
      <c r="M59" s="1317"/>
      <c r="N59" s="1857">
        <f t="shared" si="5"/>
        <v>0</v>
      </c>
      <c r="O59" s="1317"/>
      <c r="P59" s="2293">
        <f t="shared" si="6"/>
        <v>0</v>
      </c>
      <c r="Q59" s="1940"/>
      <c r="R59" s="1547">
        <f>'Ab1. RMNCH+A'!Q151</f>
        <v>0</v>
      </c>
      <c r="S59" s="2295">
        <f>'Ab1. RMNCH+A'!R151</f>
        <v>0</v>
      </c>
    </row>
    <row r="60" spans="1:19" s="2187" customFormat="1" ht="66">
      <c r="A60" s="2133">
        <v>6</v>
      </c>
      <c r="B60" s="2199" t="s">
        <v>837</v>
      </c>
      <c r="C60" s="1309" t="s">
        <v>838</v>
      </c>
      <c r="D60" s="1855" t="s">
        <v>839</v>
      </c>
      <c r="E60" s="2291" t="s">
        <v>90</v>
      </c>
      <c r="F60" s="2164" t="s">
        <v>131</v>
      </c>
      <c r="G60" s="2341"/>
      <c r="H60" s="2341"/>
      <c r="I60" s="2344"/>
      <c r="J60" s="2344"/>
      <c r="K60" s="2341"/>
      <c r="L60" s="2341"/>
      <c r="M60" s="1317"/>
      <c r="N60" s="1857">
        <f t="shared" si="5"/>
        <v>0</v>
      </c>
      <c r="O60" s="1317"/>
      <c r="P60" s="2293">
        <f t="shared" si="6"/>
        <v>0</v>
      </c>
      <c r="Q60" s="2342"/>
      <c r="R60" s="1547">
        <f>'Ab1. RMNCH+A'!Q152</f>
        <v>0</v>
      </c>
      <c r="S60" s="2295">
        <f>'Ab1. RMNCH+A'!R152</f>
        <v>0</v>
      </c>
    </row>
    <row r="61" spans="1:19">
      <c r="A61" s="2133">
        <v>7</v>
      </c>
      <c r="B61" s="2199" t="s">
        <v>840</v>
      </c>
      <c r="C61" s="1309" t="s">
        <v>841</v>
      </c>
      <c r="D61" s="1309" t="s">
        <v>842</v>
      </c>
      <c r="E61" s="2291" t="s">
        <v>90</v>
      </c>
      <c r="F61" s="2164" t="s">
        <v>131</v>
      </c>
      <c r="G61" s="2292"/>
      <c r="H61" s="2219"/>
      <c r="I61" s="2344"/>
      <c r="J61" s="2344"/>
      <c r="K61" s="2292"/>
      <c r="L61" s="2219"/>
      <c r="M61" s="1317"/>
      <c r="N61" s="1857">
        <f t="shared" si="5"/>
        <v>0</v>
      </c>
      <c r="O61" s="1317"/>
      <c r="P61" s="2293">
        <f t="shared" si="6"/>
        <v>0</v>
      </c>
      <c r="Q61" s="2294"/>
      <c r="R61" s="1547">
        <f>'Ab1. RMNCH+A'!Q153</f>
        <v>0</v>
      </c>
      <c r="S61" s="2295">
        <f>'Ab1. RMNCH+A'!R153</f>
        <v>0</v>
      </c>
    </row>
    <row r="62" spans="1:19">
      <c r="A62" s="2133">
        <v>8</v>
      </c>
      <c r="B62" s="2199" t="s">
        <v>843</v>
      </c>
      <c r="C62" s="1309" t="s">
        <v>844</v>
      </c>
      <c r="D62" s="1309" t="s">
        <v>845</v>
      </c>
      <c r="E62" s="2291" t="s">
        <v>90</v>
      </c>
      <c r="F62" s="2164" t="s">
        <v>131</v>
      </c>
      <c r="G62" s="1903"/>
      <c r="H62" s="1911"/>
      <c r="I62" s="2314"/>
      <c r="J62" s="2314"/>
      <c r="K62" s="1903"/>
      <c r="L62" s="1911"/>
      <c r="M62" s="1317"/>
      <c r="N62" s="1857">
        <f t="shared" si="5"/>
        <v>0</v>
      </c>
      <c r="O62" s="1317"/>
      <c r="P62" s="2293">
        <f t="shared" si="6"/>
        <v>0</v>
      </c>
      <c r="Q62" s="1940"/>
      <c r="R62" s="1547">
        <f>'Ab1. RMNCH+A'!Q154</f>
        <v>0</v>
      </c>
      <c r="S62" s="2295">
        <f>'Ab1. RMNCH+A'!R154</f>
        <v>0</v>
      </c>
    </row>
    <row r="63" spans="1:19">
      <c r="A63" s="2133">
        <v>9</v>
      </c>
      <c r="B63" s="2199" t="s">
        <v>846</v>
      </c>
      <c r="C63" s="1309" t="s">
        <v>847</v>
      </c>
      <c r="D63" s="1309" t="s">
        <v>848</v>
      </c>
      <c r="E63" s="2291" t="s">
        <v>90</v>
      </c>
      <c r="F63" s="2164" t="s">
        <v>131</v>
      </c>
      <c r="G63" s="2292"/>
      <c r="H63" s="2292"/>
      <c r="I63" s="2345"/>
      <c r="J63" s="2345"/>
      <c r="K63" s="2292"/>
      <c r="L63" s="2219"/>
      <c r="M63" s="1317"/>
      <c r="N63" s="1857">
        <f t="shared" si="5"/>
        <v>0</v>
      </c>
      <c r="O63" s="1317"/>
      <c r="P63" s="2293">
        <f t="shared" si="6"/>
        <v>0</v>
      </c>
      <c r="Q63" s="2294"/>
      <c r="R63" s="1547">
        <f>'Ab1. RMNCH+A'!Q155</f>
        <v>0</v>
      </c>
      <c r="S63" s="2295">
        <f>'Ab1. RMNCH+A'!R155</f>
        <v>0</v>
      </c>
    </row>
    <row r="64" spans="1:19" ht="49.5">
      <c r="A64" s="2133">
        <v>10</v>
      </c>
      <c r="B64" s="2199" t="s">
        <v>849</v>
      </c>
      <c r="C64" s="1309" t="s">
        <v>850</v>
      </c>
      <c r="D64" s="1309" t="s">
        <v>851</v>
      </c>
      <c r="E64" s="2291" t="s">
        <v>90</v>
      </c>
      <c r="F64" s="2164" t="s">
        <v>131</v>
      </c>
      <c r="G64" s="2292"/>
      <c r="H64" s="2292"/>
      <c r="I64" s="2345"/>
      <c r="J64" s="2345"/>
      <c r="K64" s="2292"/>
      <c r="L64" s="2427" t="s">
        <v>5937</v>
      </c>
      <c r="M64" s="1963">
        <v>570500</v>
      </c>
      <c r="N64" s="1857">
        <f t="shared" si="5"/>
        <v>5.7050000000000001</v>
      </c>
      <c r="O64" s="1317">
        <v>6</v>
      </c>
      <c r="P64" s="2293">
        <f t="shared" si="6"/>
        <v>34.230000000000004</v>
      </c>
      <c r="Q64" s="1964" t="s">
        <v>6445</v>
      </c>
      <c r="R64" s="1547">
        <f>'Ab1. RMNCH+A'!Q156</f>
        <v>0</v>
      </c>
      <c r="S64" s="2295">
        <f>'Ab1. RMNCH+A'!R156</f>
        <v>0</v>
      </c>
    </row>
    <row r="65" spans="1:19">
      <c r="A65" s="2133">
        <v>11</v>
      </c>
      <c r="B65" s="2199" t="s">
        <v>852</v>
      </c>
      <c r="C65" s="1309" t="s">
        <v>853</v>
      </c>
      <c r="D65" s="1309" t="s">
        <v>854</v>
      </c>
      <c r="E65" s="2291" t="s">
        <v>90</v>
      </c>
      <c r="F65" s="2164" t="s">
        <v>131</v>
      </c>
      <c r="G65" s="2292"/>
      <c r="H65" s="2292"/>
      <c r="I65" s="2345"/>
      <c r="J65" s="2345"/>
      <c r="K65" s="2292"/>
      <c r="L65" s="2219"/>
      <c r="M65" s="1317"/>
      <c r="N65" s="1857">
        <f t="shared" si="5"/>
        <v>0</v>
      </c>
      <c r="O65" s="1317"/>
      <c r="P65" s="2293">
        <f t="shared" si="6"/>
        <v>0</v>
      </c>
      <c r="Q65" s="2294"/>
      <c r="R65" s="1547">
        <f>'Ab1. RMNCH+A'!Q157</f>
        <v>0</v>
      </c>
      <c r="S65" s="2295">
        <f>'Ab1. RMNCH+A'!R157</f>
        <v>0</v>
      </c>
    </row>
    <row r="66" spans="1:19" s="3778" customFormat="1" ht="276" customHeight="1">
      <c r="A66" s="3778">
        <v>12</v>
      </c>
      <c r="B66" s="3779" t="s">
        <v>855</v>
      </c>
      <c r="C66" s="3780" t="s">
        <v>858</v>
      </c>
      <c r="D66" s="3780" t="s">
        <v>859</v>
      </c>
      <c r="E66" s="3747" t="s">
        <v>90</v>
      </c>
      <c r="F66" s="3782" t="s">
        <v>131</v>
      </c>
      <c r="G66" s="3783"/>
      <c r="H66" s="3794"/>
      <c r="I66" s="3783"/>
      <c r="J66" s="3783"/>
      <c r="K66" s="3794"/>
      <c r="L66" s="3895" t="s">
        <v>6205</v>
      </c>
      <c r="M66" s="3739">
        <v>3974000</v>
      </c>
      <c r="N66" s="3738">
        <f t="shared" si="5"/>
        <v>39.74</v>
      </c>
      <c r="O66" s="3739">
        <v>1</v>
      </c>
      <c r="P66" s="3797">
        <f t="shared" si="6"/>
        <v>39.74</v>
      </c>
      <c r="Q66" s="3958" t="s">
        <v>6865</v>
      </c>
      <c r="R66" s="3792">
        <f>'Ab1. RMNCH+A'!Q158</f>
        <v>0</v>
      </c>
      <c r="S66" s="3793">
        <f>'Ab1. RMNCH+A'!R158</f>
        <v>0</v>
      </c>
    </row>
    <row r="67" spans="1:19">
      <c r="A67" s="2133">
        <v>13</v>
      </c>
      <c r="B67" s="2199" t="s">
        <v>856</v>
      </c>
      <c r="C67" s="1309" t="s">
        <v>861</v>
      </c>
      <c r="D67" s="1309" t="s">
        <v>862</v>
      </c>
      <c r="E67" s="2291" t="s">
        <v>90</v>
      </c>
      <c r="F67" s="2164" t="s">
        <v>131</v>
      </c>
      <c r="G67" s="2292"/>
      <c r="H67" s="2292"/>
      <c r="I67" s="2345"/>
      <c r="J67" s="2345"/>
      <c r="K67" s="2292"/>
      <c r="L67" s="2219" t="s">
        <v>6193</v>
      </c>
      <c r="M67" s="1317">
        <v>230800</v>
      </c>
      <c r="N67" s="1857">
        <f t="shared" si="5"/>
        <v>2.3079999999999998</v>
      </c>
      <c r="O67" s="1317">
        <v>2</v>
      </c>
      <c r="P67" s="2293">
        <f t="shared" si="6"/>
        <v>4.6159999999999997</v>
      </c>
      <c r="Q67" s="2294" t="s">
        <v>5999</v>
      </c>
      <c r="R67" s="1547">
        <f>'Ab1. RMNCH+A'!Q159</f>
        <v>0</v>
      </c>
      <c r="S67" s="2295">
        <f>'Ab1. RMNCH+A'!R159</f>
        <v>0</v>
      </c>
    </row>
    <row r="68" spans="1:19">
      <c r="A68" s="2133">
        <v>14</v>
      </c>
      <c r="B68" s="2199" t="s">
        <v>857</v>
      </c>
      <c r="C68" s="1309" t="s">
        <v>864</v>
      </c>
      <c r="D68" s="1309" t="s">
        <v>865</v>
      </c>
      <c r="E68" s="2291" t="s">
        <v>90</v>
      </c>
      <c r="F68" s="2164" t="s">
        <v>131</v>
      </c>
      <c r="G68" s="2292"/>
      <c r="H68" s="2292"/>
      <c r="I68" s="2253"/>
      <c r="J68" s="2253"/>
      <c r="K68" s="2292"/>
      <c r="L68" s="2219" t="s">
        <v>6206</v>
      </c>
      <c r="M68" s="1317">
        <v>155200</v>
      </c>
      <c r="N68" s="1857">
        <f t="shared" si="5"/>
        <v>1.552</v>
      </c>
      <c r="O68" s="1317">
        <v>38</v>
      </c>
      <c r="P68" s="2293">
        <f t="shared" si="6"/>
        <v>58.975999999999999</v>
      </c>
      <c r="Q68" s="2294" t="s">
        <v>5999</v>
      </c>
      <c r="R68" s="1547">
        <f>'Ab1. RMNCH+A'!Q160</f>
        <v>0</v>
      </c>
      <c r="S68" s="2295">
        <f>'Ab1. RMNCH+A'!R160</f>
        <v>0</v>
      </c>
    </row>
    <row r="69" spans="1:19">
      <c r="A69" s="2133">
        <v>15</v>
      </c>
      <c r="B69" s="2199" t="s">
        <v>860</v>
      </c>
      <c r="C69" s="1309" t="s">
        <v>867</v>
      </c>
      <c r="D69" s="1309" t="s">
        <v>868</v>
      </c>
      <c r="E69" s="2291" t="s">
        <v>90</v>
      </c>
      <c r="F69" s="2164" t="s">
        <v>131</v>
      </c>
      <c r="G69" s="2292"/>
      <c r="H69" s="2292"/>
      <c r="I69" s="2253"/>
      <c r="J69" s="2253"/>
      <c r="K69" s="2292"/>
      <c r="L69" s="2219" t="s">
        <v>6206</v>
      </c>
      <c r="M69" s="1317">
        <v>142400</v>
      </c>
      <c r="N69" s="1857">
        <f t="shared" si="5"/>
        <v>1.4239999999999999</v>
      </c>
      <c r="O69" s="1317">
        <v>38</v>
      </c>
      <c r="P69" s="2293">
        <f t="shared" si="6"/>
        <v>54.111999999999995</v>
      </c>
      <c r="Q69" s="2294" t="s">
        <v>5999</v>
      </c>
      <c r="R69" s="1547">
        <f>'Ab1. RMNCH+A'!Q161</f>
        <v>0</v>
      </c>
      <c r="S69" s="2295">
        <f>'Ab1. RMNCH+A'!R161</f>
        <v>0</v>
      </c>
    </row>
    <row r="70" spans="1:19">
      <c r="A70" s="2133">
        <v>16</v>
      </c>
      <c r="B70" s="2199" t="s">
        <v>863</v>
      </c>
      <c r="C70" s="1309" t="s">
        <v>870</v>
      </c>
      <c r="D70" s="1309" t="s">
        <v>871</v>
      </c>
      <c r="E70" s="2291" t="s">
        <v>90</v>
      </c>
      <c r="F70" s="2164" t="s">
        <v>131</v>
      </c>
      <c r="G70" s="2292"/>
      <c r="H70" s="2292"/>
      <c r="I70" s="2253"/>
      <c r="J70" s="2253"/>
      <c r="K70" s="2292"/>
      <c r="L70" s="2219" t="s">
        <v>6206</v>
      </c>
      <c r="M70" s="1317">
        <v>142400</v>
      </c>
      <c r="N70" s="1857">
        <f t="shared" si="5"/>
        <v>1.4239999999999999</v>
      </c>
      <c r="O70" s="1317">
        <v>38</v>
      </c>
      <c r="P70" s="2293">
        <f t="shared" si="6"/>
        <v>54.111999999999995</v>
      </c>
      <c r="Q70" s="2294" t="s">
        <v>5999</v>
      </c>
      <c r="R70" s="1547">
        <f>'Ab1. RMNCH+A'!Q162</f>
        <v>0</v>
      </c>
      <c r="S70" s="2295">
        <f>'Ab1. RMNCH+A'!R162</f>
        <v>0</v>
      </c>
    </row>
    <row r="71" spans="1:19">
      <c r="A71" s="2133">
        <v>17</v>
      </c>
      <c r="B71" s="2199" t="s">
        <v>866</v>
      </c>
      <c r="C71" s="1309" t="s">
        <v>873</v>
      </c>
      <c r="D71" s="1309" t="s">
        <v>4103</v>
      </c>
      <c r="E71" s="2291" t="s">
        <v>90</v>
      </c>
      <c r="F71" s="2164" t="s">
        <v>131</v>
      </c>
      <c r="G71" s="2292"/>
      <c r="H71" s="2292"/>
      <c r="I71" s="2253"/>
      <c r="J71" s="2345"/>
      <c r="K71" s="2292"/>
      <c r="L71" s="2219" t="s">
        <v>6193</v>
      </c>
      <c r="M71" s="1317">
        <v>383200</v>
      </c>
      <c r="N71" s="1857">
        <f t="shared" si="5"/>
        <v>3.8319999999999999</v>
      </c>
      <c r="O71" s="1317">
        <v>5</v>
      </c>
      <c r="P71" s="2293">
        <f t="shared" si="6"/>
        <v>19.16</v>
      </c>
      <c r="Q71" s="2294" t="s">
        <v>5999</v>
      </c>
      <c r="R71" s="1547">
        <f>'Ab1. RMNCH+A'!Q163</f>
        <v>0</v>
      </c>
      <c r="S71" s="2295">
        <f>'Ab1. RMNCH+A'!R163</f>
        <v>0</v>
      </c>
    </row>
    <row r="72" spans="1:19" ht="33">
      <c r="A72" s="2133">
        <v>18</v>
      </c>
      <c r="B72" s="2199" t="s">
        <v>869</v>
      </c>
      <c r="C72" s="1309" t="s">
        <v>875</v>
      </c>
      <c r="D72" s="1309" t="s">
        <v>4104</v>
      </c>
      <c r="E72" s="2291" t="s">
        <v>90</v>
      </c>
      <c r="F72" s="2164" t="s">
        <v>131</v>
      </c>
      <c r="G72" s="2292"/>
      <c r="H72" s="2292"/>
      <c r="I72" s="2253"/>
      <c r="J72" s="2345"/>
      <c r="K72" s="2292"/>
      <c r="L72" s="2219" t="s">
        <v>6206</v>
      </c>
      <c r="M72" s="1317">
        <v>264600</v>
      </c>
      <c r="N72" s="1857">
        <f t="shared" si="5"/>
        <v>2.6459999999999999</v>
      </c>
      <c r="O72" s="1317">
        <v>20</v>
      </c>
      <c r="P72" s="2293">
        <f t="shared" si="6"/>
        <v>52.92</v>
      </c>
      <c r="Q72" s="2294" t="s">
        <v>5999</v>
      </c>
      <c r="R72" s="1547">
        <f>'Ab1. RMNCH+A'!Q164</f>
        <v>0</v>
      </c>
      <c r="S72" s="2295">
        <f>'Ab1. RMNCH+A'!R164</f>
        <v>0</v>
      </c>
    </row>
    <row r="73" spans="1:19" ht="198">
      <c r="A73" s="2133">
        <v>19</v>
      </c>
      <c r="B73" s="2199" t="s">
        <v>872</v>
      </c>
      <c r="C73" s="1309" t="s">
        <v>877</v>
      </c>
      <c r="D73" s="1309" t="s">
        <v>2476</v>
      </c>
      <c r="E73" s="2291" t="s">
        <v>90</v>
      </c>
      <c r="F73" s="2164" t="s">
        <v>131</v>
      </c>
      <c r="G73" s="2292"/>
      <c r="H73" s="2292"/>
      <c r="I73" s="2292"/>
      <c r="J73" s="2292"/>
      <c r="K73" s="2292"/>
      <c r="L73" s="2219" t="s">
        <v>6193</v>
      </c>
      <c r="M73" s="1317">
        <v>8443260</v>
      </c>
      <c r="N73" s="1857">
        <f t="shared" si="5"/>
        <v>84.432599999999994</v>
      </c>
      <c r="O73" s="1317">
        <v>1</v>
      </c>
      <c r="P73" s="2293">
        <f t="shared" si="6"/>
        <v>84.432599999999994</v>
      </c>
      <c r="Q73" s="2294" t="s">
        <v>6208</v>
      </c>
      <c r="R73" s="1547">
        <f>'Ab1. RMNCH+A'!Q165</f>
        <v>0</v>
      </c>
      <c r="S73" s="2295">
        <f>'Ab1. RMNCH+A'!R165</f>
        <v>0</v>
      </c>
    </row>
    <row r="74" spans="1:19" ht="66">
      <c r="A74" s="2133">
        <v>20</v>
      </c>
      <c r="B74" s="2199" t="s">
        <v>874</v>
      </c>
      <c r="C74" s="1309" t="s">
        <v>879</v>
      </c>
      <c r="D74" s="1309" t="s">
        <v>880</v>
      </c>
      <c r="E74" s="2291" t="s">
        <v>90</v>
      </c>
      <c r="F74" s="2164" t="s">
        <v>131</v>
      </c>
      <c r="G74" s="1903"/>
      <c r="H74" s="1911"/>
      <c r="I74" s="2314"/>
      <c r="J74" s="2314"/>
      <c r="K74" s="1910"/>
      <c r="L74" s="2232" t="s">
        <v>6193</v>
      </c>
      <c r="M74" s="1312">
        <v>3000</v>
      </c>
      <c r="N74" s="3249">
        <f t="shared" si="5"/>
        <v>0.03</v>
      </c>
      <c r="O74" s="1312">
        <v>1068</v>
      </c>
      <c r="P74" s="3250">
        <f t="shared" si="6"/>
        <v>32.04</v>
      </c>
      <c r="Q74" s="2346" t="s">
        <v>6209</v>
      </c>
      <c r="R74" s="1547">
        <f>'Ab1. RMNCH+A'!Q166</f>
        <v>0</v>
      </c>
      <c r="S74" s="2295">
        <f>'Ab1. RMNCH+A'!R166</f>
        <v>0</v>
      </c>
    </row>
    <row r="75" spans="1:19" ht="33">
      <c r="A75" s="2133">
        <v>21</v>
      </c>
      <c r="B75" s="2199" t="s">
        <v>876</v>
      </c>
      <c r="C75" s="1319"/>
      <c r="D75" s="1309" t="s">
        <v>2468</v>
      </c>
      <c r="E75" s="2291" t="s">
        <v>90</v>
      </c>
      <c r="F75" s="2164" t="s">
        <v>131</v>
      </c>
      <c r="G75" s="2292"/>
      <c r="H75" s="2292"/>
      <c r="I75" s="2292"/>
      <c r="J75" s="2292"/>
      <c r="K75" s="2292"/>
      <c r="L75" s="2232" t="s">
        <v>6193</v>
      </c>
      <c r="M75" s="3208">
        <v>278700</v>
      </c>
      <c r="N75" s="3249">
        <f t="shared" si="5"/>
        <v>2.7869999999999999</v>
      </c>
      <c r="O75" s="1312">
        <v>5</v>
      </c>
      <c r="P75" s="3250">
        <f t="shared" si="6"/>
        <v>13.934999999999999</v>
      </c>
      <c r="Q75" s="1713" t="s">
        <v>6210</v>
      </c>
      <c r="R75" s="1547">
        <f>'Ab1. RMNCH+A'!Q167</f>
        <v>0</v>
      </c>
      <c r="S75" s="2295">
        <f>'Ab1. RMNCH+A'!R167</f>
        <v>0</v>
      </c>
    </row>
    <row r="76" spans="1:19">
      <c r="A76" s="2133">
        <v>22</v>
      </c>
      <c r="B76" s="2199" t="s">
        <v>878</v>
      </c>
      <c r="C76" s="1319"/>
      <c r="D76" s="1309" t="s">
        <v>2469</v>
      </c>
      <c r="E76" s="2291" t="s">
        <v>90</v>
      </c>
      <c r="F76" s="2164" t="s">
        <v>131</v>
      </c>
      <c r="G76" s="2292"/>
      <c r="H76" s="2292"/>
      <c r="I76" s="2292"/>
      <c r="J76" s="2292"/>
      <c r="K76" s="2292"/>
      <c r="L76" s="2232"/>
      <c r="M76" s="3208"/>
      <c r="N76" s="3249">
        <f t="shared" si="5"/>
        <v>0</v>
      </c>
      <c r="O76" s="1312"/>
      <c r="P76" s="3250">
        <f t="shared" si="6"/>
        <v>0</v>
      </c>
      <c r="Q76" s="1713"/>
      <c r="R76" s="1547">
        <f>'Ab1. RMNCH+A'!Q168</f>
        <v>0</v>
      </c>
      <c r="S76" s="2295">
        <f>'Ab1. RMNCH+A'!R168</f>
        <v>0</v>
      </c>
    </row>
    <row r="77" spans="1:19" s="3778" customFormat="1" ht="148.5">
      <c r="A77" s="3778">
        <v>23</v>
      </c>
      <c r="B77" s="3779" t="s">
        <v>2467</v>
      </c>
      <c r="C77" s="3780"/>
      <c r="D77" s="3780" t="s">
        <v>2472</v>
      </c>
      <c r="E77" s="3747" t="s">
        <v>90</v>
      </c>
      <c r="F77" s="3782" t="s">
        <v>131</v>
      </c>
      <c r="G77" s="3894"/>
      <c r="H77" s="3894"/>
      <c r="I77" s="3894"/>
      <c r="J77" s="3894"/>
      <c r="K77" s="3894"/>
      <c r="L77" s="2395" t="s">
        <v>6193</v>
      </c>
      <c r="M77" s="3788">
        <v>1475050</v>
      </c>
      <c r="N77" s="3789">
        <f t="shared" si="5"/>
        <v>14.750500000000001</v>
      </c>
      <c r="O77" s="3788">
        <v>1</v>
      </c>
      <c r="P77" s="3790">
        <f t="shared" si="6"/>
        <v>14.750500000000001</v>
      </c>
      <c r="Q77" s="3839" t="s">
        <v>6866</v>
      </c>
      <c r="R77" s="3792">
        <f>'Ab1. RMNCH+A'!Q169</f>
        <v>0</v>
      </c>
      <c r="S77" s="3793">
        <f>'Ab1. RMNCH+A'!R169</f>
        <v>0</v>
      </c>
    </row>
    <row r="78" spans="1:19" ht="66">
      <c r="A78" s="2133">
        <v>24</v>
      </c>
      <c r="B78" s="2347" t="s">
        <v>2572</v>
      </c>
      <c r="C78" s="1319"/>
      <c r="D78" s="1529" t="s">
        <v>4105</v>
      </c>
      <c r="E78" s="2291" t="s">
        <v>90</v>
      </c>
      <c r="F78" s="2164" t="s">
        <v>131</v>
      </c>
      <c r="G78" s="2348"/>
      <c r="H78" s="1911"/>
      <c r="I78" s="2314"/>
      <c r="J78" s="2314"/>
      <c r="K78" s="1910"/>
      <c r="L78" s="2232" t="s">
        <v>6439</v>
      </c>
      <c r="M78" s="1312">
        <v>1790</v>
      </c>
      <c r="N78" s="3249">
        <f t="shared" si="5"/>
        <v>1.7899999999999999E-2</v>
      </c>
      <c r="O78" s="1312">
        <v>7567</v>
      </c>
      <c r="P78" s="3250">
        <f t="shared" si="6"/>
        <v>135.44929999999999</v>
      </c>
      <c r="Q78" s="3251" t="s">
        <v>6440</v>
      </c>
      <c r="R78" s="1547">
        <f>'Ab1. RMNCH+A'!Q170</f>
        <v>0</v>
      </c>
      <c r="S78" s="2295">
        <f>'Ab1. RMNCH+A'!R170</f>
        <v>0</v>
      </c>
    </row>
    <row r="79" spans="1:19" ht="115.5">
      <c r="A79" s="2133">
        <v>25</v>
      </c>
      <c r="B79" s="2347" t="s">
        <v>3351</v>
      </c>
      <c r="C79" s="1319"/>
      <c r="D79" s="1947" t="s">
        <v>4363</v>
      </c>
      <c r="E79" s="2291" t="s">
        <v>90</v>
      </c>
      <c r="F79" s="2164" t="s">
        <v>131</v>
      </c>
      <c r="G79" s="2348"/>
      <c r="H79" s="1911"/>
      <c r="I79" s="2314"/>
      <c r="J79" s="2314"/>
      <c r="K79" s="1910"/>
      <c r="L79" s="2232" t="s">
        <v>6207</v>
      </c>
      <c r="M79" s="1312">
        <v>1213355</v>
      </c>
      <c r="N79" s="3249">
        <f t="shared" si="5"/>
        <v>12.13355</v>
      </c>
      <c r="O79" s="1312">
        <v>1</v>
      </c>
      <c r="P79" s="3250">
        <f>N79*O79</f>
        <v>12.13355</v>
      </c>
      <c r="Q79" s="3251" t="s">
        <v>6583</v>
      </c>
      <c r="R79" s="1547">
        <f>'Ab1. RMNCH+A'!Q171</f>
        <v>0</v>
      </c>
      <c r="S79" s="2295">
        <f>'Ab1. RMNCH+A'!R171</f>
        <v>0</v>
      </c>
    </row>
    <row r="80" spans="1:19">
      <c r="A80" s="2133">
        <v>26</v>
      </c>
      <c r="B80" s="2347" t="s">
        <v>4362</v>
      </c>
      <c r="C80" s="2347" t="s">
        <v>2572</v>
      </c>
      <c r="D80" s="1309" t="s">
        <v>2573</v>
      </c>
      <c r="E80" s="2291" t="s">
        <v>90</v>
      </c>
      <c r="F80" s="2164" t="s">
        <v>131</v>
      </c>
      <c r="G80" s="2292"/>
      <c r="H80" s="2292"/>
      <c r="I80" s="2292"/>
      <c r="J80" s="2292"/>
      <c r="K80" s="2292"/>
      <c r="L80" s="2219"/>
      <c r="M80" s="1317"/>
      <c r="N80" s="1857">
        <f t="shared" si="5"/>
        <v>0</v>
      </c>
      <c r="O80" s="1317"/>
      <c r="P80" s="2293">
        <f t="shared" si="6"/>
        <v>0</v>
      </c>
      <c r="Q80" s="2294"/>
      <c r="R80" s="1547">
        <f>'Ab1. RMNCH+A'!Q172</f>
        <v>0</v>
      </c>
      <c r="S80" s="2295">
        <f>'Ab1. RMNCH+A'!R172</f>
        <v>0</v>
      </c>
    </row>
    <row r="81" spans="1:19" s="2187" customFormat="1">
      <c r="A81" s="2283" t="s">
        <v>4354</v>
      </c>
      <c r="B81" s="1519" t="s">
        <v>881</v>
      </c>
      <c r="C81" s="1769"/>
      <c r="D81" s="1770" t="s">
        <v>882</v>
      </c>
      <c r="E81" s="1520"/>
      <c r="F81" s="1520"/>
      <c r="G81" s="1722"/>
      <c r="H81" s="1722"/>
      <c r="I81" s="1722"/>
      <c r="J81" s="1722"/>
      <c r="K81" s="1722"/>
      <c r="L81" s="1526"/>
      <c r="M81" s="1722"/>
      <c r="N81" s="2324"/>
      <c r="O81" s="2325"/>
      <c r="P81" s="2326">
        <f>SUM(P82:P109)</f>
        <v>551.49628000000007</v>
      </c>
      <c r="Q81" s="1771"/>
      <c r="R81" s="1682"/>
      <c r="S81" s="2327">
        <f>SUM(S82:S109)</f>
        <v>0</v>
      </c>
    </row>
    <row r="82" spans="1:19">
      <c r="A82" s="2133">
        <v>1</v>
      </c>
      <c r="B82" s="2199" t="s">
        <v>760</v>
      </c>
      <c r="C82" s="1309" t="s">
        <v>761</v>
      </c>
      <c r="D82" s="1309" t="s">
        <v>762</v>
      </c>
      <c r="E82" s="2291" t="s">
        <v>90</v>
      </c>
      <c r="F82" s="2164" t="s">
        <v>91</v>
      </c>
      <c r="G82" s="2292"/>
      <c r="H82" s="2292"/>
      <c r="I82" s="2292"/>
      <c r="J82" s="2292"/>
      <c r="K82" s="2292"/>
      <c r="L82" s="2219"/>
      <c r="M82" s="1317"/>
      <c r="N82" s="1857">
        <f>M82/100000</f>
        <v>0</v>
      </c>
      <c r="O82" s="1317"/>
      <c r="P82" s="2293">
        <f>N82*O82</f>
        <v>0</v>
      </c>
      <c r="Q82" s="2294"/>
      <c r="R82" s="1547">
        <f>'Ab1. RMNCH+A'!Q242</f>
        <v>0</v>
      </c>
      <c r="S82" s="2295">
        <f>'Ab1. RMNCH+A'!R242</f>
        <v>0</v>
      </c>
    </row>
    <row r="83" spans="1:19" s="2187" customFormat="1" ht="115.5">
      <c r="A83" s="2133">
        <v>2</v>
      </c>
      <c r="B83" s="2199" t="s">
        <v>883</v>
      </c>
      <c r="C83" s="1309" t="s">
        <v>226</v>
      </c>
      <c r="D83" s="1855" t="s">
        <v>2486</v>
      </c>
      <c r="E83" s="2291" t="s">
        <v>90</v>
      </c>
      <c r="F83" s="2164" t="s">
        <v>91</v>
      </c>
      <c r="G83" s="2292">
        <v>534</v>
      </c>
      <c r="H83" s="2292">
        <v>47</v>
      </c>
      <c r="I83" s="2292">
        <v>10.68</v>
      </c>
      <c r="J83" s="2292">
        <v>0.93</v>
      </c>
      <c r="K83" s="2292"/>
      <c r="L83" s="3252" t="s">
        <v>5993</v>
      </c>
      <c r="M83" s="1312">
        <v>10000</v>
      </c>
      <c r="N83" s="3249">
        <f t="shared" ref="N83:N109" si="7">M83/100000</f>
        <v>0.1</v>
      </c>
      <c r="O83" s="1312">
        <v>695</v>
      </c>
      <c r="P83" s="3250">
        <f t="shared" ref="P83:P109" si="8">N83*O83</f>
        <v>69.5</v>
      </c>
      <c r="Q83" s="3253" t="s">
        <v>5996</v>
      </c>
      <c r="R83" s="1547">
        <f>'Ab1. RMNCH+A'!Q243</f>
        <v>0</v>
      </c>
      <c r="S83" s="2295">
        <f>'Ab1. RMNCH+A'!R243</f>
        <v>0</v>
      </c>
    </row>
    <row r="84" spans="1:19" s="2187" customFormat="1" ht="33">
      <c r="A84" s="2133">
        <v>3</v>
      </c>
      <c r="B84" s="2199" t="s">
        <v>884</v>
      </c>
      <c r="C84" s="1309" t="s">
        <v>885</v>
      </c>
      <c r="D84" s="1855" t="s">
        <v>886</v>
      </c>
      <c r="E84" s="2291" t="s">
        <v>90</v>
      </c>
      <c r="F84" s="2164" t="s">
        <v>91</v>
      </c>
      <c r="G84" s="1911">
        <v>534</v>
      </c>
      <c r="H84" s="2349">
        <v>0</v>
      </c>
      <c r="I84" s="2314">
        <v>16.02</v>
      </c>
      <c r="J84" s="2314">
        <v>0</v>
      </c>
      <c r="K84" s="2349"/>
      <c r="L84" s="2232" t="s">
        <v>5994</v>
      </c>
      <c r="M84" s="1312">
        <v>3000</v>
      </c>
      <c r="N84" s="3249">
        <f t="shared" si="7"/>
        <v>0.03</v>
      </c>
      <c r="O84" s="1312">
        <v>534</v>
      </c>
      <c r="P84" s="3250">
        <f t="shared" si="8"/>
        <v>16.02</v>
      </c>
      <c r="Q84" s="3253" t="s">
        <v>5997</v>
      </c>
      <c r="R84" s="1547">
        <f>'Ab1. RMNCH+A'!Q244</f>
        <v>0</v>
      </c>
      <c r="S84" s="2295">
        <f>'Ab1. RMNCH+A'!R244</f>
        <v>0</v>
      </c>
    </row>
    <row r="85" spans="1:19">
      <c r="A85" s="2133">
        <v>4</v>
      </c>
      <c r="B85" s="2199" t="s">
        <v>887</v>
      </c>
      <c r="C85" s="1309" t="s">
        <v>890</v>
      </c>
      <c r="D85" s="1309" t="s">
        <v>891</v>
      </c>
      <c r="E85" s="2291" t="s">
        <v>90</v>
      </c>
      <c r="F85" s="2164" t="s">
        <v>91</v>
      </c>
      <c r="G85" s="1911"/>
      <c r="H85" s="1911"/>
      <c r="I85" s="2314"/>
      <c r="J85" s="2314"/>
      <c r="K85" s="1910"/>
      <c r="L85" s="2232" t="s">
        <v>5995</v>
      </c>
      <c r="M85" s="1312">
        <v>300000</v>
      </c>
      <c r="N85" s="3249">
        <f t="shared" si="7"/>
        <v>3</v>
      </c>
      <c r="O85" s="1312">
        <v>1</v>
      </c>
      <c r="P85" s="3250">
        <f t="shared" si="8"/>
        <v>3</v>
      </c>
      <c r="Q85" s="3189" t="s">
        <v>5998</v>
      </c>
      <c r="R85" s="1547">
        <f>'Ab1. RMNCH+A'!Q245</f>
        <v>0</v>
      </c>
      <c r="S85" s="2295">
        <f>'Ab1. RMNCH+A'!R245</f>
        <v>0</v>
      </c>
    </row>
    <row r="86" spans="1:19" ht="33">
      <c r="A86" s="2133">
        <v>5</v>
      </c>
      <c r="B86" s="2199" t="s">
        <v>889</v>
      </c>
      <c r="C86" s="1309" t="s">
        <v>893</v>
      </c>
      <c r="D86" s="1309" t="s">
        <v>894</v>
      </c>
      <c r="E86" s="2291" t="s">
        <v>90</v>
      </c>
      <c r="F86" s="2164" t="s">
        <v>91</v>
      </c>
      <c r="G86" s="1911">
        <v>10</v>
      </c>
      <c r="H86" s="1911">
        <v>0</v>
      </c>
      <c r="I86" s="2314">
        <v>15</v>
      </c>
      <c r="J86" s="2314">
        <v>0</v>
      </c>
      <c r="K86" s="1910"/>
      <c r="L86" s="2232"/>
      <c r="M86" s="1312"/>
      <c r="N86" s="3249">
        <f t="shared" si="7"/>
        <v>0</v>
      </c>
      <c r="O86" s="1312"/>
      <c r="P86" s="3250">
        <f t="shared" si="8"/>
        <v>0</v>
      </c>
      <c r="Q86" s="3189"/>
      <c r="R86" s="1547">
        <f>'Ab1. RMNCH+A'!Q246</f>
        <v>0</v>
      </c>
      <c r="S86" s="2295">
        <f>'Ab1. RMNCH+A'!R246</f>
        <v>0</v>
      </c>
    </row>
    <row r="87" spans="1:19">
      <c r="A87" s="2133">
        <v>6</v>
      </c>
      <c r="B87" s="2199" t="s">
        <v>892</v>
      </c>
      <c r="C87" s="1309" t="s">
        <v>896</v>
      </c>
      <c r="D87" s="1309" t="s">
        <v>897</v>
      </c>
      <c r="E87" s="2291" t="s">
        <v>90</v>
      </c>
      <c r="F87" s="2164" t="s">
        <v>91</v>
      </c>
      <c r="G87" s="1911"/>
      <c r="H87" s="1911"/>
      <c r="I87" s="2314"/>
      <c r="J87" s="2314"/>
      <c r="K87" s="1903"/>
      <c r="L87" s="2232"/>
      <c r="M87" s="1312"/>
      <c r="N87" s="3249">
        <f t="shared" si="7"/>
        <v>0</v>
      </c>
      <c r="O87" s="1312"/>
      <c r="P87" s="3250">
        <f t="shared" si="8"/>
        <v>0</v>
      </c>
      <c r="Q87" s="3189"/>
      <c r="R87" s="1547">
        <f>'Ab1. RMNCH+A'!Q247</f>
        <v>0</v>
      </c>
      <c r="S87" s="2295">
        <f>'Ab1. RMNCH+A'!R247</f>
        <v>0</v>
      </c>
    </row>
    <row r="88" spans="1:19">
      <c r="A88" s="2133">
        <v>7</v>
      </c>
      <c r="B88" s="2199" t="s">
        <v>895</v>
      </c>
      <c r="C88" s="1309" t="s">
        <v>899</v>
      </c>
      <c r="D88" s="1309" t="s">
        <v>900</v>
      </c>
      <c r="E88" s="2291" t="s">
        <v>90</v>
      </c>
      <c r="F88" s="2164" t="s">
        <v>91</v>
      </c>
      <c r="G88" s="2219">
        <v>0</v>
      </c>
      <c r="H88" s="2219">
        <v>0</v>
      </c>
      <c r="I88" s="2344">
        <v>0</v>
      </c>
      <c r="J88" s="2344">
        <v>0</v>
      </c>
      <c r="K88" s="1910"/>
      <c r="L88" s="2232" t="s">
        <v>5995</v>
      </c>
      <c r="M88" s="1312">
        <v>107812</v>
      </c>
      <c r="N88" s="3249">
        <f t="shared" si="7"/>
        <v>1.07812</v>
      </c>
      <c r="O88" s="1312">
        <v>3</v>
      </c>
      <c r="P88" s="3250">
        <f t="shared" si="8"/>
        <v>3.2343599999999997</v>
      </c>
      <c r="Q88" s="3189" t="s">
        <v>6000</v>
      </c>
      <c r="R88" s="1547">
        <f>'Ab1. RMNCH+A'!Q248</f>
        <v>0</v>
      </c>
      <c r="S88" s="2295">
        <f>'Ab1. RMNCH+A'!R248</f>
        <v>0</v>
      </c>
    </row>
    <row r="89" spans="1:19">
      <c r="A89" s="2133">
        <v>8</v>
      </c>
      <c r="B89" s="2199" t="s">
        <v>898</v>
      </c>
      <c r="C89" s="1309" t="s">
        <v>902</v>
      </c>
      <c r="D89" s="1309" t="s">
        <v>903</v>
      </c>
      <c r="E89" s="2291" t="s">
        <v>90</v>
      </c>
      <c r="F89" s="2164" t="s">
        <v>91</v>
      </c>
      <c r="G89" s="1911">
        <v>38</v>
      </c>
      <c r="H89" s="1911">
        <v>1</v>
      </c>
      <c r="I89" s="2314">
        <v>57</v>
      </c>
      <c r="J89" s="2314">
        <v>0.09</v>
      </c>
      <c r="K89" s="1910"/>
      <c r="L89" s="2232" t="s">
        <v>5995</v>
      </c>
      <c r="M89" s="1312">
        <v>150000</v>
      </c>
      <c r="N89" s="3249">
        <f t="shared" si="7"/>
        <v>1.5</v>
      </c>
      <c r="O89" s="1312">
        <v>38</v>
      </c>
      <c r="P89" s="3250">
        <f t="shared" si="8"/>
        <v>57</v>
      </c>
      <c r="Q89" s="3189" t="s">
        <v>5999</v>
      </c>
      <c r="R89" s="1547">
        <f>'Ab1. RMNCH+A'!Q249</f>
        <v>0</v>
      </c>
      <c r="S89" s="2295">
        <f>'Ab1. RMNCH+A'!R249</f>
        <v>0</v>
      </c>
    </row>
    <row r="90" spans="1:19">
      <c r="A90" s="2133">
        <v>9</v>
      </c>
      <c r="B90" s="2199" t="s">
        <v>901</v>
      </c>
      <c r="C90" s="1309" t="s">
        <v>905</v>
      </c>
      <c r="D90" s="1309" t="s">
        <v>906</v>
      </c>
      <c r="E90" s="2291" t="s">
        <v>90</v>
      </c>
      <c r="F90" s="2164" t="s">
        <v>91</v>
      </c>
      <c r="G90" s="1911">
        <v>9</v>
      </c>
      <c r="H90" s="1911">
        <v>0</v>
      </c>
      <c r="I90" s="2314">
        <v>4.68</v>
      </c>
      <c r="J90" s="2314">
        <v>0</v>
      </c>
      <c r="K90" s="1903"/>
      <c r="L90" s="2232" t="s">
        <v>5995</v>
      </c>
      <c r="M90" s="1312">
        <v>52000</v>
      </c>
      <c r="N90" s="3249">
        <f t="shared" si="7"/>
        <v>0.52</v>
      </c>
      <c r="O90" s="1312">
        <v>18</v>
      </c>
      <c r="P90" s="3250">
        <f t="shared" si="8"/>
        <v>9.36</v>
      </c>
      <c r="Q90" s="3189" t="s">
        <v>5999</v>
      </c>
      <c r="R90" s="1547">
        <f>'Ab1. RMNCH+A'!Q250</f>
        <v>0</v>
      </c>
      <c r="S90" s="2295">
        <f>'Ab1. RMNCH+A'!R250</f>
        <v>0</v>
      </c>
    </row>
    <row r="91" spans="1:19">
      <c r="A91" s="2133">
        <v>10</v>
      </c>
      <c r="B91" s="2199" t="s">
        <v>904</v>
      </c>
      <c r="C91" s="1309" t="s">
        <v>908</v>
      </c>
      <c r="D91" s="1309" t="s">
        <v>909</v>
      </c>
      <c r="E91" s="2291" t="s">
        <v>90</v>
      </c>
      <c r="F91" s="2164" t="s">
        <v>91</v>
      </c>
      <c r="G91" s="1911">
        <v>0</v>
      </c>
      <c r="H91" s="1911">
        <v>0</v>
      </c>
      <c r="I91" s="2314">
        <v>0</v>
      </c>
      <c r="J91" s="2314">
        <v>0</v>
      </c>
      <c r="K91" s="1910"/>
      <c r="L91" s="2232" t="s">
        <v>5995</v>
      </c>
      <c r="M91" s="1312">
        <v>137252</v>
      </c>
      <c r="N91" s="3249">
        <f t="shared" si="7"/>
        <v>1.37252</v>
      </c>
      <c r="O91" s="1312">
        <v>3</v>
      </c>
      <c r="P91" s="3250">
        <f t="shared" si="8"/>
        <v>4.1175600000000001</v>
      </c>
      <c r="Q91" s="1918" t="s">
        <v>6001</v>
      </c>
      <c r="R91" s="1547">
        <f>'Ab1. RMNCH+A'!Q251</f>
        <v>0</v>
      </c>
      <c r="S91" s="2295">
        <f>'Ab1. RMNCH+A'!R251</f>
        <v>0</v>
      </c>
    </row>
    <row r="92" spans="1:19">
      <c r="A92" s="2133">
        <v>11</v>
      </c>
      <c r="B92" s="2199" t="s">
        <v>907</v>
      </c>
      <c r="C92" s="1309" t="s">
        <v>911</v>
      </c>
      <c r="D92" s="1309" t="s">
        <v>912</v>
      </c>
      <c r="E92" s="2291" t="s">
        <v>90</v>
      </c>
      <c r="F92" s="2164" t="s">
        <v>91</v>
      </c>
      <c r="G92" s="2292">
        <v>18</v>
      </c>
      <c r="H92" s="2292">
        <v>1</v>
      </c>
      <c r="I92" s="2292">
        <v>7.56</v>
      </c>
      <c r="J92" s="2292">
        <v>0.08</v>
      </c>
      <c r="K92" s="2292"/>
      <c r="L92" s="2232" t="s">
        <v>5995</v>
      </c>
      <c r="M92" s="1312">
        <v>42000</v>
      </c>
      <c r="N92" s="3249">
        <f t="shared" si="7"/>
        <v>0.42</v>
      </c>
      <c r="O92" s="1312">
        <v>18</v>
      </c>
      <c r="P92" s="3250">
        <f t="shared" si="8"/>
        <v>7.56</v>
      </c>
      <c r="Q92" s="1918" t="s">
        <v>5999</v>
      </c>
      <c r="R92" s="1547">
        <f>'Ab1. RMNCH+A'!Q252</f>
        <v>0</v>
      </c>
      <c r="S92" s="2295">
        <f>'Ab1. RMNCH+A'!R252</f>
        <v>0</v>
      </c>
    </row>
    <row r="93" spans="1:19" ht="33">
      <c r="A93" s="2133">
        <v>12</v>
      </c>
      <c r="B93" s="2199" t="s">
        <v>910</v>
      </c>
      <c r="C93" s="1309" t="s">
        <v>914</v>
      </c>
      <c r="D93" s="1309" t="s">
        <v>915</v>
      </c>
      <c r="E93" s="2291" t="s">
        <v>90</v>
      </c>
      <c r="F93" s="2164" t="s">
        <v>91</v>
      </c>
      <c r="G93" s="1911">
        <v>0</v>
      </c>
      <c r="H93" s="1911">
        <v>0</v>
      </c>
      <c r="I93" s="2314">
        <v>0</v>
      </c>
      <c r="J93" s="2314">
        <v>0</v>
      </c>
      <c r="K93" s="1903"/>
      <c r="L93" s="2232" t="s">
        <v>5995</v>
      </c>
      <c r="M93" s="1312">
        <v>107812</v>
      </c>
      <c r="N93" s="3249">
        <f t="shared" si="7"/>
        <v>1.07812</v>
      </c>
      <c r="O93" s="1312">
        <v>3</v>
      </c>
      <c r="P93" s="3250">
        <f t="shared" si="8"/>
        <v>3.2343599999999997</v>
      </c>
      <c r="Q93" s="1918" t="s">
        <v>6002</v>
      </c>
      <c r="R93" s="1547">
        <f>'Ab1. RMNCH+A'!Q253</f>
        <v>0</v>
      </c>
      <c r="S93" s="2295">
        <f>'Ab1. RMNCH+A'!R253</f>
        <v>0</v>
      </c>
    </row>
    <row r="94" spans="1:19" ht="33">
      <c r="A94" s="2133">
        <v>13</v>
      </c>
      <c r="B94" s="2199" t="s">
        <v>913</v>
      </c>
      <c r="C94" s="1309" t="s">
        <v>917</v>
      </c>
      <c r="D94" s="1309" t="s">
        <v>918</v>
      </c>
      <c r="E94" s="2291" t="s">
        <v>90</v>
      </c>
      <c r="F94" s="2164" t="s">
        <v>91</v>
      </c>
      <c r="G94" s="1911"/>
      <c r="H94" s="1911"/>
      <c r="I94" s="2314"/>
      <c r="J94" s="2314"/>
      <c r="K94" s="1903"/>
      <c r="L94" s="2232"/>
      <c r="M94" s="1312"/>
      <c r="N94" s="3249">
        <f t="shared" si="7"/>
        <v>0</v>
      </c>
      <c r="O94" s="1312"/>
      <c r="P94" s="3250">
        <f t="shared" si="8"/>
        <v>0</v>
      </c>
      <c r="Q94" s="1918"/>
      <c r="R94" s="1547">
        <f>'Ab1. RMNCH+A'!Q254</f>
        <v>0</v>
      </c>
      <c r="S94" s="2295">
        <f>'Ab1. RMNCH+A'!R254</f>
        <v>0</v>
      </c>
    </row>
    <row r="95" spans="1:19" ht="33">
      <c r="A95" s="2133">
        <v>14</v>
      </c>
      <c r="B95" s="2199" t="s">
        <v>916</v>
      </c>
      <c r="C95" s="1309" t="s">
        <v>920</v>
      </c>
      <c r="D95" s="1309" t="s">
        <v>921</v>
      </c>
      <c r="E95" s="2291" t="s">
        <v>90</v>
      </c>
      <c r="F95" s="2164" t="s">
        <v>91</v>
      </c>
      <c r="G95" s="2219">
        <v>0</v>
      </c>
      <c r="H95" s="2219">
        <v>0</v>
      </c>
      <c r="I95" s="2344">
        <v>0</v>
      </c>
      <c r="J95" s="2344">
        <v>0</v>
      </c>
      <c r="K95" s="2292"/>
      <c r="L95" s="2232" t="s">
        <v>5995</v>
      </c>
      <c r="M95" s="1312">
        <v>123000</v>
      </c>
      <c r="N95" s="3249">
        <f t="shared" si="7"/>
        <v>1.23</v>
      </c>
      <c r="O95" s="1312">
        <v>9</v>
      </c>
      <c r="P95" s="3250">
        <f t="shared" si="8"/>
        <v>11.07</v>
      </c>
      <c r="Q95" s="1918" t="s">
        <v>6003</v>
      </c>
      <c r="R95" s="1547">
        <f>'Ab1. RMNCH+A'!Q255</f>
        <v>0</v>
      </c>
      <c r="S95" s="2295">
        <f>'Ab1. RMNCH+A'!R255</f>
        <v>0</v>
      </c>
    </row>
    <row r="96" spans="1:19" ht="33">
      <c r="A96" s="2133">
        <v>15</v>
      </c>
      <c r="B96" s="2199" t="s">
        <v>919</v>
      </c>
      <c r="C96" s="1309" t="s">
        <v>923</v>
      </c>
      <c r="D96" s="1309" t="s">
        <v>924</v>
      </c>
      <c r="E96" s="2291" t="s">
        <v>90</v>
      </c>
      <c r="F96" s="2164" t="s">
        <v>91</v>
      </c>
      <c r="G96" s="1911">
        <v>38</v>
      </c>
      <c r="H96" s="1911">
        <v>1</v>
      </c>
      <c r="I96" s="2314">
        <v>57</v>
      </c>
      <c r="J96" s="2314">
        <v>0.16</v>
      </c>
      <c r="K96" s="1910"/>
      <c r="L96" s="2232" t="s">
        <v>5995</v>
      </c>
      <c r="M96" s="1312">
        <v>150000</v>
      </c>
      <c r="N96" s="3249">
        <f t="shared" si="7"/>
        <v>1.5</v>
      </c>
      <c r="O96" s="1312">
        <v>76</v>
      </c>
      <c r="P96" s="3250">
        <f t="shared" si="8"/>
        <v>114</v>
      </c>
      <c r="Q96" s="1912" t="s">
        <v>5999</v>
      </c>
      <c r="R96" s="1547">
        <f>'Ab1. RMNCH+A'!Q256</f>
        <v>0</v>
      </c>
      <c r="S96" s="2295">
        <f>'Ab1. RMNCH+A'!R256</f>
        <v>0</v>
      </c>
    </row>
    <row r="97" spans="1:19">
      <c r="A97" s="2133">
        <v>16</v>
      </c>
      <c r="B97" s="2199" t="s">
        <v>922</v>
      </c>
      <c r="C97" s="1309" t="s">
        <v>926</v>
      </c>
      <c r="D97" s="1309" t="s">
        <v>927</v>
      </c>
      <c r="E97" s="2291" t="s">
        <v>90</v>
      </c>
      <c r="F97" s="2164" t="s">
        <v>91</v>
      </c>
      <c r="G97" s="2292"/>
      <c r="H97" s="2292"/>
      <c r="I97" s="2292"/>
      <c r="J97" s="2292"/>
      <c r="K97" s="2292"/>
      <c r="L97" s="2232"/>
      <c r="M97" s="1312"/>
      <c r="N97" s="3249">
        <f t="shared" si="7"/>
        <v>0</v>
      </c>
      <c r="O97" s="1312"/>
      <c r="P97" s="3250">
        <f t="shared" si="8"/>
        <v>0</v>
      </c>
      <c r="Q97" s="1912"/>
      <c r="R97" s="1547">
        <f>'Ab1. RMNCH+A'!Q257</f>
        <v>0</v>
      </c>
      <c r="S97" s="2295">
        <f>'Ab1. RMNCH+A'!R257</f>
        <v>0</v>
      </c>
    </row>
    <row r="98" spans="1:19" ht="33">
      <c r="A98" s="2133">
        <v>17</v>
      </c>
      <c r="B98" s="2199" t="s">
        <v>925</v>
      </c>
      <c r="C98" s="1309" t="s">
        <v>929</v>
      </c>
      <c r="D98" s="1309" t="s">
        <v>930</v>
      </c>
      <c r="E98" s="2291" t="s">
        <v>90</v>
      </c>
      <c r="F98" s="2164" t="s">
        <v>91</v>
      </c>
      <c r="G98" s="2292"/>
      <c r="H98" s="2292"/>
      <c r="I98" s="2292"/>
      <c r="J98" s="2292"/>
      <c r="K98" s="2292"/>
      <c r="L98" s="2232"/>
      <c r="M98" s="1312"/>
      <c r="N98" s="3249">
        <f t="shared" si="7"/>
        <v>0</v>
      </c>
      <c r="O98" s="1312"/>
      <c r="P98" s="3250">
        <f t="shared" si="8"/>
        <v>0</v>
      </c>
      <c r="Q98" s="1912"/>
      <c r="R98" s="1547">
        <f>'Ab1. RMNCH+A'!Q258</f>
        <v>0</v>
      </c>
      <c r="S98" s="2295">
        <f>'Ab1. RMNCH+A'!R258</f>
        <v>0</v>
      </c>
    </row>
    <row r="99" spans="1:19" ht="33">
      <c r="A99" s="2133">
        <v>18</v>
      </c>
      <c r="B99" s="2199" t="s">
        <v>928</v>
      </c>
      <c r="C99" s="1309" t="s">
        <v>932</v>
      </c>
      <c r="D99" s="1309" t="s">
        <v>933</v>
      </c>
      <c r="E99" s="2291" t="s">
        <v>90</v>
      </c>
      <c r="F99" s="2164" t="s">
        <v>91</v>
      </c>
      <c r="G99" s="2292"/>
      <c r="H99" s="2292"/>
      <c r="I99" s="2292"/>
      <c r="J99" s="2292"/>
      <c r="K99" s="2292"/>
      <c r="L99" s="2232"/>
      <c r="M99" s="1312"/>
      <c r="N99" s="3249">
        <f t="shared" si="7"/>
        <v>0</v>
      </c>
      <c r="O99" s="1312"/>
      <c r="P99" s="3250">
        <f t="shared" si="8"/>
        <v>0</v>
      </c>
      <c r="Q99" s="1912"/>
      <c r="R99" s="1547">
        <f>'Ab1. RMNCH+A'!Q259</f>
        <v>0</v>
      </c>
      <c r="S99" s="2295">
        <f>'Ab1. RMNCH+A'!R259</f>
        <v>0</v>
      </c>
    </row>
    <row r="100" spans="1:19" ht="33">
      <c r="A100" s="2133">
        <v>19</v>
      </c>
      <c r="B100" s="2199" t="s">
        <v>931</v>
      </c>
      <c r="C100" s="1309" t="s">
        <v>935</v>
      </c>
      <c r="D100" s="1309" t="s">
        <v>936</v>
      </c>
      <c r="E100" s="2291" t="s">
        <v>90</v>
      </c>
      <c r="F100" s="2164" t="s">
        <v>91</v>
      </c>
      <c r="G100" s="2292"/>
      <c r="H100" s="2292"/>
      <c r="I100" s="2292"/>
      <c r="J100" s="2292"/>
      <c r="K100" s="2292"/>
      <c r="L100" s="2232"/>
      <c r="M100" s="1312"/>
      <c r="N100" s="3249">
        <f t="shared" si="7"/>
        <v>0</v>
      </c>
      <c r="O100" s="1312"/>
      <c r="P100" s="3250">
        <f t="shared" si="8"/>
        <v>0</v>
      </c>
      <c r="Q100" s="1912"/>
      <c r="R100" s="1547">
        <f>'Ab1. RMNCH+A'!Q260</f>
        <v>0</v>
      </c>
      <c r="S100" s="2295">
        <f>'Ab1. RMNCH+A'!R260</f>
        <v>0</v>
      </c>
    </row>
    <row r="101" spans="1:19">
      <c r="A101" s="2133">
        <v>20</v>
      </c>
      <c r="B101" s="2199" t="s">
        <v>934</v>
      </c>
      <c r="C101" s="1309" t="s">
        <v>938</v>
      </c>
      <c r="D101" s="1309" t="s">
        <v>939</v>
      </c>
      <c r="E101" s="2291" t="s">
        <v>90</v>
      </c>
      <c r="F101" s="2164" t="s">
        <v>91</v>
      </c>
      <c r="G101" s="2292"/>
      <c r="H101" s="2292"/>
      <c r="I101" s="2292"/>
      <c r="J101" s="2292"/>
      <c r="K101" s="2292"/>
      <c r="L101" s="2232"/>
      <c r="M101" s="1312"/>
      <c r="N101" s="3249">
        <f t="shared" si="7"/>
        <v>0</v>
      </c>
      <c r="O101" s="1312"/>
      <c r="P101" s="3250">
        <f t="shared" si="8"/>
        <v>0</v>
      </c>
      <c r="Q101" s="1912"/>
      <c r="R101" s="1547">
        <f>'Ab1. RMNCH+A'!Q261</f>
        <v>0</v>
      </c>
      <c r="S101" s="2295">
        <f>'Ab1. RMNCH+A'!R261</f>
        <v>0</v>
      </c>
    </row>
    <row r="102" spans="1:19">
      <c r="A102" s="2133">
        <v>21</v>
      </c>
      <c r="B102" s="2199" t="s">
        <v>937</v>
      </c>
      <c r="C102" s="1309" t="s">
        <v>941</v>
      </c>
      <c r="D102" s="1309" t="s">
        <v>942</v>
      </c>
      <c r="E102" s="2291" t="s">
        <v>90</v>
      </c>
      <c r="F102" s="2164" t="s">
        <v>91</v>
      </c>
      <c r="G102" s="1911">
        <v>25</v>
      </c>
      <c r="H102" s="1911">
        <v>0</v>
      </c>
      <c r="I102" s="2314">
        <v>13.94</v>
      </c>
      <c r="J102" s="2314">
        <v>3</v>
      </c>
      <c r="K102" s="1910"/>
      <c r="L102" s="2232" t="s">
        <v>5995</v>
      </c>
      <c r="M102" s="1312">
        <v>56000</v>
      </c>
      <c r="N102" s="3249">
        <f t="shared" si="7"/>
        <v>0.56000000000000005</v>
      </c>
      <c r="O102" s="1312">
        <v>25</v>
      </c>
      <c r="P102" s="3250">
        <f t="shared" si="8"/>
        <v>14.000000000000002</v>
      </c>
      <c r="Q102" s="1912" t="s">
        <v>6004</v>
      </c>
      <c r="R102" s="1547">
        <f>'Ab1. RMNCH+A'!Q262</f>
        <v>0</v>
      </c>
      <c r="S102" s="2295">
        <f>'Ab1. RMNCH+A'!R262</f>
        <v>0</v>
      </c>
    </row>
    <row r="103" spans="1:19">
      <c r="A103" s="2133">
        <v>22</v>
      </c>
      <c r="B103" s="2199" t="s">
        <v>940</v>
      </c>
      <c r="C103" s="1309" t="s">
        <v>944</v>
      </c>
      <c r="D103" s="1309" t="s">
        <v>4106</v>
      </c>
      <c r="E103" s="2291" t="s">
        <v>90</v>
      </c>
      <c r="F103" s="2164" t="s">
        <v>91</v>
      </c>
      <c r="G103" s="1911"/>
      <c r="H103" s="1911"/>
      <c r="I103" s="2314"/>
      <c r="J103" s="2314"/>
      <c r="K103" s="1903"/>
      <c r="L103" s="2232"/>
      <c r="M103" s="1312"/>
      <c r="N103" s="3249">
        <f t="shared" si="7"/>
        <v>0</v>
      </c>
      <c r="O103" s="1312"/>
      <c r="P103" s="3250">
        <f t="shared" si="8"/>
        <v>0</v>
      </c>
      <c r="Q103" s="1912"/>
      <c r="R103" s="1547">
        <f>'Ab1. RMNCH+A'!Q263</f>
        <v>0</v>
      </c>
      <c r="S103" s="2295">
        <f>'Ab1. RMNCH+A'!R263</f>
        <v>0</v>
      </c>
    </row>
    <row r="104" spans="1:19" ht="33">
      <c r="A104" s="2133">
        <v>23</v>
      </c>
      <c r="B104" s="2199" t="s">
        <v>943</v>
      </c>
      <c r="C104" s="1309" t="s">
        <v>946</v>
      </c>
      <c r="D104" s="1309" t="s">
        <v>4107</v>
      </c>
      <c r="E104" s="2291" t="s">
        <v>90</v>
      </c>
      <c r="F104" s="2164" t="s">
        <v>91</v>
      </c>
      <c r="G104" s="1911"/>
      <c r="H104" s="1911"/>
      <c r="I104" s="2314"/>
      <c r="J104" s="2314"/>
      <c r="K104" s="1903"/>
      <c r="L104" s="2232"/>
      <c r="M104" s="1312"/>
      <c r="N104" s="3249">
        <f t="shared" si="7"/>
        <v>0</v>
      </c>
      <c r="O104" s="1312"/>
      <c r="P104" s="3250">
        <f t="shared" si="8"/>
        <v>0</v>
      </c>
      <c r="Q104" s="1912"/>
      <c r="R104" s="1547">
        <f>'Ab1. RMNCH+A'!Q264</f>
        <v>0</v>
      </c>
      <c r="S104" s="2295">
        <f>'Ab1. RMNCH+A'!R264</f>
        <v>0</v>
      </c>
    </row>
    <row r="105" spans="1:19" ht="33">
      <c r="A105" s="2133">
        <v>24</v>
      </c>
      <c r="B105" s="2199" t="s">
        <v>945</v>
      </c>
      <c r="C105" s="1309" t="s">
        <v>948</v>
      </c>
      <c r="D105" s="1309" t="s">
        <v>4108</v>
      </c>
      <c r="E105" s="2291" t="s">
        <v>90</v>
      </c>
      <c r="F105" s="2164" t="s">
        <v>91</v>
      </c>
      <c r="G105" s="2219"/>
      <c r="H105" s="2219"/>
      <c r="I105" s="2344"/>
      <c r="J105" s="2344"/>
      <c r="K105" s="2292"/>
      <c r="L105" s="2232"/>
      <c r="M105" s="1312">
        <v>175000</v>
      </c>
      <c r="N105" s="3249">
        <f t="shared" si="7"/>
        <v>1.75</v>
      </c>
      <c r="O105" s="1312">
        <v>38</v>
      </c>
      <c r="P105" s="3250">
        <f t="shared" si="8"/>
        <v>66.5</v>
      </c>
      <c r="Q105" s="1912" t="s">
        <v>6005</v>
      </c>
      <c r="R105" s="1547">
        <f>'Ab1. RMNCH+A'!Q265</f>
        <v>0</v>
      </c>
      <c r="S105" s="2295">
        <f>'Ab1. RMNCH+A'!R265</f>
        <v>0</v>
      </c>
    </row>
    <row r="106" spans="1:19" ht="33">
      <c r="A106" s="2133">
        <v>25</v>
      </c>
      <c r="B106" s="2199" t="s">
        <v>947</v>
      </c>
      <c r="C106" s="1309" t="s">
        <v>950</v>
      </c>
      <c r="D106" s="1309" t="s">
        <v>4109</v>
      </c>
      <c r="E106" s="2291" t="s">
        <v>90</v>
      </c>
      <c r="F106" s="2164" t="s">
        <v>91</v>
      </c>
      <c r="G106" s="1911">
        <v>38</v>
      </c>
      <c r="H106" s="1911">
        <v>0</v>
      </c>
      <c r="I106" s="2314">
        <v>12.35</v>
      </c>
      <c r="J106" s="2314">
        <v>0</v>
      </c>
      <c r="K106" s="1903"/>
      <c r="L106" s="2232" t="s">
        <v>5995</v>
      </c>
      <c r="M106" s="1312">
        <v>32500</v>
      </c>
      <c r="N106" s="3249">
        <f t="shared" si="7"/>
        <v>0.32500000000000001</v>
      </c>
      <c r="O106" s="1312">
        <v>114</v>
      </c>
      <c r="P106" s="3250">
        <f t="shared" si="8"/>
        <v>37.050000000000004</v>
      </c>
      <c r="Q106" s="1918" t="s">
        <v>6006</v>
      </c>
      <c r="R106" s="1547">
        <f>'Ab1. RMNCH+A'!Q266</f>
        <v>0</v>
      </c>
      <c r="S106" s="2295">
        <f>'Ab1. RMNCH+A'!R266</f>
        <v>0</v>
      </c>
    </row>
    <row r="107" spans="1:19">
      <c r="A107" s="2133">
        <v>26</v>
      </c>
      <c r="B107" s="2199" t="s">
        <v>949</v>
      </c>
      <c r="C107" s="1309" t="s">
        <v>952</v>
      </c>
      <c r="D107" s="1309" t="s">
        <v>953</v>
      </c>
      <c r="E107" s="2291" t="s">
        <v>90</v>
      </c>
      <c r="F107" s="2164" t="s">
        <v>91</v>
      </c>
      <c r="G107" s="2219">
        <v>0</v>
      </c>
      <c r="H107" s="2219">
        <v>0</v>
      </c>
      <c r="I107" s="2344">
        <v>0</v>
      </c>
      <c r="J107" s="2344">
        <v>0</v>
      </c>
      <c r="K107" s="2292"/>
      <c r="L107" s="2232" t="s">
        <v>5995</v>
      </c>
      <c r="M107" s="1312">
        <v>32500</v>
      </c>
      <c r="N107" s="3249">
        <f t="shared" si="7"/>
        <v>0.32500000000000001</v>
      </c>
      <c r="O107" s="1312">
        <v>114</v>
      </c>
      <c r="P107" s="3250">
        <f t="shared" si="8"/>
        <v>37.050000000000004</v>
      </c>
      <c r="Q107" s="1918" t="s">
        <v>6007</v>
      </c>
      <c r="R107" s="1547">
        <f>'Ab1. RMNCH+A'!Q267</f>
        <v>0</v>
      </c>
      <c r="S107" s="2295">
        <f>'Ab1. RMNCH+A'!R267</f>
        <v>0</v>
      </c>
    </row>
    <row r="108" spans="1:19">
      <c r="A108" s="2133">
        <v>27</v>
      </c>
      <c r="B108" s="2199" t="s">
        <v>951</v>
      </c>
      <c r="C108" s="1319"/>
      <c r="D108" s="1309" t="s">
        <v>2487</v>
      </c>
      <c r="E108" s="2291" t="s">
        <v>90</v>
      </c>
      <c r="F108" s="2164" t="s">
        <v>91</v>
      </c>
      <c r="G108" s="1911">
        <v>0</v>
      </c>
      <c r="H108" s="1911">
        <v>0</v>
      </c>
      <c r="I108" s="2314">
        <v>0</v>
      </c>
      <c r="J108" s="2314">
        <v>0</v>
      </c>
      <c r="K108" s="1910"/>
      <c r="L108" s="2232" t="s">
        <v>5995</v>
      </c>
      <c r="M108" s="1312">
        <v>135000</v>
      </c>
      <c r="N108" s="3249">
        <f t="shared" si="7"/>
        <v>1.35</v>
      </c>
      <c r="O108" s="1312">
        <v>38</v>
      </c>
      <c r="P108" s="3250">
        <f t="shared" si="8"/>
        <v>51.300000000000004</v>
      </c>
      <c r="Q108" s="1918" t="s">
        <v>6008</v>
      </c>
      <c r="R108" s="1547">
        <f>'Ab1. RMNCH+A'!Q268</f>
        <v>0</v>
      </c>
      <c r="S108" s="2295">
        <f>'Ab1. RMNCH+A'!R268</f>
        <v>0</v>
      </c>
    </row>
    <row r="109" spans="1:19">
      <c r="A109" s="2133">
        <v>28</v>
      </c>
      <c r="B109" s="2199" t="s">
        <v>2574</v>
      </c>
      <c r="C109" s="1319"/>
      <c r="D109" s="1309" t="s">
        <v>2575</v>
      </c>
      <c r="E109" s="2291" t="s">
        <v>90</v>
      </c>
      <c r="F109" s="2164" t="s">
        <v>91</v>
      </c>
      <c r="G109" s="1911">
        <v>0</v>
      </c>
      <c r="H109" s="1911">
        <v>0</v>
      </c>
      <c r="I109" s="2314">
        <v>0</v>
      </c>
      <c r="J109" s="2314">
        <v>0</v>
      </c>
      <c r="K109" s="1903"/>
      <c r="L109" s="2232" t="s">
        <v>5995</v>
      </c>
      <c r="M109" s="1312">
        <v>125000</v>
      </c>
      <c r="N109" s="3249">
        <f t="shared" si="7"/>
        <v>1.25</v>
      </c>
      <c r="O109" s="1312">
        <v>38</v>
      </c>
      <c r="P109" s="3250">
        <f t="shared" si="8"/>
        <v>47.5</v>
      </c>
      <c r="Q109" s="1918" t="s">
        <v>6009</v>
      </c>
      <c r="R109" s="1547">
        <f>'Ab1. RMNCH+A'!Q269</f>
        <v>0</v>
      </c>
      <c r="S109" s="2295">
        <f>'Ab1. RMNCH+A'!R269</f>
        <v>0</v>
      </c>
    </row>
    <row r="110" spans="1:19" s="2187" customFormat="1">
      <c r="A110" s="2283" t="s">
        <v>4355</v>
      </c>
      <c r="B110" s="1519" t="s">
        <v>954</v>
      </c>
      <c r="C110" s="1769"/>
      <c r="D110" s="1770" t="s">
        <v>955</v>
      </c>
      <c r="E110" s="1520"/>
      <c r="F110" s="1520"/>
      <c r="G110" s="1722"/>
      <c r="H110" s="1722"/>
      <c r="I110" s="1722"/>
      <c r="J110" s="1722"/>
      <c r="K110" s="1722"/>
      <c r="L110" s="1526"/>
      <c r="M110" s="1722"/>
      <c r="N110" s="2324"/>
      <c r="O110" s="2325"/>
      <c r="P110" s="2326">
        <f>SUM(P111:P123)+P127</f>
        <v>656.77887999999996</v>
      </c>
      <c r="Q110" s="1771"/>
      <c r="R110" s="1682"/>
      <c r="S110" s="2327">
        <f>SUM(S111:S123)+S127</f>
        <v>0</v>
      </c>
    </row>
    <row r="111" spans="1:19" s="2187" customFormat="1" ht="247.5">
      <c r="A111" s="2133">
        <v>1</v>
      </c>
      <c r="B111" s="2199" t="s">
        <v>956</v>
      </c>
      <c r="C111" s="1309" t="s">
        <v>957</v>
      </c>
      <c r="D111" s="1855" t="s">
        <v>958</v>
      </c>
      <c r="E111" s="2291" t="s">
        <v>90</v>
      </c>
      <c r="F111" s="2164" t="s">
        <v>193</v>
      </c>
      <c r="G111" s="2349"/>
      <c r="H111" s="2349"/>
      <c r="I111" s="2314"/>
      <c r="J111" s="2314"/>
      <c r="K111" s="2349"/>
      <c r="L111" s="2232" t="s">
        <v>5834</v>
      </c>
      <c r="M111" s="1557">
        <v>13505</v>
      </c>
      <c r="N111" s="1857">
        <f t="shared" ref="N111:N122" si="9">M111/100000</f>
        <v>0.13505</v>
      </c>
      <c r="O111" s="1317">
        <v>80</v>
      </c>
      <c r="P111" s="2293">
        <f t="shared" ref="P111:P122" si="10">N111*O111</f>
        <v>10.804</v>
      </c>
      <c r="Q111" s="2350" t="s">
        <v>5849</v>
      </c>
      <c r="R111" s="1547">
        <f>'Ab1. RMNCH+A'!Q314</f>
        <v>0</v>
      </c>
      <c r="S111" s="2295">
        <f>'Ab1. RMNCH+A'!R314</f>
        <v>0</v>
      </c>
    </row>
    <row r="112" spans="1:19" s="2135" customFormat="1" ht="33">
      <c r="A112" s="2135">
        <v>2</v>
      </c>
      <c r="B112" s="2163" t="s">
        <v>959</v>
      </c>
      <c r="C112" s="1319" t="s">
        <v>960</v>
      </c>
      <c r="D112" s="1319" t="s">
        <v>961</v>
      </c>
      <c r="E112" s="2291" t="s">
        <v>90</v>
      </c>
      <c r="F112" s="2306" t="s">
        <v>193</v>
      </c>
      <c r="G112" s="1766"/>
      <c r="H112" s="1767"/>
      <c r="I112" s="2351"/>
      <c r="J112" s="2351"/>
      <c r="K112" s="1766"/>
      <c r="L112" s="2278"/>
      <c r="M112" s="1557"/>
      <c r="N112" s="1857">
        <f t="shared" si="9"/>
        <v>0</v>
      </c>
      <c r="O112" s="1317"/>
      <c r="P112" s="2293">
        <f t="shared" si="10"/>
        <v>0</v>
      </c>
      <c r="Q112" s="2352"/>
      <c r="R112" s="1547">
        <f>'Ab1. RMNCH+A'!Q315</f>
        <v>0</v>
      </c>
      <c r="S112" s="2295">
        <f>'Ab1. RMNCH+A'!R315</f>
        <v>0</v>
      </c>
    </row>
    <row r="113" spans="1:19" ht="231">
      <c r="A113" s="2133">
        <v>3</v>
      </c>
      <c r="B113" s="2199" t="s">
        <v>962</v>
      </c>
      <c r="C113" s="1309" t="s">
        <v>963</v>
      </c>
      <c r="D113" s="1309" t="s">
        <v>964</v>
      </c>
      <c r="E113" s="2291" t="s">
        <v>90</v>
      </c>
      <c r="F113" s="2164" t="s">
        <v>193</v>
      </c>
      <c r="G113" s="1903"/>
      <c r="H113" s="1911"/>
      <c r="I113" s="2314"/>
      <c r="J113" s="2314"/>
      <c r="K113" s="1903"/>
      <c r="L113" s="2232" t="s">
        <v>5845</v>
      </c>
      <c r="M113" s="1557">
        <v>243260</v>
      </c>
      <c r="N113" s="1857">
        <f t="shared" si="9"/>
        <v>2.4325999999999999</v>
      </c>
      <c r="O113" s="1317">
        <v>1</v>
      </c>
      <c r="P113" s="2293">
        <f t="shared" si="10"/>
        <v>2.4325999999999999</v>
      </c>
      <c r="Q113" s="2350" t="s">
        <v>5850</v>
      </c>
      <c r="R113" s="1547">
        <f>'Ab1. RMNCH+A'!Q316</f>
        <v>0</v>
      </c>
      <c r="S113" s="2295">
        <f>'Ab1. RMNCH+A'!R316</f>
        <v>0</v>
      </c>
    </row>
    <row r="114" spans="1:19" ht="231">
      <c r="A114" s="2133">
        <v>4</v>
      </c>
      <c r="B114" s="2199" t="s">
        <v>965</v>
      </c>
      <c r="C114" s="1309" t="s">
        <v>966</v>
      </c>
      <c r="D114" s="1309" t="s">
        <v>2494</v>
      </c>
      <c r="E114" s="2291" t="s">
        <v>90</v>
      </c>
      <c r="F114" s="2164" t="s">
        <v>193</v>
      </c>
      <c r="G114" s="1903"/>
      <c r="H114" s="2353"/>
      <c r="I114" s="2314"/>
      <c r="J114" s="2314"/>
      <c r="K114" s="1906"/>
      <c r="L114" s="2232" t="s">
        <v>5846</v>
      </c>
      <c r="M114" s="1557">
        <v>211260</v>
      </c>
      <c r="N114" s="1857">
        <f t="shared" si="9"/>
        <v>2.1126</v>
      </c>
      <c r="O114" s="1317">
        <v>2</v>
      </c>
      <c r="P114" s="2293">
        <f t="shared" si="10"/>
        <v>4.2252000000000001</v>
      </c>
      <c r="Q114" s="2092" t="s">
        <v>5851</v>
      </c>
      <c r="R114" s="1547">
        <f>'Ab1. RMNCH+A'!Q317</f>
        <v>0</v>
      </c>
      <c r="S114" s="2295">
        <f>'Ab1. RMNCH+A'!R317</f>
        <v>0</v>
      </c>
    </row>
    <row r="115" spans="1:19">
      <c r="A115" s="2133">
        <v>5</v>
      </c>
      <c r="B115" s="2199" t="s">
        <v>2576</v>
      </c>
      <c r="C115" s="1309" t="s">
        <v>968</v>
      </c>
      <c r="D115" s="1309" t="s">
        <v>969</v>
      </c>
      <c r="E115" s="2291" t="s">
        <v>90</v>
      </c>
      <c r="F115" s="2164" t="s">
        <v>193</v>
      </c>
      <c r="G115" s="2292"/>
      <c r="H115" s="2292"/>
      <c r="I115" s="2292"/>
      <c r="J115" s="2292"/>
      <c r="K115" s="2292"/>
      <c r="L115" s="2219"/>
      <c r="M115" s="1317"/>
      <c r="N115" s="1857">
        <f t="shared" si="9"/>
        <v>0</v>
      </c>
      <c r="O115" s="1317"/>
      <c r="P115" s="2293">
        <f t="shared" si="10"/>
        <v>0</v>
      </c>
      <c r="Q115" s="2294"/>
      <c r="R115" s="1547">
        <f>'Ab1. RMNCH+A'!Q318</f>
        <v>0</v>
      </c>
      <c r="S115" s="2295">
        <f>'Ab1. RMNCH+A'!R318</f>
        <v>0</v>
      </c>
    </row>
    <row r="116" spans="1:19">
      <c r="A116" s="2133">
        <v>6</v>
      </c>
      <c r="B116" s="2199" t="s">
        <v>967</v>
      </c>
      <c r="C116" s="1309" t="s">
        <v>971</v>
      </c>
      <c r="D116" s="1309" t="s">
        <v>972</v>
      </c>
      <c r="E116" s="2291" t="s">
        <v>90</v>
      </c>
      <c r="F116" s="2164" t="s">
        <v>193</v>
      </c>
      <c r="G116" s="2292"/>
      <c r="H116" s="2292"/>
      <c r="I116" s="2292"/>
      <c r="J116" s="2292"/>
      <c r="K116" s="2292"/>
      <c r="L116" s="2219"/>
      <c r="M116" s="1317"/>
      <c r="N116" s="1857">
        <f t="shared" si="9"/>
        <v>0</v>
      </c>
      <c r="O116" s="1317"/>
      <c r="P116" s="2293">
        <f t="shared" si="10"/>
        <v>0</v>
      </c>
      <c r="Q116" s="2294"/>
      <c r="R116" s="1547">
        <f>'Ab1. RMNCH+A'!Q319</f>
        <v>0</v>
      </c>
      <c r="S116" s="2295">
        <f>'Ab1. RMNCH+A'!R319</f>
        <v>0</v>
      </c>
    </row>
    <row r="117" spans="1:19">
      <c r="A117" s="2133">
        <v>7</v>
      </c>
      <c r="B117" s="2199" t="s">
        <v>970</v>
      </c>
      <c r="C117" s="1309" t="s">
        <v>974</v>
      </c>
      <c r="D117" s="1309" t="s">
        <v>975</v>
      </c>
      <c r="E117" s="2291" t="s">
        <v>90</v>
      </c>
      <c r="F117" s="2164" t="s">
        <v>193</v>
      </c>
      <c r="G117" s="2292"/>
      <c r="H117" s="2292"/>
      <c r="I117" s="2292"/>
      <c r="J117" s="2292"/>
      <c r="K117" s="2292"/>
      <c r="L117" s="2219"/>
      <c r="M117" s="1317"/>
      <c r="N117" s="1857">
        <f t="shared" si="9"/>
        <v>0</v>
      </c>
      <c r="O117" s="1317"/>
      <c r="P117" s="2293">
        <f t="shared" si="10"/>
        <v>0</v>
      </c>
      <c r="Q117" s="2294"/>
      <c r="R117" s="1547">
        <f>'Ab1. RMNCH+A'!Q320</f>
        <v>0</v>
      </c>
      <c r="S117" s="2295">
        <f>'Ab1. RMNCH+A'!R320</f>
        <v>0</v>
      </c>
    </row>
    <row r="118" spans="1:19">
      <c r="A118" s="2133">
        <v>8</v>
      </c>
      <c r="B118" s="2199" t="s">
        <v>973</v>
      </c>
      <c r="C118" s="1309" t="s">
        <v>977</v>
      </c>
      <c r="D118" s="2354" t="s">
        <v>978</v>
      </c>
      <c r="E118" s="2291" t="s">
        <v>90</v>
      </c>
      <c r="F118" s="2164" t="s">
        <v>193</v>
      </c>
      <c r="G118" s="2292"/>
      <c r="H118" s="2292"/>
      <c r="I118" s="2292"/>
      <c r="J118" s="2292"/>
      <c r="K118" s="2292"/>
      <c r="L118" s="2219"/>
      <c r="M118" s="1317"/>
      <c r="N118" s="1857">
        <f t="shared" si="9"/>
        <v>0</v>
      </c>
      <c r="O118" s="1317"/>
      <c r="P118" s="2293">
        <f t="shared" si="10"/>
        <v>0</v>
      </c>
      <c r="Q118" s="2294"/>
      <c r="R118" s="1547">
        <f>'Ab1. RMNCH+A'!Q321</f>
        <v>0</v>
      </c>
      <c r="S118" s="2295">
        <f>'Ab1. RMNCH+A'!R321</f>
        <v>0</v>
      </c>
    </row>
    <row r="119" spans="1:19">
      <c r="A119" s="2133">
        <v>9</v>
      </c>
      <c r="B119" s="2199" t="s">
        <v>976</v>
      </c>
      <c r="C119" s="1309" t="s">
        <v>980</v>
      </c>
      <c r="D119" s="1309" t="s">
        <v>981</v>
      </c>
      <c r="E119" s="2291" t="s">
        <v>90</v>
      </c>
      <c r="F119" s="2164" t="s">
        <v>193</v>
      </c>
      <c r="G119" s="1903"/>
      <c r="H119" s="1911"/>
      <c r="I119" s="2314"/>
      <c r="J119" s="2314"/>
      <c r="K119" s="1903"/>
      <c r="L119" s="1911"/>
      <c r="M119" s="1317"/>
      <c r="N119" s="1857">
        <f t="shared" si="9"/>
        <v>0</v>
      </c>
      <c r="O119" s="1317"/>
      <c r="P119" s="2293">
        <f t="shared" si="10"/>
        <v>0</v>
      </c>
      <c r="Q119" s="2355"/>
      <c r="R119" s="1547">
        <f>'Ab1. RMNCH+A'!Q322</f>
        <v>0</v>
      </c>
      <c r="S119" s="2295">
        <f>'Ab1. RMNCH+A'!R322</f>
        <v>0</v>
      </c>
    </row>
    <row r="120" spans="1:19">
      <c r="A120" s="2133">
        <v>10</v>
      </c>
      <c r="B120" s="2199" t="s">
        <v>979</v>
      </c>
      <c r="C120" s="1309" t="s">
        <v>983</v>
      </c>
      <c r="D120" s="1309" t="s">
        <v>984</v>
      </c>
      <c r="E120" s="2291" t="s">
        <v>90</v>
      </c>
      <c r="F120" s="2164" t="s">
        <v>193</v>
      </c>
      <c r="G120" s="1903"/>
      <c r="H120" s="1911"/>
      <c r="I120" s="2314"/>
      <c r="J120" s="2314"/>
      <c r="K120" s="1903"/>
      <c r="L120" s="1911"/>
      <c r="M120" s="1317"/>
      <c r="N120" s="1857">
        <f t="shared" si="9"/>
        <v>0</v>
      </c>
      <c r="O120" s="1317"/>
      <c r="P120" s="2293">
        <f t="shared" si="10"/>
        <v>0</v>
      </c>
      <c r="Q120" s="2356"/>
      <c r="R120" s="1547">
        <f>'Ab1. RMNCH+A'!Q323</f>
        <v>0</v>
      </c>
      <c r="S120" s="2295">
        <f>'Ab1. RMNCH+A'!R323</f>
        <v>0</v>
      </c>
    </row>
    <row r="121" spans="1:19">
      <c r="A121" s="2133">
        <v>11</v>
      </c>
      <c r="B121" s="2199" t="s">
        <v>982</v>
      </c>
      <c r="C121" s="1309" t="s">
        <v>986</v>
      </c>
      <c r="D121" s="1309" t="s">
        <v>987</v>
      </c>
      <c r="E121" s="2291" t="s">
        <v>90</v>
      </c>
      <c r="F121" s="2164" t="s">
        <v>193</v>
      </c>
      <c r="G121" s="2292"/>
      <c r="H121" s="2292"/>
      <c r="I121" s="2292"/>
      <c r="J121" s="2292"/>
      <c r="K121" s="2292"/>
      <c r="L121" s="2219"/>
      <c r="M121" s="1317"/>
      <c r="N121" s="1857">
        <f t="shared" si="9"/>
        <v>0</v>
      </c>
      <c r="O121" s="1317"/>
      <c r="P121" s="2293">
        <f t="shared" si="10"/>
        <v>0</v>
      </c>
      <c r="Q121" s="2294"/>
      <c r="R121" s="1547">
        <f>'Ab1. RMNCH+A'!Q324</f>
        <v>0</v>
      </c>
      <c r="S121" s="2295">
        <f>'Ab1. RMNCH+A'!R324</f>
        <v>0</v>
      </c>
    </row>
    <row r="122" spans="1:19">
      <c r="A122" s="2133">
        <v>12</v>
      </c>
      <c r="B122" s="2199" t="s">
        <v>985</v>
      </c>
      <c r="C122" s="1309" t="s">
        <v>989</v>
      </c>
      <c r="D122" s="1309" t="s">
        <v>990</v>
      </c>
      <c r="E122" s="2291" t="s">
        <v>90</v>
      </c>
      <c r="F122" s="2164" t="s">
        <v>193</v>
      </c>
      <c r="G122" s="2292"/>
      <c r="H122" s="2292"/>
      <c r="I122" s="2292"/>
      <c r="J122" s="2292"/>
      <c r="K122" s="2292"/>
      <c r="L122" s="2219"/>
      <c r="M122" s="1317"/>
      <c r="N122" s="1857">
        <f t="shared" si="9"/>
        <v>0</v>
      </c>
      <c r="O122" s="1317"/>
      <c r="P122" s="2293">
        <f t="shared" si="10"/>
        <v>0</v>
      </c>
      <c r="Q122" s="2294"/>
      <c r="R122" s="1547">
        <f>'Ab1. RMNCH+A'!Q325</f>
        <v>0</v>
      </c>
      <c r="S122" s="2295">
        <f>'Ab1. RMNCH+A'!R325</f>
        <v>0</v>
      </c>
    </row>
    <row r="123" spans="1:19">
      <c r="A123" s="2133">
        <v>13</v>
      </c>
      <c r="B123" s="2299" t="s">
        <v>988</v>
      </c>
      <c r="C123" s="2299" t="s">
        <v>1007</v>
      </c>
      <c r="D123" s="2299" t="s">
        <v>4142</v>
      </c>
      <c r="E123" s="2291"/>
      <c r="F123" s="2357"/>
      <c r="G123" s="2358"/>
      <c r="H123" s="2358"/>
      <c r="I123" s="2358"/>
      <c r="J123" s="2358"/>
      <c r="K123" s="2358"/>
      <c r="L123" s="3242"/>
      <c r="M123" s="2358"/>
      <c r="N123" s="2359"/>
      <c r="O123" s="2360"/>
      <c r="P123" s="2359">
        <f>SUM(P124:P126)</f>
        <v>639.31707999999992</v>
      </c>
      <c r="Q123" s="2361"/>
      <c r="R123" s="1539"/>
      <c r="S123" s="2362">
        <f>SUM(S124:S126)</f>
        <v>0</v>
      </c>
    </row>
    <row r="124" spans="1:19" ht="99">
      <c r="A124" s="2133" t="s">
        <v>4931</v>
      </c>
      <c r="B124" s="2199" t="s">
        <v>4324</v>
      </c>
      <c r="C124" s="1309" t="s">
        <v>1008</v>
      </c>
      <c r="D124" s="3561" t="s">
        <v>3341</v>
      </c>
      <c r="E124" s="2291" t="s">
        <v>90</v>
      </c>
      <c r="F124" s="1523" t="s">
        <v>193</v>
      </c>
      <c r="G124" s="2292"/>
      <c r="H124" s="2292"/>
      <c r="I124" s="2292"/>
      <c r="J124" s="2292"/>
      <c r="K124" s="2292"/>
      <c r="L124" s="2232" t="s">
        <v>5847</v>
      </c>
      <c r="M124" s="1312">
        <v>42617</v>
      </c>
      <c r="N124" s="1857">
        <f>M124/100000</f>
        <v>0.42616999999999999</v>
      </c>
      <c r="O124" s="1317">
        <v>224</v>
      </c>
      <c r="P124" s="2293">
        <f>N124*O124</f>
        <v>95.46208</v>
      </c>
      <c r="Q124" s="1912" t="s">
        <v>6441</v>
      </c>
      <c r="R124" s="1547">
        <f>'Ab1. RMNCH+A'!Q326</f>
        <v>0</v>
      </c>
      <c r="S124" s="2295">
        <f>'Ab1. RMNCH+A'!R326</f>
        <v>0</v>
      </c>
    </row>
    <row r="125" spans="1:19" ht="49.5">
      <c r="A125" s="2133" t="s">
        <v>4932</v>
      </c>
      <c r="B125" s="2199" t="s">
        <v>4325</v>
      </c>
      <c r="C125" s="1309" t="s">
        <v>1009</v>
      </c>
      <c r="D125" s="1309" t="s">
        <v>1010</v>
      </c>
      <c r="E125" s="2291" t="s">
        <v>90</v>
      </c>
      <c r="F125" s="1523" t="s">
        <v>193</v>
      </c>
      <c r="G125" s="1903"/>
      <c r="H125" s="1911"/>
      <c r="I125" s="2314"/>
      <c r="J125" s="2314"/>
      <c r="K125" s="1903"/>
      <c r="L125" s="2232" t="s">
        <v>5847</v>
      </c>
      <c r="M125" s="1312">
        <v>78250</v>
      </c>
      <c r="N125" s="1857">
        <f>M125/100000</f>
        <v>0.78249999999999997</v>
      </c>
      <c r="O125" s="1317">
        <v>534</v>
      </c>
      <c r="P125" s="2293">
        <f>N125*O125</f>
        <v>417.85499999999996</v>
      </c>
      <c r="Q125" s="1912" t="s">
        <v>6442</v>
      </c>
      <c r="R125" s="1547">
        <f>'Ab1. RMNCH+A'!Q327</f>
        <v>0</v>
      </c>
      <c r="S125" s="2295">
        <f>'Ab1. RMNCH+A'!R327</f>
        <v>0</v>
      </c>
    </row>
    <row r="126" spans="1:19" s="3778" customFormat="1" ht="33">
      <c r="A126" s="3778" t="s">
        <v>4815</v>
      </c>
      <c r="B126" s="3779" t="s">
        <v>4326</v>
      </c>
      <c r="C126" s="3780"/>
      <c r="D126" s="3780" t="s">
        <v>1310</v>
      </c>
      <c r="E126" s="3747" t="s">
        <v>90</v>
      </c>
      <c r="F126" s="3915" t="s">
        <v>193</v>
      </c>
      <c r="G126" s="3894"/>
      <c r="H126" s="3894"/>
      <c r="I126" s="3894"/>
      <c r="J126" s="3894"/>
      <c r="K126" s="3894"/>
      <c r="L126" s="2395" t="s">
        <v>5848</v>
      </c>
      <c r="M126" s="3788">
        <v>1400000</v>
      </c>
      <c r="N126" s="3738">
        <f>M126/100000</f>
        <v>14</v>
      </c>
      <c r="O126" s="3739">
        <v>9</v>
      </c>
      <c r="P126" s="3797">
        <f>N126*O126</f>
        <v>126</v>
      </c>
      <c r="Q126" s="3839" t="s">
        <v>6847</v>
      </c>
      <c r="R126" s="3792">
        <f>'Ab1. RMNCH+A'!Q328</f>
        <v>0</v>
      </c>
      <c r="S126" s="3793">
        <f>'Ab1. RMNCH+A'!R328</f>
        <v>0</v>
      </c>
    </row>
    <row r="127" spans="1:19" ht="33">
      <c r="A127" s="2133">
        <v>15</v>
      </c>
      <c r="B127" s="2199" t="s">
        <v>2851</v>
      </c>
      <c r="C127" s="1309" t="s">
        <v>991</v>
      </c>
      <c r="D127" s="1309" t="s">
        <v>2577</v>
      </c>
      <c r="E127" s="2291" t="s">
        <v>90</v>
      </c>
      <c r="F127" s="2164" t="s">
        <v>193</v>
      </c>
      <c r="G127" s="2292"/>
      <c r="H127" s="2292"/>
      <c r="I127" s="2292"/>
      <c r="J127" s="2292"/>
      <c r="K127" s="2292"/>
      <c r="L127" s="2219"/>
      <c r="M127" s="1317"/>
      <c r="N127" s="1857">
        <f>M127/100000</f>
        <v>0</v>
      </c>
      <c r="O127" s="1317"/>
      <c r="P127" s="2293">
        <f>N127*O127</f>
        <v>0</v>
      </c>
      <c r="Q127" s="2294"/>
      <c r="R127" s="1547">
        <f>'Ab1. RMNCH+A'!Q329</f>
        <v>0</v>
      </c>
      <c r="S127" s="2295">
        <f>'Ab1. RMNCH+A'!R329</f>
        <v>0</v>
      </c>
    </row>
    <row r="128" spans="1:19" s="2187" customFormat="1">
      <c r="A128" s="2283" t="s">
        <v>4356</v>
      </c>
      <c r="B128" s="1519" t="s">
        <v>992</v>
      </c>
      <c r="C128" s="1769"/>
      <c r="D128" s="1770" t="s">
        <v>2578</v>
      </c>
      <c r="E128" s="1520"/>
      <c r="F128" s="1520"/>
      <c r="G128" s="1722"/>
      <c r="H128" s="1722"/>
      <c r="I128" s="1722"/>
      <c r="J128" s="1722"/>
      <c r="K128" s="1722"/>
      <c r="L128" s="1526"/>
      <c r="M128" s="1722"/>
      <c r="N128" s="2324"/>
      <c r="O128" s="2325"/>
      <c r="P128" s="2326">
        <f>SUM(P129:P133)</f>
        <v>105.73471499999999</v>
      </c>
      <c r="Q128" s="1771"/>
      <c r="R128" s="1682"/>
      <c r="S128" s="2327">
        <f>SUM(S129:S133)</f>
        <v>0</v>
      </c>
    </row>
    <row r="129" spans="1:19" ht="214.5">
      <c r="A129" s="2133">
        <v>1</v>
      </c>
      <c r="B129" s="2199" t="s">
        <v>993</v>
      </c>
      <c r="C129" s="1309" t="s">
        <v>994</v>
      </c>
      <c r="D129" s="1309" t="s">
        <v>995</v>
      </c>
      <c r="E129" s="2291" t="s">
        <v>90</v>
      </c>
      <c r="F129" s="2164" t="s">
        <v>96</v>
      </c>
      <c r="G129" s="1961"/>
      <c r="H129" s="2424"/>
      <c r="I129" s="2425"/>
      <c r="J129" s="2425"/>
      <c r="K129" s="1961"/>
      <c r="L129" s="2424" t="s">
        <v>6260</v>
      </c>
      <c r="M129" s="1346">
        <v>180507.9411764706</v>
      </c>
      <c r="N129" s="1857">
        <f>M129/100000</f>
        <v>1.805079411764706</v>
      </c>
      <c r="O129" s="1346">
        <v>17</v>
      </c>
      <c r="P129" s="2293">
        <f>N129*O129</f>
        <v>30.686350000000001</v>
      </c>
      <c r="Q129" s="2426" t="s">
        <v>6262</v>
      </c>
      <c r="R129" s="1547">
        <f>'Ab1. RMNCH+A'!Q365</f>
        <v>0</v>
      </c>
      <c r="S129" s="2295">
        <f>'Ab1. RMNCH+A'!R365</f>
        <v>0</v>
      </c>
    </row>
    <row r="130" spans="1:19" ht="82.5">
      <c r="A130" s="2133">
        <v>2</v>
      </c>
      <c r="B130" s="2199" t="s">
        <v>996</v>
      </c>
      <c r="C130" s="1309" t="s">
        <v>997</v>
      </c>
      <c r="D130" s="1309" t="s">
        <v>998</v>
      </c>
      <c r="E130" s="2291" t="s">
        <v>90</v>
      </c>
      <c r="F130" s="2164" t="s">
        <v>96</v>
      </c>
      <c r="G130" s="1963">
        <v>4</v>
      </c>
      <c r="H130" s="2427">
        <v>0</v>
      </c>
      <c r="I130" s="2428">
        <v>13.78</v>
      </c>
      <c r="J130" s="2428"/>
      <c r="K130" s="1963"/>
      <c r="L130" s="2427" t="s">
        <v>6261</v>
      </c>
      <c r="M130" s="1554">
        <v>689000</v>
      </c>
      <c r="N130" s="1857">
        <f>M130/100000</f>
        <v>6.89</v>
      </c>
      <c r="O130" s="1554">
        <v>4</v>
      </c>
      <c r="P130" s="2293">
        <f>N130*O130</f>
        <v>27.56</v>
      </c>
      <c r="Q130" s="2429" t="s">
        <v>6263</v>
      </c>
      <c r="R130" s="1547">
        <f>'Ab1. RMNCH+A'!Q366</f>
        <v>0</v>
      </c>
      <c r="S130" s="2295">
        <f>'Ab1. RMNCH+A'!R366</f>
        <v>0</v>
      </c>
    </row>
    <row r="131" spans="1:19" ht="33">
      <c r="A131" s="2133">
        <v>3</v>
      </c>
      <c r="B131" s="2199" t="s">
        <v>999</v>
      </c>
      <c r="C131" s="1309" t="s">
        <v>1000</v>
      </c>
      <c r="D131" s="1309" t="s">
        <v>1001</v>
      </c>
      <c r="E131" s="2291" t="s">
        <v>90</v>
      </c>
      <c r="F131" s="2164" t="s">
        <v>96</v>
      </c>
      <c r="G131" s="1903"/>
      <c r="H131" s="1911"/>
      <c r="I131" s="2314"/>
      <c r="J131" s="2314"/>
      <c r="K131" s="1903"/>
      <c r="L131" s="1911"/>
      <c r="M131" s="1317"/>
      <c r="N131" s="1857">
        <f>M131/100000</f>
        <v>0</v>
      </c>
      <c r="O131" s="1317"/>
      <c r="P131" s="2293">
        <f>N131*O131</f>
        <v>0</v>
      </c>
      <c r="Q131" s="1940"/>
      <c r="R131" s="1547">
        <f>'Ab1. RMNCH+A'!Q367</f>
        <v>0</v>
      </c>
      <c r="S131" s="2295">
        <f>'Ab1. RMNCH+A'!R367</f>
        <v>0</v>
      </c>
    </row>
    <row r="132" spans="1:19" ht="115.5">
      <c r="A132" s="2133">
        <v>4</v>
      </c>
      <c r="B132" s="2199" t="s">
        <v>1002</v>
      </c>
      <c r="C132" s="1309" t="s">
        <v>1003</v>
      </c>
      <c r="D132" s="1309" t="s">
        <v>1004</v>
      </c>
      <c r="E132" s="2291" t="s">
        <v>90</v>
      </c>
      <c r="F132" s="2164" t="s">
        <v>96</v>
      </c>
      <c r="G132" s="2292"/>
      <c r="H132" s="2292"/>
      <c r="I132" s="2292"/>
      <c r="J132" s="2292"/>
      <c r="K132" s="2292"/>
      <c r="L132" s="2427" t="s">
        <v>6264</v>
      </c>
      <c r="M132" s="1554">
        <v>1590.9</v>
      </c>
      <c r="N132" s="1857">
        <f>M132/100000</f>
        <v>1.5909E-2</v>
      </c>
      <c r="O132" s="1554">
        <v>2985</v>
      </c>
      <c r="P132" s="2293">
        <f>N132*O132</f>
        <v>47.488365000000002</v>
      </c>
      <c r="Q132" s="2429" t="s">
        <v>6265</v>
      </c>
      <c r="R132" s="1547">
        <f>'Ab1. RMNCH+A'!Q368</f>
        <v>0</v>
      </c>
      <c r="S132" s="2295">
        <f>'Ab1. RMNCH+A'!R368</f>
        <v>0</v>
      </c>
    </row>
    <row r="133" spans="1:19">
      <c r="A133" s="2133">
        <v>5</v>
      </c>
      <c r="B133" s="2199" t="s">
        <v>2579</v>
      </c>
      <c r="C133" s="1319"/>
      <c r="D133" s="1309" t="s">
        <v>2580</v>
      </c>
      <c r="E133" s="2291" t="s">
        <v>90</v>
      </c>
      <c r="F133" s="2164" t="s">
        <v>96</v>
      </c>
      <c r="G133" s="2292"/>
      <c r="H133" s="2292"/>
      <c r="I133" s="2292"/>
      <c r="J133" s="2292"/>
      <c r="K133" s="2292"/>
      <c r="L133" s="2219"/>
      <c r="M133" s="1317"/>
      <c r="N133" s="1857">
        <f>M133/100000</f>
        <v>0</v>
      </c>
      <c r="O133" s="1317"/>
      <c r="P133" s="2293">
        <f>N133*O133</f>
        <v>0</v>
      </c>
      <c r="Q133" s="2294"/>
      <c r="R133" s="1547">
        <f>'Ab1. RMNCH+A'!Q369</f>
        <v>0</v>
      </c>
      <c r="S133" s="2295">
        <f>'Ab1. RMNCH+A'!R369</f>
        <v>0</v>
      </c>
    </row>
    <row r="134" spans="1:19">
      <c r="A134" s="2283" t="s">
        <v>4664</v>
      </c>
      <c r="B134" s="1519" t="s">
        <v>1130</v>
      </c>
      <c r="C134" s="1769"/>
      <c r="D134" s="1770" t="s">
        <v>1131</v>
      </c>
      <c r="E134" s="1520"/>
      <c r="F134" s="1520"/>
      <c r="G134" s="1722"/>
      <c r="H134" s="1722"/>
      <c r="I134" s="1722"/>
      <c r="J134" s="1722"/>
      <c r="K134" s="1722"/>
      <c r="L134" s="1526"/>
      <c r="M134" s="1722"/>
      <c r="N134" s="2324"/>
      <c r="O134" s="2325"/>
      <c r="P134" s="2326">
        <f>SUM(P135:P138)</f>
        <v>7.5</v>
      </c>
      <c r="Q134" s="1771"/>
      <c r="R134" s="1682"/>
      <c r="S134" s="1892">
        <f>SUM(S135:S138)</f>
        <v>0</v>
      </c>
    </row>
    <row r="135" spans="1:19" ht="33">
      <c r="A135" s="2133">
        <v>1</v>
      </c>
      <c r="B135" s="2347" t="s">
        <v>1132</v>
      </c>
      <c r="C135" s="1309" t="s">
        <v>1133</v>
      </c>
      <c r="D135" s="2363" t="s">
        <v>3342</v>
      </c>
      <c r="E135" s="2364" t="s">
        <v>90</v>
      </c>
      <c r="F135" s="2365" t="s">
        <v>1134</v>
      </c>
      <c r="G135" s="2292"/>
      <c r="H135" s="2292"/>
      <c r="I135" s="2292"/>
      <c r="J135" s="2292"/>
      <c r="K135" s="2292"/>
      <c r="L135" s="2219"/>
      <c r="M135" s="1317"/>
      <c r="N135" s="1857">
        <f>M135/100000</f>
        <v>0</v>
      </c>
      <c r="O135" s="1317"/>
      <c r="P135" s="2293">
        <f>N135*O135</f>
        <v>0</v>
      </c>
      <c r="Q135" s="2294"/>
      <c r="R135" s="1547">
        <f>'Ab1. RMNCH+A'!Q379</f>
        <v>0</v>
      </c>
      <c r="S135" s="2295">
        <f>'Ab1. RMNCH+A'!R379</f>
        <v>0</v>
      </c>
    </row>
    <row r="136" spans="1:19" ht="49.5">
      <c r="A136" s="2133">
        <v>2</v>
      </c>
      <c r="B136" s="2347" t="s">
        <v>2376</v>
      </c>
      <c r="C136" s="1319"/>
      <c r="D136" s="1529" t="s">
        <v>3343</v>
      </c>
      <c r="E136" s="2364" t="s">
        <v>90</v>
      </c>
      <c r="F136" s="2365" t="s">
        <v>1134</v>
      </c>
      <c r="G136" s="2292"/>
      <c r="H136" s="2292"/>
      <c r="I136" s="2292"/>
      <c r="J136" s="2292"/>
      <c r="K136" s="2292"/>
      <c r="L136" s="2219"/>
      <c r="M136" s="1317">
        <v>750000</v>
      </c>
      <c r="N136" s="1857">
        <f>M136/100000</f>
        <v>7.5</v>
      </c>
      <c r="O136" s="1317">
        <v>1</v>
      </c>
      <c r="P136" s="2293">
        <f>N136*O136</f>
        <v>7.5</v>
      </c>
      <c r="Q136" s="3183" t="s">
        <v>6743</v>
      </c>
      <c r="R136" s="1547">
        <f>'Ab1. RMNCH+A'!Q380</f>
        <v>0</v>
      </c>
      <c r="S136" s="2295">
        <f>'Ab1. RMNCH+A'!R380</f>
        <v>0</v>
      </c>
    </row>
    <row r="137" spans="1:19">
      <c r="A137" s="2133">
        <v>3</v>
      </c>
      <c r="B137" s="2347" t="s">
        <v>3352</v>
      </c>
      <c r="C137" s="1319"/>
      <c r="D137" s="1529" t="s">
        <v>3344</v>
      </c>
      <c r="E137" s="2364" t="s">
        <v>90</v>
      </c>
      <c r="F137" s="2365" t="s">
        <v>1134</v>
      </c>
      <c r="G137" s="2292"/>
      <c r="H137" s="2292"/>
      <c r="I137" s="2292"/>
      <c r="J137" s="2292"/>
      <c r="K137" s="2292"/>
      <c r="L137" s="2219"/>
      <c r="M137" s="1317"/>
      <c r="N137" s="1857">
        <f>M137/100000</f>
        <v>0</v>
      </c>
      <c r="O137" s="1317"/>
      <c r="P137" s="2293">
        <f>N137*O137</f>
        <v>0</v>
      </c>
      <c r="Q137" s="2294"/>
      <c r="R137" s="1547">
        <f>'Ab1. RMNCH+A'!Q381</f>
        <v>0</v>
      </c>
      <c r="S137" s="2295">
        <f>'Ab1. RMNCH+A'!R381</f>
        <v>0</v>
      </c>
    </row>
    <row r="138" spans="1:19">
      <c r="A138" s="2133">
        <v>4</v>
      </c>
      <c r="B138" s="2347" t="s">
        <v>3353</v>
      </c>
      <c r="C138" s="2347" t="s">
        <v>2376</v>
      </c>
      <c r="D138" s="2366" t="s">
        <v>1310</v>
      </c>
      <c r="E138" s="2367" t="s">
        <v>90</v>
      </c>
      <c r="F138" s="2368" t="s">
        <v>1134</v>
      </c>
      <c r="G138" s="2292"/>
      <c r="H138" s="2292"/>
      <c r="I138" s="2292"/>
      <c r="J138" s="2292"/>
      <c r="K138" s="2292"/>
      <c r="L138" s="2219"/>
      <c r="M138" s="1317"/>
      <c r="N138" s="1857">
        <f>M138/100000</f>
        <v>0</v>
      </c>
      <c r="O138" s="1317"/>
      <c r="P138" s="2293">
        <f>N138*O138</f>
        <v>0</v>
      </c>
      <c r="Q138" s="2294"/>
      <c r="R138" s="1547">
        <f>'Ab1. RMNCH+A'!Q382</f>
        <v>0</v>
      </c>
      <c r="S138" s="2295">
        <f>'Ab1. RMNCH+A'!R382</f>
        <v>0</v>
      </c>
    </row>
    <row r="139" spans="1:19">
      <c r="A139" s="2283" t="s">
        <v>4665</v>
      </c>
      <c r="B139" s="1519" t="s">
        <v>1035</v>
      </c>
      <c r="C139" s="1769"/>
      <c r="D139" s="1770" t="s">
        <v>1036</v>
      </c>
      <c r="E139" s="1520"/>
      <c r="F139" s="1520"/>
      <c r="G139" s="1722"/>
      <c r="H139" s="1722"/>
      <c r="I139" s="1722"/>
      <c r="J139" s="1722"/>
      <c r="K139" s="1722"/>
      <c r="L139" s="1526"/>
      <c r="M139" s="1722"/>
      <c r="N139" s="2324"/>
      <c r="O139" s="2325"/>
      <c r="P139" s="2326">
        <f>SUM(P140:P141)</f>
        <v>113.08752</v>
      </c>
      <c r="Q139" s="1771"/>
      <c r="R139" s="1682"/>
      <c r="S139" s="1892">
        <f>SUM(S140:S141)</f>
        <v>0</v>
      </c>
    </row>
    <row r="140" spans="1:19" ht="49.5">
      <c r="A140" s="2133">
        <v>1</v>
      </c>
      <c r="B140" s="1309" t="s">
        <v>1037</v>
      </c>
      <c r="C140" s="1309" t="s">
        <v>1038</v>
      </c>
      <c r="D140" s="1309" t="s">
        <v>1039</v>
      </c>
      <c r="E140" s="2291" t="s">
        <v>90</v>
      </c>
      <c r="F140" s="2164" t="s">
        <v>205</v>
      </c>
      <c r="G140" s="2292"/>
      <c r="H140" s="2292">
        <v>7511</v>
      </c>
      <c r="I140" s="2344">
        <v>84.77</v>
      </c>
      <c r="J140" s="2344"/>
      <c r="K140" s="1738"/>
      <c r="L140" s="2232" t="s">
        <v>5869</v>
      </c>
      <c r="M140" s="1317">
        <v>1092</v>
      </c>
      <c r="N140" s="1857">
        <f>M140/100000</f>
        <v>1.0919999999999999E-2</v>
      </c>
      <c r="O140" s="1317">
        <v>10356</v>
      </c>
      <c r="P140" s="2293">
        <f>N140*O140</f>
        <v>113.08752</v>
      </c>
      <c r="Q140" s="1912" t="s">
        <v>6417</v>
      </c>
      <c r="R140" s="1547">
        <f>'Ab1. RMNCH+A'!Q415</f>
        <v>0</v>
      </c>
      <c r="S140" s="2295">
        <f>'Ab1. RMNCH+A'!R415</f>
        <v>0</v>
      </c>
    </row>
    <row r="141" spans="1:19">
      <c r="A141" s="2133">
        <v>2</v>
      </c>
      <c r="B141" s="1309" t="s">
        <v>2586</v>
      </c>
      <c r="C141" s="1319"/>
      <c r="D141" s="1309" t="s">
        <v>1310</v>
      </c>
      <c r="E141" s="2291" t="s">
        <v>90</v>
      </c>
      <c r="F141" s="2164" t="s">
        <v>205</v>
      </c>
      <c r="G141" s="2292"/>
      <c r="H141" s="2292"/>
      <c r="I141" s="2292"/>
      <c r="J141" s="2292"/>
      <c r="K141" s="2292"/>
      <c r="L141" s="2219"/>
      <c r="M141" s="1317"/>
      <c r="N141" s="1857">
        <f>M141/100000</f>
        <v>0</v>
      </c>
      <c r="O141" s="1317"/>
      <c r="P141" s="2293">
        <f>N141*O141</f>
        <v>0</v>
      </c>
      <c r="Q141" s="2294"/>
      <c r="R141" s="1547">
        <f>'Ab1. RMNCH+A'!Q416</f>
        <v>0</v>
      </c>
      <c r="S141" s="2295">
        <f>'Ab1. RMNCH+A'!R416</f>
        <v>0</v>
      </c>
    </row>
    <row r="142" spans="1:19">
      <c r="A142" s="2339" t="s">
        <v>4666</v>
      </c>
      <c r="B142" s="2369"/>
      <c r="C142" s="2369"/>
      <c r="D142" s="2369" t="s">
        <v>5047</v>
      </c>
      <c r="E142" s="2370"/>
      <c r="F142" s="2370"/>
      <c r="G142" s="2371"/>
      <c r="H142" s="2371"/>
      <c r="I142" s="2371"/>
      <c r="J142" s="2371"/>
      <c r="K142" s="2371"/>
      <c r="L142" s="3243"/>
      <c r="M142" s="2371"/>
      <c r="N142" s="2372"/>
      <c r="O142" s="2373"/>
      <c r="P142" s="2374">
        <f>SUM(P143:P144)</f>
        <v>0</v>
      </c>
      <c r="Q142" s="2375"/>
      <c r="R142" s="1521"/>
      <c r="S142" s="1892">
        <f>SUM(S143:S144)</f>
        <v>0</v>
      </c>
    </row>
    <row r="143" spans="1:19" ht="49.5">
      <c r="A143" s="2133">
        <v>1</v>
      </c>
      <c r="B143" s="1336" t="s">
        <v>3359</v>
      </c>
      <c r="C143" s="1319"/>
      <c r="D143" s="1336" t="s">
        <v>4110</v>
      </c>
      <c r="E143" s="2364" t="s">
        <v>90</v>
      </c>
      <c r="F143" s="2376" t="s">
        <v>90</v>
      </c>
      <c r="G143" s="2292"/>
      <c r="H143" s="2292"/>
      <c r="I143" s="2292"/>
      <c r="J143" s="2292"/>
      <c r="K143" s="2292"/>
      <c r="L143" s="2219"/>
      <c r="M143" s="1317"/>
      <c r="N143" s="1857">
        <f>M143/100000</f>
        <v>0</v>
      </c>
      <c r="O143" s="1317"/>
      <c r="P143" s="2293">
        <f>N143*O143</f>
        <v>0</v>
      </c>
      <c r="Q143" s="2294"/>
      <c r="R143" s="1547">
        <f>'Ab1. RMNCH+A'!Q441</f>
        <v>0</v>
      </c>
      <c r="S143" s="2295">
        <f>'Ab1. RMNCH+A'!R441</f>
        <v>0</v>
      </c>
    </row>
    <row r="144" spans="1:19">
      <c r="A144" s="2135">
        <v>2</v>
      </c>
      <c r="B144" s="1319" t="s">
        <v>4543</v>
      </c>
      <c r="C144" s="2163"/>
      <c r="D144" s="2377" t="s">
        <v>1310</v>
      </c>
      <c r="E144" s="2364" t="s">
        <v>90</v>
      </c>
      <c r="F144" s="2376" t="s">
        <v>90</v>
      </c>
      <c r="G144" s="1558"/>
      <c r="H144" s="1558"/>
      <c r="I144" s="1558"/>
      <c r="J144" s="1558"/>
      <c r="K144" s="1558"/>
      <c r="L144" s="2491"/>
      <c r="M144" s="1317"/>
      <c r="N144" s="1857">
        <f>M144/100000</f>
        <v>0</v>
      </c>
      <c r="O144" s="1317"/>
      <c r="P144" s="2316">
        <f>N144*O144</f>
        <v>0</v>
      </c>
      <c r="Q144" s="2379"/>
      <c r="R144" s="1547">
        <f>'Ab1. RMNCH+A'!Q442</f>
        <v>0</v>
      </c>
      <c r="S144" s="2295">
        <f>'Ab1. RMNCH+A'!R442</f>
        <v>0</v>
      </c>
    </row>
    <row r="145" spans="1:19" s="2187" customFormat="1">
      <c r="A145" s="2283"/>
      <c r="B145" s="4459" t="s">
        <v>5037</v>
      </c>
      <c r="C145" s="4460"/>
      <c r="D145" s="4461"/>
      <c r="E145" s="1687"/>
      <c r="F145" s="1687"/>
      <c r="G145" s="1708"/>
      <c r="H145" s="1708"/>
      <c r="I145" s="1708"/>
      <c r="J145" s="1708"/>
      <c r="K145" s="1708"/>
      <c r="L145" s="1804"/>
      <c r="M145" s="1708"/>
      <c r="N145" s="2321"/>
      <c r="O145" s="2322"/>
      <c r="P145" s="2321"/>
      <c r="Q145" s="1710"/>
      <c r="R145" s="1693"/>
      <c r="S145" s="2323"/>
    </row>
    <row r="146" spans="1:19">
      <c r="A146" s="2283" t="s">
        <v>4350</v>
      </c>
      <c r="B146" s="1519" t="s">
        <v>1011</v>
      </c>
      <c r="C146" s="1769"/>
      <c r="D146" s="1770" t="s">
        <v>2581</v>
      </c>
      <c r="E146" s="1304"/>
      <c r="F146" s="1304"/>
      <c r="G146" s="2380"/>
      <c r="H146" s="2380"/>
      <c r="I146" s="2380"/>
      <c r="J146" s="2380"/>
      <c r="K146" s="2380"/>
      <c r="L146" s="3244"/>
      <c r="M146" s="2380"/>
      <c r="N146" s="2381"/>
      <c r="O146" s="2382"/>
      <c r="P146" s="2383">
        <f>SUM(P147:P149)</f>
        <v>47.5</v>
      </c>
      <c r="Q146" s="2384"/>
      <c r="R146" s="1682"/>
      <c r="S146" s="2327">
        <f>SUM(S147:S149)</f>
        <v>0</v>
      </c>
    </row>
    <row r="147" spans="1:19" s="3778" customFormat="1" ht="99">
      <c r="A147" s="3778">
        <v>1</v>
      </c>
      <c r="B147" s="3779" t="s">
        <v>1012</v>
      </c>
      <c r="C147" s="3780" t="s">
        <v>815</v>
      </c>
      <c r="D147" s="3780" t="s">
        <v>816</v>
      </c>
      <c r="E147" s="3813" t="s">
        <v>70</v>
      </c>
      <c r="F147" s="3782" t="s">
        <v>2087</v>
      </c>
      <c r="G147" s="3794"/>
      <c r="H147" s="3784"/>
      <c r="I147" s="3838"/>
      <c r="J147" s="3838"/>
      <c r="K147" s="3794"/>
      <c r="L147" s="2395">
        <v>1</v>
      </c>
      <c r="M147" s="3739">
        <v>4750000</v>
      </c>
      <c r="N147" s="3738">
        <f>M147/100000</f>
        <v>47.5</v>
      </c>
      <c r="O147" s="3739">
        <v>1</v>
      </c>
      <c r="P147" s="3797">
        <f>N147*O147</f>
        <v>47.5</v>
      </c>
      <c r="Q147" s="3839" t="s">
        <v>6827</v>
      </c>
      <c r="R147" s="3792">
        <f>'Abs5. Blood services &amp; Disorder'!Q20</f>
        <v>0</v>
      </c>
      <c r="S147" s="3840">
        <f>'Abs5. Blood services &amp; Disorder'!R20</f>
        <v>0</v>
      </c>
    </row>
    <row r="148" spans="1:19">
      <c r="A148" s="2133">
        <v>2</v>
      </c>
      <c r="B148" s="2199" t="s">
        <v>2098</v>
      </c>
      <c r="C148" s="1309" t="s">
        <v>815</v>
      </c>
      <c r="D148" s="1309" t="s">
        <v>2370</v>
      </c>
      <c r="E148" s="1281" t="s">
        <v>70</v>
      </c>
      <c r="F148" s="2164" t="s">
        <v>2087</v>
      </c>
      <c r="G148" s="2292"/>
      <c r="H148" s="2292"/>
      <c r="I148" s="2292"/>
      <c r="J148" s="2292"/>
      <c r="K148" s="2292"/>
      <c r="L148" s="2219"/>
      <c r="M148" s="1317"/>
      <c r="N148" s="1857">
        <f>M148/100000</f>
        <v>0</v>
      </c>
      <c r="O148" s="1317"/>
      <c r="P148" s="2293">
        <f>N148*O148</f>
        <v>0</v>
      </c>
      <c r="Q148" s="2294"/>
      <c r="R148" s="1547">
        <f>'Abs5. Blood services &amp; Disorder'!Q21</f>
        <v>0</v>
      </c>
      <c r="S148" s="2385">
        <f>'Abs5. Blood services &amp; Disorder'!R21</f>
        <v>0</v>
      </c>
    </row>
    <row r="149" spans="1:19" ht="33">
      <c r="A149" s="2133">
        <v>3</v>
      </c>
      <c r="B149" s="2199" t="s">
        <v>2582</v>
      </c>
      <c r="C149" s="1319"/>
      <c r="D149" s="1309" t="s">
        <v>4372</v>
      </c>
      <c r="E149" s="1281" t="s">
        <v>70</v>
      </c>
      <c r="F149" s="2164" t="s">
        <v>2087</v>
      </c>
      <c r="G149" s="2292"/>
      <c r="H149" s="2292"/>
      <c r="I149" s="2292"/>
      <c r="J149" s="2292"/>
      <c r="K149" s="2292"/>
      <c r="L149" s="2219"/>
      <c r="M149" s="1317"/>
      <c r="N149" s="1857">
        <f>M149/100000</f>
        <v>0</v>
      </c>
      <c r="O149" s="1317"/>
      <c r="P149" s="2293">
        <f>N149*O149</f>
        <v>0</v>
      </c>
      <c r="Q149" s="2294"/>
      <c r="R149" s="1547">
        <f>'Abs5. Blood services &amp; Disorder'!Q22</f>
        <v>0</v>
      </c>
      <c r="S149" s="2385">
        <f>'Abs5. Blood services &amp; Disorder'!R22</f>
        <v>0</v>
      </c>
    </row>
    <row r="150" spans="1:19">
      <c r="A150" s="2283" t="s">
        <v>4351</v>
      </c>
      <c r="B150" s="1519" t="s">
        <v>1120</v>
      </c>
      <c r="C150" s="1769"/>
      <c r="D150" s="1770" t="s">
        <v>1121</v>
      </c>
      <c r="E150" s="1520"/>
      <c r="F150" s="1520"/>
      <c r="G150" s="1722"/>
      <c r="H150" s="1722"/>
      <c r="I150" s="1722"/>
      <c r="J150" s="1722"/>
      <c r="K150" s="1722"/>
      <c r="L150" s="1526"/>
      <c r="M150" s="1722"/>
      <c r="N150" s="2324"/>
      <c r="O150" s="2325"/>
      <c r="P150" s="2326">
        <f>P151+P155+P159</f>
        <v>341.5</v>
      </c>
      <c r="Q150" s="1771"/>
      <c r="R150" s="1682"/>
      <c r="S150" s="2327">
        <f>S151+S155+S159</f>
        <v>0</v>
      </c>
    </row>
    <row r="151" spans="1:19" s="2187" customFormat="1">
      <c r="A151" s="2187">
        <v>1</v>
      </c>
      <c r="B151" s="2240" t="s">
        <v>1122</v>
      </c>
      <c r="C151" s="2240" t="s">
        <v>1123</v>
      </c>
      <c r="D151" s="2240" t="s">
        <v>1124</v>
      </c>
      <c r="E151" s="2241"/>
      <c r="F151" s="2241"/>
      <c r="G151" s="2243"/>
      <c r="H151" s="2243"/>
      <c r="I151" s="2243"/>
      <c r="J151" s="2243"/>
      <c r="K151" s="2243"/>
      <c r="L151" s="2242"/>
      <c r="M151" s="2243"/>
      <c r="N151" s="2386"/>
      <c r="O151" s="2387"/>
      <c r="P151" s="2388">
        <f>SUM(P152:P154)</f>
        <v>332</v>
      </c>
      <c r="Q151" s="2389"/>
      <c r="R151" s="2008"/>
      <c r="S151" s="1902">
        <f>SUM(S152:S154)</f>
        <v>0</v>
      </c>
    </row>
    <row r="152" spans="1:19" ht="181.5">
      <c r="A152" s="2133" t="s">
        <v>4931</v>
      </c>
      <c r="B152" s="2199" t="s">
        <v>4327</v>
      </c>
      <c r="C152" s="1319"/>
      <c r="D152" s="1309" t="s">
        <v>2904</v>
      </c>
      <c r="E152" s="1281" t="s">
        <v>70</v>
      </c>
      <c r="F152" s="2164" t="s">
        <v>3959</v>
      </c>
      <c r="G152" s="2292"/>
      <c r="H152" s="2292"/>
      <c r="I152" s="2292"/>
      <c r="J152" s="2292"/>
      <c r="K152" s="2292"/>
      <c r="L152" s="2219">
        <v>1</v>
      </c>
      <c r="M152" s="1317">
        <v>3000000</v>
      </c>
      <c r="N152" s="1857">
        <f>M152/100000</f>
        <v>30</v>
      </c>
      <c r="O152" s="1317">
        <v>1</v>
      </c>
      <c r="P152" s="2293">
        <f>N152*O152</f>
        <v>30</v>
      </c>
      <c r="Q152" s="2294" t="s">
        <v>6622</v>
      </c>
      <c r="R152" s="1524"/>
      <c r="S152" s="1909"/>
    </row>
    <row r="153" spans="1:19" s="3778" customFormat="1">
      <c r="A153" s="3778" t="s">
        <v>4932</v>
      </c>
      <c r="B153" s="3779" t="s">
        <v>4328</v>
      </c>
      <c r="C153" s="3780"/>
      <c r="D153" s="3780" t="s">
        <v>2905</v>
      </c>
      <c r="E153" s="3813" t="s">
        <v>70</v>
      </c>
      <c r="F153" s="3782" t="s">
        <v>3957</v>
      </c>
      <c r="G153" s="3894"/>
      <c r="H153" s="3894"/>
      <c r="I153" s="3894"/>
      <c r="J153" s="3894"/>
      <c r="K153" s="3894"/>
      <c r="L153" s="3895"/>
      <c r="M153" s="3739">
        <v>30000000</v>
      </c>
      <c r="N153" s="3738">
        <f>M153/100000</f>
        <v>300</v>
      </c>
      <c r="O153" s="3739">
        <v>1</v>
      </c>
      <c r="P153" s="3797">
        <f>N153*O153</f>
        <v>300</v>
      </c>
      <c r="Q153" s="3896"/>
      <c r="R153" s="4051"/>
      <c r="S153" s="4077"/>
    </row>
    <row r="154" spans="1:19" ht="33">
      <c r="A154" s="2133" t="s">
        <v>4815</v>
      </c>
      <c r="B154" s="2199" t="s">
        <v>4329</v>
      </c>
      <c r="C154" s="1319"/>
      <c r="D154" s="1527" t="s">
        <v>1310</v>
      </c>
      <c r="E154" s="1281" t="s">
        <v>70</v>
      </c>
      <c r="F154" s="2164" t="s">
        <v>70</v>
      </c>
      <c r="G154" s="2292"/>
      <c r="H154" s="2292"/>
      <c r="I154" s="2292"/>
      <c r="J154" s="2292"/>
      <c r="K154" s="2292"/>
      <c r="L154" s="2219" t="s">
        <v>5915</v>
      </c>
      <c r="M154" s="1317">
        <v>200000</v>
      </c>
      <c r="N154" s="1857">
        <f>M154/100000</f>
        <v>2</v>
      </c>
      <c r="O154" s="1317">
        <v>1</v>
      </c>
      <c r="P154" s="2293">
        <f>N154*O154</f>
        <v>2</v>
      </c>
      <c r="Q154" s="2294" t="s">
        <v>5938</v>
      </c>
      <c r="R154" s="1524"/>
      <c r="S154" s="1909"/>
    </row>
    <row r="155" spans="1:19" s="2187" customFormat="1">
      <c r="A155" s="2187">
        <v>2</v>
      </c>
      <c r="B155" s="2240" t="s">
        <v>1125</v>
      </c>
      <c r="C155" s="2240" t="s">
        <v>1126</v>
      </c>
      <c r="D155" s="2240" t="s">
        <v>1127</v>
      </c>
      <c r="E155" s="2241"/>
      <c r="F155" s="2241"/>
      <c r="G155" s="2243"/>
      <c r="H155" s="2243"/>
      <c r="I155" s="2243"/>
      <c r="J155" s="2243"/>
      <c r="K155" s="2243"/>
      <c r="L155" s="2242"/>
      <c r="M155" s="2243"/>
      <c r="N155" s="2386"/>
      <c r="O155" s="2387"/>
      <c r="P155" s="2388">
        <f>SUM(P156:P158)</f>
        <v>3.8000000000000003</v>
      </c>
      <c r="Q155" s="2389"/>
      <c r="R155" s="2008"/>
      <c r="S155" s="1902">
        <f>SUM(S156:S158)</f>
        <v>0</v>
      </c>
    </row>
    <row r="156" spans="1:19">
      <c r="A156" s="2133" t="s">
        <v>4931</v>
      </c>
      <c r="B156" s="2199" t="s">
        <v>4330</v>
      </c>
      <c r="C156" s="1319"/>
      <c r="D156" s="1309" t="s">
        <v>2904</v>
      </c>
      <c r="E156" s="1281" t="s">
        <v>70</v>
      </c>
      <c r="F156" s="2164" t="s">
        <v>3959</v>
      </c>
      <c r="G156" s="2292"/>
      <c r="H156" s="2292"/>
      <c r="I156" s="2292"/>
      <c r="J156" s="2292"/>
      <c r="K156" s="2292"/>
      <c r="L156" s="2219"/>
      <c r="M156" s="1317"/>
      <c r="N156" s="1857">
        <f>M156/100000</f>
        <v>0</v>
      </c>
      <c r="O156" s="1317"/>
      <c r="P156" s="2293">
        <f>N156*O156</f>
        <v>0</v>
      </c>
      <c r="Q156" s="2294"/>
      <c r="R156" s="1524"/>
      <c r="S156" s="1909"/>
    </row>
    <row r="157" spans="1:19">
      <c r="A157" s="2133" t="s">
        <v>4932</v>
      </c>
      <c r="B157" s="2199" t="s">
        <v>4331</v>
      </c>
      <c r="C157" s="1319"/>
      <c r="D157" s="1309" t="s">
        <v>2905</v>
      </c>
      <c r="E157" s="1281" t="s">
        <v>70</v>
      </c>
      <c r="F157" s="2164" t="s">
        <v>3957</v>
      </c>
      <c r="G157" s="2292"/>
      <c r="H157" s="2292"/>
      <c r="I157" s="2292"/>
      <c r="J157" s="2292"/>
      <c r="K157" s="2292"/>
      <c r="L157" s="2219"/>
      <c r="M157" s="1317"/>
      <c r="N157" s="1857">
        <f>M157/100000</f>
        <v>0</v>
      </c>
      <c r="O157" s="1317"/>
      <c r="P157" s="2293">
        <f>N157*O157</f>
        <v>0</v>
      </c>
      <c r="Q157" s="2294"/>
      <c r="R157" s="1524"/>
      <c r="S157" s="1909"/>
    </row>
    <row r="158" spans="1:19" ht="49.5">
      <c r="A158" s="2133" t="s">
        <v>4815</v>
      </c>
      <c r="B158" s="2199" t="s">
        <v>4332</v>
      </c>
      <c r="C158" s="1319"/>
      <c r="D158" s="1527" t="s">
        <v>1310</v>
      </c>
      <c r="E158" s="1281" t="s">
        <v>70</v>
      </c>
      <c r="F158" s="2164" t="s">
        <v>70</v>
      </c>
      <c r="G158" s="2292"/>
      <c r="H158" s="2292"/>
      <c r="I158" s="2292"/>
      <c r="J158" s="2292"/>
      <c r="K158" s="2292"/>
      <c r="L158" s="2219" t="s">
        <v>5939</v>
      </c>
      <c r="M158" s="1317">
        <v>10000</v>
      </c>
      <c r="N158" s="1857">
        <f>M158/100000</f>
        <v>0.1</v>
      </c>
      <c r="O158" s="1317">
        <v>38</v>
      </c>
      <c r="P158" s="2293">
        <f>N158*O158</f>
        <v>3.8000000000000003</v>
      </c>
      <c r="Q158" s="2294" t="s">
        <v>5940</v>
      </c>
      <c r="R158" s="1524"/>
      <c r="S158" s="1909"/>
    </row>
    <row r="159" spans="1:19" s="2187" customFormat="1">
      <c r="A159" s="2187">
        <v>3</v>
      </c>
      <c r="B159" s="2240" t="s">
        <v>2602</v>
      </c>
      <c r="C159" s="2240" t="s">
        <v>1128</v>
      </c>
      <c r="D159" s="2240" t="s">
        <v>1129</v>
      </c>
      <c r="E159" s="2241"/>
      <c r="F159" s="2241"/>
      <c r="G159" s="2243"/>
      <c r="H159" s="2243"/>
      <c r="I159" s="2243"/>
      <c r="J159" s="2243"/>
      <c r="K159" s="2243"/>
      <c r="L159" s="2242"/>
      <c r="M159" s="2243"/>
      <c r="N159" s="2386"/>
      <c r="O159" s="2387"/>
      <c r="P159" s="2388">
        <f>SUM(P160:P162)</f>
        <v>5.6999999999999993</v>
      </c>
      <c r="Q159" s="2389"/>
      <c r="R159" s="2008"/>
      <c r="S159" s="1902">
        <f>SUM(S160:S162)</f>
        <v>0</v>
      </c>
    </row>
    <row r="160" spans="1:19">
      <c r="A160" s="2133" t="s">
        <v>4931</v>
      </c>
      <c r="B160" s="2199" t="s">
        <v>4333</v>
      </c>
      <c r="C160" s="1319"/>
      <c r="D160" s="1309" t="s">
        <v>2904</v>
      </c>
      <c r="E160" s="1281" t="s">
        <v>70</v>
      </c>
      <c r="F160" s="2164" t="s">
        <v>3959</v>
      </c>
      <c r="G160" s="2292"/>
      <c r="H160" s="2292"/>
      <c r="I160" s="2292"/>
      <c r="J160" s="2292"/>
      <c r="K160" s="2292"/>
      <c r="L160" s="2219"/>
      <c r="M160" s="1317"/>
      <c r="N160" s="1857">
        <f>M160/100000</f>
        <v>0</v>
      </c>
      <c r="O160" s="1317"/>
      <c r="P160" s="2293">
        <f>N160*O160</f>
        <v>0</v>
      </c>
      <c r="Q160" s="2294"/>
      <c r="R160" s="1524"/>
      <c r="S160" s="1909"/>
    </row>
    <row r="161" spans="1:19">
      <c r="A161" s="2133" t="s">
        <v>4932</v>
      </c>
      <c r="B161" s="2199" t="s">
        <v>4334</v>
      </c>
      <c r="C161" s="1319"/>
      <c r="D161" s="1309" t="s">
        <v>2905</v>
      </c>
      <c r="E161" s="1281" t="s">
        <v>70</v>
      </c>
      <c r="F161" s="2164" t="s">
        <v>3957</v>
      </c>
      <c r="G161" s="2292"/>
      <c r="H161" s="2292"/>
      <c r="I161" s="2292"/>
      <c r="J161" s="2292"/>
      <c r="K161" s="2292"/>
      <c r="L161" s="2219"/>
      <c r="M161" s="1317"/>
      <c r="N161" s="1857">
        <f>M161/100000</f>
        <v>0</v>
      </c>
      <c r="O161" s="1317"/>
      <c r="P161" s="2293">
        <f>N161*O161</f>
        <v>0</v>
      </c>
      <c r="Q161" s="2294"/>
      <c r="R161" s="1524"/>
      <c r="S161" s="1909"/>
    </row>
    <row r="162" spans="1:19" ht="49.5">
      <c r="A162" s="2133" t="s">
        <v>4815</v>
      </c>
      <c r="B162" s="2199" t="s">
        <v>4335</v>
      </c>
      <c r="C162" s="1319"/>
      <c r="D162" s="1527" t="s">
        <v>1310</v>
      </c>
      <c r="E162" s="1281" t="s">
        <v>70</v>
      </c>
      <c r="F162" s="2164" t="s">
        <v>70</v>
      </c>
      <c r="G162" s="2292"/>
      <c r="H162" s="2292"/>
      <c r="I162" s="2292"/>
      <c r="J162" s="2292"/>
      <c r="K162" s="2292"/>
      <c r="L162" s="2219" t="s">
        <v>5941</v>
      </c>
      <c r="M162" s="1317">
        <v>95000</v>
      </c>
      <c r="N162" s="1857">
        <f>M162/100000</f>
        <v>0.95</v>
      </c>
      <c r="O162" s="1317">
        <v>6</v>
      </c>
      <c r="P162" s="2293">
        <f>N162*O162</f>
        <v>5.6999999999999993</v>
      </c>
      <c r="Q162" s="2294" t="s">
        <v>6388</v>
      </c>
      <c r="R162" s="1524"/>
      <c r="S162" s="1909"/>
    </row>
    <row r="163" spans="1:19">
      <c r="A163" s="2283" t="s">
        <v>4354</v>
      </c>
      <c r="B163" s="2390" t="s">
        <v>1135</v>
      </c>
      <c r="C163" s="2391"/>
      <c r="D163" s="2392" t="s">
        <v>2604</v>
      </c>
      <c r="E163" s="1304"/>
      <c r="F163" s="1304"/>
      <c r="G163" s="2077"/>
      <c r="H163" s="2077"/>
      <c r="I163" s="2077"/>
      <c r="J163" s="2077"/>
      <c r="K163" s="2077"/>
      <c r="L163" s="3245"/>
      <c r="M163" s="2077"/>
      <c r="N163" s="2383"/>
      <c r="O163" s="2382"/>
      <c r="P163" s="2383">
        <f>SUM(P164:P168)</f>
        <v>57.66</v>
      </c>
      <c r="Q163" s="2080"/>
      <c r="R163" s="1521"/>
      <c r="S163" s="2327">
        <f>SUM(S164:S168)</f>
        <v>0</v>
      </c>
    </row>
    <row r="164" spans="1:19" s="3778" customFormat="1" ht="42" customHeight="1">
      <c r="A164" s="3778">
        <v>1</v>
      </c>
      <c r="B164" s="3780" t="s">
        <v>1136</v>
      </c>
      <c r="C164" s="3780" t="s">
        <v>1139</v>
      </c>
      <c r="D164" s="3780" t="s">
        <v>2906</v>
      </c>
      <c r="E164" s="3813" t="s">
        <v>70</v>
      </c>
      <c r="F164" s="3782" t="s">
        <v>4985</v>
      </c>
      <c r="G164" s="3894"/>
      <c r="H164" s="3894"/>
      <c r="I164" s="3894"/>
      <c r="J164" s="3894"/>
      <c r="K164" s="3894"/>
      <c r="L164" s="3895" t="s">
        <v>6071</v>
      </c>
      <c r="M164" s="3739">
        <v>720750</v>
      </c>
      <c r="N164" s="3738">
        <f>M164/100000</f>
        <v>7.2074999999999996</v>
      </c>
      <c r="O164" s="3739">
        <v>8</v>
      </c>
      <c r="P164" s="3797">
        <f>N164*O164</f>
        <v>57.66</v>
      </c>
      <c r="Q164" s="3938" t="s">
        <v>6859</v>
      </c>
      <c r="R164" s="3792">
        <f>'Ab3. ASHA'!Q89</f>
        <v>0</v>
      </c>
      <c r="S164" s="3840">
        <f>'Ab3. ASHA'!R89</f>
        <v>0</v>
      </c>
    </row>
    <row r="165" spans="1:19">
      <c r="A165" s="2133">
        <v>2</v>
      </c>
      <c r="B165" s="1309" t="s">
        <v>4336</v>
      </c>
      <c r="C165" s="1309" t="s">
        <v>1140</v>
      </c>
      <c r="D165" s="1309" t="s">
        <v>5041</v>
      </c>
      <c r="E165" s="1281" t="s">
        <v>70</v>
      </c>
      <c r="F165" s="2164" t="s">
        <v>4985</v>
      </c>
      <c r="G165" s="1558"/>
      <c r="H165" s="1558"/>
      <c r="I165" s="1558"/>
      <c r="J165" s="1558"/>
      <c r="K165" s="1558"/>
      <c r="L165" s="1317"/>
      <c r="M165" s="1317"/>
      <c r="N165" s="1857">
        <f>M165/100000</f>
        <v>0</v>
      </c>
      <c r="O165" s="1317"/>
      <c r="P165" s="2316">
        <f>N165*O165</f>
        <v>0</v>
      </c>
      <c r="Q165" s="2317"/>
      <c r="R165" s="1547">
        <f>'Ab3. ASHA'!Q90</f>
        <v>0</v>
      </c>
      <c r="S165" s="2385">
        <f>'Ab3. ASHA'!R90</f>
        <v>0</v>
      </c>
    </row>
    <row r="166" spans="1:19">
      <c r="A166" s="2133">
        <v>3</v>
      </c>
      <c r="B166" s="1309" t="s">
        <v>4337</v>
      </c>
      <c r="C166" s="1309" t="s">
        <v>1141</v>
      </c>
      <c r="D166" s="1309" t="s">
        <v>5042</v>
      </c>
      <c r="E166" s="1281" t="s">
        <v>70</v>
      </c>
      <c r="F166" s="2164" t="s">
        <v>4985</v>
      </c>
      <c r="G166" s="1558"/>
      <c r="H166" s="1558"/>
      <c r="I166" s="1558"/>
      <c r="J166" s="1558"/>
      <c r="K166" s="1558"/>
      <c r="L166" s="1317"/>
      <c r="M166" s="1317"/>
      <c r="N166" s="1857">
        <f>M166/100000</f>
        <v>0</v>
      </c>
      <c r="O166" s="1317"/>
      <c r="P166" s="2316">
        <f>N166*O166</f>
        <v>0</v>
      </c>
      <c r="Q166" s="2317"/>
      <c r="R166" s="1547">
        <f>'Ab3. ASHA'!Q91</f>
        <v>0</v>
      </c>
      <c r="S166" s="2385">
        <f>'Ab3. ASHA'!R91</f>
        <v>0</v>
      </c>
    </row>
    <row r="167" spans="1:19">
      <c r="A167" s="2133">
        <v>4</v>
      </c>
      <c r="B167" s="1309" t="s">
        <v>4338</v>
      </c>
      <c r="C167" s="1309" t="s">
        <v>1142</v>
      </c>
      <c r="D167" s="1309" t="s">
        <v>5043</v>
      </c>
      <c r="E167" s="1281" t="s">
        <v>70</v>
      </c>
      <c r="F167" s="2164" t="s">
        <v>4985</v>
      </c>
      <c r="G167" s="1558"/>
      <c r="H167" s="1558"/>
      <c r="I167" s="1558"/>
      <c r="J167" s="1558"/>
      <c r="K167" s="1558"/>
      <c r="L167" s="1317"/>
      <c r="M167" s="1317"/>
      <c r="N167" s="1857">
        <f>M167/100000</f>
        <v>0</v>
      </c>
      <c r="O167" s="1317"/>
      <c r="P167" s="2316">
        <f>N167*O167</f>
        <v>0</v>
      </c>
      <c r="Q167" s="2317"/>
      <c r="R167" s="1547">
        <f>'Ab3. ASHA'!Q92</f>
        <v>0</v>
      </c>
      <c r="S167" s="2385">
        <f>'Ab3. ASHA'!R92</f>
        <v>0</v>
      </c>
    </row>
    <row r="168" spans="1:19">
      <c r="A168" s="2133">
        <v>5</v>
      </c>
      <c r="B168" s="1309" t="s">
        <v>2603</v>
      </c>
      <c r="C168" s="1319"/>
      <c r="D168" s="1309" t="s">
        <v>1310</v>
      </c>
      <c r="E168" s="1281" t="s">
        <v>70</v>
      </c>
      <c r="F168" s="2164" t="s">
        <v>4985</v>
      </c>
      <c r="G168" s="1558"/>
      <c r="H168" s="1558"/>
      <c r="I168" s="1558"/>
      <c r="J168" s="1558"/>
      <c r="K168" s="1558"/>
      <c r="L168" s="1317"/>
      <c r="M168" s="1317"/>
      <c r="N168" s="1857">
        <f>M168/100000</f>
        <v>0</v>
      </c>
      <c r="O168" s="1317"/>
      <c r="P168" s="2316">
        <f>N168*O168</f>
        <v>0</v>
      </c>
      <c r="Q168" s="2317"/>
      <c r="R168" s="1547">
        <f>'Ab3. ASHA'!Q93</f>
        <v>0</v>
      </c>
      <c r="S168" s="2385">
        <f>'Ab3. ASHA'!R93</f>
        <v>0</v>
      </c>
    </row>
    <row r="169" spans="1:19">
      <c r="A169" s="2283" t="s">
        <v>4355</v>
      </c>
      <c r="B169" s="2390" t="s">
        <v>2107</v>
      </c>
      <c r="C169" s="2391"/>
      <c r="D169" s="2392" t="s">
        <v>5103</v>
      </c>
      <c r="E169" s="1304"/>
      <c r="F169" s="1304"/>
      <c r="G169" s="2077"/>
      <c r="H169" s="2077"/>
      <c r="I169" s="2077"/>
      <c r="J169" s="2077"/>
      <c r="K169" s="2077"/>
      <c r="L169" s="3245"/>
      <c r="M169" s="2077"/>
      <c r="N169" s="2383"/>
      <c r="O169" s="2382"/>
      <c r="P169" s="2383">
        <f>SUM(P170:P173)</f>
        <v>26.799869999999999</v>
      </c>
      <c r="Q169" s="2080"/>
      <c r="R169" s="1521"/>
      <c r="S169" s="1892">
        <f>SUM(S170:S173)</f>
        <v>0</v>
      </c>
    </row>
    <row r="170" spans="1:19">
      <c r="A170" s="2133">
        <v>1</v>
      </c>
      <c r="B170" s="1309" t="s">
        <v>2108</v>
      </c>
      <c r="C170" s="1309" t="s">
        <v>1143</v>
      </c>
      <c r="D170" s="1309" t="s">
        <v>1144</v>
      </c>
      <c r="E170" s="1281" t="s">
        <v>70</v>
      </c>
      <c r="F170" s="2164" t="s">
        <v>70</v>
      </c>
      <c r="G170" s="1558"/>
      <c r="H170" s="1558"/>
      <c r="I170" s="1558"/>
      <c r="J170" s="1558"/>
      <c r="K170" s="1558"/>
      <c r="L170" s="1317"/>
      <c r="M170" s="1317"/>
      <c r="N170" s="1857">
        <f>M170/100000</f>
        <v>0</v>
      </c>
      <c r="O170" s="1317"/>
      <c r="P170" s="2316">
        <f>N170*O170</f>
        <v>0</v>
      </c>
      <c r="Q170" s="2317"/>
      <c r="R170" s="1524"/>
      <c r="S170" s="1909"/>
    </row>
    <row r="171" spans="1:19">
      <c r="A171" s="2133">
        <v>2</v>
      </c>
      <c r="B171" s="1309" t="s">
        <v>2109</v>
      </c>
      <c r="C171" s="1309" t="s">
        <v>1145</v>
      </c>
      <c r="D171" s="1309" t="s">
        <v>1146</v>
      </c>
      <c r="E171" s="1281" t="s">
        <v>70</v>
      </c>
      <c r="F171" s="2164" t="s">
        <v>70</v>
      </c>
      <c r="G171" s="1558"/>
      <c r="H171" s="1558"/>
      <c r="I171" s="1558"/>
      <c r="J171" s="1558"/>
      <c r="K171" s="1558"/>
      <c r="L171" s="1317"/>
      <c r="M171" s="1317"/>
      <c r="N171" s="1857">
        <f>M171/100000</f>
        <v>0</v>
      </c>
      <c r="O171" s="1317"/>
      <c r="P171" s="2316">
        <f>N171*O171</f>
        <v>0</v>
      </c>
      <c r="Q171" s="2317"/>
      <c r="R171" s="1524"/>
      <c r="S171" s="1909"/>
    </row>
    <row r="172" spans="1:19">
      <c r="A172" s="2133">
        <v>3</v>
      </c>
      <c r="B172" s="1309" t="s">
        <v>2110</v>
      </c>
      <c r="C172" s="1309" t="s">
        <v>1147</v>
      </c>
      <c r="D172" s="1309" t="s">
        <v>1148</v>
      </c>
      <c r="E172" s="1281" t="s">
        <v>70</v>
      </c>
      <c r="F172" s="2164" t="s">
        <v>70</v>
      </c>
      <c r="G172" s="1558"/>
      <c r="H172" s="1558"/>
      <c r="I172" s="1558"/>
      <c r="J172" s="1558"/>
      <c r="K172" s="1558"/>
      <c r="L172" s="1317"/>
      <c r="M172" s="1317"/>
      <c r="N172" s="1857">
        <f>M172/100000</f>
        <v>0</v>
      </c>
      <c r="O172" s="1317"/>
      <c r="P172" s="2316">
        <f>N172*O172</f>
        <v>0</v>
      </c>
      <c r="Q172" s="2317"/>
      <c r="R172" s="1524"/>
      <c r="S172" s="1909"/>
    </row>
    <row r="173" spans="1:19" ht="270" customHeight="1">
      <c r="A173" s="2133">
        <v>4</v>
      </c>
      <c r="B173" s="1309" t="s">
        <v>2605</v>
      </c>
      <c r="C173" s="1319"/>
      <c r="D173" s="1309" t="s">
        <v>1310</v>
      </c>
      <c r="E173" s="1281" t="s">
        <v>70</v>
      </c>
      <c r="F173" s="2164" t="s">
        <v>70</v>
      </c>
      <c r="G173" s="1558"/>
      <c r="H173" s="1558"/>
      <c r="I173" s="1558"/>
      <c r="J173" s="1558"/>
      <c r="K173" s="1558"/>
      <c r="L173" s="1714" t="s">
        <v>6238</v>
      </c>
      <c r="M173" s="1714">
        <v>1076.3</v>
      </c>
      <c r="N173" s="2688">
        <f>M173/100000</f>
        <v>1.0763E-2</v>
      </c>
      <c r="O173" s="1714">
        <v>2490</v>
      </c>
      <c r="P173" s="3222">
        <f>N173*O173</f>
        <v>26.799869999999999</v>
      </c>
      <c r="Q173" s="3615" t="s">
        <v>6418</v>
      </c>
      <c r="R173" s="1524"/>
      <c r="S173" s="1909"/>
    </row>
    <row r="174" spans="1:19">
      <c r="A174" s="2283" t="s">
        <v>4356</v>
      </c>
      <c r="B174" s="2390" t="s">
        <v>2111</v>
      </c>
      <c r="C174" s="2391"/>
      <c r="D174" s="2392" t="s">
        <v>1149</v>
      </c>
      <c r="E174" s="1304"/>
      <c r="F174" s="1304"/>
      <c r="G174" s="2077"/>
      <c r="H174" s="2077"/>
      <c r="I174" s="2077"/>
      <c r="J174" s="2077"/>
      <c r="K174" s="2077"/>
      <c r="L174" s="3245"/>
      <c r="M174" s="2077"/>
      <c r="N174" s="2383"/>
      <c r="O174" s="2382"/>
      <c r="P174" s="2383">
        <f>SUM(P175:P176)</f>
        <v>0</v>
      </c>
      <c r="Q174" s="2080"/>
      <c r="R174" s="1521"/>
      <c r="S174" s="1892">
        <f>SUM(S175:S176)</f>
        <v>0</v>
      </c>
    </row>
    <row r="175" spans="1:19">
      <c r="A175" s="2133">
        <v>1</v>
      </c>
      <c r="B175" s="1309" t="s">
        <v>2112</v>
      </c>
      <c r="C175" s="1309" t="s">
        <v>1150</v>
      </c>
      <c r="D175" s="1309" t="s">
        <v>1151</v>
      </c>
      <c r="E175" s="1281" t="s">
        <v>70</v>
      </c>
      <c r="F175" s="2164" t="s">
        <v>2852</v>
      </c>
      <c r="G175" s="1558"/>
      <c r="H175" s="1558"/>
      <c r="I175" s="1558"/>
      <c r="J175" s="1558"/>
      <c r="K175" s="1558"/>
      <c r="L175" s="1317"/>
      <c r="M175" s="1317"/>
      <c r="N175" s="1857">
        <f>M175/100000</f>
        <v>0</v>
      </c>
      <c r="O175" s="1317"/>
      <c r="P175" s="2316">
        <f>N175*O175</f>
        <v>0</v>
      </c>
      <c r="Q175" s="2317"/>
      <c r="R175" s="1547">
        <f>'Abs7. AYUSH'!Q12</f>
        <v>0</v>
      </c>
      <c r="S175" s="2385">
        <f>'Abs7. AYUSH'!R12</f>
        <v>0</v>
      </c>
    </row>
    <row r="176" spans="1:19">
      <c r="A176" s="2133">
        <v>2</v>
      </c>
      <c r="B176" s="1309" t="s">
        <v>2377</v>
      </c>
      <c r="C176" s="1319"/>
      <c r="D176" s="1309" t="s">
        <v>1310</v>
      </c>
      <c r="E176" s="1281" t="s">
        <v>70</v>
      </c>
      <c r="F176" s="2164" t="s">
        <v>2852</v>
      </c>
      <c r="G176" s="1558"/>
      <c r="H176" s="1558"/>
      <c r="I176" s="1558"/>
      <c r="J176" s="1558"/>
      <c r="K176" s="1558"/>
      <c r="L176" s="1317"/>
      <c r="M176" s="1317"/>
      <c r="N176" s="1857">
        <f>M176/100000</f>
        <v>0</v>
      </c>
      <c r="O176" s="1317"/>
      <c r="P176" s="2316">
        <f>N176*O176</f>
        <v>0</v>
      </c>
      <c r="Q176" s="2317"/>
      <c r="R176" s="1547">
        <f>'Abs7. AYUSH'!Q13</f>
        <v>0</v>
      </c>
      <c r="S176" s="2385">
        <f>'Abs7. AYUSH'!R13</f>
        <v>0</v>
      </c>
    </row>
    <row r="177" spans="1:19">
      <c r="A177" s="2283" t="s">
        <v>4664</v>
      </c>
      <c r="B177" s="2390" t="s">
        <v>2113</v>
      </c>
      <c r="C177" s="2391"/>
      <c r="D177" s="2392" t="s">
        <v>1152</v>
      </c>
      <c r="E177" s="1304"/>
      <c r="F177" s="1304"/>
      <c r="G177" s="2077"/>
      <c r="H177" s="2077"/>
      <c r="I177" s="2077"/>
      <c r="J177" s="2077"/>
      <c r="K177" s="2077"/>
      <c r="L177" s="3245"/>
      <c r="M177" s="2077"/>
      <c r="N177" s="2383"/>
      <c r="O177" s="2382"/>
      <c r="P177" s="2383">
        <f>SUM(P178:P183)</f>
        <v>79.8</v>
      </c>
      <c r="Q177" s="2080"/>
      <c r="R177" s="1521"/>
      <c r="S177" s="1892">
        <f>SUM(S178:S183)</f>
        <v>0</v>
      </c>
    </row>
    <row r="178" spans="1:19" ht="66">
      <c r="A178" s="2133">
        <v>1</v>
      </c>
      <c r="B178" s="1309" t="s">
        <v>2114</v>
      </c>
      <c r="C178" s="1309" t="s">
        <v>1153</v>
      </c>
      <c r="D178" s="1309" t="s">
        <v>4374</v>
      </c>
      <c r="E178" s="1281" t="s">
        <v>70</v>
      </c>
      <c r="F178" s="2164" t="s">
        <v>3900</v>
      </c>
      <c r="G178" s="1903"/>
      <c r="H178" s="1911"/>
      <c r="I178" s="2314"/>
      <c r="J178" s="2314"/>
      <c r="K178" s="1910"/>
      <c r="L178" s="1767" t="s">
        <v>6160</v>
      </c>
      <c r="M178" s="1714">
        <v>555000</v>
      </c>
      <c r="N178" s="2688">
        <f t="shared" ref="N178:N183" si="11">M178/100000</f>
        <v>5.55</v>
      </c>
      <c r="O178" s="1714">
        <v>2</v>
      </c>
      <c r="P178" s="2308">
        <f t="shared" ref="P178:P183" si="12">N178*O178</f>
        <v>11.1</v>
      </c>
      <c r="Q178" s="1918" t="s">
        <v>6164</v>
      </c>
      <c r="R178" s="1524"/>
      <c r="S178" s="1909"/>
    </row>
    <row r="179" spans="1:19" ht="132">
      <c r="A179" s="2133">
        <v>2</v>
      </c>
      <c r="B179" s="1309" t="s">
        <v>2606</v>
      </c>
      <c r="C179" s="1309" t="s">
        <v>1154</v>
      </c>
      <c r="D179" s="1309" t="s">
        <v>4607</v>
      </c>
      <c r="E179" s="1281" t="s">
        <v>70</v>
      </c>
      <c r="F179" s="2164" t="s">
        <v>3900</v>
      </c>
      <c r="G179" s="1903"/>
      <c r="H179" s="1911"/>
      <c r="I179" s="2314"/>
      <c r="J179" s="2314"/>
      <c r="K179" s="1903"/>
      <c r="L179" s="1767" t="s">
        <v>6161</v>
      </c>
      <c r="M179" s="1714">
        <v>1950000</v>
      </c>
      <c r="N179" s="2688">
        <f t="shared" si="11"/>
        <v>19.5</v>
      </c>
      <c r="O179" s="1714">
        <v>2</v>
      </c>
      <c r="P179" s="2308">
        <f t="shared" si="12"/>
        <v>39</v>
      </c>
      <c r="Q179" s="1918" t="s">
        <v>6704</v>
      </c>
      <c r="R179" s="1524"/>
      <c r="S179" s="1909"/>
    </row>
    <row r="180" spans="1:19" ht="66">
      <c r="A180" s="2133">
        <v>3</v>
      </c>
      <c r="B180" s="1309" t="s">
        <v>2607</v>
      </c>
      <c r="C180" s="1309" t="s">
        <v>1155</v>
      </c>
      <c r="D180" s="1309" t="s">
        <v>1156</v>
      </c>
      <c r="E180" s="1281" t="s">
        <v>70</v>
      </c>
      <c r="F180" s="2164" t="s">
        <v>3900</v>
      </c>
      <c r="G180" s="2292"/>
      <c r="H180" s="2292"/>
      <c r="I180" s="2292"/>
      <c r="J180" s="2292"/>
      <c r="K180" s="2292"/>
      <c r="L180" s="2219" t="s">
        <v>6162</v>
      </c>
      <c r="M180" s="1317">
        <v>1770000</v>
      </c>
      <c r="N180" s="1857">
        <f t="shared" si="11"/>
        <v>17.7</v>
      </c>
      <c r="O180" s="1317">
        <v>1</v>
      </c>
      <c r="P180" s="2293">
        <f t="shared" si="12"/>
        <v>17.7</v>
      </c>
      <c r="Q180" s="1912" t="s">
        <v>6165</v>
      </c>
      <c r="R180" s="1524"/>
      <c r="S180" s="1909"/>
    </row>
    <row r="181" spans="1:19">
      <c r="A181" s="2133">
        <v>4</v>
      </c>
      <c r="B181" s="1309" t="s">
        <v>2608</v>
      </c>
      <c r="C181" s="1319"/>
      <c r="D181" s="1309" t="s">
        <v>4013</v>
      </c>
      <c r="E181" s="1281" t="s">
        <v>70</v>
      </c>
      <c r="F181" s="2164" t="s">
        <v>3900</v>
      </c>
      <c r="G181" s="2292"/>
      <c r="H181" s="2292"/>
      <c r="I181" s="2292"/>
      <c r="J181" s="2292"/>
      <c r="K181" s="2292"/>
      <c r="L181" s="2219"/>
      <c r="M181" s="1317"/>
      <c r="N181" s="1857">
        <f t="shared" si="11"/>
        <v>0</v>
      </c>
      <c r="O181" s="1317"/>
      <c r="P181" s="2293">
        <f>N181*O181</f>
        <v>0</v>
      </c>
      <c r="Q181" s="1912"/>
      <c r="R181" s="1524"/>
      <c r="S181" s="1909"/>
    </row>
    <row r="182" spans="1:19">
      <c r="A182" s="2133">
        <v>5</v>
      </c>
      <c r="B182" s="1309" t="s">
        <v>4015</v>
      </c>
      <c r="C182" s="1319"/>
      <c r="D182" s="1309" t="s">
        <v>4014</v>
      </c>
      <c r="E182" s="1281" t="s">
        <v>70</v>
      </c>
      <c r="F182" s="2164" t="s">
        <v>3900</v>
      </c>
      <c r="G182" s="2292"/>
      <c r="H182" s="2292"/>
      <c r="I182" s="2292"/>
      <c r="J182" s="2292"/>
      <c r="K182" s="2292"/>
      <c r="L182" s="2219"/>
      <c r="M182" s="1317"/>
      <c r="N182" s="1857">
        <f t="shared" si="11"/>
        <v>0</v>
      </c>
      <c r="O182" s="1317"/>
      <c r="P182" s="2293">
        <f>N182*O182</f>
        <v>0</v>
      </c>
      <c r="Q182" s="1912"/>
      <c r="R182" s="1524"/>
      <c r="S182" s="1909"/>
    </row>
    <row r="183" spans="1:19" ht="33">
      <c r="A183" s="2133">
        <v>6</v>
      </c>
      <c r="B183" s="1309" t="s">
        <v>4016</v>
      </c>
      <c r="C183" s="1319"/>
      <c r="D183" s="1309" t="s">
        <v>1310</v>
      </c>
      <c r="E183" s="1281" t="s">
        <v>70</v>
      </c>
      <c r="F183" s="2164" t="s">
        <v>3900</v>
      </c>
      <c r="G183" s="2292"/>
      <c r="H183" s="2292"/>
      <c r="I183" s="2292"/>
      <c r="J183" s="2292"/>
      <c r="K183" s="2292"/>
      <c r="L183" s="2219" t="s">
        <v>6163</v>
      </c>
      <c r="M183" s="1317">
        <v>50000</v>
      </c>
      <c r="N183" s="1857">
        <f t="shared" si="11"/>
        <v>0.5</v>
      </c>
      <c r="O183" s="1317">
        <v>24</v>
      </c>
      <c r="P183" s="2293">
        <f t="shared" si="12"/>
        <v>12</v>
      </c>
      <c r="Q183" s="2430" t="s">
        <v>6166</v>
      </c>
      <c r="R183" s="1524"/>
      <c r="S183" s="1909"/>
    </row>
    <row r="184" spans="1:19">
      <c r="A184" s="2283" t="s">
        <v>4665</v>
      </c>
      <c r="B184" s="2390" t="s">
        <v>2115</v>
      </c>
      <c r="C184" s="2391"/>
      <c r="D184" s="2392" t="s">
        <v>2853</v>
      </c>
      <c r="E184" s="1304"/>
      <c r="F184" s="1304"/>
      <c r="G184" s="2077"/>
      <c r="H184" s="2077"/>
      <c r="I184" s="2077"/>
      <c r="J184" s="2077"/>
      <c r="K184" s="2077"/>
      <c r="L184" s="3245"/>
      <c r="M184" s="2077"/>
      <c r="N184" s="2383"/>
      <c r="O184" s="2382"/>
      <c r="P184" s="2383">
        <f>SUM(P185:P188)</f>
        <v>1025.4760000000001</v>
      </c>
      <c r="Q184" s="2080"/>
      <c r="R184" s="1521"/>
      <c r="S184" s="1892">
        <f>SUM(S185:S188)</f>
        <v>0</v>
      </c>
    </row>
    <row r="185" spans="1:19" ht="49.5">
      <c r="A185" s="2133">
        <v>1</v>
      </c>
      <c r="B185" s="1309" t="s">
        <v>2116</v>
      </c>
      <c r="C185" s="1309" t="s">
        <v>1157</v>
      </c>
      <c r="D185" s="1309" t="s">
        <v>1158</v>
      </c>
      <c r="E185" s="1281" t="s">
        <v>70</v>
      </c>
      <c r="F185" s="2164" t="s">
        <v>2379</v>
      </c>
      <c r="G185" s="2394">
        <v>2</v>
      </c>
      <c r="H185" s="2395">
        <v>2</v>
      </c>
      <c r="I185" s="2396">
        <v>5</v>
      </c>
      <c r="J185" s="2396">
        <v>2</v>
      </c>
      <c r="K185" s="2397"/>
      <c r="L185" s="1326" t="s">
        <v>6267</v>
      </c>
      <c r="M185" s="3179">
        <v>500000</v>
      </c>
      <c r="N185" s="1857">
        <f>M185/100000</f>
        <v>5</v>
      </c>
      <c r="O185" s="3179">
        <v>2</v>
      </c>
      <c r="P185" s="2293">
        <f>N185*O185</f>
        <v>10</v>
      </c>
      <c r="Q185" s="3180" t="s">
        <v>6376</v>
      </c>
      <c r="R185" s="1547">
        <f>'Ab4. HMIS-MCTS'!Q9</f>
        <v>0</v>
      </c>
      <c r="S185" s="2295">
        <f>'Ab4. HMIS-MCTS'!R9</f>
        <v>0</v>
      </c>
    </row>
    <row r="186" spans="1:19" ht="49.5">
      <c r="A186" s="2133">
        <v>2</v>
      </c>
      <c r="B186" s="1309" t="s">
        <v>2117</v>
      </c>
      <c r="C186" s="1309" t="s">
        <v>1159</v>
      </c>
      <c r="D186" s="1309" t="s">
        <v>1160</v>
      </c>
      <c r="E186" s="1281" t="s">
        <v>70</v>
      </c>
      <c r="F186" s="2164" t="s">
        <v>2379</v>
      </c>
      <c r="G186" s="2394">
        <v>38</v>
      </c>
      <c r="H186" s="2395">
        <v>25</v>
      </c>
      <c r="I186" s="2396">
        <v>9.35</v>
      </c>
      <c r="J186" s="2396">
        <v>4.4800000000000004</v>
      </c>
      <c r="K186" s="2397"/>
      <c r="L186" s="1326" t="s">
        <v>6268</v>
      </c>
      <c r="M186" s="3179">
        <v>300</v>
      </c>
      <c r="N186" s="1857">
        <f>M186/100000</f>
        <v>3.0000000000000001E-3</v>
      </c>
      <c r="O186" s="3179">
        <v>6236</v>
      </c>
      <c r="P186" s="2293">
        <f>N186*O186</f>
        <v>18.708000000000002</v>
      </c>
      <c r="Q186" s="3180" t="s">
        <v>6377</v>
      </c>
      <c r="R186" s="1547">
        <f>'Ab4. HMIS-MCTS'!Q10</f>
        <v>0</v>
      </c>
      <c r="S186" s="2295">
        <f>'Ab4. HMIS-MCTS'!R10</f>
        <v>0</v>
      </c>
    </row>
    <row r="187" spans="1:19" s="3778" customFormat="1" ht="66">
      <c r="A187" s="3778">
        <v>3</v>
      </c>
      <c r="B187" s="3780" t="s">
        <v>2118</v>
      </c>
      <c r="C187" s="3780" t="s">
        <v>1161</v>
      </c>
      <c r="D187" s="3780" t="s">
        <v>1162</v>
      </c>
      <c r="E187" s="3813" t="s">
        <v>70</v>
      </c>
      <c r="F187" s="3782" t="s">
        <v>2379</v>
      </c>
      <c r="G187" s="2394">
        <v>533</v>
      </c>
      <c r="H187" s="2395">
        <v>163</v>
      </c>
      <c r="I187" s="2396">
        <v>34.61</v>
      </c>
      <c r="J187" s="2396">
        <v>5.32</v>
      </c>
      <c r="K187" s="2397"/>
      <c r="L187" s="2394" t="s">
        <v>6268</v>
      </c>
      <c r="M187" s="3788">
        <v>300</v>
      </c>
      <c r="N187" s="3738">
        <f>M187/100000</f>
        <v>3.0000000000000001E-3</v>
      </c>
      <c r="O187" s="3788">
        <v>332256</v>
      </c>
      <c r="P187" s="3797">
        <f>N187*O187</f>
        <v>996.76800000000003</v>
      </c>
      <c r="Q187" s="3822" t="s">
        <v>6862</v>
      </c>
      <c r="R187" s="3792">
        <f>'Ab4. HMIS-MCTS'!Q11</f>
        <v>0</v>
      </c>
      <c r="S187" s="3793">
        <f>'Ab4. HMIS-MCTS'!R11</f>
        <v>0</v>
      </c>
    </row>
    <row r="188" spans="1:19" s="3778" customFormat="1">
      <c r="A188" s="3778">
        <v>4</v>
      </c>
      <c r="B188" s="3780" t="s">
        <v>2609</v>
      </c>
      <c r="C188" s="3780"/>
      <c r="D188" s="3780" t="s">
        <v>1310</v>
      </c>
      <c r="E188" s="3813" t="s">
        <v>70</v>
      </c>
      <c r="F188" s="3782" t="s">
        <v>2379</v>
      </c>
      <c r="G188" s="2398"/>
      <c r="H188" s="2398"/>
      <c r="I188" s="2398"/>
      <c r="J188" s="2398"/>
      <c r="K188" s="2398"/>
      <c r="L188" s="2394"/>
      <c r="M188" s="3788"/>
      <c r="N188" s="3738">
        <f>M188/100000</f>
        <v>0</v>
      </c>
      <c r="O188" s="3788"/>
      <c r="P188" s="3797">
        <f>N188*O188</f>
        <v>0</v>
      </c>
      <c r="Q188" s="3839"/>
      <c r="R188" s="3792">
        <f>'Ab4. HMIS-MCTS'!Q12</f>
        <v>0</v>
      </c>
      <c r="S188" s="3793">
        <f>'Ab4. HMIS-MCTS'!R12</f>
        <v>0</v>
      </c>
    </row>
    <row r="189" spans="1:19" ht="33">
      <c r="A189" s="2283" t="s">
        <v>4666</v>
      </c>
      <c r="B189" s="2390" t="s">
        <v>2119</v>
      </c>
      <c r="C189" s="2391"/>
      <c r="D189" s="2392" t="s">
        <v>4606</v>
      </c>
      <c r="E189" s="1304"/>
      <c r="F189" s="1304"/>
      <c r="G189" s="2077"/>
      <c r="H189" s="2077"/>
      <c r="I189" s="2077"/>
      <c r="J189" s="2077"/>
      <c r="K189" s="2077"/>
      <c r="L189" s="3245"/>
      <c r="M189" s="2077"/>
      <c r="N189" s="2383"/>
      <c r="O189" s="2382"/>
      <c r="P189" s="2383">
        <f>SUM(P190:P194)</f>
        <v>3980.3190000000004</v>
      </c>
      <c r="Q189" s="2080"/>
      <c r="R189" s="1521"/>
      <c r="S189" s="1892">
        <f>SUM(S190:S194)</f>
        <v>0</v>
      </c>
    </row>
    <row r="190" spans="1:19" s="2135" customFormat="1" ht="200.25" customHeight="1">
      <c r="A190" s="2135">
        <v>1</v>
      </c>
      <c r="B190" s="1319" t="s">
        <v>2120</v>
      </c>
      <c r="C190" s="3947" t="s">
        <v>2037</v>
      </c>
      <c r="D190" s="1319" t="s">
        <v>4801</v>
      </c>
      <c r="E190" s="1340" t="s">
        <v>70</v>
      </c>
      <c r="F190" s="2306" t="s">
        <v>4357</v>
      </c>
      <c r="G190" s="2408"/>
      <c r="H190" s="2408"/>
      <c r="I190" s="2408"/>
      <c r="J190" s="2408"/>
      <c r="K190" s="2408"/>
      <c r="L190" s="2189" t="s">
        <v>6068</v>
      </c>
      <c r="M190" s="1714">
        <v>103400</v>
      </c>
      <c r="N190" s="2688">
        <f>M190/100000</f>
        <v>1.034</v>
      </c>
      <c r="O190" s="1714">
        <v>2100</v>
      </c>
      <c r="P190" s="2308">
        <f>N190*O190</f>
        <v>2171.4</v>
      </c>
      <c r="Q190" s="3184" t="s">
        <v>6389</v>
      </c>
      <c r="R190" s="3473">
        <f>'Abs6. CPHC'!Q23</f>
        <v>0</v>
      </c>
      <c r="S190" s="3948">
        <f>'Abs6. CPHC'!R23</f>
        <v>0</v>
      </c>
    </row>
    <row r="191" spans="1:19" s="3778" customFormat="1" ht="63" customHeight="1">
      <c r="A191" s="3778">
        <v>2</v>
      </c>
      <c r="B191" s="3780" t="s">
        <v>2121</v>
      </c>
      <c r="C191" s="3935" t="s">
        <v>2037</v>
      </c>
      <c r="D191" s="3780" t="s">
        <v>4802</v>
      </c>
      <c r="E191" s="3813" t="s">
        <v>70</v>
      </c>
      <c r="F191" s="3782" t="s">
        <v>4357</v>
      </c>
      <c r="G191" s="3894"/>
      <c r="H191" s="3894"/>
      <c r="I191" s="3894"/>
      <c r="J191" s="3894"/>
      <c r="K191" s="3894"/>
      <c r="L191" s="3895" t="s">
        <v>5903</v>
      </c>
      <c r="M191" s="3739">
        <v>79740000</v>
      </c>
      <c r="N191" s="3738">
        <f>M191/100000</f>
        <v>797.4</v>
      </c>
      <c r="O191" s="3739">
        <v>1</v>
      </c>
      <c r="P191" s="3797">
        <f>N191*O191</f>
        <v>797.4</v>
      </c>
      <c r="Q191" s="3936" t="s">
        <v>6851</v>
      </c>
      <c r="R191" s="3792">
        <f>'Abs6. CPHC'!Q24</f>
        <v>0</v>
      </c>
      <c r="S191" s="3840">
        <f>'Abs6. CPHC'!R24</f>
        <v>0</v>
      </c>
    </row>
    <row r="192" spans="1:19" s="3778" customFormat="1" ht="72" customHeight="1">
      <c r="A192" s="3778">
        <v>3</v>
      </c>
      <c r="B192" s="3780" t="s">
        <v>2122</v>
      </c>
      <c r="C192" s="3780" t="s">
        <v>1165</v>
      </c>
      <c r="D192" s="3780" t="s">
        <v>4803</v>
      </c>
      <c r="E192" s="3813" t="s">
        <v>70</v>
      </c>
      <c r="F192" s="3782" t="s">
        <v>4357</v>
      </c>
      <c r="G192" s="3894"/>
      <c r="H192" s="3894"/>
      <c r="I192" s="3894"/>
      <c r="J192" s="3894"/>
      <c r="K192" s="3894"/>
      <c r="L192" s="3895" t="s">
        <v>5904</v>
      </c>
      <c r="M192" s="3739">
        <v>35211900</v>
      </c>
      <c r="N192" s="3738">
        <f>M192/100000</f>
        <v>352.11900000000003</v>
      </c>
      <c r="O192" s="3739">
        <v>1</v>
      </c>
      <c r="P192" s="3797">
        <f>N192*O192</f>
        <v>352.11900000000003</v>
      </c>
      <c r="Q192" s="3937" t="s">
        <v>6860</v>
      </c>
      <c r="R192" s="3792">
        <f>'Abs6. CPHC'!Q25</f>
        <v>0</v>
      </c>
      <c r="S192" s="3840">
        <f>'Abs6. CPHC'!R25</f>
        <v>0</v>
      </c>
    </row>
    <row r="193" spans="1:19" s="3778" customFormat="1" ht="36" customHeight="1">
      <c r="A193" s="3778">
        <v>4</v>
      </c>
      <c r="B193" s="3780"/>
      <c r="C193" s="3780"/>
      <c r="D193" s="3780" t="s">
        <v>4804</v>
      </c>
      <c r="E193" s="3813" t="s">
        <v>70</v>
      </c>
      <c r="F193" s="3782" t="s">
        <v>4357</v>
      </c>
      <c r="G193" s="3894"/>
      <c r="H193" s="3894"/>
      <c r="I193" s="3894"/>
      <c r="J193" s="3894"/>
      <c r="K193" s="3894"/>
      <c r="L193" s="3895" t="s">
        <v>5905</v>
      </c>
      <c r="M193" s="3739">
        <v>10000</v>
      </c>
      <c r="N193" s="3738">
        <f>M193/100000</f>
        <v>0.1</v>
      </c>
      <c r="O193" s="3739">
        <v>690</v>
      </c>
      <c r="P193" s="3797">
        <f>N193*O193</f>
        <v>69</v>
      </c>
      <c r="Q193" s="3937" t="s">
        <v>6852</v>
      </c>
      <c r="R193" s="3792">
        <f>'Abs6. CPHC'!Q26</f>
        <v>0</v>
      </c>
      <c r="S193" s="3840">
        <f>'Abs6. CPHC'!R26</f>
        <v>0</v>
      </c>
    </row>
    <row r="194" spans="1:19" s="3778" customFormat="1" ht="96.75" customHeight="1">
      <c r="A194" s="3778">
        <v>5</v>
      </c>
      <c r="B194" s="3780" t="s">
        <v>2610</v>
      </c>
      <c r="C194" s="3780"/>
      <c r="D194" s="3780" t="s">
        <v>1310</v>
      </c>
      <c r="E194" s="3813" t="s">
        <v>70</v>
      </c>
      <c r="F194" s="3782" t="s">
        <v>4357</v>
      </c>
      <c r="G194" s="3794"/>
      <c r="H194" s="3784"/>
      <c r="I194" s="3785"/>
      <c r="J194" s="3785"/>
      <c r="K194" s="3794"/>
      <c r="L194" s="2395" t="s">
        <v>5823</v>
      </c>
      <c r="M194" s="3739">
        <v>59040000</v>
      </c>
      <c r="N194" s="3738">
        <f>M194/100000</f>
        <v>590.4</v>
      </c>
      <c r="O194" s="3739">
        <v>1</v>
      </c>
      <c r="P194" s="3797">
        <f>N194*O194</f>
        <v>590.4</v>
      </c>
      <c r="Q194" s="3936" t="s">
        <v>6853</v>
      </c>
      <c r="R194" s="3792">
        <f>'Abs6. CPHC'!Q27</f>
        <v>0</v>
      </c>
      <c r="S194" s="3840">
        <f>'Abs6. CPHC'!R27</f>
        <v>0</v>
      </c>
    </row>
    <row r="195" spans="1:19">
      <c r="A195" s="2283" t="s">
        <v>4774</v>
      </c>
      <c r="B195" s="2369" t="s">
        <v>3358</v>
      </c>
      <c r="C195" s="2369" t="s">
        <v>817</v>
      </c>
      <c r="D195" s="2369" t="s">
        <v>818</v>
      </c>
      <c r="E195" s="2370"/>
      <c r="F195" s="2370"/>
      <c r="G195" s="2371"/>
      <c r="H195" s="2371"/>
      <c r="I195" s="2371"/>
      <c r="J195" s="2371"/>
      <c r="K195" s="2371"/>
      <c r="L195" s="3243"/>
      <c r="M195" s="2371"/>
      <c r="N195" s="2374"/>
      <c r="O195" s="2373"/>
      <c r="P195" s="2374">
        <f>SUM(P196:P199)</f>
        <v>21.422499999999999</v>
      </c>
      <c r="Q195" s="2375"/>
      <c r="R195" s="1521"/>
      <c r="S195" s="1892">
        <f>SUM(S196:S199)</f>
        <v>0</v>
      </c>
    </row>
    <row r="196" spans="1:19" s="2551" customFormat="1" ht="35.25" customHeight="1">
      <c r="A196" s="2551">
        <v>1</v>
      </c>
      <c r="B196" s="1407" t="s">
        <v>4339</v>
      </c>
      <c r="C196" s="1407" t="s">
        <v>819</v>
      </c>
      <c r="D196" s="1407" t="s">
        <v>820</v>
      </c>
      <c r="E196" s="1360" t="s">
        <v>70</v>
      </c>
      <c r="F196" s="2993" t="s">
        <v>70</v>
      </c>
      <c r="G196" s="2589"/>
      <c r="H196" s="2589"/>
      <c r="I196" s="1420"/>
      <c r="J196" s="2591"/>
      <c r="K196" s="2589"/>
      <c r="L196" s="2401" t="s">
        <v>5928</v>
      </c>
      <c r="M196" s="1418">
        <v>1275</v>
      </c>
      <c r="N196" s="2994">
        <f>M196/100000</f>
        <v>1.2749999999999999E-2</v>
      </c>
      <c r="O196" s="1418">
        <v>190</v>
      </c>
      <c r="P196" s="2995">
        <f>N196*O196</f>
        <v>2.4224999999999999</v>
      </c>
      <c r="Q196" s="2996" t="s">
        <v>6378</v>
      </c>
      <c r="R196" s="1591"/>
      <c r="S196" s="2865"/>
    </row>
    <row r="197" spans="1:19" ht="33">
      <c r="A197" s="2133">
        <v>2</v>
      </c>
      <c r="B197" s="1309" t="s">
        <v>4340</v>
      </c>
      <c r="C197" s="1309" t="s">
        <v>821</v>
      </c>
      <c r="D197" s="1309" t="s">
        <v>822</v>
      </c>
      <c r="E197" s="1281" t="s">
        <v>70</v>
      </c>
      <c r="F197" s="2365" t="s">
        <v>70</v>
      </c>
      <c r="G197" s="2253"/>
      <c r="H197" s="2253"/>
      <c r="I197" s="1320"/>
      <c r="J197" s="2400"/>
      <c r="K197" s="2253"/>
      <c r="L197" s="2401"/>
      <c r="M197" s="1317"/>
      <c r="N197" s="1857">
        <f>M197/100000</f>
        <v>0</v>
      </c>
      <c r="O197" s="1317"/>
      <c r="P197" s="2293">
        <f>N197*O197</f>
        <v>0</v>
      </c>
      <c r="Q197" s="2297"/>
      <c r="R197" s="1524"/>
      <c r="S197" s="1909"/>
    </row>
    <row r="198" spans="1:19">
      <c r="A198" s="2133">
        <v>3</v>
      </c>
      <c r="B198" s="1309" t="s">
        <v>4341</v>
      </c>
      <c r="C198" s="1309" t="s">
        <v>823</v>
      </c>
      <c r="D198" s="1309" t="s">
        <v>824</v>
      </c>
      <c r="E198" s="1281" t="s">
        <v>70</v>
      </c>
      <c r="F198" s="2365" t="s">
        <v>70</v>
      </c>
      <c r="G198" s="2253"/>
      <c r="H198" s="2253"/>
      <c r="I198" s="1320"/>
      <c r="J198" s="2400"/>
      <c r="K198" s="2253"/>
      <c r="L198" s="2401"/>
      <c r="M198" s="1317"/>
      <c r="N198" s="1857">
        <f>M198/100000</f>
        <v>0</v>
      </c>
      <c r="O198" s="1317"/>
      <c r="P198" s="2293">
        <f>N198*O198</f>
        <v>0</v>
      </c>
      <c r="Q198" s="2315"/>
      <c r="R198" s="1524"/>
      <c r="S198" s="1909"/>
    </row>
    <row r="199" spans="1:19" ht="49.5">
      <c r="A199" s="2133">
        <v>4</v>
      </c>
      <c r="B199" s="1309" t="s">
        <v>4342</v>
      </c>
      <c r="C199" s="1309" t="s">
        <v>825</v>
      </c>
      <c r="D199" s="1336" t="s">
        <v>1766</v>
      </c>
      <c r="E199" s="1281" t="s">
        <v>70</v>
      </c>
      <c r="F199" s="2376" t="s">
        <v>70</v>
      </c>
      <c r="G199" s="2292"/>
      <c r="H199" s="2292"/>
      <c r="I199" s="2292"/>
      <c r="J199" s="2292"/>
      <c r="K199" s="2292"/>
      <c r="L199" s="2219" t="s">
        <v>5929</v>
      </c>
      <c r="M199" s="1317">
        <v>50000</v>
      </c>
      <c r="N199" s="1857">
        <f>M199/100000</f>
        <v>0.5</v>
      </c>
      <c r="O199" s="1317">
        <v>38</v>
      </c>
      <c r="P199" s="2293">
        <f>N199*O199</f>
        <v>19</v>
      </c>
      <c r="Q199" s="2294" t="s">
        <v>6379</v>
      </c>
      <c r="R199" s="1524"/>
      <c r="S199" s="1909"/>
    </row>
    <row r="200" spans="1:19">
      <c r="B200" s="2369"/>
      <c r="C200" s="2369"/>
      <c r="D200" s="2369" t="s">
        <v>5046</v>
      </c>
      <c r="E200" s="1341"/>
      <c r="F200" s="2402"/>
      <c r="G200" s="2403"/>
      <c r="H200" s="2403"/>
      <c r="I200" s="2403"/>
      <c r="J200" s="2403"/>
      <c r="K200" s="2403"/>
      <c r="L200" s="2235"/>
      <c r="M200" s="1934"/>
      <c r="N200" s="2404"/>
      <c r="O200" s="1934"/>
      <c r="P200" s="2405"/>
      <c r="Q200" s="2406"/>
      <c r="R200" s="1521"/>
      <c r="S200" s="1892"/>
    </row>
    <row r="201" spans="1:19" ht="49.5">
      <c r="A201" s="2283" t="s">
        <v>4774</v>
      </c>
      <c r="B201" s="2347" t="s">
        <v>3354</v>
      </c>
      <c r="C201" s="1309" t="s">
        <v>1163</v>
      </c>
      <c r="D201" s="1309" t="s">
        <v>1164</v>
      </c>
      <c r="E201" s="1281" t="s">
        <v>70</v>
      </c>
      <c r="F201" s="2164" t="s">
        <v>70</v>
      </c>
      <c r="G201" s="2292"/>
      <c r="H201" s="2292"/>
      <c r="I201" s="2292"/>
      <c r="J201" s="2292"/>
      <c r="K201" s="2292"/>
      <c r="L201" s="2427" t="s">
        <v>5942</v>
      </c>
      <c r="M201" s="1963">
        <v>325000</v>
      </c>
      <c r="N201" s="1857">
        <f t="shared" ref="N201:N207" si="13">M201/100000</f>
        <v>3.25</v>
      </c>
      <c r="O201" s="1317">
        <v>4</v>
      </c>
      <c r="P201" s="2293">
        <f t="shared" ref="P201:P206" si="14">N201*O201</f>
        <v>13</v>
      </c>
      <c r="Q201" s="2432" t="s">
        <v>6390</v>
      </c>
      <c r="R201" s="1524"/>
      <c r="S201" s="1909"/>
    </row>
    <row r="202" spans="1:19" ht="33">
      <c r="A202" s="2283" t="s">
        <v>4917</v>
      </c>
      <c r="B202" s="2347" t="s">
        <v>3355</v>
      </c>
      <c r="C202" s="1309" t="s">
        <v>1166</v>
      </c>
      <c r="D202" s="2354" t="s">
        <v>1167</v>
      </c>
      <c r="E202" s="1281" t="s">
        <v>70</v>
      </c>
      <c r="F202" s="2164" t="s">
        <v>70</v>
      </c>
      <c r="G202" s="2292"/>
      <c r="H202" s="2292"/>
      <c r="I202" s="2292"/>
      <c r="J202" s="2292"/>
      <c r="K202" s="2292"/>
      <c r="L202" s="2219"/>
      <c r="M202" s="1317"/>
      <c r="N202" s="1857">
        <f t="shared" si="13"/>
        <v>0</v>
      </c>
      <c r="O202" s="1317"/>
      <c r="P202" s="2293">
        <f t="shared" si="14"/>
        <v>0</v>
      </c>
      <c r="Q202" s="2407"/>
      <c r="R202" s="1524"/>
      <c r="S202" s="1909"/>
    </row>
    <row r="203" spans="1:19" ht="33">
      <c r="A203" s="2283" t="s">
        <v>4918</v>
      </c>
      <c r="B203" s="2347" t="s">
        <v>3356</v>
      </c>
      <c r="C203" s="1309" t="s">
        <v>1013</v>
      </c>
      <c r="D203" s="1309" t="s">
        <v>1014</v>
      </c>
      <c r="E203" s="1281" t="s">
        <v>70</v>
      </c>
      <c r="F203" s="2164" t="s">
        <v>70</v>
      </c>
      <c r="G203" s="2292"/>
      <c r="H203" s="2292"/>
      <c r="I203" s="2292"/>
      <c r="J203" s="2292"/>
      <c r="K203" s="2292"/>
      <c r="L203" s="2219"/>
      <c r="M203" s="1317"/>
      <c r="N203" s="1857">
        <f t="shared" si="13"/>
        <v>0</v>
      </c>
      <c r="O203" s="1317"/>
      <c r="P203" s="2293">
        <f t="shared" si="14"/>
        <v>0</v>
      </c>
      <c r="Q203" s="2407"/>
      <c r="R203" s="1524"/>
      <c r="S203" s="1909"/>
    </row>
    <row r="204" spans="1:19">
      <c r="A204" s="2283" t="s">
        <v>4919</v>
      </c>
      <c r="B204" s="2347" t="s">
        <v>3357</v>
      </c>
      <c r="C204" s="1309" t="s">
        <v>1015</v>
      </c>
      <c r="D204" s="1309" t="s">
        <v>1016</v>
      </c>
      <c r="E204" s="1281" t="s">
        <v>70</v>
      </c>
      <c r="F204" s="2164" t="s">
        <v>70</v>
      </c>
      <c r="G204" s="2292"/>
      <c r="H204" s="2292"/>
      <c r="I204" s="2292"/>
      <c r="J204" s="2292"/>
      <c r="K204" s="2292"/>
      <c r="L204" s="2219"/>
      <c r="M204" s="1317"/>
      <c r="N204" s="1857">
        <f t="shared" si="13"/>
        <v>0</v>
      </c>
      <c r="O204" s="1317"/>
      <c r="P204" s="2293">
        <f t="shared" si="14"/>
        <v>0</v>
      </c>
      <c r="Q204" s="2407"/>
      <c r="R204" s="1524"/>
      <c r="S204" s="1909"/>
    </row>
    <row r="205" spans="1:19" s="2135" customFormat="1" ht="33">
      <c r="A205" s="2339" t="s">
        <v>4920</v>
      </c>
      <c r="B205" s="1319" t="s">
        <v>4495</v>
      </c>
      <c r="C205" s="1319"/>
      <c r="D205" s="1319" t="s">
        <v>4497</v>
      </c>
      <c r="E205" s="1281" t="s">
        <v>70</v>
      </c>
      <c r="F205" s="2164" t="s">
        <v>5567</v>
      </c>
      <c r="G205" s="2408"/>
      <c r="H205" s="2408"/>
      <c r="I205" s="2408"/>
      <c r="J205" s="2408"/>
      <c r="K205" s="2408"/>
      <c r="L205" s="2189"/>
      <c r="M205" s="1317"/>
      <c r="N205" s="1857">
        <f t="shared" si="13"/>
        <v>0</v>
      </c>
      <c r="O205" s="1317"/>
      <c r="P205" s="2308">
        <f t="shared" si="14"/>
        <v>0</v>
      </c>
      <c r="Q205" s="2407"/>
      <c r="R205" s="1547"/>
      <c r="S205" s="2385"/>
    </row>
    <row r="206" spans="1:19" s="2135" customFormat="1" ht="82.5">
      <c r="A206" s="2339" t="s">
        <v>4854</v>
      </c>
      <c r="B206" s="1319" t="s">
        <v>4496</v>
      </c>
      <c r="C206" s="1319"/>
      <c r="D206" s="1319" t="s">
        <v>4541</v>
      </c>
      <c r="E206" s="1281" t="s">
        <v>70</v>
      </c>
      <c r="F206" s="2409" t="s">
        <v>4915</v>
      </c>
      <c r="G206" s="2408"/>
      <c r="H206" s="2408"/>
      <c r="I206" s="2408"/>
      <c r="J206" s="2408"/>
      <c r="K206" s="2408"/>
      <c r="L206" s="2189" t="s">
        <v>6612</v>
      </c>
      <c r="M206" s="1317">
        <v>2900000</v>
      </c>
      <c r="N206" s="1857">
        <f t="shared" si="13"/>
        <v>29</v>
      </c>
      <c r="O206" s="1317">
        <v>1</v>
      </c>
      <c r="P206" s="2308">
        <f t="shared" si="14"/>
        <v>29</v>
      </c>
      <c r="Q206" s="2407" t="s">
        <v>6613</v>
      </c>
      <c r="R206" s="1547"/>
      <c r="S206" s="2385"/>
    </row>
    <row r="207" spans="1:19" s="3778" customFormat="1" ht="127.5" customHeight="1">
      <c r="A207" s="3778" t="s">
        <v>4834</v>
      </c>
      <c r="B207" s="3780" t="s">
        <v>4543</v>
      </c>
      <c r="C207" s="3779"/>
      <c r="D207" s="4025" t="s">
        <v>1310</v>
      </c>
      <c r="E207" s="3813" t="s">
        <v>70</v>
      </c>
      <c r="F207" s="4026" t="s">
        <v>4915</v>
      </c>
      <c r="G207" s="3940"/>
      <c r="H207" s="3940"/>
      <c r="I207" s="3940"/>
      <c r="J207" s="3940"/>
      <c r="K207" s="3940"/>
      <c r="L207" s="3815"/>
      <c r="M207" s="3739">
        <v>1005000</v>
      </c>
      <c r="N207" s="3738">
        <f t="shared" si="13"/>
        <v>10.050000000000001</v>
      </c>
      <c r="O207" s="3739">
        <v>1</v>
      </c>
      <c r="P207" s="4027">
        <f>N207*O207</f>
        <v>10.050000000000001</v>
      </c>
      <c r="Q207" s="4028" t="s">
        <v>6744</v>
      </c>
      <c r="R207" s="4029"/>
      <c r="S207" s="4030"/>
    </row>
    <row r="208" spans="1:19">
      <c r="A208" s="2283"/>
      <c r="B208" s="4459" t="s">
        <v>5038</v>
      </c>
      <c r="C208" s="4460"/>
      <c r="D208" s="4461"/>
      <c r="E208" s="1687"/>
      <c r="F208" s="1687"/>
      <c r="G208" s="1708"/>
      <c r="H208" s="1708"/>
      <c r="I208" s="1708"/>
      <c r="J208" s="1708"/>
      <c r="K208" s="1708"/>
      <c r="L208" s="1804"/>
      <c r="M208" s="1708"/>
      <c r="N208" s="2321"/>
      <c r="O208" s="2322"/>
      <c r="P208" s="2321"/>
      <c r="Q208" s="1710"/>
      <c r="R208" s="1693"/>
      <c r="S208" s="2323"/>
    </row>
    <row r="209" spans="1:19">
      <c r="A209" s="2339" t="s">
        <v>4350</v>
      </c>
      <c r="B209" s="1519" t="s">
        <v>1040</v>
      </c>
      <c r="C209" s="1769"/>
      <c r="D209" s="1770" t="s">
        <v>1041</v>
      </c>
      <c r="E209" s="1520"/>
      <c r="F209" s="1520"/>
      <c r="G209" s="1722"/>
      <c r="H209" s="1722"/>
      <c r="I209" s="1722"/>
      <c r="J209" s="1722"/>
      <c r="K209" s="1722"/>
      <c r="L209" s="1526"/>
      <c r="M209" s="1722"/>
      <c r="N209" s="2324"/>
      <c r="O209" s="2325"/>
      <c r="P209" s="2326">
        <f>SUM(P210:P218)</f>
        <v>20.808</v>
      </c>
      <c r="Q209" s="1771"/>
      <c r="R209" s="1682"/>
      <c r="S209" s="2327">
        <f>SUM(S210:S218)</f>
        <v>0</v>
      </c>
    </row>
    <row r="210" spans="1:19" s="2551" customFormat="1" ht="42.75" customHeight="1">
      <c r="A210" s="2551">
        <v>1</v>
      </c>
      <c r="B210" s="1407" t="s">
        <v>1042</v>
      </c>
      <c r="C210" s="1598" t="s">
        <v>1043</v>
      </c>
      <c r="D210" s="1598" t="s">
        <v>1044</v>
      </c>
      <c r="E210" s="1616" t="s">
        <v>4358</v>
      </c>
      <c r="F210" s="2546" t="s">
        <v>293</v>
      </c>
      <c r="G210" s="2997"/>
      <c r="H210" s="2997"/>
      <c r="I210" s="2997"/>
      <c r="J210" s="2997"/>
      <c r="K210" s="2997"/>
      <c r="L210" s="2219" t="s">
        <v>6096</v>
      </c>
      <c r="M210" s="1418">
        <v>600</v>
      </c>
      <c r="N210" s="2994">
        <f t="shared" ref="N210:N218" si="15">M210/100000</f>
        <v>6.0000000000000001E-3</v>
      </c>
      <c r="O210" s="1418">
        <v>534</v>
      </c>
      <c r="P210" s="2995">
        <f t="shared" ref="P210:P218" si="16">N210*O210</f>
        <v>3.2040000000000002</v>
      </c>
      <c r="Q210" s="2998" t="s">
        <v>6099</v>
      </c>
      <c r="R210" s="1639">
        <f>'Abs8. IDSP'!Q13</f>
        <v>0</v>
      </c>
      <c r="S210" s="2838">
        <f>'Abs8. IDSP'!R13</f>
        <v>0</v>
      </c>
    </row>
    <row r="211" spans="1:19" s="2551" customFormat="1" ht="42.75" customHeight="1">
      <c r="A211" s="2551">
        <v>2</v>
      </c>
      <c r="B211" s="1407" t="s">
        <v>2587</v>
      </c>
      <c r="C211" s="1598" t="s">
        <v>1045</v>
      </c>
      <c r="D211" s="1598" t="s">
        <v>1046</v>
      </c>
      <c r="E211" s="1616" t="s">
        <v>4358</v>
      </c>
      <c r="F211" s="2546" t="s">
        <v>293</v>
      </c>
      <c r="G211" s="2997"/>
      <c r="H211" s="2997"/>
      <c r="I211" s="2997"/>
      <c r="J211" s="2997"/>
      <c r="K211" s="2997"/>
      <c r="L211" s="2219" t="s">
        <v>6097</v>
      </c>
      <c r="M211" s="1418">
        <v>5800</v>
      </c>
      <c r="N211" s="2994">
        <f t="shared" si="15"/>
        <v>5.8000000000000003E-2</v>
      </c>
      <c r="O211" s="1418">
        <v>6</v>
      </c>
      <c r="P211" s="2995">
        <f t="shared" si="16"/>
        <v>0.34800000000000003</v>
      </c>
      <c r="Q211" s="2998" t="s">
        <v>6100</v>
      </c>
      <c r="R211" s="1639">
        <f>'Abs8. IDSP'!Q14</f>
        <v>0</v>
      </c>
      <c r="S211" s="2838">
        <f>'Abs8. IDSP'!R14</f>
        <v>0</v>
      </c>
    </row>
    <row r="212" spans="1:19" s="2551" customFormat="1" ht="42.75" customHeight="1">
      <c r="A212" s="2551">
        <v>3</v>
      </c>
      <c r="B212" s="1407" t="s">
        <v>2588</v>
      </c>
      <c r="C212" s="1598" t="s">
        <v>1047</v>
      </c>
      <c r="D212" s="1598" t="s">
        <v>1048</v>
      </c>
      <c r="E212" s="1616" t="s">
        <v>4358</v>
      </c>
      <c r="F212" s="2546" t="s">
        <v>293</v>
      </c>
      <c r="G212" s="2997"/>
      <c r="H212" s="2997"/>
      <c r="I212" s="2997"/>
      <c r="J212" s="2997"/>
      <c r="K212" s="2997"/>
      <c r="L212" s="2219" t="s">
        <v>6096</v>
      </c>
      <c r="M212" s="1418">
        <v>450</v>
      </c>
      <c r="N212" s="2994">
        <f t="shared" si="15"/>
        <v>4.4999999999999997E-3</v>
      </c>
      <c r="O212" s="1418">
        <v>534</v>
      </c>
      <c r="P212" s="2995">
        <f t="shared" si="16"/>
        <v>2.403</v>
      </c>
      <c r="Q212" s="2998" t="s">
        <v>6101</v>
      </c>
      <c r="R212" s="1639">
        <f>'Abs8. IDSP'!Q15</f>
        <v>0</v>
      </c>
      <c r="S212" s="2838">
        <f>'Abs8. IDSP'!R15</f>
        <v>0</v>
      </c>
    </row>
    <row r="213" spans="1:19" s="2551" customFormat="1" ht="42.75" customHeight="1">
      <c r="A213" s="2551">
        <v>4</v>
      </c>
      <c r="B213" s="1407" t="s">
        <v>2589</v>
      </c>
      <c r="C213" s="1598" t="s">
        <v>1049</v>
      </c>
      <c r="D213" s="1598" t="s">
        <v>1050</v>
      </c>
      <c r="E213" s="1616" t="s">
        <v>4358</v>
      </c>
      <c r="F213" s="2546" t="s">
        <v>293</v>
      </c>
      <c r="G213" s="2997"/>
      <c r="H213" s="2997"/>
      <c r="I213" s="2997"/>
      <c r="J213" s="2997"/>
      <c r="K213" s="2997"/>
      <c r="L213" s="2219" t="s">
        <v>6097</v>
      </c>
      <c r="M213" s="1418">
        <v>22000</v>
      </c>
      <c r="N213" s="2994">
        <f t="shared" si="15"/>
        <v>0.22</v>
      </c>
      <c r="O213" s="1418">
        <v>6</v>
      </c>
      <c r="P213" s="2995">
        <f t="shared" si="16"/>
        <v>1.32</v>
      </c>
      <c r="Q213" s="2998" t="s">
        <v>6100</v>
      </c>
      <c r="R213" s="1639">
        <f>'Abs8. IDSP'!Q16</f>
        <v>0</v>
      </c>
      <c r="S213" s="2838">
        <f>'Abs8. IDSP'!R16</f>
        <v>0</v>
      </c>
    </row>
    <row r="214" spans="1:19" s="2551" customFormat="1" ht="42.75" customHeight="1">
      <c r="A214" s="2551">
        <v>5</v>
      </c>
      <c r="B214" s="1407" t="s">
        <v>2590</v>
      </c>
      <c r="C214" s="1598" t="s">
        <v>1051</v>
      </c>
      <c r="D214" s="1598" t="s">
        <v>1052</v>
      </c>
      <c r="E214" s="1616" t="s">
        <v>4358</v>
      </c>
      <c r="F214" s="2546" t="s">
        <v>293</v>
      </c>
      <c r="G214" s="2997"/>
      <c r="H214" s="2997"/>
      <c r="I214" s="2997"/>
      <c r="J214" s="2997"/>
      <c r="K214" s="2997"/>
      <c r="L214" s="2219" t="s">
        <v>6098</v>
      </c>
      <c r="M214" s="1418">
        <v>30000</v>
      </c>
      <c r="N214" s="2994">
        <f t="shared" si="15"/>
        <v>0.3</v>
      </c>
      <c r="O214" s="1418">
        <v>1</v>
      </c>
      <c r="P214" s="2995">
        <f t="shared" si="16"/>
        <v>0.3</v>
      </c>
      <c r="Q214" s="2998" t="s">
        <v>6102</v>
      </c>
      <c r="R214" s="1639">
        <f>'Abs8. IDSP'!Q17</f>
        <v>0</v>
      </c>
      <c r="S214" s="2838">
        <f>'Abs8. IDSP'!R17</f>
        <v>0</v>
      </c>
    </row>
    <row r="215" spans="1:19" s="2551" customFormat="1" ht="42.75" customHeight="1">
      <c r="A215" s="2551">
        <v>6</v>
      </c>
      <c r="B215" s="1407" t="s">
        <v>2591</v>
      </c>
      <c r="C215" s="1598" t="s">
        <v>1053</v>
      </c>
      <c r="D215" s="1598" t="s">
        <v>1054</v>
      </c>
      <c r="E215" s="1616" t="s">
        <v>4358</v>
      </c>
      <c r="F215" s="2546" t="s">
        <v>293</v>
      </c>
      <c r="G215" s="2997"/>
      <c r="H215" s="2997"/>
      <c r="I215" s="2997"/>
      <c r="J215" s="2997"/>
      <c r="K215" s="2997"/>
      <c r="L215" s="2219" t="s">
        <v>6098</v>
      </c>
      <c r="M215" s="1418">
        <v>30000</v>
      </c>
      <c r="N215" s="2994">
        <f t="shared" si="15"/>
        <v>0.3</v>
      </c>
      <c r="O215" s="1418">
        <v>1</v>
      </c>
      <c r="P215" s="2995">
        <f t="shared" si="16"/>
        <v>0.3</v>
      </c>
      <c r="Q215" s="2998" t="s">
        <v>6102</v>
      </c>
      <c r="R215" s="1639">
        <f>'Abs8. IDSP'!Q18</f>
        <v>0</v>
      </c>
      <c r="S215" s="2838">
        <f>'Abs8. IDSP'!R18</f>
        <v>0</v>
      </c>
    </row>
    <row r="216" spans="1:19" s="2551" customFormat="1" ht="42.75" customHeight="1">
      <c r="A216" s="2551">
        <v>7</v>
      </c>
      <c r="B216" s="1407" t="s">
        <v>2592</v>
      </c>
      <c r="C216" s="1598" t="s">
        <v>1055</v>
      </c>
      <c r="D216" s="1598" t="s">
        <v>1056</v>
      </c>
      <c r="E216" s="1616" t="s">
        <v>4358</v>
      </c>
      <c r="F216" s="2546" t="s">
        <v>293</v>
      </c>
      <c r="G216" s="2997"/>
      <c r="H216" s="2997"/>
      <c r="I216" s="2997"/>
      <c r="J216" s="2997"/>
      <c r="K216" s="2997"/>
      <c r="L216" s="2219" t="s">
        <v>6096</v>
      </c>
      <c r="M216" s="1418">
        <v>250</v>
      </c>
      <c r="N216" s="2994">
        <f t="shared" si="15"/>
        <v>2.5000000000000001E-3</v>
      </c>
      <c r="O216" s="1418">
        <v>4172</v>
      </c>
      <c r="P216" s="2995">
        <f t="shared" si="16"/>
        <v>10.43</v>
      </c>
      <c r="Q216" s="2998" t="s">
        <v>6103</v>
      </c>
      <c r="R216" s="1639">
        <f>'Abs8. IDSP'!Q19</f>
        <v>0</v>
      </c>
      <c r="S216" s="2838">
        <f>'Abs8. IDSP'!R19</f>
        <v>0</v>
      </c>
    </row>
    <row r="217" spans="1:19" s="3965" customFormat="1" ht="64.5" customHeight="1">
      <c r="A217" s="3965">
        <v>8</v>
      </c>
      <c r="B217" s="3765" t="s">
        <v>2593</v>
      </c>
      <c r="C217" s="3854" t="s">
        <v>1057</v>
      </c>
      <c r="D217" s="3854" t="s">
        <v>1058</v>
      </c>
      <c r="E217" s="3856" t="s">
        <v>4358</v>
      </c>
      <c r="F217" s="3966" t="s">
        <v>293</v>
      </c>
      <c r="G217" s="3967"/>
      <c r="H217" s="3967"/>
      <c r="I217" s="3967"/>
      <c r="J217" s="3967"/>
      <c r="K217" s="3967"/>
      <c r="L217" s="3958" t="s">
        <v>6096</v>
      </c>
      <c r="M217" s="3958">
        <v>450</v>
      </c>
      <c r="N217" s="3968">
        <f t="shared" si="15"/>
        <v>4.4999999999999997E-3</v>
      </c>
      <c r="O217" s="3958">
        <v>534</v>
      </c>
      <c r="P217" s="3969">
        <f t="shared" si="16"/>
        <v>2.403</v>
      </c>
      <c r="Q217" s="3958" t="s">
        <v>6871</v>
      </c>
      <c r="R217" s="3761">
        <f>'Abs8. IDSP'!Q20</f>
        <v>0</v>
      </c>
      <c r="S217" s="3970">
        <f>'Abs8. IDSP'!R20</f>
        <v>0</v>
      </c>
    </row>
    <row r="218" spans="1:19" s="2551" customFormat="1" ht="42.75" customHeight="1">
      <c r="A218" s="2551">
        <v>9</v>
      </c>
      <c r="B218" s="1407" t="s">
        <v>2594</v>
      </c>
      <c r="C218" s="1598" t="s">
        <v>1059</v>
      </c>
      <c r="D218" s="1598" t="s">
        <v>1310</v>
      </c>
      <c r="E218" s="1616" t="s">
        <v>4358</v>
      </c>
      <c r="F218" s="2546" t="s">
        <v>293</v>
      </c>
      <c r="G218" s="2997"/>
      <c r="H218" s="2997"/>
      <c r="I218" s="2997"/>
      <c r="J218" s="2997"/>
      <c r="K218" s="2997"/>
      <c r="L218" s="2219" t="s">
        <v>6098</v>
      </c>
      <c r="M218" s="1418">
        <v>10000</v>
      </c>
      <c r="N218" s="2994">
        <f t="shared" si="15"/>
        <v>0.1</v>
      </c>
      <c r="O218" s="1418">
        <v>1</v>
      </c>
      <c r="P218" s="2995">
        <f t="shared" si="16"/>
        <v>0.1</v>
      </c>
      <c r="Q218" s="2998" t="s">
        <v>6104</v>
      </c>
      <c r="R218" s="1639">
        <f>'Abs8. IDSP'!Q21</f>
        <v>0</v>
      </c>
      <c r="S218" s="2838">
        <f>'Abs8. IDSP'!R21</f>
        <v>0</v>
      </c>
    </row>
    <row r="219" spans="1:19" s="2551" customFormat="1" ht="42.75" customHeight="1">
      <c r="A219" s="2999" t="s">
        <v>4351</v>
      </c>
      <c r="B219" s="1581" t="s">
        <v>1060</v>
      </c>
      <c r="C219" s="3000"/>
      <c r="D219" s="3001" t="s">
        <v>1061</v>
      </c>
      <c r="E219" s="1582"/>
      <c r="F219" s="1582"/>
      <c r="G219" s="3002"/>
      <c r="H219" s="3002"/>
      <c r="I219" s="3002"/>
      <c r="J219" s="3002"/>
      <c r="K219" s="3002"/>
      <c r="L219" s="1526"/>
      <c r="M219" s="3002"/>
      <c r="N219" s="3003"/>
      <c r="O219" s="3004"/>
      <c r="P219" s="3005">
        <f>SUM(P220:P227)</f>
        <v>656.40329999999994</v>
      </c>
      <c r="Q219" s="3006"/>
      <c r="R219" s="3007"/>
      <c r="S219" s="3008">
        <f>SUM(S220:S227)</f>
        <v>0</v>
      </c>
    </row>
    <row r="220" spans="1:19" s="2551" customFormat="1" ht="42.75" customHeight="1">
      <c r="A220" s="2551">
        <v>1</v>
      </c>
      <c r="B220" s="1407" t="s">
        <v>1062</v>
      </c>
      <c r="C220" s="1598" t="s">
        <v>1063</v>
      </c>
      <c r="D220" s="1598" t="s">
        <v>1064</v>
      </c>
      <c r="E220" s="1616" t="s">
        <v>4358</v>
      </c>
      <c r="F220" s="1588" t="s">
        <v>4976</v>
      </c>
      <c r="G220" s="3009"/>
      <c r="H220" s="3010"/>
      <c r="I220" s="3011"/>
      <c r="J220" s="3011"/>
      <c r="K220" s="3009"/>
      <c r="L220" s="2232" t="s">
        <v>6111</v>
      </c>
      <c r="M220" s="1418">
        <v>64872</v>
      </c>
      <c r="N220" s="2994">
        <f t="shared" ref="N220:N227" si="17">M220/100000</f>
        <v>0.64871999999999996</v>
      </c>
      <c r="O220" s="1418">
        <v>39</v>
      </c>
      <c r="P220" s="2995">
        <f t="shared" ref="P220:P227" si="18">N220*O220</f>
        <v>25.300079999999998</v>
      </c>
      <c r="Q220" s="1455" t="s">
        <v>6136</v>
      </c>
      <c r="R220" s="1639">
        <f>'Abs9. NVBDCP'!Q62</f>
        <v>0</v>
      </c>
      <c r="S220" s="2838">
        <f>'Abs9. NVBDCP'!R62</f>
        <v>0</v>
      </c>
    </row>
    <row r="221" spans="1:19" s="2551" customFormat="1" ht="42.75" customHeight="1">
      <c r="A221" s="2551">
        <v>2</v>
      </c>
      <c r="B221" s="1407" t="s">
        <v>1065</v>
      </c>
      <c r="C221" s="1598" t="s">
        <v>1066</v>
      </c>
      <c r="D221" s="1598" t="s">
        <v>1067</v>
      </c>
      <c r="E221" s="1616" t="s">
        <v>4358</v>
      </c>
      <c r="F221" s="1588" t="s">
        <v>4971</v>
      </c>
      <c r="G221" s="3009"/>
      <c r="H221" s="3010"/>
      <c r="I221" s="3011"/>
      <c r="J221" s="3011"/>
      <c r="K221" s="3009"/>
      <c r="L221" s="2232" t="s">
        <v>2158</v>
      </c>
      <c r="M221" s="1418">
        <v>400000</v>
      </c>
      <c r="N221" s="2994">
        <f t="shared" si="17"/>
        <v>4</v>
      </c>
      <c r="O221" s="1418">
        <v>1</v>
      </c>
      <c r="P221" s="2995">
        <f t="shared" si="18"/>
        <v>4</v>
      </c>
      <c r="Q221" s="1455" t="s">
        <v>6137</v>
      </c>
      <c r="R221" s="1639">
        <f>'Abs9. NVBDCP'!Q63</f>
        <v>0</v>
      </c>
      <c r="S221" s="2838">
        <f>'Abs9. NVBDCP'!R63</f>
        <v>0</v>
      </c>
    </row>
    <row r="222" spans="1:19" s="2551" customFormat="1" ht="42.75" customHeight="1">
      <c r="A222" s="2551">
        <v>3</v>
      </c>
      <c r="B222" s="1407" t="s">
        <v>1068</v>
      </c>
      <c r="C222" s="1598" t="s">
        <v>1069</v>
      </c>
      <c r="D222" s="1598" t="s">
        <v>1070</v>
      </c>
      <c r="E222" s="1616" t="s">
        <v>4358</v>
      </c>
      <c r="F222" s="1588" t="s">
        <v>4972</v>
      </c>
      <c r="G222" s="2997"/>
      <c r="H222" s="2997"/>
      <c r="I222" s="2997"/>
      <c r="J222" s="2997"/>
      <c r="K222" s="2997"/>
      <c r="L222" s="2189" t="s">
        <v>6128</v>
      </c>
      <c r="M222" s="2820">
        <v>2000000</v>
      </c>
      <c r="N222" s="3181">
        <f t="shared" si="17"/>
        <v>20</v>
      </c>
      <c r="O222" s="2820">
        <v>1</v>
      </c>
      <c r="P222" s="3182">
        <f t="shared" si="18"/>
        <v>20</v>
      </c>
      <c r="Q222" s="3183" t="s">
        <v>6138</v>
      </c>
      <c r="R222" s="1639">
        <f>'Abs9. NVBDCP'!Q64</f>
        <v>0</v>
      </c>
      <c r="S222" s="2838">
        <f>'Abs9. NVBDCP'!R64</f>
        <v>0</v>
      </c>
    </row>
    <row r="223" spans="1:19" s="2551" customFormat="1" ht="42.75" customHeight="1">
      <c r="A223" s="2551">
        <v>4</v>
      </c>
      <c r="B223" s="1407" t="s">
        <v>1071</v>
      </c>
      <c r="C223" s="1598" t="s">
        <v>1072</v>
      </c>
      <c r="D223" s="1598" t="s">
        <v>1073</v>
      </c>
      <c r="E223" s="1616" t="s">
        <v>4358</v>
      </c>
      <c r="F223" s="1588" t="s">
        <v>4972</v>
      </c>
      <c r="G223" s="2997"/>
      <c r="H223" s="2997"/>
      <c r="I223" s="2997"/>
      <c r="J223" s="2997"/>
      <c r="K223" s="2997"/>
      <c r="L223" s="2189"/>
      <c r="M223" s="2820"/>
      <c r="N223" s="3181">
        <f t="shared" si="17"/>
        <v>0</v>
      </c>
      <c r="O223" s="2820"/>
      <c r="P223" s="3182">
        <f t="shared" si="18"/>
        <v>0</v>
      </c>
      <c r="Q223" s="3184"/>
      <c r="R223" s="1639">
        <f>'Abs9. NVBDCP'!Q65</f>
        <v>0</v>
      </c>
      <c r="S223" s="2838">
        <f>'Abs9. NVBDCP'!R65</f>
        <v>0</v>
      </c>
    </row>
    <row r="224" spans="1:19" s="2551" customFormat="1" ht="42.75" customHeight="1">
      <c r="A224" s="2551">
        <v>5</v>
      </c>
      <c r="B224" s="1407" t="s">
        <v>1074</v>
      </c>
      <c r="C224" s="1598" t="s">
        <v>1075</v>
      </c>
      <c r="D224" s="1598" t="s">
        <v>1076</v>
      </c>
      <c r="E224" s="1616" t="s">
        <v>4358</v>
      </c>
      <c r="F224" s="1588" t="s">
        <v>4972</v>
      </c>
      <c r="G224" s="2997"/>
      <c r="H224" s="2997"/>
      <c r="I224" s="2997"/>
      <c r="J224" s="2997"/>
      <c r="K224" s="2997"/>
      <c r="L224" s="2189" t="s">
        <v>6128</v>
      </c>
      <c r="M224" s="2820">
        <v>800000</v>
      </c>
      <c r="N224" s="3181">
        <f t="shared" si="17"/>
        <v>8</v>
      </c>
      <c r="O224" s="2820">
        <v>1</v>
      </c>
      <c r="P224" s="3182">
        <f t="shared" si="18"/>
        <v>8</v>
      </c>
      <c r="Q224" s="3184" t="s">
        <v>6138</v>
      </c>
      <c r="R224" s="1639">
        <f>'Abs9. NVBDCP'!Q66</f>
        <v>0</v>
      </c>
      <c r="S224" s="2838">
        <f>'Abs9. NVBDCP'!R66</f>
        <v>0</v>
      </c>
    </row>
    <row r="225" spans="1:19" s="2551" customFormat="1" ht="72" customHeight="1">
      <c r="A225" s="2551">
        <v>6</v>
      </c>
      <c r="B225" s="1407" t="s">
        <v>1077</v>
      </c>
      <c r="C225" s="1598" t="s">
        <v>1078</v>
      </c>
      <c r="D225" s="1598" t="s">
        <v>1079</v>
      </c>
      <c r="E225" s="1616" t="s">
        <v>4358</v>
      </c>
      <c r="F225" s="1588" t="s">
        <v>4972</v>
      </c>
      <c r="G225" s="2997"/>
      <c r="H225" s="2997"/>
      <c r="I225" s="2997"/>
      <c r="J225" s="2997"/>
      <c r="K225" s="2997"/>
      <c r="L225" s="1317" t="s">
        <v>1079</v>
      </c>
      <c r="M225" s="1418">
        <v>54940000</v>
      </c>
      <c r="N225" s="2994">
        <f t="shared" si="17"/>
        <v>549.4</v>
      </c>
      <c r="O225" s="1418">
        <v>1</v>
      </c>
      <c r="P225" s="2995">
        <f t="shared" si="18"/>
        <v>549.4</v>
      </c>
      <c r="Q225" s="2508" t="s">
        <v>6297</v>
      </c>
      <c r="R225" s="1639">
        <f>'Abs9. NVBDCP'!Q67</f>
        <v>0</v>
      </c>
      <c r="S225" s="2838">
        <f>'Abs9. NVBDCP'!R67</f>
        <v>0</v>
      </c>
    </row>
    <row r="226" spans="1:19" ht="51.75" customHeight="1">
      <c r="A226" s="2133">
        <v>7</v>
      </c>
      <c r="B226" s="1309" t="s">
        <v>2373</v>
      </c>
      <c r="C226" s="1522"/>
      <c r="D226" s="1527" t="s">
        <v>3819</v>
      </c>
      <c r="E226" s="1537" t="s">
        <v>4358</v>
      </c>
      <c r="F226" s="1523" t="s">
        <v>4976</v>
      </c>
      <c r="G226" s="2292"/>
      <c r="H226" s="2292"/>
      <c r="I226" s="2292"/>
      <c r="J226" s="2292"/>
      <c r="K226" s="2292"/>
      <c r="L226" s="2219"/>
      <c r="M226" s="1317"/>
      <c r="N226" s="1857">
        <f t="shared" si="17"/>
        <v>0</v>
      </c>
      <c r="O226" s="1317"/>
      <c r="P226" s="2293">
        <f>N226*O226</f>
        <v>0</v>
      </c>
      <c r="Q226" s="2294"/>
      <c r="R226" s="1547">
        <f>'Abs9. NVBDCP'!Q68</f>
        <v>0</v>
      </c>
      <c r="S226" s="2385">
        <f>'Abs9. NVBDCP'!R68</f>
        <v>0</v>
      </c>
    </row>
    <row r="227" spans="1:19" s="3778" customFormat="1" ht="49.5">
      <c r="A227" s="3778">
        <v>8</v>
      </c>
      <c r="B227" s="3780" t="s">
        <v>3818</v>
      </c>
      <c r="C227" s="3826"/>
      <c r="D227" s="3826" t="s">
        <v>1310</v>
      </c>
      <c r="E227" s="3861" t="s">
        <v>4358</v>
      </c>
      <c r="F227" s="3915" t="s">
        <v>114</v>
      </c>
      <c r="G227" s="3894"/>
      <c r="H227" s="3894"/>
      <c r="I227" s="3894"/>
      <c r="J227" s="3894"/>
      <c r="K227" s="3894"/>
      <c r="L227" s="3895" t="s">
        <v>6135</v>
      </c>
      <c r="M227" s="3739">
        <v>189</v>
      </c>
      <c r="N227" s="3738">
        <f t="shared" si="17"/>
        <v>1.89E-3</v>
      </c>
      <c r="O227" s="3739">
        <v>26298</v>
      </c>
      <c r="P227" s="3797">
        <f t="shared" si="18"/>
        <v>49.703220000000002</v>
      </c>
      <c r="Q227" s="3896" t="s">
        <v>6139</v>
      </c>
      <c r="R227" s="3792">
        <f>'Abs9. NVBDCP'!Q69</f>
        <v>0</v>
      </c>
      <c r="S227" s="3840">
        <f>'Abs9. NVBDCP'!R69</f>
        <v>0</v>
      </c>
    </row>
    <row r="228" spans="1:19" ht="46.5" customHeight="1">
      <c r="A228" s="2283" t="s">
        <v>4354</v>
      </c>
      <c r="B228" s="1519" t="s">
        <v>1080</v>
      </c>
      <c r="C228" s="1769"/>
      <c r="D228" s="1770" t="s">
        <v>1081</v>
      </c>
      <c r="E228" s="1520"/>
      <c r="F228" s="1520"/>
      <c r="G228" s="1722"/>
      <c r="H228" s="1722"/>
      <c r="I228" s="1722"/>
      <c r="J228" s="1722"/>
      <c r="K228" s="1722"/>
      <c r="L228" s="1526"/>
      <c r="M228" s="1722"/>
      <c r="N228" s="2324"/>
      <c r="O228" s="2325"/>
      <c r="P228" s="2326">
        <f>(P229+P230)</f>
        <v>48.77</v>
      </c>
      <c r="Q228" s="1771"/>
      <c r="R228" s="1682"/>
      <c r="S228" s="1892">
        <f>(S229+S230)</f>
        <v>0</v>
      </c>
    </row>
    <row r="229" spans="1:19" ht="45.75" customHeight="1">
      <c r="A229" s="2133">
        <v>1</v>
      </c>
      <c r="B229" s="1527" t="s">
        <v>1082</v>
      </c>
      <c r="C229" s="1527" t="s">
        <v>1083</v>
      </c>
      <c r="D229" s="1527" t="s">
        <v>1084</v>
      </c>
      <c r="E229" s="1537" t="s">
        <v>4358</v>
      </c>
      <c r="F229" s="2164" t="s">
        <v>146</v>
      </c>
      <c r="G229" s="2410"/>
      <c r="H229" s="2410"/>
      <c r="I229" s="2410"/>
      <c r="J229" s="2410"/>
      <c r="K229" s="2410"/>
      <c r="L229" s="3246">
        <v>1</v>
      </c>
      <c r="M229" s="1317">
        <v>4877000</v>
      </c>
      <c r="N229" s="1857">
        <f>M229/100000</f>
        <v>48.77</v>
      </c>
      <c r="O229" s="1317">
        <v>1</v>
      </c>
      <c r="P229" s="2411">
        <f>N229*O229</f>
        <v>48.77</v>
      </c>
      <c r="Q229" s="1932" t="s">
        <v>6284</v>
      </c>
      <c r="R229" s="1547">
        <f>'Abs10. NLEP'!Q24</f>
        <v>0</v>
      </c>
      <c r="S229" s="2385">
        <f>'Abs10. NLEP'!R24</f>
        <v>0</v>
      </c>
    </row>
    <row r="230" spans="1:19" ht="38.25" customHeight="1">
      <c r="A230" s="2133">
        <v>2</v>
      </c>
      <c r="B230" s="1527" t="s">
        <v>2374</v>
      </c>
      <c r="C230" s="1522"/>
      <c r="D230" s="1527" t="s">
        <v>1310</v>
      </c>
      <c r="E230" s="1537" t="s">
        <v>4358</v>
      </c>
      <c r="F230" s="2164" t="s">
        <v>146</v>
      </c>
      <c r="G230" s="2292"/>
      <c r="H230" s="2292"/>
      <c r="I230" s="2292"/>
      <c r="J230" s="2292"/>
      <c r="K230" s="2292"/>
      <c r="L230" s="2219"/>
      <c r="M230" s="1317"/>
      <c r="N230" s="1857">
        <f>M230/100000</f>
        <v>0</v>
      </c>
      <c r="O230" s="1317"/>
      <c r="P230" s="2293">
        <f>N230*O230</f>
        <v>0</v>
      </c>
      <c r="Q230" s="2294"/>
      <c r="R230" s="1547">
        <f>'Abs10. NLEP'!Q25</f>
        <v>0</v>
      </c>
      <c r="S230" s="2385">
        <f>'Abs10. NLEP'!R25</f>
        <v>0</v>
      </c>
    </row>
    <row r="231" spans="1:19">
      <c r="A231" s="2283" t="s">
        <v>4355</v>
      </c>
      <c r="B231" s="1519" t="s">
        <v>1085</v>
      </c>
      <c r="C231" s="1769"/>
      <c r="D231" s="1770" t="s">
        <v>4885</v>
      </c>
      <c r="E231" s="1520"/>
      <c r="F231" s="1520"/>
      <c r="G231" s="1722"/>
      <c r="H231" s="1722"/>
      <c r="I231" s="1722"/>
      <c r="J231" s="1722"/>
      <c r="K231" s="1722"/>
      <c r="L231" s="1526"/>
      <c r="M231" s="1722"/>
      <c r="N231" s="2324"/>
      <c r="O231" s="2325"/>
      <c r="P231" s="2326">
        <f>SUM(P232:P234)</f>
        <v>223.42</v>
      </c>
      <c r="Q231" s="1771"/>
      <c r="R231" s="1682"/>
      <c r="S231" s="1892">
        <f>SUM(S232:S234)</f>
        <v>0</v>
      </c>
    </row>
    <row r="232" spans="1:19" ht="85.5" customHeight="1">
      <c r="A232" s="2133">
        <v>1</v>
      </c>
      <c r="B232" s="1309" t="s">
        <v>1086</v>
      </c>
      <c r="C232" s="1527" t="s">
        <v>1087</v>
      </c>
      <c r="D232" s="1309" t="s">
        <v>4885</v>
      </c>
      <c r="E232" s="1537" t="s">
        <v>4358</v>
      </c>
      <c r="F232" s="2164" t="s">
        <v>4674</v>
      </c>
      <c r="G232" s="1903"/>
      <c r="H232" s="1911"/>
      <c r="I232" s="2314">
        <v>40</v>
      </c>
      <c r="J232" s="2314">
        <v>2.4</v>
      </c>
      <c r="K232" s="2433"/>
      <c r="L232" s="3247" t="s">
        <v>6045</v>
      </c>
      <c r="M232" s="2408">
        <v>21132000</v>
      </c>
      <c r="N232" s="1857">
        <f>M232/100000</f>
        <v>211.32</v>
      </c>
      <c r="O232" s="1317">
        <v>1</v>
      </c>
      <c r="P232" s="2293">
        <f>N232*O232</f>
        <v>211.32</v>
      </c>
      <c r="Q232" s="1964" t="s">
        <v>6046</v>
      </c>
      <c r="R232" s="1547">
        <f>'Abs11. NTEP'!Q33</f>
        <v>0</v>
      </c>
      <c r="S232" s="2385">
        <f>'Abs11. NTEP'!R33</f>
        <v>0</v>
      </c>
    </row>
    <row r="233" spans="1:19" ht="49.5">
      <c r="A233" s="2133">
        <v>2</v>
      </c>
      <c r="B233" s="1309" t="s">
        <v>2595</v>
      </c>
      <c r="C233" s="1527" t="s">
        <v>1088</v>
      </c>
      <c r="D233" s="1309" t="s">
        <v>2353</v>
      </c>
      <c r="E233" s="1537" t="s">
        <v>4358</v>
      </c>
      <c r="F233" s="2164" t="s">
        <v>4674</v>
      </c>
      <c r="G233" s="1903"/>
      <c r="H233" s="1911"/>
      <c r="I233" s="2314">
        <v>6.8</v>
      </c>
      <c r="J233" s="2314">
        <v>5.43</v>
      </c>
      <c r="K233" s="2433"/>
      <c r="L233" s="3247" t="s">
        <v>6045</v>
      </c>
      <c r="M233" s="2408">
        <v>1210000</v>
      </c>
      <c r="N233" s="1857">
        <f>M233/100000</f>
        <v>12.1</v>
      </c>
      <c r="O233" s="1317">
        <v>1</v>
      </c>
      <c r="P233" s="2293">
        <f>N233*O233</f>
        <v>12.1</v>
      </c>
      <c r="Q233" s="1964" t="s">
        <v>6047</v>
      </c>
      <c r="R233" s="1547">
        <f>'Abs11. NTEP'!Q34</f>
        <v>0</v>
      </c>
      <c r="S233" s="2385">
        <f>'Abs11. NTEP'!R34</f>
        <v>0</v>
      </c>
    </row>
    <row r="234" spans="1:19">
      <c r="A234" s="2133">
        <v>3</v>
      </c>
      <c r="B234" s="1309" t="s">
        <v>2596</v>
      </c>
      <c r="C234" s="1522"/>
      <c r="D234" s="1309" t="s">
        <v>1310</v>
      </c>
      <c r="E234" s="1537" t="s">
        <v>4358</v>
      </c>
      <c r="F234" s="2164" t="s">
        <v>4674</v>
      </c>
      <c r="G234" s="1738"/>
      <c r="H234" s="1738"/>
      <c r="I234" s="1738"/>
      <c r="J234" s="1738"/>
      <c r="K234" s="1738"/>
      <c r="L234" s="2219"/>
      <c r="M234" s="1317"/>
      <c r="N234" s="1857">
        <f>M234/100000</f>
        <v>0</v>
      </c>
      <c r="O234" s="1317"/>
      <c r="P234" s="2293">
        <f>N234*O234</f>
        <v>0</v>
      </c>
      <c r="Q234" s="2294"/>
      <c r="R234" s="1547">
        <f>'Abs11. NTEP'!Q35</f>
        <v>0</v>
      </c>
      <c r="S234" s="2385">
        <f>'Abs11. NTEP'!R35</f>
        <v>0</v>
      </c>
    </row>
    <row r="235" spans="1:19">
      <c r="A235" s="2283" t="s">
        <v>4356</v>
      </c>
      <c r="B235" s="2369" t="s">
        <v>2378</v>
      </c>
      <c r="C235" s="1769"/>
      <c r="D235" s="2369" t="s">
        <v>3345</v>
      </c>
      <c r="E235" s="2370"/>
      <c r="F235" s="2370"/>
      <c r="G235" s="2371"/>
      <c r="H235" s="2371"/>
      <c r="I235" s="2371"/>
      <c r="J235" s="2371"/>
      <c r="K235" s="2371"/>
      <c r="L235" s="3243"/>
      <c r="M235" s="2371"/>
      <c r="N235" s="2369"/>
      <c r="O235" s="2371"/>
      <c r="P235" s="2383">
        <f>SUM(P236:P242)</f>
        <v>14</v>
      </c>
      <c r="Q235" s="2375"/>
      <c r="R235" s="1521"/>
      <c r="S235" s="2327">
        <f>SUM(S236:S242)</f>
        <v>0</v>
      </c>
    </row>
    <row r="236" spans="1:19" s="2551" customFormat="1" ht="49.5">
      <c r="A236" s="2551">
        <v>1</v>
      </c>
      <c r="B236" s="1407" t="s">
        <v>2611</v>
      </c>
      <c r="C236" s="1419"/>
      <c r="D236" s="1474" t="s">
        <v>3346</v>
      </c>
      <c r="E236" s="1616" t="s">
        <v>4358</v>
      </c>
      <c r="F236" s="3012" t="s">
        <v>3316</v>
      </c>
      <c r="G236" s="2997"/>
      <c r="H236" s="2997"/>
      <c r="I236" s="2997">
        <v>5</v>
      </c>
      <c r="J236" s="2997"/>
      <c r="K236" s="2997"/>
      <c r="L236" s="2219" t="s">
        <v>5831</v>
      </c>
      <c r="M236" s="1418">
        <v>250000</v>
      </c>
      <c r="N236" s="2994">
        <f t="shared" ref="N236:N242" si="19">M236/100000</f>
        <v>2.5</v>
      </c>
      <c r="O236" s="1418">
        <v>2</v>
      </c>
      <c r="P236" s="2995">
        <f t="shared" ref="P236:P242" si="20">N236*O236</f>
        <v>5</v>
      </c>
      <c r="Q236" s="2431" t="s">
        <v>5811</v>
      </c>
      <c r="R236" s="1639">
        <f>'Abs12. NVHCP'!Q25</f>
        <v>0</v>
      </c>
      <c r="S236" s="2838">
        <f>'Abs12. NVHCP'!R25</f>
        <v>0</v>
      </c>
    </row>
    <row r="237" spans="1:19" s="2551" customFormat="1" ht="33">
      <c r="A237" s="2551">
        <v>2</v>
      </c>
      <c r="B237" s="1407" t="s">
        <v>2612</v>
      </c>
      <c r="C237" s="1419"/>
      <c r="D237" s="1474" t="s">
        <v>3347</v>
      </c>
      <c r="E237" s="1616" t="s">
        <v>4358</v>
      </c>
      <c r="F237" s="3012" t="s">
        <v>3316</v>
      </c>
      <c r="G237" s="2997"/>
      <c r="H237" s="2997"/>
      <c r="I237" s="2997">
        <v>5</v>
      </c>
      <c r="J237" s="2997"/>
      <c r="K237" s="2997"/>
      <c r="L237" s="2219" t="s">
        <v>5831</v>
      </c>
      <c r="M237" s="1418">
        <v>250000</v>
      </c>
      <c r="N237" s="2994">
        <f t="shared" si="19"/>
        <v>2.5</v>
      </c>
      <c r="O237" s="1418">
        <v>2</v>
      </c>
      <c r="P237" s="2995">
        <f t="shared" si="20"/>
        <v>5</v>
      </c>
      <c r="Q237" s="2431" t="s">
        <v>5812</v>
      </c>
      <c r="R237" s="1639">
        <f>'Abs12. NVHCP'!Q26</f>
        <v>0</v>
      </c>
      <c r="S237" s="2838">
        <f>'Abs12. NVHCP'!R26</f>
        <v>0</v>
      </c>
    </row>
    <row r="238" spans="1:19" s="2551" customFormat="1" ht="33">
      <c r="A238" s="2551">
        <v>3</v>
      </c>
      <c r="B238" s="1407" t="s">
        <v>2613</v>
      </c>
      <c r="C238" s="1419"/>
      <c r="D238" s="1474" t="s">
        <v>3348</v>
      </c>
      <c r="E238" s="1616" t="s">
        <v>4358</v>
      </c>
      <c r="F238" s="3012" t="s">
        <v>3316</v>
      </c>
      <c r="G238" s="2997"/>
      <c r="H238" s="2997"/>
      <c r="I238" s="2997">
        <v>1</v>
      </c>
      <c r="J238" s="2997"/>
      <c r="K238" s="2997"/>
      <c r="L238" s="2219" t="s">
        <v>5831</v>
      </c>
      <c r="M238" s="1418">
        <v>50000</v>
      </c>
      <c r="N238" s="2994">
        <f t="shared" si="19"/>
        <v>0.5</v>
      </c>
      <c r="O238" s="1418">
        <v>2</v>
      </c>
      <c r="P238" s="2995">
        <f t="shared" si="20"/>
        <v>1</v>
      </c>
      <c r="Q238" s="2431" t="s">
        <v>5813</v>
      </c>
      <c r="R238" s="1639">
        <f>'Abs12. NVHCP'!Q27</f>
        <v>0</v>
      </c>
      <c r="S238" s="2838">
        <f>'Abs12. NVHCP'!R27</f>
        <v>0</v>
      </c>
    </row>
    <row r="239" spans="1:19" s="2551" customFormat="1" ht="33">
      <c r="A239" s="2551">
        <v>4</v>
      </c>
      <c r="B239" s="1407" t="s">
        <v>2614</v>
      </c>
      <c r="C239" s="1419"/>
      <c r="D239" s="1474" t="s">
        <v>3349</v>
      </c>
      <c r="E239" s="1616" t="s">
        <v>4358</v>
      </c>
      <c r="F239" s="3012" t="s">
        <v>3316</v>
      </c>
      <c r="G239" s="2997"/>
      <c r="H239" s="2997"/>
      <c r="I239" s="2997">
        <v>1</v>
      </c>
      <c r="J239" s="2997"/>
      <c r="K239" s="2997"/>
      <c r="L239" s="2219" t="s">
        <v>5831</v>
      </c>
      <c r="M239" s="1418">
        <v>50000</v>
      </c>
      <c r="N239" s="2994">
        <f t="shared" si="19"/>
        <v>0.5</v>
      </c>
      <c r="O239" s="1418">
        <v>2</v>
      </c>
      <c r="P239" s="2995">
        <f t="shared" si="20"/>
        <v>1</v>
      </c>
      <c r="Q239" s="2431" t="s">
        <v>5814</v>
      </c>
      <c r="R239" s="1639">
        <f>'Abs12. NVHCP'!Q28</f>
        <v>0</v>
      </c>
      <c r="S239" s="2838">
        <f>'Abs12. NVHCP'!R28</f>
        <v>0</v>
      </c>
    </row>
    <row r="240" spans="1:19" s="2551" customFormat="1" ht="33">
      <c r="A240" s="2551">
        <v>5</v>
      </c>
      <c r="B240" s="1407" t="s">
        <v>2615</v>
      </c>
      <c r="C240" s="1419"/>
      <c r="D240" s="1474" t="s">
        <v>3350</v>
      </c>
      <c r="E240" s="1616" t="s">
        <v>4358</v>
      </c>
      <c r="F240" s="3012" t="s">
        <v>3316</v>
      </c>
      <c r="G240" s="2997"/>
      <c r="H240" s="2997"/>
      <c r="I240" s="2997">
        <v>1</v>
      </c>
      <c r="J240" s="2997"/>
      <c r="K240" s="2997"/>
      <c r="L240" s="2219" t="s">
        <v>5831</v>
      </c>
      <c r="M240" s="1418">
        <v>50000</v>
      </c>
      <c r="N240" s="2994">
        <f t="shared" si="19"/>
        <v>0.5</v>
      </c>
      <c r="O240" s="1418">
        <v>2</v>
      </c>
      <c r="P240" s="2995">
        <f t="shared" si="20"/>
        <v>1</v>
      </c>
      <c r="Q240" s="2431" t="s">
        <v>5815</v>
      </c>
      <c r="R240" s="1639">
        <f>'Abs12. NVHCP'!Q29</f>
        <v>0</v>
      </c>
      <c r="S240" s="2838">
        <f>'Abs12. NVHCP'!R29</f>
        <v>0</v>
      </c>
    </row>
    <row r="241" spans="1:19" s="2551" customFormat="1" ht="36" customHeight="1">
      <c r="A241" s="3013">
        <v>6</v>
      </c>
      <c r="B241" s="1419" t="s">
        <v>2616</v>
      </c>
      <c r="C241" s="1419"/>
      <c r="D241" s="1419" t="s">
        <v>4404</v>
      </c>
      <c r="E241" s="1616" t="s">
        <v>4358</v>
      </c>
      <c r="F241" s="3012" t="s">
        <v>3316</v>
      </c>
      <c r="G241" s="3014"/>
      <c r="H241" s="3014"/>
      <c r="I241" s="3014">
        <v>1</v>
      </c>
      <c r="J241" s="3014"/>
      <c r="K241" s="3014"/>
      <c r="L241" s="2219" t="s">
        <v>5831</v>
      </c>
      <c r="M241" s="1418">
        <v>50000</v>
      </c>
      <c r="N241" s="2994">
        <f t="shared" si="19"/>
        <v>0.5</v>
      </c>
      <c r="O241" s="1418">
        <v>2</v>
      </c>
      <c r="P241" s="2995">
        <f t="shared" si="20"/>
        <v>1</v>
      </c>
      <c r="Q241" s="2431" t="s">
        <v>5816</v>
      </c>
      <c r="R241" s="1639">
        <f>'Abs12. NVHCP'!Q30</f>
        <v>0</v>
      </c>
      <c r="S241" s="2838">
        <f>'Abs12. NVHCP'!R30</f>
        <v>0</v>
      </c>
    </row>
    <row r="242" spans="1:19">
      <c r="A242" s="2135">
        <v>7</v>
      </c>
      <c r="B242" s="2135" t="s">
        <v>4403</v>
      </c>
      <c r="C242" s="1319"/>
      <c r="D242" s="1319" t="s">
        <v>1310</v>
      </c>
      <c r="E242" s="1537" t="s">
        <v>4358</v>
      </c>
      <c r="F242" s="2409" t="s">
        <v>3316</v>
      </c>
      <c r="G242" s="2408"/>
      <c r="H242" s="2408"/>
      <c r="I242" s="2408"/>
      <c r="J242" s="2408"/>
      <c r="K242" s="2408"/>
      <c r="L242" s="2189"/>
      <c r="M242" s="1317"/>
      <c r="N242" s="1857">
        <f t="shared" si="19"/>
        <v>0</v>
      </c>
      <c r="O242" s="1317"/>
      <c r="P242" s="2308">
        <f t="shared" si="20"/>
        <v>0</v>
      </c>
      <c r="Q242" s="2407"/>
      <c r="R242" s="1547">
        <f>'Abs12. NVHCP'!Q31</f>
        <v>0</v>
      </c>
      <c r="S242" s="2385">
        <f>'Abs12. NVHCP'!R31</f>
        <v>0</v>
      </c>
    </row>
    <row r="243" spans="1:19">
      <c r="A243" s="2283" t="s">
        <v>4664</v>
      </c>
      <c r="B243" s="2369" t="s">
        <v>2378</v>
      </c>
      <c r="C243" s="1769"/>
      <c r="D243" s="2369" t="s">
        <v>5040</v>
      </c>
      <c r="E243" s="2370"/>
      <c r="F243" s="2370"/>
      <c r="G243" s="2371"/>
      <c r="H243" s="2371"/>
      <c r="I243" s="2371"/>
      <c r="J243" s="2371"/>
      <c r="K243" s="2371"/>
      <c r="L243" s="3243"/>
      <c r="M243" s="2371"/>
      <c r="N243" s="2369"/>
      <c r="O243" s="2371"/>
      <c r="P243" s="2383">
        <f>P244</f>
        <v>2.1360000000000001</v>
      </c>
      <c r="Q243" s="2375"/>
      <c r="R243" s="1521"/>
      <c r="S243" s="2327">
        <f>S244</f>
        <v>0</v>
      </c>
    </row>
    <row r="244" spans="1:19" ht="33">
      <c r="A244" s="2133">
        <v>1</v>
      </c>
      <c r="B244" s="1309" t="s">
        <v>3360</v>
      </c>
      <c r="C244" s="1319"/>
      <c r="D244" s="1336" t="s">
        <v>4128</v>
      </c>
      <c r="E244" s="1537" t="s">
        <v>4358</v>
      </c>
      <c r="F244" s="2376" t="s">
        <v>3986</v>
      </c>
      <c r="G244" s="2292"/>
      <c r="H244" s="2292"/>
      <c r="I244" s="2292"/>
      <c r="J244" s="2292"/>
      <c r="K244" s="2292"/>
      <c r="L244" s="2219" t="s">
        <v>6077</v>
      </c>
      <c r="M244" s="1317">
        <v>400</v>
      </c>
      <c r="N244" s="1857">
        <f>M244/100000</f>
        <v>4.0000000000000001E-3</v>
      </c>
      <c r="O244" s="1317">
        <v>534</v>
      </c>
      <c r="P244" s="2293">
        <f>N244*O244</f>
        <v>2.1360000000000001</v>
      </c>
      <c r="Q244" s="2294" t="s">
        <v>6105</v>
      </c>
      <c r="R244" s="1547">
        <f>'Abs13. NRCP'!Q10</f>
        <v>0</v>
      </c>
      <c r="S244" s="2385">
        <f>'Abs13. NRCP'!R10</f>
        <v>0</v>
      </c>
    </row>
    <row r="245" spans="1:19">
      <c r="A245" s="2283" t="s">
        <v>4664</v>
      </c>
      <c r="B245" s="2369" t="s">
        <v>2378</v>
      </c>
      <c r="C245" s="1769"/>
      <c r="D245" s="2369" t="s">
        <v>5045</v>
      </c>
      <c r="E245" s="2370"/>
      <c r="F245" s="2370"/>
      <c r="G245" s="2371"/>
      <c r="H245" s="2371"/>
      <c r="I245" s="2371"/>
      <c r="J245" s="2371"/>
      <c r="K245" s="2371"/>
      <c r="L245" s="3243"/>
      <c r="M245" s="2371"/>
      <c r="N245" s="2369"/>
      <c r="O245" s="2371"/>
      <c r="P245" s="2383">
        <f>P246</f>
        <v>0</v>
      </c>
      <c r="Q245" s="2375"/>
      <c r="R245" s="1521"/>
      <c r="S245" s="2327">
        <f>S246</f>
        <v>0</v>
      </c>
    </row>
    <row r="246" spans="1:19" s="2135" customFormat="1" ht="49.5">
      <c r="A246" s="2135">
        <v>1</v>
      </c>
      <c r="B246" s="1319" t="s">
        <v>4130</v>
      </c>
      <c r="C246" s="1319"/>
      <c r="D246" s="1319" t="s">
        <v>4487</v>
      </c>
      <c r="E246" s="1537" t="s">
        <v>4358</v>
      </c>
      <c r="F246" s="2409" t="s">
        <v>4544</v>
      </c>
      <c r="G246" s="2408"/>
      <c r="H246" s="2408"/>
      <c r="I246" s="2408"/>
      <c r="J246" s="2408"/>
      <c r="K246" s="2408"/>
      <c r="L246" s="2189"/>
      <c r="M246" s="1317"/>
      <c r="N246" s="1857">
        <f>M246/100000</f>
        <v>0</v>
      </c>
      <c r="O246" s="1317"/>
      <c r="P246" s="2308">
        <f>N246*O246</f>
        <v>0</v>
      </c>
      <c r="Q246" s="2407"/>
      <c r="R246" s="1547">
        <f>'Abs14. PPCL'!Q10</f>
        <v>0</v>
      </c>
      <c r="S246" s="2385">
        <f>'Abs14. PPCL'!R10</f>
        <v>0</v>
      </c>
    </row>
    <row r="247" spans="1:19">
      <c r="A247" s="2283"/>
      <c r="B247" s="4459" t="s">
        <v>5039</v>
      </c>
      <c r="C247" s="4460"/>
      <c r="D247" s="4461"/>
      <c r="E247" s="1687"/>
      <c r="F247" s="1687"/>
      <c r="G247" s="1708"/>
      <c r="H247" s="1708"/>
      <c r="I247" s="1708"/>
      <c r="J247" s="1708"/>
      <c r="K247" s="1708"/>
      <c r="L247" s="1804"/>
      <c r="M247" s="1708"/>
      <c r="N247" s="2321"/>
      <c r="O247" s="2322"/>
      <c r="P247" s="2321"/>
      <c r="Q247" s="1710"/>
      <c r="R247" s="1693"/>
      <c r="S247" s="2323"/>
    </row>
    <row r="248" spans="1:19">
      <c r="A248" s="2283" t="s">
        <v>4350</v>
      </c>
      <c r="B248" s="1519" t="s">
        <v>1089</v>
      </c>
      <c r="C248" s="1769"/>
      <c r="D248" s="1770" t="s">
        <v>1090</v>
      </c>
      <c r="E248" s="1520"/>
      <c r="F248" s="1520"/>
      <c r="G248" s="1722"/>
      <c r="H248" s="1722"/>
      <c r="I248" s="1722"/>
      <c r="J248" s="1722"/>
      <c r="K248" s="1722"/>
      <c r="L248" s="1526"/>
      <c r="M248" s="1722"/>
      <c r="N248" s="2324"/>
      <c r="O248" s="2325"/>
      <c r="P248" s="2326">
        <f>SUM(P249:P250)</f>
        <v>4</v>
      </c>
      <c r="Q248" s="1771"/>
      <c r="R248" s="1682"/>
      <c r="S248" s="1892">
        <f>SUM(S249:S250)</f>
        <v>0</v>
      </c>
    </row>
    <row r="249" spans="1:19">
      <c r="A249" s="2133">
        <v>1</v>
      </c>
      <c r="B249" s="1309" t="s">
        <v>1091</v>
      </c>
      <c r="C249" s="1527" t="s">
        <v>1092</v>
      </c>
      <c r="D249" s="1527" t="s">
        <v>1093</v>
      </c>
      <c r="E249" s="2412" t="s">
        <v>85</v>
      </c>
      <c r="F249" s="2164" t="s">
        <v>86</v>
      </c>
      <c r="G249" s="2292"/>
      <c r="H249" s="2292"/>
      <c r="I249" s="2292"/>
      <c r="J249" s="2292"/>
      <c r="K249" s="2292"/>
      <c r="L249" s="2219" t="s">
        <v>5915</v>
      </c>
      <c r="M249" s="1317">
        <v>40000</v>
      </c>
      <c r="N249" s="1857">
        <f>M249/100000</f>
        <v>0.4</v>
      </c>
      <c r="O249" s="1317">
        <v>10</v>
      </c>
      <c r="P249" s="2293">
        <f>N249*O249</f>
        <v>4</v>
      </c>
      <c r="Q249" s="2294" t="s">
        <v>5910</v>
      </c>
      <c r="R249" s="1547">
        <f>'Abs15. NPCB'!Q23</f>
        <v>0</v>
      </c>
      <c r="S249" s="2385">
        <f>'Abs15. NPCB'!R23</f>
        <v>0</v>
      </c>
    </row>
    <row r="250" spans="1:19">
      <c r="A250" s="2133">
        <v>2</v>
      </c>
      <c r="B250" s="1309" t="s">
        <v>2375</v>
      </c>
      <c r="C250" s="1522"/>
      <c r="D250" s="1309" t="s">
        <v>1310</v>
      </c>
      <c r="E250" s="2412" t="s">
        <v>85</v>
      </c>
      <c r="F250" s="2164" t="s">
        <v>86</v>
      </c>
      <c r="G250" s="2292"/>
      <c r="H250" s="2292"/>
      <c r="I250" s="2292"/>
      <c r="J250" s="2292"/>
      <c r="K250" s="2292"/>
      <c r="L250" s="2219"/>
      <c r="M250" s="1317"/>
      <c r="N250" s="1857">
        <f>M250/100000</f>
        <v>0</v>
      </c>
      <c r="O250" s="1317"/>
      <c r="P250" s="2293">
        <f>N250*O250</f>
        <v>0</v>
      </c>
      <c r="Q250" s="2294"/>
      <c r="R250" s="1547">
        <f>'Abs15. NPCB'!Q24</f>
        <v>0</v>
      </c>
      <c r="S250" s="2385">
        <f>'Abs15. NPCB'!R24</f>
        <v>0</v>
      </c>
    </row>
    <row r="251" spans="1:19">
      <c r="A251" s="2283" t="s">
        <v>4351</v>
      </c>
      <c r="B251" s="1519" t="s">
        <v>1094</v>
      </c>
      <c r="C251" s="1769"/>
      <c r="D251" s="1770" t="s">
        <v>1095</v>
      </c>
      <c r="E251" s="1520"/>
      <c r="F251" s="1520"/>
      <c r="G251" s="1722"/>
      <c r="H251" s="1722"/>
      <c r="I251" s="1722"/>
      <c r="J251" s="1722"/>
      <c r="K251" s="1722"/>
      <c r="L251" s="1526"/>
      <c r="M251" s="1722"/>
      <c r="N251" s="2324"/>
      <c r="O251" s="2325"/>
      <c r="P251" s="2326">
        <f>SUM(P252:P253)</f>
        <v>55.099999999999994</v>
      </c>
      <c r="Q251" s="1771"/>
      <c r="R251" s="1682"/>
      <c r="S251" s="1892">
        <f>SUM(S252:S253)</f>
        <v>0</v>
      </c>
    </row>
    <row r="252" spans="1:19" ht="231">
      <c r="A252" s="2133">
        <v>1</v>
      </c>
      <c r="B252" s="1309" t="s">
        <v>1096</v>
      </c>
      <c r="C252" s="2199" t="s">
        <v>1097</v>
      </c>
      <c r="D252" s="1527" t="s">
        <v>1098</v>
      </c>
      <c r="E252" s="2412" t="s">
        <v>85</v>
      </c>
      <c r="F252" s="2164" t="s">
        <v>150</v>
      </c>
      <c r="G252" s="1903"/>
      <c r="H252" s="1911"/>
      <c r="I252" s="2314"/>
      <c r="J252" s="2314"/>
      <c r="K252" s="1906"/>
      <c r="L252" s="2232" t="s">
        <v>6884</v>
      </c>
      <c r="M252" s="4095">
        <v>190000</v>
      </c>
      <c r="N252" s="1857">
        <f>M252/100000</f>
        <v>1.9</v>
      </c>
      <c r="O252" s="1312">
        <v>29</v>
      </c>
      <c r="P252" s="2293">
        <f>N252*O252</f>
        <v>55.099999999999994</v>
      </c>
      <c r="Q252" s="2620" t="s">
        <v>6934</v>
      </c>
      <c r="R252" s="1547">
        <f>'Abs16. NMHP'!Q19</f>
        <v>0</v>
      </c>
      <c r="S252" s="2385">
        <f>'Abs16. NMHP'!R19</f>
        <v>0</v>
      </c>
    </row>
    <row r="253" spans="1:19">
      <c r="A253" s="2133">
        <v>2</v>
      </c>
      <c r="B253" s="1309" t="s">
        <v>2597</v>
      </c>
      <c r="C253" s="2163"/>
      <c r="D253" s="1309" t="s">
        <v>1310</v>
      </c>
      <c r="E253" s="2412" t="s">
        <v>85</v>
      </c>
      <c r="F253" s="2164" t="s">
        <v>150</v>
      </c>
      <c r="G253" s="2292"/>
      <c r="H253" s="2292"/>
      <c r="I253" s="2292"/>
      <c r="J253" s="2292"/>
      <c r="K253" s="2292"/>
      <c r="L253" s="2219"/>
      <c r="M253" s="1317"/>
      <c r="N253" s="1857">
        <f>M253/100000</f>
        <v>0</v>
      </c>
      <c r="O253" s="1317"/>
      <c r="P253" s="2293">
        <f>N253*O253</f>
        <v>0</v>
      </c>
      <c r="Q253" s="2294"/>
      <c r="R253" s="1547">
        <f>'Abs16. NMHP'!Q20</f>
        <v>0</v>
      </c>
      <c r="S253" s="2385">
        <f>'Abs16. NMHP'!R20</f>
        <v>0</v>
      </c>
    </row>
    <row r="254" spans="1:19">
      <c r="A254" s="2283" t="s">
        <v>4354</v>
      </c>
      <c r="B254" s="1519" t="s">
        <v>1099</v>
      </c>
      <c r="C254" s="1769"/>
      <c r="D254" s="1770" t="s">
        <v>1100</v>
      </c>
      <c r="E254" s="1520"/>
      <c r="F254" s="1520"/>
      <c r="G254" s="1722"/>
      <c r="H254" s="1722"/>
      <c r="I254" s="1722"/>
      <c r="J254" s="1722"/>
      <c r="K254" s="1722"/>
      <c r="L254" s="1526"/>
      <c r="M254" s="1722"/>
      <c r="N254" s="2324"/>
      <c r="O254" s="2325"/>
      <c r="P254" s="2326">
        <f>SUM(P255:P258)</f>
        <v>0</v>
      </c>
      <c r="Q254" s="1771"/>
      <c r="R254" s="1682"/>
      <c r="S254" s="1892">
        <f>SUM(S255:S258)</f>
        <v>0</v>
      </c>
    </row>
    <row r="255" spans="1:19" ht="33">
      <c r="A255" s="2133">
        <v>1</v>
      </c>
      <c r="B255" s="1309" t="s">
        <v>1101</v>
      </c>
      <c r="C255" s="2199" t="s">
        <v>1102</v>
      </c>
      <c r="D255" s="1527" t="s">
        <v>4416</v>
      </c>
      <c r="E255" s="2412" t="s">
        <v>85</v>
      </c>
      <c r="F255" s="2164" t="s">
        <v>399</v>
      </c>
      <c r="G255" s="1903"/>
      <c r="H255" s="1911"/>
      <c r="I255" s="2314"/>
      <c r="J255" s="2314"/>
      <c r="K255" s="1910"/>
      <c r="L255" s="1911"/>
      <c r="M255" s="1317"/>
      <c r="N255" s="1857">
        <f>M255/100000</f>
        <v>0</v>
      </c>
      <c r="O255" s="1317"/>
      <c r="P255" s="2293">
        <f>N255*O255</f>
        <v>0</v>
      </c>
      <c r="Q255" s="1940"/>
      <c r="R255" s="1547">
        <f>'Abs17. NPHCE'!Q21</f>
        <v>0</v>
      </c>
      <c r="S255" s="2385">
        <f>'Abs17. NPHCE'!R21</f>
        <v>0</v>
      </c>
    </row>
    <row r="256" spans="1:19" ht="33">
      <c r="A256" s="2133">
        <v>2</v>
      </c>
      <c r="B256" s="1309" t="s">
        <v>2598</v>
      </c>
      <c r="C256" s="2199" t="s">
        <v>1103</v>
      </c>
      <c r="D256" s="1527" t="s">
        <v>4417</v>
      </c>
      <c r="E256" s="2412" t="s">
        <v>85</v>
      </c>
      <c r="F256" s="2164" t="s">
        <v>399</v>
      </c>
      <c r="G256" s="2292"/>
      <c r="H256" s="2292"/>
      <c r="I256" s="2292"/>
      <c r="J256" s="2292"/>
      <c r="K256" s="2292"/>
      <c r="L256" s="2219"/>
      <c r="M256" s="1317"/>
      <c r="N256" s="1857">
        <f>M256/100000</f>
        <v>0</v>
      </c>
      <c r="O256" s="1317"/>
      <c r="P256" s="2293">
        <f>N256*O256</f>
        <v>0</v>
      </c>
      <c r="Q256" s="2294"/>
      <c r="R256" s="1547">
        <f>'Abs17. NPHCE'!Q22</f>
        <v>0</v>
      </c>
      <c r="S256" s="2385">
        <f>'Abs17. NPHCE'!R22</f>
        <v>0</v>
      </c>
    </row>
    <row r="257" spans="1:19" ht="33">
      <c r="A257" s="2133">
        <v>3</v>
      </c>
      <c r="B257" s="1309" t="s">
        <v>2599</v>
      </c>
      <c r="C257" s="2199" t="s">
        <v>1104</v>
      </c>
      <c r="D257" s="1527" t="s">
        <v>4418</v>
      </c>
      <c r="E257" s="2412" t="s">
        <v>85</v>
      </c>
      <c r="F257" s="2164" t="s">
        <v>399</v>
      </c>
      <c r="G257" s="2292"/>
      <c r="H257" s="2292"/>
      <c r="I257" s="2292"/>
      <c r="J257" s="2292"/>
      <c r="K257" s="2292"/>
      <c r="L257" s="2219"/>
      <c r="M257" s="1317"/>
      <c r="N257" s="1857">
        <f>M257/100000</f>
        <v>0</v>
      </c>
      <c r="O257" s="1317"/>
      <c r="P257" s="2293">
        <f>N257*O257</f>
        <v>0</v>
      </c>
      <c r="Q257" s="2294"/>
      <c r="R257" s="1547">
        <f>'Abs17. NPHCE'!Q23</f>
        <v>0</v>
      </c>
      <c r="S257" s="2385">
        <f>'Abs17. NPHCE'!R23</f>
        <v>0</v>
      </c>
    </row>
    <row r="258" spans="1:19">
      <c r="A258" s="2133">
        <v>4</v>
      </c>
      <c r="B258" s="1309" t="s">
        <v>2600</v>
      </c>
      <c r="C258" s="2163"/>
      <c r="D258" s="1309" t="s">
        <v>1310</v>
      </c>
      <c r="E258" s="2412" t="s">
        <v>85</v>
      </c>
      <c r="F258" s="2164" t="s">
        <v>399</v>
      </c>
      <c r="G258" s="2292"/>
      <c r="H258" s="2292"/>
      <c r="I258" s="2292"/>
      <c r="J258" s="2292"/>
      <c r="K258" s="2292"/>
      <c r="L258" s="2219"/>
      <c r="M258" s="1317"/>
      <c r="N258" s="1857">
        <f>M258/100000</f>
        <v>0</v>
      </c>
      <c r="O258" s="1317"/>
      <c r="P258" s="2293">
        <f>N258*O258</f>
        <v>0</v>
      </c>
      <c r="Q258" s="2294"/>
      <c r="R258" s="1547">
        <f>'Abs17. NPHCE'!Q24</f>
        <v>0</v>
      </c>
      <c r="S258" s="2385">
        <f>'Abs17. NPHCE'!R24</f>
        <v>0</v>
      </c>
    </row>
    <row r="259" spans="1:19">
      <c r="A259" s="2283" t="s">
        <v>4355</v>
      </c>
      <c r="B259" s="1519" t="s">
        <v>1105</v>
      </c>
      <c r="C259" s="1769"/>
      <c r="D259" s="1770" t="s">
        <v>1106</v>
      </c>
      <c r="E259" s="1520"/>
      <c r="F259" s="1520"/>
      <c r="G259" s="1722"/>
      <c r="H259" s="1722"/>
      <c r="I259" s="1722"/>
      <c r="J259" s="1722"/>
      <c r="K259" s="1722"/>
      <c r="L259" s="1526"/>
      <c r="M259" s="1722"/>
      <c r="N259" s="2324"/>
      <c r="O259" s="2325"/>
      <c r="P259" s="2326">
        <f>SUM(P260:P261)</f>
        <v>11.5</v>
      </c>
      <c r="Q259" s="1771"/>
      <c r="R259" s="1682"/>
      <c r="S259" s="2327">
        <f>SUM(S260:S261)</f>
        <v>0</v>
      </c>
    </row>
    <row r="260" spans="1:19" s="2135" customFormat="1" ht="33.75" customHeight="1">
      <c r="A260" s="2135">
        <v>1</v>
      </c>
      <c r="B260" s="1698" t="s">
        <v>1107</v>
      </c>
      <c r="C260" s="1698" t="s">
        <v>1108</v>
      </c>
      <c r="D260" s="1698" t="s">
        <v>5276</v>
      </c>
      <c r="E260" s="2413" t="s">
        <v>85</v>
      </c>
      <c r="F260" s="1697" t="s">
        <v>152</v>
      </c>
      <c r="G260" s="2414"/>
      <c r="H260" s="2414"/>
      <c r="I260" s="2414"/>
      <c r="J260" s="2414"/>
      <c r="K260" s="2414"/>
      <c r="L260" s="3248" t="s">
        <v>5922</v>
      </c>
      <c r="M260" s="1317">
        <v>25000</v>
      </c>
      <c r="N260" s="1857">
        <f>M260/100000</f>
        <v>0.25</v>
      </c>
      <c r="O260" s="1317">
        <v>38</v>
      </c>
      <c r="P260" s="2293">
        <f>N260*O260</f>
        <v>9.5</v>
      </c>
      <c r="Q260" s="1348" t="s">
        <v>5953</v>
      </c>
      <c r="R260" s="1529">
        <f>'Abs18. NTCP'!Q18</f>
        <v>0</v>
      </c>
      <c r="S260" s="1535">
        <f>'Abs18. NTCP'!R18</f>
        <v>0</v>
      </c>
    </row>
    <row r="261" spans="1:19" s="2135" customFormat="1">
      <c r="A261" s="2135">
        <v>2</v>
      </c>
      <c r="B261" s="1698" t="s">
        <v>1109</v>
      </c>
      <c r="C261" s="1698" t="s">
        <v>1110</v>
      </c>
      <c r="D261" s="1698" t="s">
        <v>5277</v>
      </c>
      <c r="E261" s="2413" t="s">
        <v>85</v>
      </c>
      <c r="F261" s="1697" t="s">
        <v>152</v>
      </c>
      <c r="G261" s="2414"/>
      <c r="H261" s="2414"/>
      <c r="I261" s="2414"/>
      <c r="J261" s="2414"/>
      <c r="K261" s="2414"/>
      <c r="L261" s="3248" t="s">
        <v>5952</v>
      </c>
      <c r="M261" s="1317">
        <v>100000</v>
      </c>
      <c r="N261" s="1857">
        <f>M261/100000</f>
        <v>1</v>
      </c>
      <c r="O261" s="1317">
        <v>2</v>
      </c>
      <c r="P261" s="2293">
        <f>N261*O261</f>
        <v>2</v>
      </c>
      <c r="Q261" s="1348" t="s">
        <v>5954</v>
      </c>
      <c r="R261" s="1529">
        <f>'Abs18. NTCP'!Q19</f>
        <v>0</v>
      </c>
      <c r="S261" s="1535">
        <f>'Abs18. NTCP'!R19</f>
        <v>0</v>
      </c>
    </row>
    <row r="262" spans="1:19">
      <c r="A262" s="2339" t="s">
        <v>4356</v>
      </c>
      <c r="B262" s="1519" t="s">
        <v>1111</v>
      </c>
      <c r="C262" s="1769" t="s">
        <v>1112</v>
      </c>
      <c r="D262" s="1770" t="s">
        <v>1113</v>
      </c>
      <c r="E262" s="1520"/>
      <c r="F262" s="1520"/>
      <c r="G262" s="1722"/>
      <c r="H262" s="1722"/>
      <c r="I262" s="1722"/>
      <c r="J262" s="1722"/>
      <c r="K262" s="1722"/>
      <c r="L262" s="1526"/>
      <c r="M262" s="1722"/>
      <c r="N262" s="2324"/>
      <c r="O262" s="2325"/>
      <c r="P262" s="2326">
        <f>SUM(P263:P266)</f>
        <v>1262.3600000000001</v>
      </c>
      <c r="Q262" s="1771"/>
      <c r="R262" s="1682"/>
      <c r="S262" s="1892">
        <f>SUM(S263:S266)</f>
        <v>0</v>
      </c>
    </row>
    <row r="263" spans="1:19" ht="279" customHeight="1">
      <c r="A263" s="2133">
        <v>1</v>
      </c>
      <c r="B263" s="2199" t="s">
        <v>1114</v>
      </c>
      <c r="C263" s="2199" t="s">
        <v>1115</v>
      </c>
      <c r="D263" s="1527" t="s">
        <v>1116</v>
      </c>
      <c r="E263" s="2412" t="s">
        <v>85</v>
      </c>
      <c r="F263" s="2164" t="s">
        <v>415</v>
      </c>
      <c r="G263" s="2292">
        <v>1</v>
      </c>
      <c r="H263" s="2292">
        <v>1</v>
      </c>
      <c r="I263" s="2292">
        <v>20</v>
      </c>
      <c r="J263" s="2292">
        <v>0</v>
      </c>
      <c r="K263" s="2292">
        <v>0</v>
      </c>
      <c r="L263" s="2219">
        <v>1</v>
      </c>
      <c r="M263" s="1317">
        <v>2000000</v>
      </c>
      <c r="N263" s="1857">
        <f>M263/100000</f>
        <v>20</v>
      </c>
      <c r="O263" s="1317">
        <v>1</v>
      </c>
      <c r="P263" s="2293">
        <f>N263*O263</f>
        <v>20</v>
      </c>
      <c r="Q263" s="3185" t="s">
        <v>6551</v>
      </c>
      <c r="R263" s="1547">
        <f>'Abs19. NPCDCS'!Q36</f>
        <v>0</v>
      </c>
      <c r="S263" s="2385">
        <f>'Abs19. NPCDCS'!R36</f>
        <v>0</v>
      </c>
    </row>
    <row r="264" spans="1:19" s="3778" customFormat="1" ht="99" customHeight="1">
      <c r="A264" s="3778">
        <v>2</v>
      </c>
      <c r="B264" s="3779" t="s">
        <v>1117</v>
      </c>
      <c r="C264" s="3779" t="s">
        <v>1118</v>
      </c>
      <c r="D264" s="3826" t="s">
        <v>1119</v>
      </c>
      <c r="E264" s="3893" t="s">
        <v>85</v>
      </c>
      <c r="F264" s="3782" t="s">
        <v>415</v>
      </c>
      <c r="G264" s="3894">
        <v>38</v>
      </c>
      <c r="H264" s="3894">
        <v>38</v>
      </c>
      <c r="I264" s="3894">
        <v>50</v>
      </c>
      <c r="J264" s="3894">
        <v>0</v>
      </c>
      <c r="K264" s="3894">
        <v>0.98268999999999995</v>
      </c>
      <c r="L264" s="3895" t="s">
        <v>6327</v>
      </c>
      <c r="M264" s="3739">
        <v>50100</v>
      </c>
      <c r="N264" s="3738">
        <f>M264/100000</f>
        <v>0.501</v>
      </c>
      <c r="O264" s="3739">
        <v>360</v>
      </c>
      <c r="P264" s="3797">
        <f>N264*O264</f>
        <v>180.36</v>
      </c>
      <c r="Q264" s="3896" t="s">
        <v>6839</v>
      </c>
      <c r="R264" s="3792">
        <f>'Abs19. NPCDCS'!Q37</f>
        <v>0</v>
      </c>
      <c r="S264" s="3840">
        <f>'Abs19. NPCDCS'!R37</f>
        <v>0</v>
      </c>
    </row>
    <row r="265" spans="1:19" ht="66">
      <c r="A265" s="2133">
        <v>3</v>
      </c>
      <c r="B265" s="2199" t="s">
        <v>2601</v>
      </c>
      <c r="C265" s="2163"/>
      <c r="D265" s="1527" t="s">
        <v>2537</v>
      </c>
      <c r="E265" s="2412" t="s">
        <v>85</v>
      </c>
      <c r="F265" s="2164" t="s">
        <v>415</v>
      </c>
      <c r="G265" s="2292">
        <v>1002</v>
      </c>
      <c r="H265" s="2292">
        <v>25</v>
      </c>
      <c r="I265" s="2292">
        <v>1065.26</v>
      </c>
      <c r="J265" s="2292">
        <v>0</v>
      </c>
      <c r="K265" s="2415">
        <v>0</v>
      </c>
      <c r="L265" s="2219" t="s">
        <v>6327</v>
      </c>
      <c r="M265" s="1317">
        <v>106200</v>
      </c>
      <c r="N265" s="1857">
        <f>M265/100000</f>
        <v>1.0620000000000001</v>
      </c>
      <c r="O265" s="1317">
        <v>1000</v>
      </c>
      <c r="P265" s="2293">
        <f>N265*O265</f>
        <v>1062</v>
      </c>
      <c r="Q265" s="2416" t="s">
        <v>6380</v>
      </c>
      <c r="R265" s="1547">
        <f>'Abs19. NPCDCS'!Q38</f>
        <v>0</v>
      </c>
      <c r="S265" s="2385">
        <f>'Abs19. NPCDCS'!R38</f>
        <v>0</v>
      </c>
    </row>
    <row r="266" spans="1:19" s="3778" customFormat="1">
      <c r="A266" s="3778">
        <v>4</v>
      </c>
      <c r="B266" s="3779" t="s">
        <v>2854</v>
      </c>
      <c r="C266" s="3779"/>
      <c r="D266" s="3826" t="s">
        <v>1310</v>
      </c>
      <c r="E266" s="3893" t="s">
        <v>85</v>
      </c>
      <c r="F266" s="3782" t="s">
        <v>415</v>
      </c>
      <c r="G266" s="3894">
        <v>0</v>
      </c>
      <c r="H266" s="3894">
        <v>0</v>
      </c>
      <c r="I266" s="3894">
        <v>0</v>
      </c>
      <c r="J266" s="3894">
        <v>0</v>
      </c>
      <c r="K266" s="3894">
        <v>0</v>
      </c>
      <c r="L266" s="3895"/>
      <c r="M266" s="3739"/>
      <c r="N266" s="3738">
        <f>M266/100000</f>
        <v>0</v>
      </c>
      <c r="O266" s="3739"/>
      <c r="P266" s="3797">
        <f>N266*O266</f>
        <v>0</v>
      </c>
      <c r="Q266" s="3896" t="s">
        <v>6840</v>
      </c>
      <c r="R266" s="3792">
        <f>'Abs19. NPCDCS'!Q39</f>
        <v>0</v>
      </c>
      <c r="S266" s="3840">
        <f>'Abs19. NPCDCS'!R39</f>
        <v>0</v>
      </c>
    </row>
    <row r="267" spans="1:19">
      <c r="A267" s="2283" t="s">
        <v>4664</v>
      </c>
      <c r="B267" s="1770" t="s">
        <v>1017</v>
      </c>
      <c r="C267" s="1770"/>
      <c r="D267" s="1770" t="s">
        <v>1018</v>
      </c>
      <c r="E267" s="1305"/>
      <c r="F267" s="1305"/>
      <c r="G267" s="2077"/>
      <c r="H267" s="2077"/>
      <c r="I267" s="2077"/>
      <c r="J267" s="2077"/>
      <c r="K267" s="2077"/>
      <c r="L267" s="3245"/>
      <c r="M267" s="2077"/>
      <c r="N267" s="2383"/>
      <c r="O267" s="2382"/>
      <c r="P267" s="2383">
        <f>SUM(P268:P271)</f>
        <v>32.499940000000002</v>
      </c>
      <c r="Q267" s="2080"/>
      <c r="R267" s="1521"/>
      <c r="S267" s="1892">
        <f>SUM(S268:S271)</f>
        <v>0</v>
      </c>
    </row>
    <row r="268" spans="1:19" ht="49.5">
      <c r="A268" s="2133">
        <v>1</v>
      </c>
      <c r="B268" s="1309" t="s">
        <v>1019</v>
      </c>
      <c r="C268" s="1309" t="s">
        <v>1021</v>
      </c>
      <c r="D268" s="1309" t="s">
        <v>3889</v>
      </c>
      <c r="E268" s="2412" t="s">
        <v>85</v>
      </c>
      <c r="F268" s="2164" t="s">
        <v>1020</v>
      </c>
      <c r="G268" s="2165"/>
      <c r="H268" s="2165"/>
      <c r="I268" s="2165"/>
      <c r="J268" s="2165"/>
      <c r="K268" s="2165"/>
      <c r="L268" s="2219" t="s">
        <v>6193</v>
      </c>
      <c r="M268" s="1317">
        <v>61538</v>
      </c>
      <c r="N268" s="1857">
        <f>M268/100000</f>
        <v>0.61538000000000004</v>
      </c>
      <c r="O268" s="1317">
        <v>13</v>
      </c>
      <c r="P268" s="2293">
        <f>N268*O268</f>
        <v>7.9999400000000005</v>
      </c>
      <c r="Q268" s="2294" t="s">
        <v>6408</v>
      </c>
      <c r="R268" s="1547">
        <f>'Abs22. NPPCD'!Q10</f>
        <v>0</v>
      </c>
      <c r="S268" s="2385">
        <f>'Abs22. NPPCD'!R10</f>
        <v>0</v>
      </c>
    </row>
    <row r="269" spans="1:19" ht="22.5" customHeight="1">
      <c r="A269" s="2133">
        <v>2</v>
      </c>
      <c r="B269" s="1309" t="s">
        <v>2371</v>
      </c>
      <c r="C269" s="1309" t="s">
        <v>1022</v>
      </c>
      <c r="D269" s="1309" t="s">
        <v>3890</v>
      </c>
      <c r="E269" s="2412" t="s">
        <v>85</v>
      </c>
      <c r="F269" s="2164" t="s">
        <v>1020</v>
      </c>
      <c r="G269" s="2165"/>
      <c r="H269" s="2165"/>
      <c r="I269" s="2165"/>
      <c r="J269" s="2165"/>
      <c r="K269" s="2165"/>
      <c r="L269" s="2219" t="s">
        <v>6407</v>
      </c>
      <c r="M269" s="1317">
        <v>100000</v>
      </c>
      <c r="N269" s="1857">
        <f>M269/100000</f>
        <v>1</v>
      </c>
      <c r="O269" s="1317">
        <v>12</v>
      </c>
      <c r="P269" s="2293">
        <f>N269*O269</f>
        <v>12</v>
      </c>
      <c r="Q269" s="2294" t="s">
        <v>6409</v>
      </c>
      <c r="R269" s="1547">
        <f>'Abs22. NPPCD'!Q11</f>
        <v>0</v>
      </c>
      <c r="S269" s="2385">
        <f>'Abs22. NPPCD'!R11</f>
        <v>0</v>
      </c>
    </row>
    <row r="270" spans="1:19" ht="22.5" customHeight="1">
      <c r="A270" s="2133">
        <v>3</v>
      </c>
      <c r="B270" s="1309" t="s">
        <v>2372</v>
      </c>
      <c r="C270" s="1309" t="s">
        <v>1023</v>
      </c>
      <c r="D270" s="1309" t="s">
        <v>3891</v>
      </c>
      <c r="E270" s="2412" t="s">
        <v>85</v>
      </c>
      <c r="F270" s="2164" t="s">
        <v>1020</v>
      </c>
      <c r="G270" s="2165"/>
      <c r="H270" s="2165"/>
      <c r="I270" s="2165"/>
      <c r="J270" s="2165"/>
      <c r="K270" s="2165"/>
      <c r="L270" s="2219" t="s">
        <v>6407</v>
      </c>
      <c r="M270" s="1317">
        <v>100000</v>
      </c>
      <c r="N270" s="1857">
        <f>M270/100000</f>
        <v>1</v>
      </c>
      <c r="O270" s="1317">
        <v>12</v>
      </c>
      <c r="P270" s="2293">
        <f>N270*O270</f>
        <v>12</v>
      </c>
      <c r="Q270" s="2294" t="s">
        <v>6410</v>
      </c>
      <c r="R270" s="1547">
        <f>'Abs22. NPPCD'!Q12</f>
        <v>0</v>
      </c>
      <c r="S270" s="2385">
        <f>'Abs22. NPPCD'!R12</f>
        <v>0</v>
      </c>
    </row>
    <row r="271" spans="1:19" ht="22.5" customHeight="1">
      <c r="A271" s="2133">
        <v>4</v>
      </c>
      <c r="B271" s="1309" t="s">
        <v>2583</v>
      </c>
      <c r="C271" s="1319"/>
      <c r="D271" s="1309" t="s">
        <v>1310</v>
      </c>
      <c r="E271" s="2412" t="s">
        <v>85</v>
      </c>
      <c r="F271" s="2164" t="s">
        <v>1020</v>
      </c>
      <c r="G271" s="2165"/>
      <c r="H271" s="2165"/>
      <c r="I271" s="2165"/>
      <c r="J271" s="2165"/>
      <c r="K271" s="2165"/>
      <c r="L271" s="2219" t="s">
        <v>6193</v>
      </c>
      <c r="M271" s="1317">
        <v>50000</v>
      </c>
      <c r="N271" s="1857">
        <f>M271/100000</f>
        <v>0.5</v>
      </c>
      <c r="O271" s="1317">
        <v>1</v>
      </c>
      <c r="P271" s="2293">
        <f>N271*O271</f>
        <v>0.5</v>
      </c>
      <c r="Q271" s="2294" t="s">
        <v>6411</v>
      </c>
      <c r="R271" s="1547">
        <f>'Abs22. NPPCD'!Q13</f>
        <v>0</v>
      </c>
      <c r="S271" s="2385">
        <f>'Abs22. NPPCD'!R13</f>
        <v>0</v>
      </c>
    </row>
    <row r="272" spans="1:19">
      <c r="A272" s="2283" t="s">
        <v>4665</v>
      </c>
      <c r="B272" s="1770" t="s">
        <v>1024</v>
      </c>
      <c r="C272" s="1770"/>
      <c r="D272" s="1770" t="s">
        <v>1025</v>
      </c>
      <c r="E272" s="1305"/>
      <c r="F272" s="1305"/>
      <c r="G272" s="2077"/>
      <c r="H272" s="2077"/>
      <c r="I272" s="2077"/>
      <c r="J272" s="2077"/>
      <c r="K272" s="2077"/>
      <c r="L272" s="3245"/>
      <c r="M272" s="2077"/>
      <c r="N272" s="2324"/>
      <c r="O272" s="2325"/>
      <c r="P272" s="2326">
        <f>SUM(P273:P274)</f>
        <v>0</v>
      </c>
      <c r="Q272" s="1771"/>
      <c r="R272" s="1682"/>
      <c r="S272" s="1892">
        <f>SUM(S273:S274)</f>
        <v>0</v>
      </c>
    </row>
    <row r="273" spans="1:19" ht="49.5">
      <c r="A273" s="2133">
        <v>1</v>
      </c>
      <c r="B273" s="1309" t="s">
        <v>1026</v>
      </c>
      <c r="C273" s="1309" t="s">
        <v>1027</v>
      </c>
      <c r="D273" s="1309" t="s">
        <v>1028</v>
      </c>
      <c r="E273" s="2412" t="s">
        <v>85</v>
      </c>
      <c r="F273" s="2164" t="s">
        <v>314</v>
      </c>
      <c r="G273" s="1903"/>
      <c r="H273" s="1911"/>
      <c r="I273" s="2314"/>
      <c r="J273" s="2314"/>
      <c r="K273" s="1910"/>
      <c r="L273" s="1911"/>
      <c r="M273" s="1317"/>
      <c r="N273" s="1857">
        <f>M273/100000</f>
        <v>0</v>
      </c>
      <c r="O273" s="1317"/>
      <c r="P273" s="2293">
        <f>N273*O273</f>
        <v>0</v>
      </c>
      <c r="Q273" s="1940"/>
      <c r="R273" s="1547">
        <f>'Abs25. NPPC'!Q14</f>
        <v>0</v>
      </c>
      <c r="S273" s="2385">
        <f>'Abs25. NPPC'!R14</f>
        <v>0</v>
      </c>
    </row>
    <row r="274" spans="1:19">
      <c r="A274" s="2133">
        <v>2</v>
      </c>
      <c r="B274" s="1309" t="s">
        <v>2584</v>
      </c>
      <c r="C274" s="1319"/>
      <c r="D274" s="1309" t="s">
        <v>1310</v>
      </c>
      <c r="E274" s="2412" t="s">
        <v>85</v>
      </c>
      <c r="F274" s="2164" t="s">
        <v>314</v>
      </c>
      <c r="G274" s="1903"/>
      <c r="H274" s="1911"/>
      <c r="I274" s="2314"/>
      <c r="J274" s="2314"/>
      <c r="K274" s="1903"/>
      <c r="L274" s="1911"/>
      <c r="M274" s="1317"/>
      <c r="N274" s="1857">
        <f>M274/100000</f>
        <v>0</v>
      </c>
      <c r="O274" s="1317"/>
      <c r="P274" s="2293">
        <f>N274*O274</f>
        <v>0</v>
      </c>
      <c r="Q274" s="1940"/>
      <c r="R274" s="1547">
        <f>'Abs25. NPPC'!Q15</f>
        <v>0</v>
      </c>
      <c r="S274" s="2385">
        <f>'Abs25. NPPC'!R15</f>
        <v>0</v>
      </c>
    </row>
    <row r="275" spans="1:19">
      <c r="A275" s="2283" t="s">
        <v>4666</v>
      </c>
      <c r="B275" s="1519" t="s">
        <v>1029</v>
      </c>
      <c r="C275" s="1769"/>
      <c r="D275" s="1770" t="s">
        <v>1030</v>
      </c>
      <c r="E275" s="1520"/>
      <c r="F275" s="1520"/>
      <c r="G275" s="1722"/>
      <c r="H275" s="1722"/>
      <c r="I275" s="1722"/>
      <c r="J275" s="1722"/>
      <c r="K275" s="1722"/>
      <c r="L275" s="1526"/>
      <c r="M275" s="1722"/>
      <c r="N275" s="2324"/>
      <c r="O275" s="2325"/>
      <c r="P275" s="2326">
        <f>SUM(P276:P277)</f>
        <v>3.3</v>
      </c>
      <c r="Q275" s="1771"/>
      <c r="R275" s="1682"/>
      <c r="S275" s="1892">
        <f>SUM(S276:S277)</f>
        <v>0</v>
      </c>
    </row>
    <row r="276" spans="1:19" ht="33">
      <c r="A276" s="2133">
        <v>1</v>
      </c>
      <c r="B276" s="1309" t="s">
        <v>1031</v>
      </c>
      <c r="C276" s="1309" t="s">
        <v>1032</v>
      </c>
      <c r="D276" s="1309" t="s">
        <v>1033</v>
      </c>
      <c r="E276" s="2412" t="s">
        <v>85</v>
      </c>
      <c r="F276" s="2164" t="s">
        <v>1034</v>
      </c>
      <c r="G276" s="2292"/>
      <c r="H276" s="2292"/>
      <c r="I276" s="2292"/>
      <c r="J276" s="2292"/>
      <c r="K276" s="2292"/>
      <c r="L276" s="2219" t="s">
        <v>6412</v>
      </c>
      <c r="M276" s="1317">
        <v>30000</v>
      </c>
      <c r="N276" s="1857">
        <f>M276/100000</f>
        <v>0.3</v>
      </c>
      <c r="O276" s="1317">
        <v>11</v>
      </c>
      <c r="P276" s="2293">
        <f>N276*O276</f>
        <v>3.3</v>
      </c>
      <c r="Q276" s="2294" t="s">
        <v>6413</v>
      </c>
      <c r="R276" s="1547">
        <f>'Abs23. NPPCF'!Q12</f>
        <v>0</v>
      </c>
      <c r="S276" s="2385">
        <f>'Abs23. NPPCF'!R12</f>
        <v>0</v>
      </c>
    </row>
    <row r="277" spans="1:19">
      <c r="A277" s="2133">
        <v>2</v>
      </c>
      <c r="B277" s="1309" t="s">
        <v>2585</v>
      </c>
      <c r="C277" s="1319"/>
      <c r="D277" s="1309" t="s">
        <v>1310</v>
      </c>
      <c r="E277" s="2412" t="s">
        <v>85</v>
      </c>
      <c r="F277" s="2164" t="s">
        <v>1034</v>
      </c>
      <c r="G277" s="2292"/>
      <c r="H277" s="2292"/>
      <c r="I277" s="2292"/>
      <c r="J277" s="2292"/>
      <c r="K277" s="2292"/>
      <c r="L277" s="2219"/>
      <c r="M277" s="1317"/>
      <c r="N277" s="1857">
        <f>M277/100000</f>
        <v>0</v>
      </c>
      <c r="O277" s="1317"/>
      <c r="P277" s="2293">
        <f>N277*O277</f>
        <v>0</v>
      </c>
      <c r="Q277" s="2294"/>
      <c r="R277" s="1547">
        <f>'Abs23. NPPCF'!Q13</f>
        <v>0</v>
      </c>
      <c r="S277" s="2385">
        <f>'Abs23. NPPCF'!R13</f>
        <v>0</v>
      </c>
    </row>
    <row r="278" spans="1:19">
      <c r="A278" s="2283" t="s">
        <v>4774</v>
      </c>
      <c r="B278" s="1519"/>
      <c r="C278" s="1769"/>
      <c r="D278" s="1770" t="s">
        <v>5044</v>
      </c>
      <c r="E278" s="1520"/>
      <c r="F278" s="1520"/>
      <c r="G278" s="1722"/>
      <c r="H278" s="1722"/>
      <c r="I278" s="1722"/>
      <c r="J278" s="1722"/>
      <c r="K278" s="1722"/>
      <c r="L278" s="1526"/>
      <c r="M278" s="1722"/>
      <c r="N278" s="2324"/>
      <c r="O278" s="2325"/>
      <c r="P278" s="2326">
        <f>SUM(P279:P280)</f>
        <v>2.4000000000000004</v>
      </c>
      <c r="Q278" s="1771"/>
      <c r="R278" s="1682"/>
      <c r="S278" s="1892">
        <f>SUM(S279:S280)</f>
        <v>0</v>
      </c>
    </row>
    <row r="279" spans="1:19" s="2135" customFormat="1" ht="33">
      <c r="A279" s="2135">
        <v>1</v>
      </c>
      <c r="B279" s="1319" t="s">
        <v>3985</v>
      </c>
      <c r="C279" s="1319"/>
      <c r="D279" s="1319" t="s">
        <v>4129</v>
      </c>
      <c r="E279" s="2412" t="s">
        <v>85</v>
      </c>
      <c r="F279" s="2409" t="s">
        <v>4124</v>
      </c>
      <c r="G279" s="2408"/>
      <c r="H279" s="2408"/>
      <c r="I279" s="2408"/>
      <c r="J279" s="2408"/>
      <c r="K279" s="2408"/>
      <c r="L279" s="2219" t="s">
        <v>6098</v>
      </c>
      <c r="M279" s="1317">
        <v>50000</v>
      </c>
      <c r="N279" s="1857">
        <f>M279/100000</f>
        <v>0.5</v>
      </c>
      <c r="O279" s="1317">
        <v>1</v>
      </c>
      <c r="P279" s="2308">
        <f>N279*O279</f>
        <v>0.5</v>
      </c>
      <c r="Q279" s="2407" t="s">
        <v>6107</v>
      </c>
      <c r="R279" s="1547">
        <f>'Abs21. NPCCHH'!Q11</f>
        <v>0</v>
      </c>
      <c r="S279" s="2385">
        <f>'Abs21. NPCCHH'!R11</f>
        <v>0</v>
      </c>
    </row>
    <row r="280" spans="1:19" ht="33">
      <c r="A280" s="2133">
        <v>2</v>
      </c>
      <c r="B280" s="1309"/>
      <c r="C280" s="1319"/>
      <c r="D280" s="1309" t="s">
        <v>1310</v>
      </c>
      <c r="E280" s="2412" t="s">
        <v>85</v>
      </c>
      <c r="F280" s="2409" t="s">
        <v>4124</v>
      </c>
      <c r="G280" s="2292"/>
      <c r="H280" s="2292"/>
      <c r="I280" s="2292"/>
      <c r="J280" s="2292"/>
      <c r="K280" s="2292"/>
      <c r="L280" s="2219" t="s">
        <v>6106</v>
      </c>
      <c r="M280" s="1317">
        <v>5000</v>
      </c>
      <c r="N280" s="1857">
        <f>M280/100000</f>
        <v>0.05</v>
      </c>
      <c r="O280" s="1317">
        <v>38</v>
      </c>
      <c r="P280" s="2293">
        <f>N280*O280</f>
        <v>1.9000000000000001</v>
      </c>
      <c r="Q280" s="2294" t="s">
        <v>6108</v>
      </c>
      <c r="R280" s="1547">
        <f>'Abs21. NPCCHH'!Q12</f>
        <v>0</v>
      </c>
      <c r="S280" s="2385">
        <f>'Abs21. NPCCHH'!R12</f>
        <v>0</v>
      </c>
    </row>
    <row r="281" spans="1:19">
      <c r="A281" s="2283" t="s">
        <v>4917</v>
      </c>
      <c r="B281" s="1519"/>
      <c r="C281" s="1769"/>
      <c r="D281" s="1770" t="s">
        <v>5083</v>
      </c>
      <c r="E281" s="1520"/>
      <c r="F281" s="1520"/>
      <c r="G281" s="1722"/>
      <c r="H281" s="1722"/>
      <c r="I281" s="1722"/>
      <c r="J281" s="1722"/>
      <c r="K281" s="1722"/>
      <c r="L281" s="1526"/>
      <c r="M281" s="1722"/>
      <c r="N281" s="2324"/>
      <c r="O281" s="2325"/>
      <c r="P281" s="2326">
        <f>SUM(P282:P283)</f>
        <v>0</v>
      </c>
      <c r="Q281" s="1771"/>
      <c r="R281" s="1682"/>
      <c r="S281" s="1892">
        <f>SUM(S282:S283)</f>
        <v>0</v>
      </c>
    </row>
    <row r="282" spans="1:19" s="2135" customFormat="1" ht="49.5">
      <c r="A282" s="2135">
        <v>1</v>
      </c>
      <c r="B282" s="1319" t="s">
        <v>4540</v>
      </c>
      <c r="C282" s="1319"/>
      <c r="D282" s="1319" t="s">
        <v>4542</v>
      </c>
      <c r="E282" s="2412" t="s">
        <v>85</v>
      </c>
      <c r="F282" s="2409" t="s">
        <v>4915</v>
      </c>
      <c r="G282" s="2408"/>
      <c r="H282" s="2408"/>
      <c r="I282" s="2408"/>
      <c r="J282" s="2408"/>
      <c r="K282" s="2408"/>
      <c r="L282" s="2189"/>
      <c r="M282" s="1317"/>
      <c r="N282" s="1857">
        <f>M282/100000</f>
        <v>0</v>
      </c>
      <c r="O282" s="1317"/>
      <c r="P282" s="2308">
        <f>N282*O282</f>
        <v>0</v>
      </c>
      <c r="Q282" s="2407"/>
      <c r="R282" s="1547">
        <f>'Abs20. PMNDP'!Q16</f>
        <v>0</v>
      </c>
      <c r="S282" s="2385">
        <f>'Abs20. PMNDP'!R16</f>
        <v>0</v>
      </c>
    </row>
    <row r="283" spans="1:19">
      <c r="A283" s="2133">
        <v>2</v>
      </c>
      <c r="B283" s="1309"/>
      <c r="C283" s="1319"/>
      <c r="D283" s="1309" t="s">
        <v>1310</v>
      </c>
      <c r="E283" s="2412" t="s">
        <v>85</v>
      </c>
      <c r="F283" s="2409" t="s">
        <v>4915</v>
      </c>
      <c r="G283" s="2292"/>
      <c r="H283" s="2292"/>
      <c r="I283" s="2292"/>
      <c r="J283" s="2292"/>
      <c r="K283" s="2292"/>
      <c r="L283" s="2219"/>
      <c r="M283" s="1317"/>
      <c r="N283" s="1857">
        <f>M283/100000</f>
        <v>0</v>
      </c>
      <c r="O283" s="1317"/>
      <c r="P283" s="2293">
        <f>N283*O283</f>
        <v>0</v>
      </c>
      <c r="Q283" s="2294"/>
      <c r="R283" s="1547">
        <f>'Abs20. PMNDP'!Q17</f>
        <v>0</v>
      </c>
      <c r="S283" s="2385">
        <f>'Abs20. PMNDP'!R17</f>
        <v>0</v>
      </c>
    </row>
  </sheetData>
  <sheetProtection sheet="1" formatCells="0" formatColumns="0" formatRows="0" autoFilter="0"/>
  <mergeCells count="14">
    <mergeCell ref="B145:D145"/>
    <mergeCell ref="B208:D208"/>
    <mergeCell ref="B247:D247"/>
    <mergeCell ref="A3:A4"/>
    <mergeCell ref="B3:C4"/>
    <mergeCell ref="B6:D6"/>
    <mergeCell ref="B24:D24"/>
    <mergeCell ref="A1:D1"/>
    <mergeCell ref="L3:Q3"/>
    <mergeCell ref="R3:S3"/>
    <mergeCell ref="G3:K3"/>
    <mergeCell ref="D3:D4"/>
    <mergeCell ref="E3:E4"/>
    <mergeCell ref="F3:F4"/>
  </mergeCells>
  <phoneticPr fontId="27" type="noConversion"/>
  <pageMargins left="0.7" right="0.31" top="0.39" bottom="0.16" header="0.3" footer="0.3"/>
  <pageSetup paperSize="5" scale="70" orientation="landscape" horizontalDpi="4294967295" verticalDpi="4294967295" r:id="rId1"/>
</worksheet>
</file>

<file path=xl/worksheets/sheet21.xml><?xml version="1.0" encoding="utf-8"?>
<worksheet xmlns="http://schemas.openxmlformats.org/spreadsheetml/2006/main" xmlns:r="http://schemas.openxmlformats.org/officeDocument/2006/relationships">
  <sheetPr codeName="Sheet8"/>
  <dimension ref="A1:BA62"/>
  <sheetViews>
    <sheetView zoomScale="80" zoomScaleNormal="80" workbookViewId="0">
      <pane xSplit="5" ySplit="7" topLeftCell="K56" activePane="bottomRight" state="frozen"/>
      <selection activeCell="Q172" sqref="A1:BE179"/>
      <selection pane="topRight" activeCell="Q172" sqref="A1:BE179"/>
      <selection pane="bottomLeft" activeCell="Q172" sqref="A1:BE179"/>
      <selection pane="bottomRight" activeCell="C58" activeCellId="3" sqref="A37 C37 A58 C58"/>
    </sheetView>
  </sheetViews>
  <sheetFormatPr defaultColWidth="9.140625" defaultRowHeight="16.5"/>
  <cols>
    <col min="1" max="1" width="10.140625" style="1809" customWidth="1"/>
    <col min="2" max="2" width="8" style="1696" customWidth="1"/>
    <col min="3" max="3" width="51" style="1659" customWidth="1"/>
    <col min="4" max="4" width="8.42578125" style="1669" customWidth="1"/>
    <col min="5" max="5" width="15.140625" style="1669" customWidth="1"/>
    <col min="6" max="6" width="13.140625" style="1659" hidden="1" customWidth="1"/>
    <col min="7" max="7" width="20.5703125" style="1659" hidden="1" customWidth="1"/>
    <col min="8" max="8" width="12.140625" style="1659" hidden="1" customWidth="1"/>
    <col min="9" max="9" width="10.140625" style="1659" hidden="1" customWidth="1"/>
    <col min="10" max="10" width="17.7109375" style="1659" hidden="1" customWidth="1"/>
    <col min="11" max="11" width="14.42578125" style="1659" customWidth="1"/>
    <col min="12" max="12" width="11.42578125" style="1659" customWidth="1"/>
    <col min="13" max="13" width="12.140625" style="1344" bestFit="1" customWidth="1"/>
    <col min="14" max="14" width="10.85546875" style="1659" customWidth="1"/>
    <col min="15" max="15" width="12.140625" style="1344" bestFit="1" customWidth="1"/>
    <col min="16" max="16" width="79.85546875" style="1809" customWidth="1"/>
    <col min="17" max="17" width="34.7109375" style="1809" hidden="1" customWidth="1"/>
    <col min="18" max="18" width="10.5703125" style="1812" hidden="1" customWidth="1"/>
    <col min="19" max="35" width="0" style="1659" hidden="1" customWidth="1"/>
    <col min="36" max="36" width="12.5703125" style="1659" hidden="1" customWidth="1"/>
    <col min="37" max="54" width="0" style="1659" hidden="1" customWidth="1"/>
    <col min="55" max="16384" width="9.140625" style="1659"/>
  </cols>
  <sheetData>
    <row r="1" spans="1:53" ht="38.25" customHeight="1">
      <c r="A1" s="4424" t="s">
        <v>1168</v>
      </c>
      <c r="B1" s="4425"/>
      <c r="C1" s="4426"/>
      <c r="D1" s="1870"/>
      <c r="E1" s="4391" t="s">
        <v>4709</v>
      </c>
      <c r="F1" s="4427" t="s">
        <v>4707</v>
      </c>
      <c r="G1" s="4428"/>
      <c r="H1" s="4428"/>
      <c r="I1" s="4428"/>
      <c r="J1" s="4428"/>
      <c r="K1" s="4428"/>
      <c r="L1" s="4428"/>
      <c r="M1" s="4428"/>
      <c r="N1" s="4429"/>
      <c r="O1" s="4430" t="s">
        <v>70</v>
      </c>
      <c r="P1" s="4431"/>
      <c r="Q1" s="4431"/>
      <c r="R1" s="4431"/>
      <c r="S1" s="4431"/>
      <c r="T1" s="4431"/>
      <c r="U1" s="4431"/>
      <c r="V1" s="4431"/>
      <c r="W1" s="4431"/>
      <c r="X1" s="4431"/>
      <c r="Y1" s="4431"/>
      <c r="Z1" s="4431"/>
      <c r="AA1" s="4431"/>
      <c r="AB1" s="4431"/>
      <c r="AC1" s="4431"/>
      <c r="AD1" s="4431"/>
      <c r="AE1" s="4431"/>
      <c r="AF1" s="4431"/>
      <c r="AG1" s="4431"/>
      <c r="AH1" s="4431"/>
      <c r="AI1" s="4416" t="s">
        <v>4358</v>
      </c>
      <c r="AJ1" s="4417"/>
      <c r="AK1" s="4417"/>
      <c r="AL1" s="4417"/>
      <c r="AM1" s="4417"/>
      <c r="AN1" s="4417"/>
      <c r="AO1" s="4418"/>
      <c r="AP1" s="4419" t="s">
        <v>85</v>
      </c>
      <c r="AQ1" s="4420"/>
      <c r="AR1" s="4420"/>
      <c r="AS1" s="4420"/>
      <c r="AT1" s="4420"/>
      <c r="AU1" s="4420"/>
      <c r="AV1" s="4420"/>
      <c r="AW1" s="4420"/>
      <c r="AX1" s="4420"/>
      <c r="AY1" s="4420"/>
      <c r="AZ1" s="4420"/>
      <c r="BA1" s="4421"/>
    </row>
    <row r="2" spans="1:53" s="1696" customFormat="1" ht="46.5" customHeight="1">
      <c r="A2" s="4365" t="str">
        <f>HYPERLINK("#Index!A4", "Index Pg")</f>
        <v>Index Pg</v>
      </c>
      <c r="B2" s="2134" t="str">
        <f>HYPERLINK("#'Summary of Abstracts'!A2", "Summary of Abst.")</f>
        <v>Summary of Abst.</v>
      </c>
      <c r="C2" s="1278"/>
      <c r="D2" s="1871"/>
      <c r="E2" s="4391"/>
      <c r="F2" s="1321" t="s">
        <v>118</v>
      </c>
      <c r="G2" s="1321" t="s">
        <v>131</v>
      </c>
      <c r="H2" s="1321" t="s">
        <v>91</v>
      </c>
      <c r="I2" s="1321" t="s">
        <v>4705</v>
      </c>
      <c r="J2" s="1321" t="s">
        <v>96</v>
      </c>
      <c r="K2" s="1310" t="s">
        <v>4064</v>
      </c>
      <c r="L2" s="1353" t="s">
        <v>4706</v>
      </c>
      <c r="M2" s="1353" t="s">
        <v>4710</v>
      </c>
      <c r="N2" s="1353" t="s">
        <v>208</v>
      </c>
      <c r="O2" s="1282" t="s">
        <v>4357</v>
      </c>
      <c r="P2" s="1282" t="s">
        <v>3848</v>
      </c>
      <c r="Q2" s="1282" t="s">
        <v>4719</v>
      </c>
      <c r="R2" s="1282" t="s">
        <v>4716</v>
      </c>
      <c r="S2" s="1282" t="s">
        <v>4717</v>
      </c>
      <c r="T2" s="1282" t="s">
        <v>4718</v>
      </c>
      <c r="U2" s="1282" t="s">
        <v>4720</v>
      </c>
      <c r="V2" s="1282" t="s">
        <v>4695</v>
      </c>
      <c r="W2" s="1282" t="s">
        <v>4721</v>
      </c>
      <c r="X2" s="1282" t="s">
        <v>33</v>
      </c>
      <c r="Y2" s="1282" t="s">
        <v>4722</v>
      </c>
      <c r="Z2" s="1282" t="s">
        <v>4723</v>
      </c>
      <c r="AA2" s="1282" t="s">
        <v>4713</v>
      </c>
      <c r="AB2" s="1282" t="s">
        <v>742</v>
      </c>
      <c r="AC2" s="1282" t="s">
        <v>4714</v>
      </c>
      <c r="AD2" s="1282" t="s">
        <v>4715</v>
      </c>
      <c r="AE2" s="1282" t="s">
        <v>2379</v>
      </c>
      <c r="AF2" s="1282" t="s">
        <v>4724</v>
      </c>
      <c r="AG2" s="1282" t="s">
        <v>3847</v>
      </c>
      <c r="AH2" s="1282" t="s">
        <v>307</v>
      </c>
      <c r="AI2" s="1283" t="s">
        <v>293</v>
      </c>
      <c r="AJ2" s="1283" t="s">
        <v>114</v>
      </c>
      <c r="AK2" s="1283" t="s">
        <v>146</v>
      </c>
      <c r="AL2" s="1283" t="s">
        <v>4674</v>
      </c>
      <c r="AM2" s="1283" t="s">
        <v>3316</v>
      </c>
      <c r="AN2" s="1283" t="s">
        <v>3986</v>
      </c>
      <c r="AO2" s="1283" t="s">
        <v>4544</v>
      </c>
      <c r="AP2" s="1284" t="s">
        <v>86</v>
      </c>
      <c r="AQ2" s="1284" t="s">
        <v>150</v>
      </c>
      <c r="AR2" s="1284" t="s">
        <v>399</v>
      </c>
      <c r="AS2" s="1284" t="s">
        <v>152</v>
      </c>
      <c r="AT2" s="1284" t="s">
        <v>415</v>
      </c>
      <c r="AU2" s="1284" t="s">
        <v>4598</v>
      </c>
      <c r="AV2" s="1284" t="s">
        <v>4124</v>
      </c>
      <c r="AW2" s="1284" t="s">
        <v>312</v>
      </c>
      <c r="AX2" s="1284" t="s">
        <v>314</v>
      </c>
      <c r="AY2" s="1284" t="s">
        <v>1034</v>
      </c>
      <c r="AZ2" s="1284" t="s">
        <v>1020</v>
      </c>
      <c r="BA2" s="1284" t="s">
        <v>4708</v>
      </c>
    </row>
    <row r="3" spans="1:53" s="1696" customFormat="1" ht="24.75" customHeight="1">
      <c r="A3" s="4366"/>
      <c r="B3" s="1287" t="str">
        <f>HYPERLINK("#'Budget Summary I'!A1:AL1", "Budget Summary I")</f>
        <v>Budget Summary I</v>
      </c>
      <c r="C3" s="1286" t="s">
        <v>4599</v>
      </c>
      <c r="D3" s="1871"/>
      <c r="E3" s="1872">
        <f>R7</f>
        <v>0</v>
      </c>
      <c r="F3" s="1338">
        <f>R9</f>
        <v>0</v>
      </c>
      <c r="G3" s="1338">
        <f>R10</f>
        <v>0</v>
      </c>
      <c r="H3" s="1338"/>
      <c r="I3" s="1338"/>
      <c r="J3" s="1338"/>
      <c r="K3" s="1508"/>
      <c r="L3" s="1338"/>
      <c r="M3" s="1338"/>
      <c r="N3" s="1508">
        <f>R14+R48</f>
        <v>0</v>
      </c>
      <c r="O3" s="1508"/>
      <c r="P3" s="1508"/>
      <c r="Q3" s="1508"/>
      <c r="R3" s="1508"/>
      <c r="S3" s="1508"/>
      <c r="T3" s="1508"/>
      <c r="U3" s="1508"/>
      <c r="V3" s="1508"/>
      <c r="W3" s="1508"/>
      <c r="X3" s="1508"/>
      <c r="Y3" s="1508"/>
      <c r="Z3" s="1508"/>
      <c r="AA3" s="1508"/>
      <c r="AB3" s="1508"/>
      <c r="AC3" s="1508"/>
      <c r="AD3" s="1508"/>
      <c r="AE3" s="1508"/>
      <c r="AF3" s="1508"/>
      <c r="AG3" s="1508"/>
      <c r="AH3" s="1508">
        <f>R11+R13+R33+R46+R54+R62</f>
        <v>0</v>
      </c>
      <c r="AI3" s="1508">
        <f>R49+R50+R51+R52</f>
        <v>0</v>
      </c>
      <c r="AJ3" s="1508">
        <f>R15+R16+R17+R19+R20+R22+R23+R24+R36+R37+R38+R39+R40+R41+R53+R58+R59+R60</f>
        <v>0</v>
      </c>
      <c r="AK3" s="1508">
        <f>R57</f>
        <v>0</v>
      </c>
      <c r="AL3" s="1508">
        <f>R25+R26+R56</f>
        <v>0</v>
      </c>
      <c r="AM3" s="1508"/>
      <c r="AN3" s="1508"/>
      <c r="AO3" s="1508"/>
      <c r="AP3" s="1508">
        <f>R61</f>
        <v>0</v>
      </c>
      <c r="AQ3" s="1508"/>
      <c r="AR3" s="1508">
        <f>R32</f>
        <v>0</v>
      </c>
      <c r="AS3" s="1508">
        <f>R27+R28</f>
        <v>0</v>
      </c>
      <c r="AT3" s="1508">
        <f>R29+R30+R43+R44+R45</f>
        <v>0</v>
      </c>
      <c r="AU3" s="1508"/>
      <c r="AV3" s="1508">
        <f>R31</f>
        <v>0</v>
      </c>
      <c r="AW3" s="1508"/>
      <c r="AX3" s="1508"/>
      <c r="AY3" s="1508"/>
      <c r="AZ3" s="1508"/>
      <c r="BA3" s="1508"/>
    </row>
    <row r="4" spans="1:53" s="1696" customFormat="1" ht="24.75" customHeight="1">
      <c r="A4" s="4367"/>
      <c r="B4" s="1287" t="str">
        <f>HYPERLINK("#'Budget Summary II'!A3:B5", "Budget Summary II")</f>
        <v>Budget Summary II</v>
      </c>
      <c r="C4" s="1286" t="s">
        <v>4600</v>
      </c>
      <c r="D4" s="1871"/>
      <c r="E4" s="1872">
        <f>O7</f>
        <v>628.00415975300007</v>
      </c>
      <c r="F4" s="1338">
        <f>O9</f>
        <v>71.81</v>
      </c>
      <c r="G4" s="1338">
        <f>O10</f>
        <v>40</v>
      </c>
      <c r="H4" s="1338"/>
      <c r="I4" s="1338"/>
      <c r="J4" s="1338"/>
      <c r="K4" s="1508"/>
      <c r="L4" s="1338"/>
      <c r="M4" s="1338"/>
      <c r="N4" s="1508">
        <f>O14+O48</f>
        <v>13.6</v>
      </c>
      <c r="O4" s="1508"/>
      <c r="P4" s="1508"/>
      <c r="Q4" s="1508"/>
      <c r="R4" s="1508"/>
      <c r="S4" s="1508"/>
      <c r="T4" s="1508"/>
      <c r="U4" s="1508"/>
      <c r="V4" s="1508"/>
      <c r="W4" s="1508"/>
      <c r="X4" s="1508"/>
      <c r="Y4" s="1508"/>
      <c r="Z4" s="1508"/>
      <c r="AA4" s="1508"/>
      <c r="AB4" s="1508"/>
      <c r="AC4" s="1508"/>
      <c r="AD4" s="1508"/>
      <c r="AE4" s="1508"/>
      <c r="AF4" s="1508"/>
      <c r="AG4" s="1508"/>
      <c r="AH4" s="1508">
        <f>O11+O13+O33+O46+O54+O62</f>
        <v>234.05819975299997</v>
      </c>
      <c r="AI4" s="1508">
        <f>O49+O50+O51+O52</f>
        <v>21.5</v>
      </c>
      <c r="AJ4" s="1508">
        <f>O15+O16+O17+O19+O20+O22+O23+O24+O36+O37+O38+O39+O40+O41+O53+O58+O59+O60</f>
        <v>225.73596000000001</v>
      </c>
      <c r="AK4" s="1508">
        <f>O57</f>
        <v>0</v>
      </c>
      <c r="AL4" s="1508">
        <f>O25+O26+O56</f>
        <v>19.3</v>
      </c>
      <c r="AM4" s="1508"/>
      <c r="AN4" s="1508"/>
      <c r="AO4" s="1508"/>
      <c r="AP4" s="1508">
        <f>O61</f>
        <v>0</v>
      </c>
      <c r="AQ4" s="1508"/>
      <c r="AR4" s="1508">
        <f>O32</f>
        <v>0</v>
      </c>
      <c r="AS4" s="1508">
        <f>O27+O28</f>
        <v>0</v>
      </c>
      <c r="AT4" s="1508">
        <f>O29+O30+O43+O44+O45</f>
        <v>0</v>
      </c>
      <c r="AU4" s="1508"/>
      <c r="AV4" s="1508">
        <f>O31</f>
        <v>2</v>
      </c>
      <c r="AW4" s="1508"/>
      <c r="AX4" s="1508"/>
      <c r="AY4" s="1508"/>
      <c r="AZ4" s="1508"/>
      <c r="BA4" s="1508"/>
    </row>
    <row r="5" spans="1:53" s="1669" customFormat="1" ht="24.75" customHeight="1">
      <c r="A5" s="4343" t="s">
        <v>53</v>
      </c>
      <c r="B5" s="4343" t="s">
        <v>54</v>
      </c>
      <c r="C5" s="4343" t="s">
        <v>55</v>
      </c>
      <c r="D5" s="4343" t="s">
        <v>56</v>
      </c>
      <c r="E5" s="4343" t="s">
        <v>57</v>
      </c>
      <c r="F5" s="4339" t="s">
        <v>4620</v>
      </c>
      <c r="G5" s="4339"/>
      <c r="H5" s="4339"/>
      <c r="I5" s="4339"/>
      <c r="J5" s="4339"/>
      <c r="K5" s="4340" t="s">
        <v>4631</v>
      </c>
      <c r="L5" s="4380"/>
      <c r="M5" s="4380"/>
      <c r="N5" s="4380"/>
      <c r="O5" s="4380"/>
      <c r="P5" s="4381"/>
      <c r="Q5" s="4422" t="s">
        <v>4661</v>
      </c>
      <c r="R5" s="4423"/>
    </row>
    <row r="6" spans="1:53" s="1669" customFormat="1" ht="49.5">
      <c r="A6" s="4343"/>
      <c r="B6" s="4343"/>
      <c r="C6" s="4343"/>
      <c r="D6" s="4343"/>
      <c r="E6" s="4343"/>
      <c r="F6" s="1288" t="s">
        <v>4621</v>
      </c>
      <c r="G6" s="1288" t="s">
        <v>4629</v>
      </c>
      <c r="H6" s="1288" t="s">
        <v>4622</v>
      </c>
      <c r="I6" s="1288" t="s">
        <v>4630</v>
      </c>
      <c r="J6" s="1288" t="s">
        <v>2534</v>
      </c>
      <c r="K6" s="1289" t="s">
        <v>58</v>
      </c>
      <c r="L6" s="1289" t="s">
        <v>59</v>
      </c>
      <c r="M6" s="1290" t="s">
        <v>60</v>
      </c>
      <c r="N6" s="1289" t="s">
        <v>61</v>
      </c>
      <c r="O6" s="1290" t="s">
        <v>62</v>
      </c>
      <c r="P6" s="1289" t="s">
        <v>5564</v>
      </c>
      <c r="Q6" s="1291" t="s">
        <v>2536</v>
      </c>
      <c r="R6" s="1292" t="s">
        <v>4662</v>
      </c>
    </row>
    <row r="7" spans="1:53">
      <c r="A7" s="1513">
        <v>10</v>
      </c>
      <c r="B7" s="1875"/>
      <c r="C7" s="1513" t="s">
        <v>2855</v>
      </c>
      <c r="D7" s="1515"/>
      <c r="E7" s="1515"/>
      <c r="F7" s="1515"/>
      <c r="G7" s="1515"/>
      <c r="H7" s="1515"/>
      <c r="I7" s="1515"/>
      <c r="J7" s="1515"/>
      <c r="K7" s="1515"/>
      <c r="L7" s="1515"/>
      <c r="M7" s="1293"/>
      <c r="N7" s="1515"/>
      <c r="O7" s="1294">
        <f>O8+O12+O34+O47+O55</f>
        <v>628.00415975300007</v>
      </c>
      <c r="P7" s="1513"/>
      <c r="Q7" s="1513"/>
      <c r="R7" s="1294">
        <f>R8+R12+R34+R47+R55</f>
        <v>0</v>
      </c>
    </row>
    <row r="8" spans="1:53" s="2438" customFormat="1">
      <c r="A8" s="1991">
        <v>10.1</v>
      </c>
      <c r="B8" s="2434"/>
      <c r="C8" s="1671" t="s">
        <v>24</v>
      </c>
      <c r="D8" s="2435"/>
      <c r="E8" s="2435"/>
      <c r="F8" s="1671"/>
      <c r="G8" s="1671"/>
      <c r="H8" s="1671"/>
      <c r="I8" s="1671"/>
      <c r="J8" s="1671"/>
      <c r="K8" s="1671"/>
      <c r="L8" s="1671"/>
      <c r="M8" s="2436"/>
      <c r="N8" s="1671"/>
      <c r="O8" s="2436">
        <f>SUM(O9:O11)</f>
        <v>111.81</v>
      </c>
      <c r="P8" s="1296"/>
      <c r="Q8" s="1296"/>
      <c r="R8" s="2437">
        <f>SUM(R9:R11)</f>
        <v>0</v>
      </c>
    </row>
    <row r="9" spans="1:53" s="3812" customFormat="1" ht="214.5">
      <c r="A9" s="3799" t="s">
        <v>1169</v>
      </c>
      <c r="B9" s="3800" t="s">
        <v>769</v>
      </c>
      <c r="C9" s="3801" t="s">
        <v>1170</v>
      </c>
      <c r="D9" s="3802" t="s">
        <v>90</v>
      </c>
      <c r="E9" s="3803" t="s">
        <v>118</v>
      </c>
      <c r="F9" s="3804"/>
      <c r="G9" s="3805"/>
      <c r="H9" s="3806">
        <v>13.6</v>
      </c>
      <c r="I9" s="3806">
        <f>11131457/100000</f>
        <v>111.31457</v>
      </c>
      <c r="J9" s="3807"/>
      <c r="K9" s="3804" t="s">
        <v>6118</v>
      </c>
      <c r="L9" s="3739">
        <v>7181000</v>
      </c>
      <c r="M9" s="3808">
        <f>L9/100000</f>
        <v>71.81</v>
      </c>
      <c r="N9" s="3739">
        <v>1</v>
      </c>
      <c r="O9" s="3808">
        <f>M9*N9</f>
        <v>71.81</v>
      </c>
      <c r="P9" s="3809" t="s">
        <v>6815</v>
      </c>
      <c r="Q9" s="3810">
        <f>'Ab1. RMNCH+A'!Q91</f>
        <v>0</v>
      </c>
      <c r="R9" s="3811">
        <f>'Ab1. RMNCH+A'!R91</f>
        <v>0</v>
      </c>
    </row>
    <row r="10" spans="1:53" s="2438" customFormat="1" ht="99">
      <c r="A10" s="2439" t="s">
        <v>2097</v>
      </c>
      <c r="B10" s="2071" t="s">
        <v>835</v>
      </c>
      <c r="C10" s="1855" t="s">
        <v>1171</v>
      </c>
      <c r="D10" s="2440" t="s">
        <v>90</v>
      </c>
      <c r="E10" s="2441" t="s">
        <v>131</v>
      </c>
      <c r="F10" s="2443"/>
      <c r="G10" s="2442"/>
      <c r="H10" s="2444"/>
      <c r="I10" s="2444"/>
      <c r="J10" s="2443"/>
      <c r="K10" s="2443" t="s">
        <v>6211</v>
      </c>
      <c r="L10" s="1317">
        <v>4000000</v>
      </c>
      <c r="M10" s="1702">
        <f>L10/100000</f>
        <v>40</v>
      </c>
      <c r="N10" s="1317">
        <v>1</v>
      </c>
      <c r="O10" s="1702">
        <f>M10*N10</f>
        <v>40</v>
      </c>
      <c r="P10" s="1348" t="s">
        <v>6212</v>
      </c>
      <c r="Q10" s="1331">
        <f>'Ab1. RMNCH+A'!Q174</f>
        <v>0</v>
      </c>
      <c r="R10" s="1315">
        <f>'Ab1. RMNCH+A'!R174</f>
        <v>0</v>
      </c>
    </row>
    <row r="11" spans="1:53" s="2438" customFormat="1">
      <c r="A11" s="2439" t="s">
        <v>2618</v>
      </c>
      <c r="B11" s="2445"/>
      <c r="C11" s="1855" t="s">
        <v>1310</v>
      </c>
      <c r="D11" s="1281" t="s">
        <v>70</v>
      </c>
      <c r="E11" s="2441" t="s">
        <v>70</v>
      </c>
      <c r="F11" s="2443"/>
      <c r="G11" s="2443"/>
      <c r="H11" s="2443"/>
      <c r="I11" s="2443"/>
      <c r="J11" s="2443"/>
      <c r="K11" s="2443"/>
      <c r="L11" s="1317"/>
      <c r="M11" s="1702">
        <f>L11/100000</f>
        <v>0</v>
      </c>
      <c r="N11" s="1317"/>
      <c r="O11" s="1702">
        <f>M11*N11</f>
        <v>0</v>
      </c>
      <c r="P11" s="2446"/>
      <c r="Q11" s="2447"/>
      <c r="R11" s="1333"/>
    </row>
    <row r="12" spans="1:53" s="2438" customFormat="1">
      <c r="A12" s="1991">
        <v>10.199999999999999</v>
      </c>
      <c r="B12" s="2434"/>
      <c r="C12" s="1671" t="s">
        <v>25</v>
      </c>
      <c r="D12" s="2435"/>
      <c r="E12" s="2435"/>
      <c r="F12" s="2448"/>
      <c r="G12" s="2448"/>
      <c r="H12" s="2448"/>
      <c r="I12" s="2448"/>
      <c r="J12" s="2448"/>
      <c r="K12" s="2448"/>
      <c r="L12" s="2448"/>
      <c r="M12" s="2436"/>
      <c r="N12" s="2448"/>
      <c r="O12" s="2437">
        <f>SUM(O13:O17)+O18+O21+SUM(O25:O33)</f>
        <v>66.3</v>
      </c>
      <c r="P12" s="2057"/>
      <c r="Q12" s="1296"/>
      <c r="R12" s="2437">
        <f>SUM(R13:R17)+R18+R21+SUM(R25:R33)</f>
        <v>0</v>
      </c>
    </row>
    <row r="13" spans="1:53" s="2438" customFormat="1">
      <c r="A13" s="2439" t="s">
        <v>1172</v>
      </c>
      <c r="B13" s="2033" t="s">
        <v>1173</v>
      </c>
      <c r="C13" s="2449" t="s">
        <v>1174</v>
      </c>
      <c r="D13" s="1281" t="s">
        <v>70</v>
      </c>
      <c r="E13" s="2441" t="s">
        <v>70</v>
      </c>
      <c r="F13" s="2443"/>
      <c r="G13" s="2443"/>
      <c r="H13" s="2443"/>
      <c r="I13" s="2443"/>
      <c r="J13" s="2443"/>
      <c r="K13" s="2443"/>
      <c r="L13" s="1317"/>
      <c r="M13" s="1702">
        <f>L13/100000</f>
        <v>0</v>
      </c>
      <c r="N13" s="1317"/>
      <c r="O13" s="1702">
        <f>M13*N13</f>
        <v>0</v>
      </c>
      <c r="P13" s="2446"/>
      <c r="Q13" s="2447"/>
      <c r="R13" s="1333"/>
    </row>
    <row r="14" spans="1:53" ht="33">
      <c r="A14" s="2439" t="s">
        <v>1175</v>
      </c>
      <c r="B14" s="2033" t="s">
        <v>1176</v>
      </c>
      <c r="C14" s="2033" t="s">
        <v>1177</v>
      </c>
      <c r="D14" s="2274" t="s">
        <v>90</v>
      </c>
      <c r="E14" s="1523" t="s">
        <v>208</v>
      </c>
      <c r="F14" s="2292">
        <v>8</v>
      </c>
      <c r="G14" s="2292">
        <v>8</v>
      </c>
      <c r="H14" s="2292">
        <v>4</v>
      </c>
      <c r="I14" s="2292">
        <v>0</v>
      </c>
      <c r="J14" s="2292">
        <v>0</v>
      </c>
      <c r="K14" s="2292" t="s">
        <v>6077</v>
      </c>
      <c r="L14" s="1317">
        <v>50000</v>
      </c>
      <c r="M14" s="1702">
        <f>L14/100000</f>
        <v>0.5</v>
      </c>
      <c r="N14" s="1317">
        <v>14</v>
      </c>
      <c r="O14" s="1702">
        <f>M14*N14</f>
        <v>7</v>
      </c>
      <c r="P14" s="1939" t="s">
        <v>6328</v>
      </c>
      <c r="Q14" s="2450">
        <f>'Ab2. NIDDCP'!Q16</f>
        <v>0</v>
      </c>
      <c r="R14" s="1315">
        <f>'Ab2. NIDDCP'!R16</f>
        <v>0</v>
      </c>
    </row>
    <row r="15" spans="1:53" s="2438" customFormat="1" ht="33">
      <c r="A15" s="2439" t="s">
        <v>1178</v>
      </c>
      <c r="B15" s="1527" t="s">
        <v>1179</v>
      </c>
      <c r="C15" s="1527" t="s">
        <v>1180</v>
      </c>
      <c r="D15" s="1537" t="s">
        <v>4358</v>
      </c>
      <c r="E15" s="2441" t="s">
        <v>1681</v>
      </c>
      <c r="F15" s="2443"/>
      <c r="G15" s="2443"/>
      <c r="H15" s="2443"/>
      <c r="I15" s="2443"/>
      <c r="J15" s="2443"/>
      <c r="K15" s="2443"/>
      <c r="L15" s="1317"/>
      <c r="M15" s="1702">
        <f>L15/100000</f>
        <v>0</v>
      </c>
      <c r="N15" s="1317"/>
      <c r="O15" s="1702">
        <f>M15*N15</f>
        <v>0</v>
      </c>
      <c r="P15" s="2446"/>
      <c r="Q15" s="2451">
        <f>'Abs9. NVBDCP'!Q71</f>
        <v>0</v>
      </c>
      <c r="R15" s="1703">
        <f>'Abs9. NVBDCP'!R71</f>
        <v>0</v>
      </c>
    </row>
    <row r="16" spans="1:53" s="2438" customFormat="1" ht="66">
      <c r="A16" s="2439" t="s">
        <v>1181</v>
      </c>
      <c r="B16" s="1527" t="s">
        <v>1182</v>
      </c>
      <c r="C16" s="1527" t="s">
        <v>1183</v>
      </c>
      <c r="D16" s="1537" t="s">
        <v>4358</v>
      </c>
      <c r="E16" s="2441" t="s">
        <v>4973</v>
      </c>
      <c r="F16" s="2443"/>
      <c r="G16" s="2443"/>
      <c r="H16" s="2443"/>
      <c r="I16" s="2443"/>
      <c r="J16" s="2443"/>
      <c r="K16" s="2443" t="s">
        <v>6298</v>
      </c>
      <c r="L16" s="1317">
        <v>1900000</v>
      </c>
      <c r="M16" s="1702">
        <f>L16/100000</f>
        <v>19</v>
      </c>
      <c r="N16" s="1317">
        <v>1</v>
      </c>
      <c r="O16" s="1702">
        <f>M16*N16</f>
        <v>19</v>
      </c>
      <c r="P16" s="1729" t="s">
        <v>6300</v>
      </c>
      <c r="Q16" s="2451">
        <f>'Abs9. NVBDCP'!Q72</f>
        <v>0</v>
      </c>
      <c r="R16" s="1703">
        <f>'Abs9. NVBDCP'!R72</f>
        <v>0</v>
      </c>
    </row>
    <row r="17" spans="1:18" s="2438" customFormat="1" ht="49.5">
      <c r="A17" s="2439" t="s">
        <v>1184</v>
      </c>
      <c r="B17" s="1527" t="s">
        <v>1185</v>
      </c>
      <c r="C17" s="1527" t="s">
        <v>1186</v>
      </c>
      <c r="D17" s="1537" t="s">
        <v>4358</v>
      </c>
      <c r="E17" s="2441" t="s">
        <v>4973</v>
      </c>
      <c r="F17" s="2165"/>
      <c r="G17" s="2165"/>
      <c r="H17" s="2165"/>
      <c r="I17" s="2165"/>
      <c r="J17" s="2165"/>
      <c r="K17" s="2165" t="s">
        <v>6299</v>
      </c>
      <c r="L17" s="1317">
        <v>1900000</v>
      </c>
      <c r="M17" s="1702">
        <f>L17/100000</f>
        <v>19</v>
      </c>
      <c r="N17" s="1317">
        <v>1</v>
      </c>
      <c r="O17" s="1702">
        <f>M17*N17</f>
        <v>19</v>
      </c>
      <c r="P17" s="2165" t="s">
        <v>6301</v>
      </c>
      <c r="Q17" s="2451">
        <f>'Abs9. NVBDCP'!Q73</f>
        <v>0</v>
      </c>
      <c r="R17" s="1703">
        <f>'Abs9. NVBDCP'!R73</f>
        <v>0</v>
      </c>
    </row>
    <row r="18" spans="1:18" s="2438" customFormat="1" ht="33">
      <c r="A18" s="2372" t="s">
        <v>1187</v>
      </c>
      <c r="B18" s="2452" t="s">
        <v>1188</v>
      </c>
      <c r="C18" s="2392" t="s">
        <v>1189</v>
      </c>
      <c r="D18" s="2453"/>
      <c r="E18" s="2454"/>
      <c r="F18" s="2373"/>
      <c r="G18" s="2373"/>
      <c r="H18" s="2373"/>
      <c r="I18" s="2373"/>
      <c r="J18" s="2373"/>
      <c r="K18" s="2373"/>
      <c r="L18" s="2373"/>
      <c r="M18" s="2455"/>
      <c r="N18" s="1723"/>
      <c r="O18" s="2456">
        <f>SUM(O19:O20)</f>
        <v>6</v>
      </c>
      <c r="P18" s="2457"/>
      <c r="Q18" s="1303"/>
      <c r="R18" s="2458">
        <f>SUM(R19:R20)</f>
        <v>0</v>
      </c>
    </row>
    <row r="19" spans="1:18" s="2438" customFormat="1" ht="49.5">
      <c r="A19" s="2439" t="s">
        <v>1300</v>
      </c>
      <c r="B19" s="1527" t="s">
        <v>1191</v>
      </c>
      <c r="C19" s="1527" t="s">
        <v>3980</v>
      </c>
      <c r="D19" s="1537" t="s">
        <v>4358</v>
      </c>
      <c r="E19" s="2441" t="s">
        <v>4973</v>
      </c>
      <c r="F19" s="2443"/>
      <c r="G19" s="2443"/>
      <c r="H19" s="2443"/>
      <c r="I19" s="2443"/>
      <c r="J19" s="2443"/>
      <c r="K19" s="2443"/>
      <c r="L19" s="1317"/>
      <c r="M19" s="1702">
        <f>L19/100000</f>
        <v>0</v>
      </c>
      <c r="N19" s="1317"/>
      <c r="O19" s="1702">
        <f>M19*N19</f>
        <v>0</v>
      </c>
      <c r="P19" s="2446"/>
      <c r="Q19" s="2451">
        <f>'Abs9. NVBDCP'!Q74</f>
        <v>0</v>
      </c>
      <c r="R19" s="1703">
        <f>'Abs9. NVBDCP'!R74</f>
        <v>0</v>
      </c>
    </row>
    <row r="20" spans="1:18" s="2438" customFormat="1" ht="49.5">
      <c r="A20" s="2439" t="s">
        <v>1301</v>
      </c>
      <c r="B20" s="1527" t="s">
        <v>1193</v>
      </c>
      <c r="C20" s="1527" t="s">
        <v>3981</v>
      </c>
      <c r="D20" s="1537" t="s">
        <v>4358</v>
      </c>
      <c r="E20" s="2441" t="s">
        <v>4973</v>
      </c>
      <c r="F20" s="2443"/>
      <c r="G20" s="2443"/>
      <c r="H20" s="2443"/>
      <c r="I20" s="2443"/>
      <c r="J20" s="2443"/>
      <c r="K20" s="1729" t="s">
        <v>3981</v>
      </c>
      <c r="L20" s="1317">
        <v>600000</v>
      </c>
      <c r="M20" s="1702">
        <f>L20/100000</f>
        <v>6</v>
      </c>
      <c r="N20" s="1317">
        <v>1</v>
      </c>
      <c r="O20" s="1702">
        <f>M20*N20</f>
        <v>6</v>
      </c>
      <c r="P20" s="2446" t="s">
        <v>6302</v>
      </c>
      <c r="Q20" s="2451">
        <f>'Abs9. NVBDCP'!Q75</f>
        <v>0</v>
      </c>
      <c r="R20" s="1703">
        <f>'Abs9. NVBDCP'!R75</f>
        <v>0</v>
      </c>
    </row>
    <row r="21" spans="1:18" s="2438" customFormat="1">
      <c r="A21" s="2372" t="s">
        <v>1190</v>
      </c>
      <c r="B21" s="2452" t="s">
        <v>1195</v>
      </c>
      <c r="C21" s="2392" t="s">
        <v>1196</v>
      </c>
      <c r="D21" s="2453"/>
      <c r="E21" s="2454"/>
      <c r="F21" s="2373"/>
      <c r="G21" s="2373"/>
      <c r="H21" s="2373"/>
      <c r="I21" s="2373"/>
      <c r="J21" s="2373"/>
      <c r="K21" s="2373"/>
      <c r="L21" s="2373"/>
      <c r="M21" s="2455"/>
      <c r="N21" s="1723"/>
      <c r="O21" s="2456">
        <f>SUM(O22:O24)</f>
        <v>0</v>
      </c>
      <c r="P21" s="2457"/>
      <c r="Q21" s="1303"/>
      <c r="R21" s="2458">
        <f>SUM(R22:R24)</f>
        <v>0</v>
      </c>
    </row>
    <row r="22" spans="1:18" s="2438" customFormat="1" ht="49.5">
      <c r="A22" s="2439" t="s">
        <v>1302</v>
      </c>
      <c r="B22" s="1527" t="s">
        <v>1198</v>
      </c>
      <c r="C22" s="1527" t="s">
        <v>3982</v>
      </c>
      <c r="D22" s="1537" t="s">
        <v>4358</v>
      </c>
      <c r="E22" s="2441" t="s">
        <v>4973</v>
      </c>
      <c r="F22" s="2443"/>
      <c r="G22" s="2443"/>
      <c r="H22" s="2443"/>
      <c r="I22" s="2443"/>
      <c r="J22" s="2443"/>
      <c r="K22" s="2443"/>
      <c r="L22" s="1317"/>
      <c r="M22" s="1702">
        <f t="shared" ref="M22:M33" si="0">L22/100000</f>
        <v>0</v>
      </c>
      <c r="N22" s="1317"/>
      <c r="O22" s="1702">
        <f t="shared" ref="O22:O33" si="1">M22*N22</f>
        <v>0</v>
      </c>
      <c r="P22" s="2446"/>
      <c r="Q22" s="2451">
        <f>'Abs9. NVBDCP'!Q76</f>
        <v>0</v>
      </c>
      <c r="R22" s="1703">
        <f>'Abs9. NVBDCP'!R76</f>
        <v>0</v>
      </c>
    </row>
    <row r="23" spans="1:18" s="2438" customFormat="1" ht="49.5">
      <c r="A23" s="2439" t="s">
        <v>1303</v>
      </c>
      <c r="B23" s="1527" t="s">
        <v>1200</v>
      </c>
      <c r="C23" s="1527" t="s">
        <v>3983</v>
      </c>
      <c r="D23" s="1537" t="s">
        <v>4358</v>
      </c>
      <c r="E23" s="2441" t="s">
        <v>4973</v>
      </c>
      <c r="F23" s="2443"/>
      <c r="G23" s="2443"/>
      <c r="H23" s="2443"/>
      <c r="I23" s="2443"/>
      <c r="J23" s="2443"/>
      <c r="K23" s="2443"/>
      <c r="L23" s="1317"/>
      <c r="M23" s="1702">
        <f t="shared" si="0"/>
        <v>0</v>
      </c>
      <c r="N23" s="1317"/>
      <c r="O23" s="1702">
        <f t="shared" si="1"/>
        <v>0</v>
      </c>
      <c r="P23" s="2446"/>
      <c r="Q23" s="2451">
        <f>'Abs9. NVBDCP'!Q77</f>
        <v>0</v>
      </c>
      <c r="R23" s="1703">
        <f>'Abs9. NVBDCP'!R77</f>
        <v>0</v>
      </c>
    </row>
    <row r="24" spans="1:18" s="2438" customFormat="1" ht="49.5">
      <c r="A24" s="2439" t="s">
        <v>1304</v>
      </c>
      <c r="B24" s="1527" t="s">
        <v>1201</v>
      </c>
      <c r="C24" s="1527" t="s">
        <v>3984</v>
      </c>
      <c r="D24" s="1537" t="s">
        <v>4358</v>
      </c>
      <c r="E24" s="2441" t="s">
        <v>4973</v>
      </c>
      <c r="F24" s="2443"/>
      <c r="G24" s="2443"/>
      <c r="H24" s="2443"/>
      <c r="I24" s="2443"/>
      <c r="J24" s="2443"/>
      <c r="K24" s="2443"/>
      <c r="L24" s="1317"/>
      <c r="M24" s="1702">
        <f t="shared" si="0"/>
        <v>0</v>
      </c>
      <c r="N24" s="1317"/>
      <c r="O24" s="1702">
        <f t="shared" si="1"/>
        <v>0</v>
      </c>
      <c r="P24" s="2446"/>
      <c r="Q24" s="2451">
        <f>'Abs9. NVBDCP'!Q78</f>
        <v>0</v>
      </c>
      <c r="R24" s="1703">
        <f>'Abs9. NVBDCP'!R78</f>
        <v>0</v>
      </c>
    </row>
    <row r="25" spans="1:18" s="2438" customFormat="1" ht="36.75" customHeight="1">
      <c r="A25" s="2439" t="s">
        <v>1192</v>
      </c>
      <c r="B25" s="1527" t="s">
        <v>1202</v>
      </c>
      <c r="C25" s="1527" t="s">
        <v>1203</v>
      </c>
      <c r="D25" s="1537" t="s">
        <v>4358</v>
      </c>
      <c r="E25" s="2441" t="s">
        <v>4674</v>
      </c>
      <c r="F25" s="2443"/>
      <c r="G25" s="2443"/>
      <c r="H25" s="2443"/>
      <c r="I25" s="2443"/>
      <c r="J25" s="2443"/>
      <c r="K25" s="2443"/>
      <c r="L25" s="1317"/>
      <c r="M25" s="1702">
        <f t="shared" si="0"/>
        <v>0</v>
      </c>
      <c r="N25" s="1317"/>
      <c r="O25" s="1702">
        <f t="shared" si="1"/>
        <v>0</v>
      </c>
      <c r="P25" s="2446"/>
      <c r="Q25" s="2451">
        <f>'Abs11. NTEP'!Q37</f>
        <v>0</v>
      </c>
      <c r="R25" s="1703">
        <f>'Abs11. NTEP'!R37</f>
        <v>0</v>
      </c>
    </row>
    <row r="26" spans="1:18" s="2438" customFormat="1" ht="30" customHeight="1">
      <c r="A26" s="2439" t="s">
        <v>1194</v>
      </c>
      <c r="B26" s="1527" t="s">
        <v>1088</v>
      </c>
      <c r="C26" s="1527" t="s">
        <v>2355</v>
      </c>
      <c r="D26" s="1537" t="s">
        <v>4358</v>
      </c>
      <c r="E26" s="2441" t="s">
        <v>4674</v>
      </c>
      <c r="F26" s="2292"/>
      <c r="G26" s="2219"/>
      <c r="H26" s="2444"/>
      <c r="I26" s="2444"/>
      <c r="J26" s="2292"/>
      <c r="K26" s="3254" t="s">
        <v>6048</v>
      </c>
      <c r="L26" s="3179">
        <v>1330000</v>
      </c>
      <c r="M26" s="1730">
        <f t="shared" si="0"/>
        <v>13.3</v>
      </c>
      <c r="N26" s="3179">
        <v>1</v>
      </c>
      <c r="O26" s="1730">
        <f t="shared" si="1"/>
        <v>13.3</v>
      </c>
      <c r="P26" s="2126" t="s">
        <v>6049</v>
      </c>
      <c r="Q26" s="2451">
        <f>'Abs11. NTEP'!Q38</f>
        <v>0</v>
      </c>
      <c r="R26" s="1703">
        <f>'Abs11. NTEP'!R38</f>
        <v>0</v>
      </c>
    </row>
    <row r="27" spans="1:18" s="2438" customFormat="1">
      <c r="A27" s="2439" t="s">
        <v>1197</v>
      </c>
      <c r="B27" s="1527" t="s">
        <v>1204</v>
      </c>
      <c r="C27" s="1855" t="s">
        <v>1205</v>
      </c>
      <c r="D27" s="2412" t="s">
        <v>85</v>
      </c>
      <c r="E27" s="2441" t="s">
        <v>152</v>
      </c>
      <c r="F27" s="2443"/>
      <c r="G27" s="2443"/>
      <c r="H27" s="2443"/>
      <c r="I27" s="2443"/>
      <c r="J27" s="2443"/>
      <c r="K27" s="2443"/>
      <c r="L27" s="1317"/>
      <c r="M27" s="1702">
        <f t="shared" si="0"/>
        <v>0</v>
      </c>
      <c r="N27" s="1317"/>
      <c r="O27" s="1702">
        <f t="shared" si="1"/>
        <v>0</v>
      </c>
      <c r="P27" s="2446"/>
      <c r="Q27" s="2451">
        <f>'Abs18. NTCP'!Q21</f>
        <v>0</v>
      </c>
      <c r="R27" s="1703">
        <f>'Abs18. NTCP'!R21</f>
        <v>0</v>
      </c>
    </row>
    <row r="28" spans="1:18" s="2438" customFormat="1">
      <c r="A28" s="2439" t="s">
        <v>1199</v>
      </c>
      <c r="B28" s="1527" t="s">
        <v>1206</v>
      </c>
      <c r="C28" s="1527" t="s">
        <v>1207</v>
      </c>
      <c r="D28" s="2412" t="s">
        <v>85</v>
      </c>
      <c r="E28" s="2441" t="s">
        <v>152</v>
      </c>
      <c r="F28" s="2443"/>
      <c r="G28" s="2443"/>
      <c r="H28" s="2443"/>
      <c r="I28" s="2443"/>
      <c r="J28" s="2443"/>
      <c r="K28" s="2443"/>
      <c r="L28" s="1317"/>
      <c r="M28" s="1702">
        <f t="shared" si="0"/>
        <v>0</v>
      </c>
      <c r="N28" s="1317"/>
      <c r="O28" s="1702">
        <f t="shared" si="1"/>
        <v>0</v>
      </c>
      <c r="P28" s="2446"/>
      <c r="Q28" s="2451">
        <f>'Abs18. NTCP'!Q22</f>
        <v>0</v>
      </c>
      <c r="R28" s="1703">
        <f>'Abs18. NTCP'!R22</f>
        <v>0</v>
      </c>
    </row>
    <row r="29" spans="1:18">
      <c r="A29" s="2439" t="s">
        <v>2619</v>
      </c>
      <c r="B29" s="2033" t="s">
        <v>1209</v>
      </c>
      <c r="C29" s="2033" t="s">
        <v>2621</v>
      </c>
      <c r="D29" s="2412" t="s">
        <v>85</v>
      </c>
      <c r="E29" s="1523" t="s">
        <v>415</v>
      </c>
      <c r="F29" s="2165"/>
      <c r="G29" s="2165"/>
      <c r="H29" s="2165"/>
      <c r="I29" s="2165"/>
      <c r="J29" s="2165"/>
      <c r="K29" s="2165"/>
      <c r="L29" s="1317"/>
      <c r="M29" s="1702">
        <f t="shared" si="0"/>
        <v>0</v>
      </c>
      <c r="N29" s="1317"/>
      <c r="O29" s="1702">
        <f t="shared" si="1"/>
        <v>0</v>
      </c>
      <c r="P29" s="1939"/>
      <c r="Q29" s="2450">
        <f>'Abs19. NPCDCS'!Q41</f>
        <v>0</v>
      </c>
      <c r="R29" s="1703">
        <f>'Abs19. NPCDCS'!R41</f>
        <v>0</v>
      </c>
    </row>
    <row r="30" spans="1:18">
      <c r="A30" s="2439" t="s">
        <v>2620</v>
      </c>
      <c r="B30" s="2033" t="s">
        <v>1211</v>
      </c>
      <c r="C30" s="2033" t="s">
        <v>2622</v>
      </c>
      <c r="D30" s="2412" t="s">
        <v>85</v>
      </c>
      <c r="E30" s="1523" t="s">
        <v>415</v>
      </c>
      <c r="F30" s="2165"/>
      <c r="G30" s="2165"/>
      <c r="H30" s="2165"/>
      <c r="I30" s="2165"/>
      <c r="J30" s="2165"/>
      <c r="K30" s="2165"/>
      <c r="L30" s="1317"/>
      <c r="M30" s="1702">
        <f t="shared" si="0"/>
        <v>0</v>
      </c>
      <c r="N30" s="1317"/>
      <c r="O30" s="1702">
        <f t="shared" si="1"/>
        <v>0</v>
      </c>
      <c r="P30" s="1939"/>
      <c r="Q30" s="2450">
        <f>'Abs19. NPCDCS'!Q42</f>
        <v>0</v>
      </c>
      <c r="R30" s="1703">
        <f>'Abs19. NPCDCS'!R42</f>
        <v>0</v>
      </c>
    </row>
    <row r="31" spans="1:18" ht="33">
      <c r="A31" s="2439" t="s">
        <v>2623</v>
      </c>
      <c r="B31" s="2459"/>
      <c r="C31" s="2033" t="s">
        <v>4132</v>
      </c>
      <c r="D31" s="2412" t="s">
        <v>85</v>
      </c>
      <c r="E31" s="1523" t="s">
        <v>4124</v>
      </c>
      <c r="F31" s="2165"/>
      <c r="G31" s="2165"/>
      <c r="H31" s="2165"/>
      <c r="I31" s="2165"/>
      <c r="J31" s="2165"/>
      <c r="K31" s="2165"/>
      <c r="L31" s="1317">
        <v>200000</v>
      </c>
      <c r="M31" s="1702">
        <f t="shared" si="0"/>
        <v>2</v>
      </c>
      <c r="N31" s="1317">
        <v>1</v>
      </c>
      <c r="O31" s="1702">
        <f>M31*N31</f>
        <v>2</v>
      </c>
      <c r="P31" s="1939" t="s">
        <v>6757</v>
      </c>
      <c r="Q31" s="2450">
        <f>'Abs21. NPCCHH'!Q14</f>
        <v>0</v>
      </c>
      <c r="R31" s="1703">
        <f>'Abs21. NPCCHH'!R14</f>
        <v>0</v>
      </c>
    </row>
    <row r="32" spans="1:18" s="1696" customFormat="1">
      <c r="A32" s="2439" t="s">
        <v>4131</v>
      </c>
      <c r="B32" s="2459"/>
      <c r="C32" s="2459" t="s">
        <v>4422</v>
      </c>
      <c r="D32" s="2412" t="s">
        <v>85</v>
      </c>
      <c r="E32" s="1741" t="s">
        <v>399</v>
      </c>
      <c r="F32" s="1822"/>
      <c r="G32" s="1822"/>
      <c r="H32" s="1822"/>
      <c r="I32" s="1822"/>
      <c r="J32" s="1822"/>
      <c r="K32" s="1822"/>
      <c r="L32" s="1317"/>
      <c r="M32" s="1702">
        <f t="shared" si="0"/>
        <v>0</v>
      </c>
      <c r="N32" s="1317"/>
      <c r="O32" s="1746">
        <f>M32*N32</f>
        <v>0</v>
      </c>
      <c r="P32" s="2142"/>
      <c r="Q32" s="2460">
        <f>'Abs17. NPHCE'!Q26</f>
        <v>0</v>
      </c>
      <c r="R32" s="1328">
        <f>'Abs17. NPHCE'!R26</f>
        <v>0</v>
      </c>
    </row>
    <row r="33" spans="1:18">
      <c r="A33" s="2439" t="s">
        <v>4421</v>
      </c>
      <c r="B33" s="2459"/>
      <c r="C33" s="2459" t="s">
        <v>1310</v>
      </c>
      <c r="D33" s="1281" t="s">
        <v>70</v>
      </c>
      <c r="E33" s="1741" t="s">
        <v>70</v>
      </c>
      <c r="F33" s="1822"/>
      <c r="G33" s="1822"/>
      <c r="H33" s="1822"/>
      <c r="I33" s="1822"/>
      <c r="J33" s="1822"/>
      <c r="K33" s="1822"/>
      <c r="L33" s="1317"/>
      <c r="M33" s="1702">
        <f t="shared" si="0"/>
        <v>0</v>
      </c>
      <c r="N33" s="1317"/>
      <c r="O33" s="1746">
        <f t="shared" si="1"/>
        <v>0</v>
      </c>
      <c r="P33" s="2142"/>
      <c r="Q33" s="2461"/>
      <c r="R33" s="1333"/>
    </row>
    <row r="34" spans="1:18">
      <c r="A34" s="1991">
        <v>10.3</v>
      </c>
      <c r="B34" s="2434"/>
      <c r="C34" s="1671" t="s">
        <v>26</v>
      </c>
      <c r="D34" s="2435"/>
      <c r="E34" s="2435"/>
      <c r="F34" s="2448"/>
      <c r="G34" s="2448"/>
      <c r="H34" s="2448"/>
      <c r="I34" s="2448"/>
      <c r="J34" s="2448"/>
      <c r="K34" s="2448"/>
      <c r="L34" s="2448"/>
      <c r="M34" s="2436"/>
      <c r="N34" s="2448"/>
      <c r="O34" s="2436">
        <f>O35+O42+O46</f>
        <v>252.035999753</v>
      </c>
      <c r="P34" s="2057"/>
      <c r="Q34" s="1296"/>
      <c r="R34" s="2437">
        <f>R35+R42+R46</f>
        <v>0</v>
      </c>
    </row>
    <row r="35" spans="1:18">
      <c r="A35" s="2392" t="s">
        <v>1212</v>
      </c>
      <c r="B35" s="2452"/>
      <c r="C35" s="2392" t="s">
        <v>2624</v>
      </c>
      <c r="D35" s="2453"/>
      <c r="E35" s="2453"/>
      <c r="F35" s="1723"/>
      <c r="G35" s="1723"/>
      <c r="H35" s="1723"/>
      <c r="I35" s="1723"/>
      <c r="J35" s="1723"/>
      <c r="K35" s="1723"/>
      <c r="L35" s="1723"/>
      <c r="M35" s="2455"/>
      <c r="N35" s="1723"/>
      <c r="O35" s="2456">
        <f>SUM(O36:O41)</f>
        <v>37.736000000000004</v>
      </c>
      <c r="P35" s="2238"/>
      <c r="Q35" s="2218"/>
      <c r="R35" s="2458">
        <f>SUM(R36:R41)</f>
        <v>0</v>
      </c>
    </row>
    <row r="36" spans="1:18" ht="49.5">
      <c r="A36" s="1522" t="s">
        <v>1297</v>
      </c>
      <c r="B36" s="1527" t="s">
        <v>1214</v>
      </c>
      <c r="C36" s="1527" t="s">
        <v>1215</v>
      </c>
      <c r="D36" s="1537" t="s">
        <v>4358</v>
      </c>
      <c r="E36" s="1523" t="s">
        <v>2625</v>
      </c>
      <c r="F36" s="2165"/>
      <c r="G36" s="2165"/>
      <c r="H36" s="2165"/>
      <c r="I36" s="2165"/>
      <c r="J36" s="2165"/>
      <c r="K36" s="2165"/>
      <c r="L36" s="1317"/>
      <c r="M36" s="1702">
        <f t="shared" ref="M36:M41" si="2">L36/100000</f>
        <v>0</v>
      </c>
      <c r="N36" s="1317"/>
      <c r="O36" s="1702">
        <f t="shared" ref="O36:O41" si="3">M36*N36</f>
        <v>0</v>
      </c>
      <c r="P36" s="1939"/>
      <c r="Q36" s="2450">
        <f>'Abs9. NVBDCP'!Q79</f>
        <v>0</v>
      </c>
      <c r="R36" s="1703">
        <f>'Abs9. NVBDCP'!R79</f>
        <v>0</v>
      </c>
    </row>
    <row r="37" spans="1:18" s="3873" customFormat="1" ht="49.5">
      <c r="A37" s="3826" t="s">
        <v>1298</v>
      </c>
      <c r="B37" s="3826" t="s">
        <v>1217</v>
      </c>
      <c r="C37" s="3826" t="s">
        <v>1218</v>
      </c>
      <c r="D37" s="3861" t="s">
        <v>4358</v>
      </c>
      <c r="E37" s="3915" t="s">
        <v>2625</v>
      </c>
      <c r="F37" s="3894"/>
      <c r="G37" s="3895"/>
      <c r="H37" s="3806"/>
      <c r="I37" s="3806"/>
      <c r="J37" s="3894"/>
      <c r="K37" s="3894" t="s">
        <v>6913</v>
      </c>
      <c r="L37" s="3739">
        <v>100000</v>
      </c>
      <c r="M37" s="3808">
        <f t="shared" si="2"/>
        <v>1</v>
      </c>
      <c r="N37" s="3739">
        <v>9</v>
      </c>
      <c r="O37" s="3808">
        <f t="shared" si="3"/>
        <v>9</v>
      </c>
      <c r="P37" s="4044" t="s">
        <v>6914</v>
      </c>
      <c r="Q37" s="4045">
        <f>'Abs9. NVBDCP'!Q80</f>
        <v>0</v>
      </c>
      <c r="R37" s="3871">
        <f>'Abs9. NVBDCP'!R80</f>
        <v>0</v>
      </c>
    </row>
    <row r="38" spans="1:18" ht="49.5">
      <c r="A38" s="1522" t="s">
        <v>1299</v>
      </c>
      <c r="B38" s="1527" t="s">
        <v>1219</v>
      </c>
      <c r="C38" s="1527" t="s">
        <v>5760</v>
      </c>
      <c r="D38" s="1537" t="s">
        <v>4358</v>
      </c>
      <c r="E38" s="1523" t="s">
        <v>2625</v>
      </c>
      <c r="F38" s="2165"/>
      <c r="G38" s="2165"/>
      <c r="H38" s="2165"/>
      <c r="I38" s="2165"/>
      <c r="J38" s="2165"/>
      <c r="K38" s="2165"/>
      <c r="L38" s="1317"/>
      <c r="M38" s="1702">
        <f t="shared" si="2"/>
        <v>0</v>
      </c>
      <c r="N38" s="1317"/>
      <c r="O38" s="1702">
        <f t="shared" si="3"/>
        <v>0</v>
      </c>
      <c r="P38" s="1939"/>
      <c r="Q38" s="2450">
        <f>'Abs9. NVBDCP'!Q81</f>
        <v>0</v>
      </c>
      <c r="R38" s="1703">
        <f>'Abs9. NVBDCP'!R81</f>
        <v>0</v>
      </c>
    </row>
    <row r="39" spans="1:18" ht="33">
      <c r="A39" s="1522" t="s">
        <v>2626</v>
      </c>
      <c r="B39" s="1527" t="s">
        <v>1948</v>
      </c>
      <c r="C39" s="1527" t="s">
        <v>1949</v>
      </c>
      <c r="D39" s="1537" t="s">
        <v>4358</v>
      </c>
      <c r="E39" s="1523" t="s">
        <v>1681</v>
      </c>
      <c r="F39" s="2165"/>
      <c r="G39" s="2165"/>
      <c r="H39" s="2165"/>
      <c r="I39" s="2165"/>
      <c r="J39" s="2165"/>
      <c r="K39" s="2165"/>
      <c r="L39" s="1317"/>
      <c r="M39" s="1702">
        <f t="shared" si="2"/>
        <v>0</v>
      </c>
      <c r="N39" s="1317"/>
      <c r="O39" s="1702">
        <f t="shared" si="3"/>
        <v>0</v>
      </c>
      <c r="P39" s="1939"/>
      <c r="Q39" s="2450">
        <f>'Abs9. NVBDCP'!Q82</f>
        <v>0</v>
      </c>
      <c r="R39" s="1703">
        <f>'Abs9. NVBDCP'!R82</f>
        <v>0</v>
      </c>
    </row>
    <row r="40" spans="1:18" ht="49.5">
      <c r="A40" s="1522" t="s">
        <v>2627</v>
      </c>
      <c r="B40" s="2033" t="s">
        <v>1220</v>
      </c>
      <c r="C40" s="2033" t="s">
        <v>1221</v>
      </c>
      <c r="D40" s="1537" t="s">
        <v>4358</v>
      </c>
      <c r="E40" s="1523" t="s">
        <v>4973</v>
      </c>
      <c r="F40" s="2165"/>
      <c r="G40" s="2165"/>
      <c r="H40" s="2165"/>
      <c r="I40" s="2165"/>
      <c r="J40" s="2165"/>
      <c r="K40" s="2165"/>
      <c r="L40" s="1317"/>
      <c r="M40" s="1702">
        <f t="shared" si="2"/>
        <v>0</v>
      </c>
      <c r="N40" s="1317"/>
      <c r="O40" s="1702">
        <f t="shared" si="3"/>
        <v>0</v>
      </c>
      <c r="P40" s="1939"/>
      <c r="Q40" s="2450">
        <f>'Abs9. NVBDCP'!Q83</f>
        <v>0</v>
      </c>
      <c r="R40" s="1703">
        <f>'Abs9. NVBDCP'!R83</f>
        <v>0</v>
      </c>
    </row>
    <row r="41" spans="1:18" ht="82.5">
      <c r="A41" s="1522" t="s">
        <v>2628</v>
      </c>
      <c r="B41" s="2459"/>
      <c r="C41" s="2459" t="s">
        <v>1310</v>
      </c>
      <c r="D41" s="1537" t="s">
        <v>4358</v>
      </c>
      <c r="E41" s="1741" t="s">
        <v>114</v>
      </c>
      <c r="F41" s="1822"/>
      <c r="G41" s="1822"/>
      <c r="H41" s="1822"/>
      <c r="I41" s="1822"/>
      <c r="J41" s="1822"/>
      <c r="K41" s="1822" t="s">
        <v>6084</v>
      </c>
      <c r="L41" s="2478">
        <v>2873600</v>
      </c>
      <c r="M41" s="1702">
        <f t="shared" si="2"/>
        <v>28.736000000000001</v>
      </c>
      <c r="N41" s="1317">
        <v>1</v>
      </c>
      <c r="O41" s="1746">
        <f t="shared" si="3"/>
        <v>28.736000000000001</v>
      </c>
      <c r="P41" s="2142" t="s">
        <v>6090</v>
      </c>
      <c r="Q41" s="2450">
        <f>'Abs9. NVBDCP'!Q84</f>
        <v>0</v>
      </c>
      <c r="R41" s="1703">
        <f>'Abs9. NVBDCP'!R84</f>
        <v>0</v>
      </c>
    </row>
    <row r="42" spans="1:18">
      <c r="A42" s="2392" t="s">
        <v>1213</v>
      </c>
      <c r="B42" s="1676" t="s">
        <v>1208</v>
      </c>
      <c r="C42" s="1889" t="s">
        <v>2629</v>
      </c>
      <c r="D42" s="2453"/>
      <c r="E42" s="2453"/>
      <c r="F42" s="1723"/>
      <c r="G42" s="1723"/>
      <c r="H42" s="1723"/>
      <c r="I42" s="1723"/>
      <c r="J42" s="1723"/>
      <c r="K42" s="1723"/>
      <c r="L42" s="1723"/>
      <c r="M42" s="2455"/>
      <c r="N42" s="1723"/>
      <c r="O42" s="2456">
        <f>SUM(O43:O45)</f>
        <v>0</v>
      </c>
      <c r="P42" s="2238"/>
      <c r="Q42" s="2218"/>
      <c r="R42" s="2458">
        <f>SUM(R43:R45)</f>
        <v>0</v>
      </c>
    </row>
    <row r="43" spans="1:18">
      <c r="A43" s="1522" t="s">
        <v>2632</v>
      </c>
      <c r="B43" s="2033" t="s">
        <v>1209</v>
      </c>
      <c r="C43" s="2033" t="s">
        <v>2630</v>
      </c>
      <c r="D43" s="2412" t="s">
        <v>85</v>
      </c>
      <c r="E43" s="1523" t="s">
        <v>415</v>
      </c>
      <c r="F43" s="1558"/>
      <c r="G43" s="1558"/>
      <c r="H43" s="1558"/>
      <c r="I43" s="1558"/>
      <c r="J43" s="1558"/>
      <c r="K43" s="1558"/>
      <c r="L43" s="1317"/>
      <c r="M43" s="1702">
        <f>L43/100000</f>
        <v>0</v>
      </c>
      <c r="N43" s="1317"/>
      <c r="O43" s="1702">
        <f>M43*N43</f>
        <v>0</v>
      </c>
      <c r="P43" s="1544"/>
      <c r="Q43" s="1533">
        <f>'Abs19. NPCDCS'!Q43</f>
        <v>0</v>
      </c>
      <c r="R43" s="1703">
        <f>'Abs19. NPCDCS'!R43</f>
        <v>0</v>
      </c>
    </row>
    <row r="44" spans="1:18">
      <c r="A44" s="1522" t="s">
        <v>2633</v>
      </c>
      <c r="B44" s="2033" t="s">
        <v>1211</v>
      </c>
      <c r="C44" s="2033" t="s">
        <v>2631</v>
      </c>
      <c r="D44" s="2412" t="s">
        <v>85</v>
      </c>
      <c r="E44" s="1523" t="s">
        <v>415</v>
      </c>
      <c r="F44" s="1558"/>
      <c r="G44" s="1558"/>
      <c r="H44" s="1558"/>
      <c r="I44" s="1558"/>
      <c r="J44" s="1558"/>
      <c r="K44" s="1558"/>
      <c r="L44" s="1317"/>
      <c r="M44" s="1702">
        <f>L44/100000</f>
        <v>0</v>
      </c>
      <c r="N44" s="1317"/>
      <c r="O44" s="1702">
        <f>M44*N44</f>
        <v>0</v>
      </c>
      <c r="P44" s="1544"/>
      <c r="Q44" s="1533">
        <f>'Abs19. NPCDCS'!Q44</f>
        <v>0</v>
      </c>
      <c r="R44" s="1703">
        <f>'Abs19. NPCDCS'!R44</f>
        <v>0</v>
      </c>
    </row>
    <row r="45" spans="1:18">
      <c r="A45" s="1522" t="s">
        <v>2634</v>
      </c>
      <c r="B45" s="2459"/>
      <c r="C45" s="2033" t="s">
        <v>1310</v>
      </c>
      <c r="D45" s="2412" t="s">
        <v>85</v>
      </c>
      <c r="E45" s="1523" t="s">
        <v>415</v>
      </c>
      <c r="F45" s="1558"/>
      <c r="G45" s="1558"/>
      <c r="H45" s="1558"/>
      <c r="I45" s="1558"/>
      <c r="J45" s="1558"/>
      <c r="K45" s="1558"/>
      <c r="L45" s="1317"/>
      <c r="M45" s="1702">
        <f>L45/100000</f>
        <v>0</v>
      </c>
      <c r="N45" s="1317"/>
      <c r="O45" s="1702">
        <f>M45*N45</f>
        <v>0</v>
      </c>
      <c r="P45" s="1544"/>
      <c r="Q45" s="1533">
        <f>'Abs19. NPCDCS'!Q45</f>
        <v>0</v>
      </c>
      <c r="R45" s="1703">
        <f>'Abs19. NPCDCS'!R45</f>
        <v>0</v>
      </c>
    </row>
    <row r="46" spans="1:18" s="2467" customFormat="1" ht="198">
      <c r="A46" s="1587" t="s">
        <v>1216</v>
      </c>
      <c r="B46" s="2462"/>
      <c r="C46" s="2463" t="s">
        <v>2635</v>
      </c>
      <c r="D46" s="2464" t="s">
        <v>70</v>
      </c>
      <c r="E46" s="1588" t="s">
        <v>70</v>
      </c>
      <c r="F46" s="1618"/>
      <c r="G46" s="1618"/>
      <c r="H46" s="1618"/>
      <c r="I46" s="1618"/>
      <c r="J46" s="1618"/>
      <c r="K46" s="1618" t="s">
        <v>5870</v>
      </c>
      <c r="L46" s="1418">
        <v>3046.19758</v>
      </c>
      <c r="M46" s="2465">
        <f>L46/100000</f>
        <v>3.0461975799999999E-2</v>
      </c>
      <c r="N46" s="1418">
        <v>7035</v>
      </c>
      <c r="O46" s="2465">
        <f>M46*N46</f>
        <v>214.29999975299998</v>
      </c>
      <c r="P46" s="1633" t="s">
        <v>6730</v>
      </c>
      <c r="Q46" s="2466"/>
      <c r="R46" s="1461"/>
    </row>
    <row r="47" spans="1:18">
      <c r="A47" s="2468">
        <v>10.4</v>
      </c>
      <c r="B47" s="2284"/>
      <c r="C47" s="1671" t="s">
        <v>27</v>
      </c>
      <c r="D47" s="2469"/>
      <c r="E47" s="2469"/>
      <c r="F47" s="2470"/>
      <c r="G47" s="2470"/>
      <c r="H47" s="2470"/>
      <c r="I47" s="2470"/>
      <c r="J47" s="2470"/>
      <c r="K47" s="2470"/>
      <c r="L47" s="2470"/>
      <c r="M47" s="2471"/>
      <c r="N47" s="1937"/>
      <c r="O47" s="2436">
        <f>SUM(O48:O54)</f>
        <v>47.858199999999997</v>
      </c>
      <c r="P47" s="2150"/>
      <c r="Q47" s="2151"/>
      <c r="R47" s="2437">
        <f>SUM(R48:R54)</f>
        <v>0</v>
      </c>
    </row>
    <row r="48" spans="1:18" ht="99">
      <c r="A48" s="1522" t="s">
        <v>1222</v>
      </c>
      <c r="B48" s="2033" t="s">
        <v>1223</v>
      </c>
      <c r="C48" s="2033" t="s">
        <v>1224</v>
      </c>
      <c r="D48" s="2274" t="s">
        <v>90</v>
      </c>
      <c r="E48" s="1523" t="s">
        <v>208</v>
      </c>
      <c r="F48" s="2292">
        <v>1</v>
      </c>
      <c r="G48" s="2292">
        <v>1</v>
      </c>
      <c r="H48" s="2292">
        <v>0.5</v>
      </c>
      <c r="I48" s="2292">
        <v>0</v>
      </c>
      <c r="J48" s="2292">
        <v>0</v>
      </c>
      <c r="K48" s="2292" t="s">
        <v>6329</v>
      </c>
      <c r="L48" s="1317">
        <v>330000</v>
      </c>
      <c r="M48" s="1702">
        <f t="shared" ref="M48:M54" si="4">L48/100000</f>
        <v>3.3</v>
      </c>
      <c r="N48" s="1317">
        <v>2</v>
      </c>
      <c r="O48" s="1702">
        <f t="shared" ref="O48:O62" si="5">M48*N48</f>
        <v>6.6</v>
      </c>
      <c r="P48" s="1939" t="s">
        <v>6330</v>
      </c>
      <c r="Q48" s="2450">
        <f>'Ab2. NIDDCP'!Q17</f>
        <v>0</v>
      </c>
      <c r="R48" s="1315">
        <f>'Ab2. NIDDCP'!R17</f>
        <v>0</v>
      </c>
    </row>
    <row r="49" spans="1:18" ht="66">
      <c r="A49" s="1522" t="s">
        <v>1225</v>
      </c>
      <c r="B49" s="2033" t="s">
        <v>1226</v>
      </c>
      <c r="C49" s="2033" t="s">
        <v>1227</v>
      </c>
      <c r="D49" s="1537" t="s">
        <v>4358</v>
      </c>
      <c r="E49" s="1523" t="s">
        <v>293</v>
      </c>
      <c r="F49" s="2292"/>
      <c r="G49" s="2292"/>
      <c r="H49" s="2292"/>
      <c r="I49" s="2292"/>
      <c r="J49" s="2292"/>
      <c r="K49" s="2292" t="s">
        <v>6091</v>
      </c>
      <c r="L49" s="1536">
        <v>400000</v>
      </c>
      <c r="M49" s="1702">
        <f t="shared" si="4"/>
        <v>4</v>
      </c>
      <c r="N49" s="1317">
        <v>1</v>
      </c>
      <c r="O49" s="1702">
        <f t="shared" si="5"/>
        <v>4</v>
      </c>
      <c r="P49" s="1614" t="s">
        <v>6092</v>
      </c>
      <c r="Q49" s="1533">
        <f>'Abs8. IDSP'!Q23</f>
        <v>0</v>
      </c>
      <c r="R49" s="1703">
        <f>'Abs8. IDSP'!R23</f>
        <v>0</v>
      </c>
    </row>
    <row r="50" spans="1:18" s="3873" customFormat="1" ht="66">
      <c r="A50" s="3826" t="s">
        <v>1228</v>
      </c>
      <c r="B50" s="3939" t="s">
        <v>1229</v>
      </c>
      <c r="C50" s="3939" t="s">
        <v>1230</v>
      </c>
      <c r="D50" s="3861" t="s">
        <v>4358</v>
      </c>
      <c r="E50" s="3915" t="s">
        <v>293</v>
      </c>
      <c r="F50" s="3894"/>
      <c r="G50" s="3894"/>
      <c r="H50" s="3894"/>
      <c r="I50" s="3894"/>
      <c r="J50" s="3894"/>
      <c r="K50" s="3894" t="s">
        <v>6093</v>
      </c>
      <c r="L50" s="3788">
        <v>150000</v>
      </c>
      <c r="M50" s="3808">
        <f t="shared" si="4"/>
        <v>1.5</v>
      </c>
      <c r="N50" s="3788">
        <v>5</v>
      </c>
      <c r="O50" s="3808">
        <f t="shared" si="5"/>
        <v>7.5</v>
      </c>
      <c r="P50" s="3882" t="s">
        <v>6094</v>
      </c>
      <c r="Q50" s="3867">
        <f>'Abs8. IDSP'!Q24</f>
        <v>0</v>
      </c>
      <c r="R50" s="3871">
        <f>'Abs8. IDSP'!R24</f>
        <v>0</v>
      </c>
    </row>
    <row r="51" spans="1:18" ht="33">
      <c r="A51" s="1522" t="s">
        <v>1231</v>
      </c>
      <c r="B51" s="2033" t="s">
        <v>1232</v>
      </c>
      <c r="C51" s="2033" t="s">
        <v>1233</v>
      </c>
      <c r="D51" s="1537" t="s">
        <v>4358</v>
      </c>
      <c r="E51" s="1523" t="s">
        <v>293</v>
      </c>
      <c r="F51" s="2292"/>
      <c r="G51" s="2292"/>
      <c r="H51" s="2292"/>
      <c r="I51" s="2292"/>
      <c r="J51" s="2292"/>
      <c r="K51" s="2292" t="s">
        <v>6093</v>
      </c>
      <c r="L51" s="1536">
        <v>200000</v>
      </c>
      <c r="M51" s="1702">
        <f t="shared" si="4"/>
        <v>2</v>
      </c>
      <c r="N51" s="1536">
        <v>5</v>
      </c>
      <c r="O51" s="1702">
        <f t="shared" si="5"/>
        <v>10</v>
      </c>
      <c r="P51" s="1614" t="s">
        <v>6095</v>
      </c>
      <c r="Q51" s="1533">
        <f>'Abs8. IDSP'!Q25</f>
        <v>0</v>
      </c>
      <c r="R51" s="1703">
        <f>'Abs8. IDSP'!R25</f>
        <v>0</v>
      </c>
    </row>
    <row r="52" spans="1:18">
      <c r="A52" s="1522" t="s">
        <v>1234</v>
      </c>
      <c r="B52" s="2033" t="s">
        <v>1235</v>
      </c>
      <c r="C52" s="2033" t="s">
        <v>1236</v>
      </c>
      <c r="D52" s="1537" t="s">
        <v>4358</v>
      </c>
      <c r="E52" s="1523" t="s">
        <v>293</v>
      </c>
      <c r="F52" s="2165"/>
      <c r="G52" s="2165"/>
      <c r="H52" s="2165"/>
      <c r="I52" s="2165"/>
      <c r="J52" s="2165"/>
      <c r="K52" s="2165"/>
      <c r="L52" s="1317"/>
      <c r="M52" s="1702">
        <f t="shared" si="4"/>
        <v>0</v>
      </c>
      <c r="N52" s="1317"/>
      <c r="O52" s="1702">
        <f t="shared" si="5"/>
        <v>0</v>
      </c>
      <c r="P52" s="1939"/>
      <c r="Q52" s="1533">
        <f>'Abs8. IDSP'!Q26</f>
        <v>0</v>
      </c>
      <c r="R52" s="1703">
        <f>'Abs8. IDSP'!R26</f>
        <v>0</v>
      </c>
    </row>
    <row r="53" spans="1:18" s="2438" customFormat="1" ht="49.5">
      <c r="A53" s="1522" t="s">
        <v>1237</v>
      </c>
      <c r="B53" s="1527" t="s">
        <v>1238</v>
      </c>
      <c r="C53" s="1527" t="s">
        <v>1239</v>
      </c>
      <c r="D53" s="1537" t="s">
        <v>4358</v>
      </c>
      <c r="E53" s="2441" t="s">
        <v>4973</v>
      </c>
      <c r="F53" s="2472"/>
      <c r="G53" s="2472"/>
      <c r="H53" s="2472"/>
      <c r="I53" s="2472"/>
      <c r="J53" s="2472"/>
      <c r="K53" s="2472"/>
      <c r="L53" s="1317"/>
      <c r="M53" s="1702">
        <f t="shared" si="4"/>
        <v>0</v>
      </c>
      <c r="N53" s="1317"/>
      <c r="O53" s="1702">
        <f t="shared" si="5"/>
        <v>0</v>
      </c>
      <c r="P53" s="2473"/>
      <c r="Q53" s="1331">
        <f>'Abs9. NVBDCP'!Q85</f>
        <v>0</v>
      </c>
      <c r="R53" s="1703">
        <f>'Abs9. NVBDCP'!R85</f>
        <v>0</v>
      </c>
    </row>
    <row r="54" spans="1:18" s="1815" customFormat="1" ht="181.5">
      <c r="A54" s="1765" t="s">
        <v>2636</v>
      </c>
      <c r="B54" s="2474"/>
      <c r="C54" s="2474" t="s">
        <v>1310</v>
      </c>
      <c r="D54" s="1281" t="s">
        <v>70</v>
      </c>
      <c r="E54" s="1741" t="s">
        <v>70</v>
      </c>
      <c r="F54" s="2475"/>
      <c r="G54" s="2475"/>
      <c r="H54" s="2475"/>
      <c r="I54" s="2475"/>
      <c r="J54" s="2475"/>
      <c r="K54" s="2475" t="s">
        <v>6334</v>
      </c>
      <c r="L54" s="1714">
        <v>2566</v>
      </c>
      <c r="M54" s="1746">
        <f t="shared" si="4"/>
        <v>2.5659999999999999E-2</v>
      </c>
      <c r="N54" s="1714">
        <v>770</v>
      </c>
      <c r="O54" s="1746">
        <f t="shared" si="5"/>
        <v>19.758199999999999</v>
      </c>
      <c r="P54" s="3219" t="s">
        <v>6607</v>
      </c>
      <c r="Q54" s="2476"/>
      <c r="R54" s="2477"/>
    </row>
    <row r="55" spans="1:18">
      <c r="A55" s="2468">
        <v>10.5</v>
      </c>
      <c r="B55" s="2284"/>
      <c r="C55" s="1671" t="s">
        <v>4509</v>
      </c>
      <c r="D55" s="2469"/>
      <c r="E55" s="2469"/>
      <c r="F55" s="2470"/>
      <c r="G55" s="2470"/>
      <c r="H55" s="2470"/>
      <c r="I55" s="2470"/>
      <c r="J55" s="2470"/>
      <c r="K55" s="2470"/>
      <c r="L55" s="2470"/>
      <c r="M55" s="2471"/>
      <c r="N55" s="1937"/>
      <c r="O55" s="2436">
        <f>SUM(O56:O62)</f>
        <v>149.99995999999999</v>
      </c>
      <c r="P55" s="2150"/>
      <c r="Q55" s="2151"/>
      <c r="R55" s="2437">
        <f>SUM(R56:R62)</f>
        <v>0</v>
      </c>
    </row>
    <row r="56" spans="1:18" s="3873" customFormat="1">
      <c r="A56" s="3867" t="s">
        <v>4508</v>
      </c>
      <c r="B56" s="3868"/>
      <c r="C56" s="3868" t="s">
        <v>5616</v>
      </c>
      <c r="D56" s="3861" t="s">
        <v>4358</v>
      </c>
      <c r="E56" s="3869" t="s">
        <v>4674</v>
      </c>
      <c r="F56" s="3870"/>
      <c r="G56" s="3870"/>
      <c r="H56" s="3870"/>
      <c r="I56" s="3870"/>
      <c r="J56" s="3870"/>
      <c r="K56" s="3870"/>
      <c r="L56" s="3739">
        <v>200000</v>
      </c>
      <c r="M56" s="3808">
        <f t="shared" ref="M56:M62" si="6">L56/100000</f>
        <v>2</v>
      </c>
      <c r="N56" s="3739">
        <v>3</v>
      </c>
      <c r="O56" s="3871">
        <f t="shared" si="5"/>
        <v>6</v>
      </c>
      <c r="P56" s="3872" t="s">
        <v>6835</v>
      </c>
      <c r="Q56" s="3867">
        <f>'Abs11. NTEP'!Q39</f>
        <v>0</v>
      </c>
      <c r="R56" s="3871">
        <f>'Abs11. NTEP'!R39</f>
        <v>0</v>
      </c>
    </row>
    <row r="57" spans="1:18" s="1696" customFormat="1">
      <c r="A57" s="1528" t="s">
        <v>4515</v>
      </c>
      <c r="B57" s="1742"/>
      <c r="C57" s="1742" t="s">
        <v>5617</v>
      </c>
      <c r="D57" s="1537" t="s">
        <v>4358</v>
      </c>
      <c r="E57" s="1548" t="s">
        <v>146</v>
      </c>
      <c r="F57" s="1713"/>
      <c r="G57" s="1713"/>
      <c r="H57" s="1713"/>
      <c r="I57" s="1713"/>
      <c r="J57" s="1713"/>
      <c r="K57" s="1713"/>
      <c r="L57" s="1317"/>
      <c r="M57" s="1702">
        <f t="shared" si="6"/>
        <v>0</v>
      </c>
      <c r="N57" s="1317"/>
      <c r="O57" s="1730">
        <f t="shared" si="5"/>
        <v>0</v>
      </c>
      <c r="P57" s="1553"/>
      <c r="Q57" s="1528">
        <f>'Abs10. NLEP'!Q27</f>
        <v>0</v>
      </c>
      <c r="R57" s="1730">
        <f>'Abs10. NLEP'!R27</f>
        <v>0</v>
      </c>
    </row>
    <row r="58" spans="1:18" s="3873" customFormat="1" ht="33">
      <c r="A58" s="3867" t="s">
        <v>4516</v>
      </c>
      <c r="B58" s="3868"/>
      <c r="C58" s="3868" t="s">
        <v>5618</v>
      </c>
      <c r="D58" s="3861" t="s">
        <v>4358</v>
      </c>
      <c r="E58" s="3869" t="s">
        <v>4974</v>
      </c>
      <c r="F58" s="3870"/>
      <c r="G58" s="3870"/>
      <c r="H58" s="3870"/>
      <c r="I58" s="3870"/>
      <c r="J58" s="3870"/>
      <c r="K58" s="3870" t="s">
        <v>6897</v>
      </c>
      <c r="L58" s="3739">
        <v>336842</v>
      </c>
      <c r="M58" s="3808">
        <f t="shared" si="6"/>
        <v>3.36842</v>
      </c>
      <c r="N58" s="3739">
        <v>38</v>
      </c>
      <c r="O58" s="3871">
        <f t="shared" si="5"/>
        <v>127.99996</v>
      </c>
      <c r="P58" s="3872" t="s">
        <v>6898</v>
      </c>
      <c r="Q58" s="3867">
        <f>'Abs9. NVBDCP'!Q86</f>
        <v>0</v>
      </c>
      <c r="R58" s="3871">
        <f>'Abs9. NVBDCP'!R86</f>
        <v>0</v>
      </c>
    </row>
    <row r="59" spans="1:18" s="1696" customFormat="1" ht="49.5">
      <c r="A59" s="1528" t="s">
        <v>4517</v>
      </c>
      <c r="B59" s="1742"/>
      <c r="C59" s="1742" t="s">
        <v>5619</v>
      </c>
      <c r="D59" s="1537" t="s">
        <v>4358</v>
      </c>
      <c r="E59" s="1548" t="s">
        <v>4973</v>
      </c>
      <c r="F59" s="1713"/>
      <c r="G59" s="1713"/>
      <c r="H59" s="1713"/>
      <c r="I59" s="1713"/>
      <c r="J59" s="1713"/>
      <c r="K59" s="1713"/>
      <c r="L59" s="1317"/>
      <c r="M59" s="1702">
        <f t="shared" si="6"/>
        <v>0</v>
      </c>
      <c r="N59" s="1317"/>
      <c r="O59" s="1730">
        <f t="shared" si="5"/>
        <v>0</v>
      </c>
      <c r="P59" s="1553"/>
      <c r="Q59" s="1528">
        <f>'Abs9. NVBDCP'!Q87</f>
        <v>0</v>
      </c>
      <c r="R59" s="1730">
        <f>'Abs9. NVBDCP'!R87</f>
        <v>0</v>
      </c>
    </row>
    <row r="60" spans="1:18" s="1696" customFormat="1" ht="49.5">
      <c r="A60" s="1528" t="s">
        <v>4518</v>
      </c>
      <c r="B60" s="1742"/>
      <c r="C60" s="1742" t="s">
        <v>5620</v>
      </c>
      <c r="D60" s="1537" t="s">
        <v>4358</v>
      </c>
      <c r="E60" s="1548" t="s">
        <v>4976</v>
      </c>
      <c r="F60" s="1713"/>
      <c r="G60" s="1713"/>
      <c r="H60" s="1713"/>
      <c r="I60" s="1713"/>
      <c r="J60" s="1713"/>
      <c r="K60" s="1713" t="s">
        <v>6140</v>
      </c>
      <c r="L60" s="1317">
        <v>320000</v>
      </c>
      <c r="M60" s="1702">
        <f t="shared" si="6"/>
        <v>3.2</v>
      </c>
      <c r="N60" s="1317">
        <v>5</v>
      </c>
      <c r="O60" s="1730">
        <f t="shared" si="5"/>
        <v>16</v>
      </c>
      <c r="P60" s="1553" t="s">
        <v>6141</v>
      </c>
      <c r="Q60" s="1528">
        <f>'Abs9. NVBDCP'!Q88</f>
        <v>0</v>
      </c>
      <c r="R60" s="1730">
        <f>'Abs9. NVBDCP'!R88</f>
        <v>0</v>
      </c>
    </row>
    <row r="61" spans="1:18" s="1696" customFormat="1">
      <c r="A61" s="1528" t="s">
        <v>4519</v>
      </c>
      <c r="B61" s="1742"/>
      <c r="C61" s="1742" t="s">
        <v>5621</v>
      </c>
      <c r="D61" s="2412" t="s">
        <v>85</v>
      </c>
      <c r="E61" s="1548" t="s">
        <v>86</v>
      </c>
      <c r="F61" s="1713"/>
      <c r="G61" s="1713"/>
      <c r="H61" s="1713"/>
      <c r="I61" s="1713"/>
      <c r="J61" s="1713"/>
      <c r="K61" s="1713"/>
      <c r="L61" s="1317"/>
      <c r="M61" s="1702">
        <f t="shared" si="6"/>
        <v>0</v>
      </c>
      <c r="N61" s="1317"/>
      <c r="O61" s="1730">
        <f t="shared" si="5"/>
        <v>0</v>
      </c>
      <c r="P61" s="1553"/>
      <c r="Q61" s="1528">
        <f>'Abs15. NPCB'!Q26</f>
        <v>0</v>
      </c>
      <c r="R61" s="1730">
        <f>'Abs15. NPCB'!R26</f>
        <v>0</v>
      </c>
    </row>
    <row r="62" spans="1:18" s="1696" customFormat="1">
      <c r="A62" s="1528" t="s">
        <v>4520</v>
      </c>
      <c r="B62" s="1742"/>
      <c r="C62" s="1742" t="s">
        <v>5622</v>
      </c>
      <c r="D62" s="1281" t="s">
        <v>70</v>
      </c>
      <c r="E62" s="1741" t="s">
        <v>70</v>
      </c>
      <c r="F62" s="1713"/>
      <c r="G62" s="1713"/>
      <c r="H62" s="1713"/>
      <c r="I62" s="1713"/>
      <c r="J62" s="1713"/>
      <c r="K62" s="1713"/>
      <c r="L62" s="1317"/>
      <c r="M62" s="1702">
        <f t="shared" si="6"/>
        <v>0</v>
      </c>
      <c r="N62" s="1317"/>
      <c r="O62" s="1730">
        <f t="shared" si="5"/>
        <v>0</v>
      </c>
      <c r="P62" s="1553"/>
      <c r="Q62" s="2476"/>
      <c r="R62" s="2477"/>
    </row>
  </sheetData>
  <sheetProtection sheet="1" formatCells="0" formatColumns="0" formatRows="0" autoFilter="0"/>
  <autoFilter ref="A6:R62"/>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honeticPr fontId="27" type="noConversion"/>
  <pageMargins left="0.82" right="0.37" top="0.36" bottom="0.33" header="0.3" footer="0.3"/>
  <pageSetup paperSize="5" scale="70"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dimension ref="A1:BA42"/>
  <sheetViews>
    <sheetView view="pageBreakPreview" zoomScale="90" zoomScaleNormal="60" zoomScaleSheetLayoutView="90" workbookViewId="0">
      <pane xSplit="5" ySplit="7" topLeftCell="F8"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9.140625" defaultRowHeight="15"/>
  <cols>
    <col min="1" max="1" width="10.140625" style="768" bestFit="1" customWidth="1"/>
    <col min="2" max="2" width="16.5703125" style="768" bestFit="1" customWidth="1"/>
    <col min="3" max="3" width="52.140625" style="768" customWidth="1"/>
    <col min="4" max="4" width="9.7109375" style="769" customWidth="1"/>
    <col min="5" max="5" width="17.42578125" style="769" customWidth="1"/>
    <col min="6" max="6" width="15.140625" style="752" customWidth="1"/>
    <col min="7" max="7" width="20.140625" style="752" customWidth="1"/>
    <col min="8" max="10" width="15.140625" style="752" customWidth="1"/>
    <col min="11" max="11" width="10.5703125" style="752" customWidth="1"/>
    <col min="12" max="12" width="9.85546875" style="770" bestFit="1" customWidth="1"/>
    <col min="13" max="13" width="12.85546875" style="771" customWidth="1"/>
    <col min="14" max="14" width="9.5703125" style="752" customWidth="1"/>
    <col min="15" max="15" width="14" style="771" customWidth="1"/>
    <col min="16" max="16" width="40.85546875" style="768" customWidth="1"/>
    <col min="17" max="17" width="34.5703125" style="768" customWidth="1"/>
    <col min="18" max="18" width="11" style="771" customWidth="1"/>
    <col min="19" max="16384" width="9.140625" style="752"/>
  </cols>
  <sheetData>
    <row r="1" spans="1:53" ht="14.25" customHeight="1">
      <c r="A1" s="4468" t="s">
        <v>1341</v>
      </c>
      <c r="B1" s="4469"/>
      <c r="C1" s="4470"/>
      <c r="D1" s="616"/>
      <c r="E1" s="4400" t="s">
        <v>4709</v>
      </c>
      <c r="F1" s="4401" t="s">
        <v>4707</v>
      </c>
      <c r="G1" s="4402"/>
      <c r="H1" s="4402"/>
      <c r="I1" s="4402"/>
      <c r="J1" s="4402"/>
      <c r="K1" s="4402"/>
      <c r="L1" s="4402"/>
      <c r="M1" s="4402"/>
      <c r="N1" s="4403"/>
      <c r="O1" s="4404" t="s">
        <v>70</v>
      </c>
      <c r="P1" s="4405"/>
      <c r="Q1" s="4405"/>
      <c r="R1" s="4405"/>
      <c r="S1" s="4405"/>
      <c r="T1" s="4405"/>
      <c r="U1" s="4405"/>
      <c r="V1" s="4405"/>
      <c r="W1" s="4405"/>
      <c r="X1" s="4405"/>
      <c r="Y1" s="4405"/>
      <c r="Z1" s="4405"/>
      <c r="AA1" s="4405"/>
      <c r="AB1" s="4405"/>
      <c r="AC1" s="4405"/>
      <c r="AD1" s="4405"/>
      <c r="AE1" s="4405"/>
      <c r="AF1" s="4405"/>
      <c r="AG1" s="4405"/>
      <c r="AH1" s="4405"/>
      <c r="AI1" s="4406" t="s">
        <v>4358</v>
      </c>
      <c r="AJ1" s="4407"/>
      <c r="AK1" s="4407"/>
      <c r="AL1" s="4407"/>
      <c r="AM1" s="4407"/>
      <c r="AN1" s="4407"/>
      <c r="AO1" s="4408"/>
      <c r="AP1" s="4462" t="s">
        <v>85</v>
      </c>
      <c r="AQ1" s="4463"/>
      <c r="AR1" s="4463"/>
      <c r="AS1" s="4463"/>
      <c r="AT1" s="4463"/>
      <c r="AU1" s="4463"/>
      <c r="AV1" s="4463"/>
      <c r="AW1" s="4463"/>
      <c r="AX1" s="4463"/>
      <c r="AY1" s="4463"/>
      <c r="AZ1" s="4463"/>
      <c r="BA1" s="4464"/>
    </row>
    <row r="2" spans="1:53" s="753" customFormat="1" ht="14.25" customHeight="1">
      <c r="A2" s="4465" t="str">
        <f>HYPERLINK("#Index!A4", "Index Pg")</f>
        <v>Index Pg</v>
      </c>
      <c r="B2" s="684" t="str">
        <f>HYPERLINK("#'Summary of Abstracts'!A2", "Summary of Abst.")</f>
        <v>Summary of Abst.</v>
      </c>
      <c r="C2" s="408"/>
      <c r="D2" s="618"/>
      <c r="E2" s="4400"/>
      <c r="F2" s="455" t="s">
        <v>118</v>
      </c>
      <c r="G2" s="455" t="s">
        <v>131</v>
      </c>
      <c r="H2" s="455" t="s">
        <v>91</v>
      </c>
      <c r="I2" s="455" t="s">
        <v>4705</v>
      </c>
      <c r="J2" s="455" t="s">
        <v>96</v>
      </c>
      <c r="K2" s="619" t="s">
        <v>4064</v>
      </c>
      <c r="L2" s="456" t="s">
        <v>4706</v>
      </c>
      <c r="M2" s="456" t="s">
        <v>4710</v>
      </c>
      <c r="N2" s="456" t="s">
        <v>208</v>
      </c>
      <c r="O2" s="458" t="s">
        <v>4357</v>
      </c>
      <c r="P2" s="458" t="s">
        <v>3848</v>
      </c>
      <c r="Q2" s="458" t="s">
        <v>4719</v>
      </c>
      <c r="R2" s="458" t="s">
        <v>4716</v>
      </c>
      <c r="S2" s="458" t="s">
        <v>4717</v>
      </c>
      <c r="T2" s="458" t="s">
        <v>4718</v>
      </c>
      <c r="U2" s="458" t="s">
        <v>4720</v>
      </c>
      <c r="V2" s="458" t="s">
        <v>4695</v>
      </c>
      <c r="W2" s="458" t="s">
        <v>4721</v>
      </c>
      <c r="X2" s="458" t="s">
        <v>33</v>
      </c>
      <c r="Y2" s="458" t="s">
        <v>4722</v>
      </c>
      <c r="Z2" s="458" t="s">
        <v>4723</v>
      </c>
      <c r="AA2" s="458" t="s">
        <v>4713</v>
      </c>
      <c r="AB2" s="458" t="s">
        <v>742</v>
      </c>
      <c r="AC2" s="458" t="s">
        <v>4714</v>
      </c>
      <c r="AD2" s="458" t="s">
        <v>4715</v>
      </c>
      <c r="AE2" s="458" t="s">
        <v>2379</v>
      </c>
      <c r="AF2" s="458" t="s">
        <v>4724</v>
      </c>
      <c r="AG2" s="458" t="s">
        <v>3847</v>
      </c>
      <c r="AH2" s="458" t="s">
        <v>307</v>
      </c>
      <c r="AI2" s="459" t="s">
        <v>293</v>
      </c>
      <c r="AJ2" s="459" t="s">
        <v>114</v>
      </c>
      <c r="AK2" s="459" t="s">
        <v>146</v>
      </c>
      <c r="AL2" s="459" t="s">
        <v>4674</v>
      </c>
      <c r="AM2" s="459" t="s">
        <v>3316</v>
      </c>
      <c r="AN2" s="459" t="s">
        <v>3986</v>
      </c>
      <c r="AO2" s="459" t="s">
        <v>4544</v>
      </c>
      <c r="AP2" s="613" t="s">
        <v>86</v>
      </c>
      <c r="AQ2" s="613" t="s">
        <v>150</v>
      </c>
      <c r="AR2" s="613" t="s">
        <v>399</v>
      </c>
      <c r="AS2" s="613" t="s">
        <v>152</v>
      </c>
      <c r="AT2" s="613" t="s">
        <v>415</v>
      </c>
      <c r="AU2" s="613" t="s">
        <v>4598</v>
      </c>
      <c r="AV2" s="613" t="s">
        <v>4124</v>
      </c>
      <c r="AW2" s="613" t="s">
        <v>312</v>
      </c>
      <c r="AX2" s="613" t="s">
        <v>314</v>
      </c>
      <c r="AY2" s="613" t="s">
        <v>1034</v>
      </c>
      <c r="AZ2" s="613" t="s">
        <v>1020</v>
      </c>
      <c r="BA2" s="613" t="s">
        <v>4708</v>
      </c>
    </row>
    <row r="3" spans="1:53" s="753" customFormat="1" ht="14.25" customHeight="1">
      <c r="A3" s="4466"/>
      <c r="B3" s="754" t="str">
        <f>HYPERLINK("#'Budget Summary I'!A1:AL1", "Budget Summary I")</f>
        <v>Budget Summary I</v>
      </c>
      <c r="C3" s="404" t="s">
        <v>4599</v>
      </c>
      <c r="D3" s="618"/>
      <c r="E3" s="699">
        <f>R7</f>
        <v>0</v>
      </c>
      <c r="F3" s="135">
        <f>R9</f>
        <v>0</v>
      </c>
      <c r="G3" s="135">
        <f>R10</f>
        <v>0</v>
      </c>
      <c r="H3" s="135">
        <f>R11</f>
        <v>0</v>
      </c>
      <c r="I3" s="135">
        <f>R12</f>
        <v>0</v>
      </c>
      <c r="J3" s="135"/>
      <c r="K3" s="483">
        <f>R14</f>
        <v>0</v>
      </c>
      <c r="L3" s="135">
        <f>R13</f>
        <v>0</v>
      </c>
      <c r="M3" s="135"/>
      <c r="N3" s="483">
        <f>R15</f>
        <v>0</v>
      </c>
      <c r="O3" s="483">
        <f>R20</f>
        <v>0</v>
      </c>
      <c r="P3" s="483">
        <f>R19</f>
        <v>0</v>
      </c>
      <c r="Q3" s="483"/>
      <c r="R3" s="483"/>
      <c r="S3" s="483"/>
      <c r="T3" s="483"/>
      <c r="U3" s="483">
        <f>R21</f>
        <v>0</v>
      </c>
      <c r="V3" s="483">
        <f>R17+R23</f>
        <v>0</v>
      </c>
      <c r="W3" s="483"/>
      <c r="X3" s="483"/>
      <c r="Y3" s="483"/>
      <c r="Z3" s="483">
        <f>R22</f>
        <v>0</v>
      </c>
      <c r="AA3" s="483"/>
      <c r="AB3" s="483"/>
      <c r="AC3" s="483"/>
      <c r="AD3" s="483"/>
      <c r="AE3" s="483"/>
      <c r="AF3" s="483">
        <f>R18</f>
        <v>0</v>
      </c>
      <c r="AG3" s="483"/>
      <c r="AH3" s="483"/>
      <c r="AI3" s="483"/>
      <c r="AJ3" s="483">
        <f>R25</f>
        <v>0</v>
      </c>
      <c r="AK3" s="483">
        <f>R26</f>
        <v>0</v>
      </c>
      <c r="AL3" s="483">
        <f>R27</f>
        <v>0</v>
      </c>
      <c r="AM3" s="483">
        <f>R30</f>
        <v>0</v>
      </c>
      <c r="AN3" s="483">
        <f>R28</f>
        <v>0</v>
      </c>
      <c r="AO3" s="483">
        <f>R29</f>
        <v>0</v>
      </c>
      <c r="AP3" s="483">
        <f>R32</f>
        <v>0</v>
      </c>
      <c r="AQ3" s="483">
        <f>R33</f>
        <v>0</v>
      </c>
      <c r="AR3" s="483">
        <f>R34</f>
        <v>0</v>
      </c>
      <c r="AS3" s="483">
        <f>R35</f>
        <v>0</v>
      </c>
      <c r="AT3" s="483">
        <f>R36</f>
        <v>0</v>
      </c>
      <c r="AU3" s="483">
        <f>R39</f>
        <v>0</v>
      </c>
      <c r="AV3" s="483">
        <f>R38</f>
        <v>0</v>
      </c>
      <c r="AW3" s="483">
        <f>R37</f>
        <v>0</v>
      </c>
      <c r="AX3" s="483">
        <f>R41</f>
        <v>0</v>
      </c>
      <c r="AY3" s="483">
        <f>R42</f>
        <v>0</v>
      </c>
      <c r="AZ3" s="483">
        <f>R40</f>
        <v>0</v>
      </c>
      <c r="BA3" s="483"/>
    </row>
    <row r="4" spans="1:53" s="753" customFormat="1" ht="14.25" customHeight="1">
      <c r="A4" s="4467"/>
      <c r="B4" s="754" t="str">
        <f>HYPERLINK("#'Budget Summary II'!A3:B5", "Budget Summary II")</f>
        <v>Budget Summary II</v>
      </c>
      <c r="C4" s="404" t="s">
        <v>4600</v>
      </c>
      <c r="D4" s="618"/>
      <c r="E4" s="699">
        <f>O7</f>
        <v>2594.622751478908</v>
      </c>
      <c r="F4" s="135">
        <f>O9</f>
        <v>46.17</v>
      </c>
      <c r="G4" s="135">
        <f>O10</f>
        <v>183.02352199999996</v>
      </c>
      <c r="H4" s="135">
        <f>O11</f>
        <v>418.61</v>
      </c>
      <c r="I4" s="135">
        <f>O12</f>
        <v>25</v>
      </c>
      <c r="J4" s="135"/>
      <c r="K4" s="483">
        <f>O14</f>
        <v>16.8</v>
      </c>
      <c r="L4" s="135">
        <f>O13</f>
        <v>400</v>
      </c>
      <c r="M4" s="135"/>
      <c r="N4" s="483">
        <f>O15</f>
        <v>12.4</v>
      </c>
      <c r="O4" s="483">
        <f>O20</f>
        <v>637.91999999999996</v>
      </c>
      <c r="P4" s="483">
        <f>O19</f>
        <v>0</v>
      </c>
      <c r="Q4" s="483"/>
      <c r="R4" s="483"/>
      <c r="S4" s="483"/>
      <c r="T4" s="483"/>
      <c r="U4" s="483">
        <f>O21</f>
        <v>0</v>
      </c>
      <c r="V4" s="483">
        <f>O17+O23</f>
        <v>248.43906947890821</v>
      </c>
      <c r="W4" s="483"/>
      <c r="X4" s="483"/>
      <c r="Y4" s="483"/>
      <c r="Z4" s="483">
        <f>O22</f>
        <v>20</v>
      </c>
      <c r="AA4" s="483"/>
      <c r="AB4" s="483"/>
      <c r="AC4" s="483"/>
      <c r="AD4" s="483"/>
      <c r="AE4" s="483"/>
      <c r="AF4" s="483">
        <f>O18</f>
        <v>15</v>
      </c>
      <c r="AG4" s="483"/>
      <c r="AH4" s="483"/>
      <c r="AI4" s="483"/>
      <c r="AJ4" s="483">
        <f>O25</f>
        <v>249.94907999999998</v>
      </c>
      <c r="AK4" s="483">
        <f>O26</f>
        <v>37.24</v>
      </c>
      <c r="AL4" s="483">
        <f>O27</f>
        <v>69.400000000000006</v>
      </c>
      <c r="AM4" s="483">
        <f>O30</f>
        <v>5</v>
      </c>
      <c r="AN4" s="483">
        <f>O28</f>
        <v>3.8000000000000003</v>
      </c>
      <c r="AO4" s="483">
        <f>O29</f>
        <v>0</v>
      </c>
      <c r="AP4" s="483">
        <f>O32</f>
        <v>22.05</v>
      </c>
      <c r="AQ4" s="483">
        <f>O33</f>
        <v>9.5</v>
      </c>
      <c r="AR4" s="483">
        <f>O34</f>
        <v>15.750080000000001</v>
      </c>
      <c r="AS4" s="483">
        <f>O35</f>
        <v>12</v>
      </c>
      <c r="AT4" s="483">
        <f>O36</f>
        <v>93.925000000000011</v>
      </c>
      <c r="AU4" s="483">
        <f>O39</f>
        <v>24</v>
      </c>
      <c r="AV4" s="483">
        <f>O38</f>
        <v>4.1000000000000005</v>
      </c>
      <c r="AW4" s="483">
        <f>O37</f>
        <v>7.0459999999999994</v>
      </c>
      <c r="AX4" s="483">
        <f>O41</f>
        <v>0</v>
      </c>
      <c r="AY4" s="483">
        <f>O42</f>
        <v>7.5</v>
      </c>
      <c r="AZ4" s="483">
        <f>O40</f>
        <v>10</v>
      </c>
      <c r="BA4" s="483"/>
    </row>
    <row r="5" spans="1:53" s="755" customFormat="1" ht="14.25" customHeight="1">
      <c r="A5" s="4323" t="s">
        <v>53</v>
      </c>
      <c r="B5" s="4323" t="s">
        <v>54</v>
      </c>
      <c r="C5" s="4323" t="s">
        <v>55</v>
      </c>
      <c r="D5" s="4323" t="s">
        <v>56</v>
      </c>
      <c r="E5" s="4323" t="s">
        <v>57</v>
      </c>
      <c r="F5" s="4409" t="s">
        <v>4620</v>
      </c>
      <c r="G5" s="4409"/>
      <c r="H5" s="4409"/>
      <c r="I5" s="4409"/>
      <c r="J5" s="4409"/>
      <c r="K5" s="4454" t="s">
        <v>4631</v>
      </c>
      <c r="L5" s="4455"/>
      <c r="M5" s="4455"/>
      <c r="N5" s="4455"/>
      <c r="O5" s="4455"/>
      <c r="P5" s="4456"/>
      <c r="Q5" s="4457" t="s">
        <v>4661</v>
      </c>
      <c r="R5" s="4458"/>
    </row>
    <row r="6" spans="1:53" s="635" customFormat="1" ht="60">
      <c r="A6" s="4323"/>
      <c r="B6" s="4323"/>
      <c r="C6" s="4323"/>
      <c r="D6" s="4323"/>
      <c r="E6" s="4323"/>
      <c r="F6" s="464" t="s">
        <v>4621</v>
      </c>
      <c r="G6" s="464" t="s">
        <v>4629</v>
      </c>
      <c r="H6" s="464" t="s">
        <v>4622</v>
      </c>
      <c r="I6" s="464" t="s">
        <v>4630</v>
      </c>
      <c r="J6" s="464" t="s">
        <v>2534</v>
      </c>
      <c r="K6" s="465" t="s">
        <v>58</v>
      </c>
      <c r="L6" s="465" t="s">
        <v>59</v>
      </c>
      <c r="M6" s="466" t="s">
        <v>60</v>
      </c>
      <c r="N6" s="465" t="s">
        <v>61</v>
      </c>
      <c r="O6" s="466" t="s">
        <v>62</v>
      </c>
      <c r="P6" s="465" t="s">
        <v>5564</v>
      </c>
      <c r="Q6" s="467" t="s">
        <v>2536</v>
      </c>
      <c r="R6" s="468" t="s">
        <v>4662</v>
      </c>
    </row>
    <row r="7" spans="1:53" s="758" customFormat="1">
      <c r="A7" s="231">
        <v>11</v>
      </c>
      <c r="B7" s="232"/>
      <c r="C7" s="231" t="s">
        <v>1342</v>
      </c>
      <c r="D7" s="756"/>
      <c r="E7" s="756"/>
      <c r="F7" s="757"/>
      <c r="G7" s="757"/>
      <c r="H7" s="757"/>
      <c r="I7" s="757"/>
      <c r="J7" s="757"/>
      <c r="K7" s="757"/>
      <c r="L7" s="757"/>
      <c r="M7" s="148"/>
      <c r="N7" s="757"/>
      <c r="O7" s="148">
        <f>O8+O16+O24+O31</f>
        <v>2594.622751478908</v>
      </c>
      <c r="P7" s="231"/>
      <c r="Q7" s="231"/>
      <c r="R7" s="148">
        <f>R8+R16+R24+R31</f>
        <v>0</v>
      </c>
    </row>
    <row r="8" spans="1:53" s="763" customFormat="1">
      <c r="A8" s="759">
        <v>11.1</v>
      </c>
      <c r="B8" s="759"/>
      <c r="C8" s="759" t="s">
        <v>5218</v>
      </c>
      <c r="D8" s="760"/>
      <c r="E8" s="760"/>
      <c r="F8" s="761"/>
      <c r="G8" s="761"/>
      <c r="H8" s="761"/>
      <c r="I8" s="761"/>
      <c r="J8" s="761"/>
      <c r="K8" s="761"/>
      <c r="L8" s="762"/>
      <c r="M8" s="338"/>
      <c r="N8" s="761"/>
      <c r="O8" s="338">
        <f>SUM(O9:O15)</f>
        <v>1102.003522</v>
      </c>
      <c r="P8" s="759"/>
      <c r="Q8" s="759"/>
      <c r="R8" s="338">
        <f>SUM(R9:R15)</f>
        <v>0</v>
      </c>
    </row>
    <row r="9" spans="1:53">
      <c r="A9" s="764" t="s">
        <v>5241</v>
      </c>
      <c r="B9" s="764" t="s">
        <v>5223</v>
      </c>
      <c r="C9" s="765" t="s">
        <v>1344</v>
      </c>
      <c r="D9" s="766" t="s">
        <v>90</v>
      </c>
      <c r="E9" s="767" t="s">
        <v>118</v>
      </c>
      <c r="F9" s="772"/>
      <c r="G9" s="772"/>
      <c r="H9" s="772"/>
      <c r="I9" s="772"/>
      <c r="J9" s="772"/>
      <c r="K9" s="772"/>
      <c r="L9" s="227"/>
      <c r="M9" s="743"/>
      <c r="N9" s="772"/>
      <c r="O9" s="200">
        <f>'11-A. IEC Sub-Annex'!P6</f>
        <v>46.17</v>
      </c>
      <c r="P9" s="775"/>
      <c r="Q9" s="775"/>
      <c r="R9" s="200">
        <f>'11-A. IEC Sub-Annex'!S6</f>
        <v>0</v>
      </c>
    </row>
    <row r="10" spans="1:53">
      <c r="A10" s="764" t="s">
        <v>5244</v>
      </c>
      <c r="B10" s="764" t="s">
        <v>5224</v>
      </c>
      <c r="C10" s="765" t="s">
        <v>1351</v>
      </c>
      <c r="D10" s="766" t="s">
        <v>90</v>
      </c>
      <c r="E10" s="767" t="s">
        <v>131</v>
      </c>
      <c r="F10" s="772"/>
      <c r="G10" s="772"/>
      <c r="H10" s="772"/>
      <c r="I10" s="772"/>
      <c r="J10" s="772"/>
      <c r="K10" s="772"/>
      <c r="L10" s="227"/>
      <c r="M10" s="743"/>
      <c r="N10" s="772"/>
      <c r="O10" s="200">
        <f>'11-A. IEC Sub-Annex'!P10</f>
        <v>183.02352199999996</v>
      </c>
      <c r="P10" s="775"/>
      <c r="Q10" s="775"/>
      <c r="R10" s="200">
        <f>'11-A. IEC Sub-Annex'!S10</f>
        <v>0</v>
      </c>
    </row>
    <row r="11" spans="1:53">
      <c r="A11" s="764" t="s">
        <v>5245</v>
      </c>
      <c r="B11" s="764" t="s">
        <v>5225</v>
      </c>
      <c r="C11" s="765" t="s">
        <v>1355</v>
      </c>
      <c r="D11" s="766" t="s">
        <v>90</v>
      </c>
      <c r="E11" s="767" t="s">
        <v>91</v>
      </c>
      <c r="F11" s="772"/>
      <c r="G11" s="772"/>
      <c r="H11" s="772"/>
      <c r="I11" s="772"/>
      <c r="J11" s="772"/>
      <c r="K11" s="772"/>
      <c r="L11" s="227"/>
      <c r="M11" s="743"/>
      <c r="N11" s="772"/>
      <c r="O11" s="200">
        <f>'11-A. IEC Sub-Annex'!P15</f>
        <v>418.61</v>
      </c>
      <c r="P11" s="775"/>
      <c r="Q11" s="775"/>
      <c r="R11" s="200">
        <f>'11-A. IEC Sub-Annex'!S15</f>
        <v>0</v>
      </c>
    </row>
    <row r="12" spans="1:53">
      <c r="A12" s="764" t="s">
        <v>5246</v>
      </c>
      <c r="B12" s="764" t="s">
        <v>5226</v>
      </c>
      <c r="C12" s="765" t="s">
        <v>2637</v>
      </c>
      <c r="D12" s="766" t="s">
        <v>90</v>
      </c>
      <c r="E12" s="767" t="s">
        <v>193</v>
      </c>
      <c r="F12" s="772"/>
      <c r="G12" s="772"/>
      <c r="H12" s="772"/>
      <c r="I12" s="772"/>
      <c r="J12" s="772"/>
      <c r="K12" s="772"/>
      <c r="L12" s="227"/>
      <c r="M12" s="743"/>
      <c r="N12" s="772"/>
      <c r="O12" s="200">
        <f>'11-A. IEC Sub-Annex'!P22</f>
        <v>25</v>
      </c>
      <c r="P12" s="775"/>
      <c r="Q12" s="775"/>
      <c r="R12" s="200">
        <f>'11-A. IEC Sub-Annex'!S22</f>
        <v>0</v>
      </c>
    </row>
    <row r="13" spans="1:53">
      <c r="A13" s="764" t="s">
        <v>5247</v>
      </c>
      <c r="B13" s="764">
        <v>11.8</v>
      </c>
      <c r="C13" s="765" t="s">
        <v>2482</v>
      </c>
      <c r="D13" s="766" t="s">
        <v>90</v>
      </c>
      <c r="E13" s="767" t="s">
        <v>205</v>
      </c>
      <c r="F13" s="772"/>
      <c r="G13" s="772"/>
      <c r="H13" s="772"/>
      <c r="I13" s="772"/>
      <c r="J13" s="772"/>
      <c r="K13" s="772"/>
      <c r="L13" s="227"/>
      <c r="M13" s="743"/>
      <c r="N13" s="772"/>
      <c r="O13" s="200">
        <f>'11-A. IEC Sub-Annex'!P26</f>
        <v>400</v>
      </c>
      <c r="P13" s="775"/>
      <c r="Q13" s="775"/>
      <c r="R13" s="200">
        <f>'11-A. IEC Sub-Annex'!S26</f>
        <v>0</v>
      </c>
    </row>
    <row r="14" spans="1:53">
      <c r="A14" s="764" t="s">
        <v>5248</v>
      </c>
      <c r="B14" s="764">
        <v>11.9</v>
      </c>
      <c r="C14" s="765" t="s">
        <v>1368</v>
      </c>
      <c r="D14" s="766" t="s">
        <v>90</v>
      </c>
      <c r="E14" s="767" t="s">
        <v>4064</v>
      </c>
      <c r="F14" s="772"/>
      <c r="G14" s="772"/>
      <c r="H14" s="772"/>
      <c r="I14" s="772"/>
      <c r="J14" s="772"/>
      <c r="K14" s="772"/>
      <c r="L14" s="227"/>
      <c r="M14" s="743"/>
      <c r="N14" s="772"/>
      <c r="O14" s="200">
        <f>'11-A. IEC Sub-Annex'!P29</f>
        <v>16.8</v>
      </c>
      <c r="P14" s="775"/>
      <c r="Q14" s="775"/>
      <c r="R14" s="200">
        <f>'11-A. IEC Sub-Annex'!S29</f>
        <v>0</v>
      </c>
    </row>
    <row r="15" spans="1:53">
      <c r="A15" s="764" t="s">
        <v>5249</v>
      </c>
      <c r="B15" s="764">
        <v>11.14</v>
      </c>
      <c r="C15" s="765" t="s">
        <v>1388</v>
      </c>
      <c r="D15" s="766" t="s">
        <v>90</v>
      </c>
      <c r="E15" s="767" t="s">
        <v>208</v>
      </c>
      <c r="F15" s="772"/>
      <c r="G15" s="772"/>
      <c r="H15" s="772"/>
      <c r="I15" s="772"/>
      <c r="J15" s="772"/>
      <c r="K15" s="772"/>
      <c r="L15" s="227"/>
      <c r="M15" s="743"/>
      <c r="N15" s="772"/>
      <c r="O15" s="200">
        <f>'11-A. IEC Sub-Annex'!P32</f>
        <v>12.4</v>
      </c>
      <c r="P15" s="775"/>
      <c r="Q15" s="775"/>
      <c r="R15" s="200">
        <f>'11-A. IEC Sub-Annex'!S32</f>
        <v>0</v>
      </c>
    </row>
    <row r="16" spans="1:53" s="763" customFormat="1">
      <c r="A16" s="759">
        <v>11.2</v>
      </c>
      <c r="B16" s="759"/>
      <c r="C16" s="759" t="s">
        <v>5219</v>
      </c>
      <c r="D16" s="760"/>
      <c r="E16" s="760"/>
      <c r="F16" s="773"/>
      <c r="G16" s="773"/>
      <c r="H16" s="773"/>
      <c r="I16" s="773"/>
      <c r="J16" s="773"/>
      <c r="K16" s="773"/>
      <c r="L16" s="774"/>
      <c r="M16" s="748"/>
      <c r="N16" s="773"/>
      <c r="O16" s="338">
        <f>SUM(O17:O23)</f>
        <v>921.35906947890817</v>
      </c>
      <c r="P16" s="776"/>
      <c r="Q16" s="776"/>
      <c r="R16" s="338">
        <f>SUM(R17:R23)</f>
        <v>0</v>
      </c>
    </row>
    <row r="17" spans="1:18" ht="30">
      <c r="A17" s="764" t="s">
        <v>5242</v>
      </c>
      <c r="B17" s="764" t="s">
        <v>5227</v>
      </c>
      <c r="C17" s="765" t="s">
        <v>1434</v>
      </c>
      <c r="D17" s="457" t="s">
        <v>70</v>
      </c>
      <c r="E17" s="767" t="s">
        <v>70</v>
      </c>
      <c r="F17" s="772"/>
      <c r="G17" s="772"/>
      <c r="H17" s="772"/>
      <c r="I17" s="772"/>
      <c r="J17" s="772"/>
      <c r="K17" s="772"/>
      <c r="L17" s="227"/>
      <c r="M17" s="743"/>
      <c r="N17" s="772"/>
      <c r="O17" s="200">
        <f>'11-A. IEC Sub-Annex'!P36</f>
        <v>2</v>
      </c>
      <c r="P17" s="775"/>
      <c r="Q17" s="775"/>
      <c r="R17" s="200">
        <f>'11-A. IEC Sub-Annex'!S36</f>
        <v>0</v>
      </c>
    </row>
    <row r="18" spans="1:18">
      <c r="A18" s="764" t="s">
        <v>5250</v>
      </c>
      <c r="B18" s="764" t="s">
        <v>5228</v>
      </c>
      <c r="C18" s="765" t="s">
        <v>2639</v>
      </c>
      <c r="D18" s="457" t="s">
        <v>70</v>
      </c>
      <c r="E18" s="767" t="s">
        <v>2087</v>
      </c>
      <c r="F18" s="772"/>
      <c r="G18" s="772"/>
      <c r="H18" s="772"/>
      <c r="I18" s="772"/>
      <c r="J18" s="772"/>
      <c r="K18" s="772"/>
      <c r="L18" s="227"/>
      <c r="M18" s="743"/>
      <c r="N18" s="772"/>
      <c r="O18" s="200">
        <f>'11-A. IEC Sub-Annex'!P37</f>
        <v>15</v>
      </c>
      <c r="P18" s="775"/>
      <c r="Q18" s="775"/>
      <c r="R18" s="200">
        <f>'11-A. IEC Sub-Annex'!S37</f>
        <v>0</v>
      </c>
    </row>
    <row r="19" spans="1:18">
      <c r="A19" s="764" t="s">
        <v>5251</v>
      </c>
      <c r="B19" s="765">
        <v>11.23</v>
      </c>
      <c r="C19" s="765" t="s">
        <v>2527</v>
      </c>
      <c r="D19" s="457" t="s">
        <v>70</v>
      </c>
      <c r="E19" s="767" t="s">
        <v>4985</v>
      </c>
      <c r="F19" s="772"/>
      <c r="G19" s="772"/>
      <c r="H19" s="772"/>
      <c r="I19" s="772"/>
      <c r="J19" s="772"/>
      <c r="K19" s="772"/>
      <c r="L19" s="227"/>
      <c r="M19" s="743"/>
      <c r="N19" s="772"/>
      <c r="O19" s="200">
        <f>'11-A. IEC Sub-Annex'!P40</f>
        <v>0</v>
      </c>
      <c r="P19" s="775"/>
      <c r="Q19" s="775"/>
      <c r="R19" s="200">
        <f>'11-A. IEC Sub-Annex'!S40</f>
        <v>0</v>
      </c>
    </row>
    <row r="20" spans="1:18" ht="30">
      <c r="A20" s="764" t="s">
        <v>5252</v>
      </c>
      <c r="B20" s="764" t="s">
        <v>5229</v>
      </c>
      <c r="C20" s="765" t="s">
        <v>3883</v>
      </c>
      <c r="D20" s="457" t="s">
        <v>70</v>
      </c>
      <c r="E20" s="767" t="s">
        <v>4357</v>
      </c>
      <c r="F20" s="772"/>
      <c r="G20" s="772"/>
      <c r="H20" s="772"/>
      <c r="I20" s="772"/>
      <c r="J20" s="772"/>
      <c r="K20" s="772"/>
      <c r="L20" s="227"/>
      <c r="M20" s="743"/>
      <c r="N20" s="772"/>
      <c r="O20" s="200">
        <f>'11-A. IEC Sub-Annex'!P43</f>
        <v>637.91999999999996</v>
      </c>
      <c r="P20" s="775"/>
      <c r="Q20" s="775"/>
      <c r="R20" s="200">
        <f>'11-A. IEC Sub-Annex'!S43</f>
        <v>0</v>
      </c>
    </row>
    <row r="21" spans="1:18" ht="45">
      <c r="A21" s="764" t="s">
        <v>5253</v>
      </c>
      <c r="B21" s="764" t="s">
        <v>4007</v>
      </c>
      <c r="C21" s="765" t="s">
        <v>4018</v>
      </c>
      <c r="D21" s="457" t="s">
        <v>70</v>
      </c>
      <c r="E21" s="767" t="s">
        <v>4720</v>
      </c>
      <c r="F21" s="772"/>
      <c r="G21" s="772"/>
      <c r="H21" s="772"/>
      <c r="I21" s="772"/>
      <c r="J21" s="772"/>
      <c r="K21" s="772"/>
      <c r="L21" s="227"/>
      <c r="M21" s="743"/>
      <c r="N21" s="772"/>
      <c r="O21" s="200">
        <f>'11-A. IEC Sub-Annex'!P44</f>
        <v>0</v>
      </c>
      <c r="P21" s="775"/>
      <c r="Q21" s="775"/>
      <c r="R21" s="200">
        <f>'11-A. IEC Sub-Annex'!S44</f>
        <v>0</v>
      </c>
    </row>
    <row r="22" spans="1:18" ht="30">
      <c r="A22" s="764" t="s">
        <v>5254</v>
      </c>
      <c r="B22" s="764" t="s">
        <v>4488</v>
      </c>
      <c r="C22" s="765" t="s">
        <v>4537</v>
      </c>
      <c r="D22" s="457" t="s">
        <v>70</v>
      </c>
      <c r="E22" s="767" t="s">
        <v>4915</v>
      </c>
      <c r="F22" s="772"/>
      <c r="G22" s="772"/>
      <c r="H22" s="772"/>
      <c r="I22" s="772"/>
      <c r="J22" s="772"/>
      <c r="K22" s="772"/>
      <c r="L22" s="227"/>
      <c r="M22" s="743"/>
      <c r="N22" s="772"/>
      <c r="O22" s="200">
        <f>'11-A. IEC Sub-Annex'!P45</f>
        <v>20</v>
      </c>
      <c r="P22" s="775"/>
      <c r="Q22" s="775"/>
      <c r="R22" s="200">
        <f>'11-A. IEC Sub-Annex'!S45</f>
        <v>0</v>
      </c>
    </row>
    <row r="23" spans="1:18">
      <c r="A23" s="764" t="s">
        <v>5255</v>
      </c>
      <c r="B23" s="764">
        <v>11.24</v>
      </c>
      <c r="C23" s="765" t="s">
        <v>1431</v>
      </c>
      <c r="D23" s="457" t="s">
        <v>70</v>
      </c>
      <c r="E23" s="767" t="s">
        <v>70</v>
      </c>
      <c r="F23" s="772"/>
      <c r="G23" s="772"/>
      <c r="H23" s="772"/>
      <c r="I23" s="772"/>
      <c r="J23" s="772"/>
      <c r="K23" s="772"/>
      <c r="L23" s="227"/>
      <c r="M23" s="743"/>
      <c r="N23" s="772"/>
      <c r="O23" s="200">
        <f>'11-A. IEC Sub-Annex'!P46</f>
        <v>246.43906947890821</v>
      </c>
      <c r="P23" s="775"/>
      <c r="Q23" s="775"/>
      <c r="R23" s="200">
        <f>'11-A. IEC Sub-Annex'!S46</f>
        <v>0</v>
      </c>
    </row>
    <row r="24" spans="1:18" s="763" customFormat="1">
      <c r="A24" s="759">
        <v>11.3</v>
      </c>
      <c r="B24" s="759"/>
      <c r="C24" s="759" t="s">
        <v>5220</v>
      </c>
      <c r="D24" s="760"/>
      <c r="E24" s="760"/>
      <c r="F24" s="773"/>
      <c r="G24" s="773"/>
      <c r="H24" s="773"/>
      <c r="I24" s="773"/>
      <c r="J24" s="773"/>
      <c r="K24" s="773"/>
      <c r="L24" s="774"/>
      <c r="M24" s="748"/>
      <c r="N24" s="773"/>
      <c r="O24" s="338">
        <f>SUM(O25:O30)</f>
        <v>365.38907999999998</v>
      </c>
      <c r="P24" s="776"/>
      <c r="Q24" s="776"/>
      <c r="R24" s="338">
        <f>SUM(R25:R30)</f>
        <v>0</v>
      </c>
    </row>
    <row r="25" spans="1:18">
      <c r="A25" s="764" t="s">
        <v>5243</v>
      </c>
      <c r="B25" s="765">
        <v>11.15</v>
      </c>
      <c r="C25" s="765" t="s">
        <v>1392</v>
      </c>
      <c r="D25" s="459" t="s">
        <v>4358</v>
      </c>
      <c r="E25" s="767" t="s">
        <v>114</v>
      </c>
      <c r="F25" s="772"/>
      <c r="G25" s="772"/>
      <c r="H25" s="772"/>
      <c r="I25" s="772"/>
      <c r="J25" s="772"/>
      <c r="K25" s="772"/>
      <c r="L25" s="227"/>
      <c r="M25" s="743"/>
      <c r="N25" s="772"/>
      <c r="O25" s="200">
        <f>'11-A. IEC Sub-Annex'!P57</f>
        <v>249.94907999999998</v>
      </c>
      <c r="P25" s="775"/>
      <c r="Q25" s="775"/>
      <c r="R25" s="200">
        <f>'11-A. IEC Sub-Annex'!S57</f>
        <v>0</v>
      </c>
    </row>
    <row r="26" spans="1:18">
      <c r="A26" s="764" t="s">
        <v>5256</v>
      </c>
      <c r="B26" s="765">
        <v>11.16</v>
      </c>
      <c r="C26" s="765" t="s">
        <v>1406</v>
      </c>
      <c r="D26" s="459" t="s">
        <v>4358</v>
      </c>
      <c r="E26" s="767" t="s">
        <v>146</v>
      </c>
      <c r="F26" s="772"/>
      <c r="G26" s="772"/>
      <c r="H26" s="772"/>
      <c r="I26" s="772"/>
      <c r="J26" s="772"/>
      <c r="K26" s="772"/>
      <c r="L26" s="227"/>
      <c r="M26" s="743"/>
      <c r="N26" s="772"/>
      <c r="O26" s="200">
        <f>'11-A. IEC Sub-Annex'!P66</f>
        <v>37.24</v>
      </c>
      <c r="P26" s="775"/>
      <c r="Q26" s="775"/>
      <c r="R26" s="200">
        <f>'11-A. IEC Sub-Annex'!S66</f>
        <v>0</v>
      </c>
    </row>
    <row r="27" spans="1:18">
      <c r="A27" s="764" t="s">
        <v>5257</v>
      </c>
      <c r="B27" s="765">
        <v>11.17</v>
      </c>
      <c r="C27" s="765" t="s">
        <v>4886</v>
      </c>
      <c r="D27" s="459" t="s">
        <v>4358</v>
      </c>
      <c r="E27" s="767" t="s">
        <v>4674</v>
      </c>
      <c r="F27" s="772"/>
      <c r="G27" s="772"/>
      <c r="H27" s="772"/>
      <c r="I27" s="772"/>
      <c r="J27" s="772"/>
      <c r="K27" s="772"/>
      <c r="L27" s="227"/>
      <c r="M27" s="743"/>
      <c r="N27" s="772"/>
      <c r="O27" s="200">
        <f>'11-A. IEC Sub-Annex'!P69</f>
        <v>69.400000000000006</v>
      </c>
      <c r="P27" s="775"/>
      <c r="Q27" s="775"/>
      <c r="R27" s="200">
        <f>'11-A. IEC Sub-Annex'!S69</f>
        <v>0</v>
      </c>
    </row>
    <row r="28" spans="1:18" ht="30">
      <c r="A28" s="764" t="s">
        <v>5258</v>
      </c>
      <c r="B28" s="765" t="s">
        <v>3895</v>
      </c>
      <c r="C28" s="765" t="s">
        <v>5222</v>
      </c>
      <c r="D28" s="459" t="s">
        <v>4358</v>
      </c>
      <c r="E28" s="767" t="s">
        <v>3986</v>
      </c>
      <c r="F28" s="772"/>
      <c r="G28" s="772"/>
      <c r="H28" s="772"/>
      <c r="I28" s="772"/>
      <c r="J28" s="772"/>
      <c r="K28" s="772"/>
      <c r="L28" s="227"/>
      <c r="M28" s="743"/>
      <c r="N28" s="772"/>
      <c r="O28" s="200">
        <f>'11-A. IEC Sub-Annex'!P73</f>
        <v>3.8000000000000003</v>
      </c>
      <c r="P28" s="775"/>
      <c r="Q28" s="775"/>
      <c r="R28" s="200">
        <f>'11-A. IEC Sub-Annex'!S73</f>
        <v>0</v>
      </c>
    </row>
    <row r="29" spans="1:18" ht="30">
      <c r="A29" s="764" t="s">
        <v>5259</v>
      </c>
      <c r="B29" s="765" t="s">
        <v>4017</v>
      </c>
      <c r="C29" s="765" t="s">
        <v>4525</v>
      </c>
      <c r="D29" s="459" t="s">
        <v>4358</v>
      </c>
      <c r="E29" s="767" t="s">
        <v>4544</v>
      </c>
      <c r="F29" s="772"/>
      <c r="G29" s="772"/>
      <c r="H29" s="772"/>
      <c r="I29" s="772"/>
      <c r="J29" s="772"/>
      <c r="K29" s="772"/>
      <c r="L29" s="227"/>
      <c r="M29" s="743"/>
      <c r="N29" s="772"/>
      <c r="O29" s="200">
        <f>'11-A. IEC Sub-Annex'!P74</f>
        <v>0</v>
      </c>
      <c r="P29" s="775"/>
      <c r="Q29" s="775"/>
      <c r="R29" s="200">
        <f>'11-A. IEC Sub-Annex'!S74</f>
        <v>0</v>
      </c>
    </row>
    <row r="30" spans="1:18">
      <c r="A30" s="764" t="s">
        <v>5261</v>
      </c>
      <c r="B30" s="765"/>
      <c r="C30" s="765" t="s">
        <v>5262</v>
      </c>
      <c r="D30" s="459" t="s">
        <v>4358</v>
      </c>
      <c r="E30" s="767" t="s">
        <v>3316</v>
      </c>
      <c r="F30" s="772"/>
      <c r="G30" s="772"/>
      <c r="H30" s="772"/>
      <c r="I30" s="772"/>
      <c r="J30" s="772"/>
      <c r="K30" s="772"/>
      <c r="L30" s="227"/>
      <c r="M30" s="743"/>
      <c r="N30" s="772"/>
      <c r="O30" s="200">
        <f>'11-A. IEC Sub-Annex'!P75</f>
        <v>5</v>
      </c>
      <c r="P30" s="775"/>
      <c r="Q30" s="775"/>
      <c r="R30" s="200">
        <f>'11-A. IEC Sub-Annex'!S75</f>
        <v>0</v>
      </c>
    </row>
    <row r="31" spans="1:18" s="763" customFormat="1">
      <c r="A31" s="759">
        <v>11.4</v>
      </c>
      <c r="B31" s="759"/>
      <c r="C31" s="759" t="s">
        <v>5221</v>
      </c>
      <c r="D31" s="760"/>
      <c r="E31" s="760"/>
      <c r="F31" s="773"/>
      <c r="G31" s="773"/>
      <c r="H31" s="773"/>
      <c r="I31" s="773"/>
      <c r="J31" s="773"/>
      <c r="K31" s="773"/>
      <c r="L31" s="774"/>
      <c r="M31" s="748"/>
      <c r="N31" s="773"/>
      <c r="O31" s="338">
        <f>SUM(O32:O42)</f>
        <v>205.87108000000001</v>
      </c>
      <c r="P31" s="776"/>
      <c r="Q31" s="776"/>
      <c r="R31" s="338">
        <f>SUM(R32:R42)</f>
        <v>0</v>
      </c>
    </row>
    <row r="32" spans="1:18">
      <c r="A32" s="764" t="s">
        <v>1363</v>
      </c>
      <c r="B32" s="765">
        <v>11.18</v>
      </c>
      <c r="C32" s="765" t="s">
        <v>1411</v>
      </c>
      <c r="D32" s="461" t="s">
        <v>85</v>
      </c>
      <c r="E32" s="767" t="s">
        <v>86</v>
      </c>
      <c r="F32" s="772"/>
      <c r="G32" s="772"/>
      <c r="H32" s="772"/>
      <c r="I32" s="772"/>
      <c r="J32" s="772"/>
      <c r="K32" s="772"/>
      <c r="L32" s="227"/>
      <c r="M32" s="743"/>
      <c r="N32" s="772"/>
      <c r="O32" s="200">
        <f>'11-A. IEC Sub-Annex'!P77</f>
        <v>22.05</v>
      </c>
      <c r="P32" s="775"/>
      <c r="Q32" s="775"/>
      <c r="R32" s="200">
        <f>'11-A. IEC Sub-Annex'!S77</f>
        <v>0</v>
      </c>
    </row>
    <row r="33" spans="1:18">
      <c r="A33" s="764" t="s">
        <v>1365</v>
      </c>
      <c r="B33" s="765" t="s">
        <v>5230</v>
      </c>
      <c r="C33" s="765" t="s">
        <v>1415</v>
      </c>
      <c r="D33" s="461" t="s">
        <v>85</v>
      </c>
      <c r="E33" s="767" t="s">
        <v>150</v>
      </c>
      <c r="F33" s="772"/>
      <c r="G33" s="772"/>
      <c r="H33" s="772"/>
      <c r="I33" s="772"/>
      <c r="J33" s="772"/>
      <c r="K33" s="772"/>
      <c r="L33" s="227"/>
      <c r="M33" s="743"/>
      <c r="N33" s="772"/>
      <c r="O33" s="200">
        <f>'11-A. IEC Sub-Annex'!P80</f>
        <v>9.5</v>
      </c>
      <c r="P33" s="775"/>
      <c r="Q33" s="775"/>
      <c r="R33" s="200">
        <f>'11-A. IEC Sub-Annex'!S80</f>
        <v>0</v>
      </c>
    </row>
    <row r="34" spans="1:18">
      <c r="A34" s="764" t="s">
        <v>1367</v>
      </c>
      <c r="B34" s="765" t="s">
        <v>2518</v>
      </c>
      <c r="C34" s="765" t="s">
        <v>1422</v>
      </c>
      <c r="D34" s="461" t="s">
        <v>85</v>
      </c>
      <c r="E34" s="767" t="s">
        <v>399</v>
      </c>
      <c r="F34" s="772"/>
      <c r="G34" s="772"/>
      <c r="H34" s="772"/>
      <c r="I34" s="772"/>
      <c r="J34" s="772"/>
      <c r="K34" s="772"/>
      <c r="L34" s="227"/>
      <c r="M34" s="743"/>
      <c r="N34" s="772"/>
      <c r="O34" s="200">
        <f>'11-A. IEC Sub-Annex'!P84</f>
        <v>15.750080000000001</v>
      </c>
      <c r="P34" s="775"/>
      <c r="Q34" s="775"/>
      <c r="R34" s="200">
        <f>'11-A. IEC Sub-Annex'!S84</f>
        <v>0</v>
      </c>
    </row>
    <row r="35" spans="1:18">
      <c r="A35" s="764" t="s">
        <v>5233</v>
      </c>
      <c r="B35" s="765">
        <v>11.21</v>
      </c>
      <c r="C35" s="765" t="s">
        <v>1425</v>
      </c>
      <c r="D35" s="461" t="s">
        <v>85</v>
      </c>
      <c r="E35" s="767" t="s">
        <v>152</v>
      </c>
      <c r="F35" s="772"/>
      <c r="G35" s="772"/>
      <c r="H35" s="772"/>
      <c r="I35" s="772"/>
      <c r="J35" s="772"/>
      <c r="K35" s="772"/>
      <c r="L35" s="227"/>
      <c r="M35" s="743"/>
      <c r="N35" s="772"/>
      <c r="O35" s="200">
        <f>'11-A. IEC Sub-Annex'!P87</f>
        <v>12</v>
      </c>
      <c r="P35" s="775"/>
      <c r="Q35" s="775"/>
      <c r="R35" s="200">
        <f>'11-A. IEC Sub-Annex'!S87</f>
        <v>0</v>
      </c>
    </row>
    <row r="36" spans="1:18">
      <c r="A36" s="764" t="s">
        <v>5234</v>
      </c>
      <c r="B36" s="765" t="s">
        <v>5231</v>
      </c>
      <c r="C36" s="765" t="s">
        <v>1427</v>
      </c>
      <c r="D36" s="461" t="s">
        <v>85</v>
      </c>
      <c r="E36" s="767" t="s">
        <v>415</v>
      </c>
      <c r="F36" s="772"/>
      <c r="G36" s="772"/>
      <c r="H36" s="772"/>
      <c r="I36" s="772"/>
      <c r="J36" s="772"/>
      <c r="K36" s="772"/>
      <c r="L36" s="227"/>
      <c r="M36" s="743"/>
      <c r="N36" s="772"/>
      <c r="O36" s="200">
        <f>'11-A. IEC Sub-Annex'!P89</f>
        <v>93.925000000000011</v>
      </c>
      <c r="P36" s="775"/>
      <c r="Q36" s="775"/>
      <c r="R36" s="200">
        <f>'11-A. IEC Sub-Annex'!S89</f>
        <v>0</v>
      </c>
    </row>
    <row r="37" spans="1:18">
      <c r="A37" s="764" t="s">
        <v>5235</v>
      </c>
      <c r="B37" s="765" t="s">
        <v>3896</v>
      </c>
      <c r="C37" s="765" t="s">
        <v>4527</v>
      </c>
      <c r="D37" s="461" t="s">
        <v>85</v>
      </c>
      <c r="E37" s="767" t="s">
        <v>312</v>
      </c>
      <c r="F37" s="772"/>
      <c r="G37" s="772"/>
      <c r="H37" s="772"/>
      <c r="I37" s="772"/>
      <c r="J37" s="772"/>
      <c r="K37" s="772"/>
      <c r="L37" s="227"/>
      <c r="M37" s="743"/>
      <c r="N37" s="772"/>
      <c r="O37" s="200">
        <f>'11-A. IEC Sub-Annex'!P94</f>
        <v>7.0459999999999994</v>
      </c>
      <c r="P37" s="775"/>
      <c r="Q37" s="775"/>
      <c r="R37" s="200">
        <f>'11-A. IEC Sub-Annex'!S94</f>
        <v>0</v>
      </c>
    </row>
    <row r="38" spans="1:18" ht="45">
      <c r="A38" s="764" t="s">
        <v>5236</v>
      </c>
      <c r="B38" s="765" t="s">
        <v>3994</v>
      </c>
      <c r="C38" s="765" t="s">
        <v>4526</v>
      </c>
      <c r="D38" s="461" t="s">
        <v>85</v>
      </c>
      <c r="E38" s="767" t="s">
        <v>4124</v>
      </c>
      <c r="F38" s="772"/>
      <c r="G38" s="772"/>
      <c r="H38" s="772"/>
      <c r="I38" s="772"/>
      <c r="J38" s="772"/>
      <c r="K38" s="772"/>
      <c r="L38" s="227"/>
      <c r="M38" s="743"/>
      <c r="N38" s="772"/>
      <c r="O38" s="200">
        <f>'11-A. IEC Sub-Annex'!P95</f>
        <v>4.1000000000000005</v>
      </c>
      <c r="P38" s="775"/>
      <c r="Q38" s="775"/>
      <c r="R38" s="200">
        <f>'11-A. IEC Sub-Annex'!S95</f>
        <v>0</v>
      </c>
    </row>
    <row r="39" spans="1:18" ht="30">
      <c r="A39" s="764" t="s">
        <v>5237</v>
      </c>
      <c r="B39" s="765" t="s">
        <v>4534</v>
      </c>
      <c r="C39" s="765" t="s">
        <v>4538</v>
      </c>
      <c r="D39" s="461" t="s">
        <v>85</v>
      </c>
      <c r="E39" s="767" t="s">
        <v>4915</v>
      </c>
      <c r="F39" s="772"/>
      <c r="G39" s="772"/>
      <c r="H39" s="772"/>
      <c r="I39" s="772"/>
      <c r="J39" s="772"/>
      <c r="K39" s="772"/>
      <c r="L39" s="227"/>
      <c r="M39" s="743"/>
      <c r="N39" s="772"/>
      <c r="O39" s="200">
        <f>'11-A. IEC Sub-Annex'!P96</f>
        <v>24</v>
      </c>
      <c r="P39" s="775"/>
      <c r="Q39" s="775"/>
      <c r="R39" s="200">
        <f>'11-A. IEC Sub-Annex'!S96</f>
        <v>0</v>
      </c>
    </row>
    <row r="40" spans="1:18">
      <c r="A40" s="764" t="s">
        <v>5238</v>
      </c>
      <c r="B40" s="765" t="s">
        <v>5232</v>
      </c>
      <c r="C40" s="765" t="s">
        <v>1374</v>
      </c>
      <c r="D40" s="461" t="s">
        <v>85</v>
      </c>
      <c r="E40" s="767" t="s">
        <v>1020</v>
      </c>
      <c r="F40" s="772"/>
      <c r="G40" s="772"/>
      <c r="H40" s="772"/>
      <c r="I40" s="772"/>
      <c r="J40" s="772"/>
      <c r="K40" s="772"/>
      <c r="L40" s="227"/>
      <c r="M40" s="743"/>
      <c r="N40" s="772"/>
      <c r="O40" s="200">
        <f>'11-A. IEC Sub-Annex'!P97</f>
        <v>10</v>
      </c>
      <c r="P40" s="775"/>
      <c r="Q40" s="775"/>
      <c r="R40" s="200">
        <f>'11-A. IEC Sub-Annex'!S97</f>
        <v>0</v>
      </c>
    </row>
    <row r="41" spans="1:18">
      <c r="A41" s="764" t="s">
        <v>5239</v>
      </c>
      <c r="B41" s="765">
        <v>11.12</v>
      </c>
      <c r="C41" s="765" t="s">
        <v>1377</v>
      </c>
      <c r="D41" s="461" t="s">
        <v>85</v>
      </c>
      <c r="E41" s="767" t="s">
        <v>314</v>
      </c>
      <c r="F41" s="772"/>
      <c r="G41" s="772"/>
      <c r="H41" s="772"/>
      <c r="I41" s="772"/>
      <c r="J41" s="772"/>
      <c r="K41" s="772"/>
      <c r="L41" s="227"/>
      <c r="M41" s="743"/>
      <c r="N41" s="772"/>
      <c r="O41" s="200">
        <f>'11-A. IEC Sub-Annex'!P100</f>
        <v>0</v>
      </c>
      <c r="P41" s="775"/>
      <c r="Q41" s="775"/>
      <c r="R41" s="200">
        <f>'11-A. IEC Sub-Annex'!S100</f>
        <v>0</v>
      </c>
    </row>
    <row r="42" spans="1:18">
      <c r="A42" s="764" t="s">
        <v>5240</v>
      </c>
      <c r="B42" s="765">
        <v>11.13</v>
      </c>
      <c r="C42" s="765" t="s">
        <v>1384</v>
      </c>
      <c r="D42" s="461" t="s">
        <v>85</v>
      </c>
      <c r="E42" s="767" t="s">
        <v>1034</v>
      </c>
      <c r="F42" s="772"/>
      <c r="G42" s="772"/>
      <c r="H42" s="772"/>
      <c r="I42" s="772"/>
      <c r="J42" s="772"/>
      <c r="K42" s="772"/>
      <c r="L42" s="227"/>
      <c r="M42" s="743"/>
      <c r="N42" s="772"/>
      <c r="O42" s="200">
        <f>'11-A. IEC Sub-Annex'!P104</f>
        <v>7.5</v>
      </c>
      <c r="P42" s="775"/>
      <c r="Q42" s="775"/>
      <c r="R42" s="200">
        <f>'11-A. IEC Sub-Annex'!S104</f>
        <v>0</v>
      </c>
    </row>
  </sheetData>
  <sheetProtection sheet="1" objects="1" scenarios="1" autoFilter="0"/>
  <autoFilter ref="A6:BA42"/>
  <mergeCells count="15">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s>
  <phoneticPr fontId="27" type="noConversion"/>
  <pageMargins left="0.7" right="0.7" top="0.75" bottom="0.75" header="0.3" footer="0.3"/>
  <pageSetup paperSize="5" scale="70" orientation="landscape" r:id="rId1"/>
</worksheet>
</file>

<file path=xl/worksheets/sheet23.xml><?xml version="1.0" encoding="utf-8"?>
<worksheet xmlns="http://schemas.openxmlformats.org/spreadsheetml/2006/main" xmlns:r="http://schemas.openxmlformats.org/officeDocument/2006/relationships">
  <sheetPr codeName="Sheet42"/>
  <dimension ref="A1:BE107"/>
  <sheetViews>
    <sheetView zoomScale="80" zoomScaleNormal="80" workbookViewId="0">
      <pane xSplit="6" ySplit="4" topLeftCell="G17" activePane="bottomRight" state="frozen"/>
      <selection activeCell="Q172" sqref="A1:BE179"/>
      <selection pane="topRight" activeCell="Q172" sqref="A1:BE179"/>
      <selection pane="bottomLeft" activeCell="Q172" sqref="A1:BE179"/>
      <selection pane="bottomRight" activeCell="B18" sqref="B18:Q19"/>
    </sheetView>
  </sheetViews>
  <sheetFormatPr defaultColWidth="9.140625" defaultRowHeight="16.5"/>
  <cols>
    <col min="1" max="1" width="9.140625" style="1986"/>
    <col min="2" max="2" width="16.28515625" style="3177" bestFit="1" customWidth="1"/>
    <col min="3" max="3" width="10.28515625" style="3177" customWidth="1"/>
    <col min="4" max="4" width="44" style="3177" customWidth="1"/>
    <col min="5" max="5" width="9.7109375" style="1986" customWidth="1"/>
    <col min="6" max="6" width="12" style="1986" customWidth="1"/>
    <col min="7" max="7" width="15.140625" style="3128" hidden="1" customWidth="1"/>
    <col min="8" max="8" width="20.140625" style="3128" hidden="1" customWidth="1"/>
    <col min="9" max="11" width="15.140625" style="3128" hidden="1" customWidth="1"/>
    <col min="12" max="12" width="16.7109375" style="3535" customWidth="1"/>
    <col min="13" max="13" width="12.85546875" style="3157" customWidth="1"/>
    <col min="14" max="14" width="12.42578125" style="3128" customWidth="1"/>
    <col min="15" max="15" width="11" style="3128" customWidth="1"/>
    <col min="16" max="16" width="15.28515625" style="3128" customWidth="1"/>
    <col min="17" max="17" width="71.5703125" style="3177" customWidth="1"/>
    <col min="18" max="18" width="34.5703125" style="3177" hidden="1" customWidth="1"/>
    <col min="19" max="19" width="23.42578125" style="3128" hidden="1" customWidth="1"/>
    <col min="20" max="16384" width="9.140625" style="3128"/>
  </cols>
  <sheetData>
    <row r="1" spans="1:57" s="1659" customFormat="1">
      <c r="A1" s="4411" t="s">
        <v>5217</v>
      </c>
      <c r="B1" s="4412"/>
      <c r="C1" s="4412"/>
      <c r="D1" s="4413"/>
      <c r="F1" s="1974"/>
      <c r="G1" s="1654"/>
      <c r="H1" s="1974"/>
      <c r="I1" s="1655"/>
      <c r="J1" s="1656"/>
      <c r="K1" s="1656"/>
      <c r="L1" s="3238"/>
      <c r="M1" s="3238"/>
      <c r="N1" s="1656"/>
      <c r="O1" s="2281"/>
      <c r="P1" s="1656"/>
      <c r="Q1" s="2281"/>
      <c r="R1" s="1656"/>
      <c r="S1" s="1656"/>
      <c r="T1" s="2281"/>
      <c r="U1" s="1656"/>
      <c r="V1" s="1656"/>
      <c r="W1" s="1656"/>
      <c r="X1" s="1656"/>
      <c r="Y1" s="1656"/>
      <c r="Z1" s="1656"/>
      <c r="AA1" s="1656"/>
      <c r="AB1" s="1656"/>
      <c r="AC1" s="1656"/>
      <c r="AD1" s="1656"/>
      <c r="AE1" s="1656"/>
      <c r="AF1" s="1656"/>
      <c r="AG1" s="1656"/>
      <c r="AH1" s="1656"/>
      <c r="AI1" s="1656"/>
      <c r="AJ1" s="1656"/>
      <c r="AK1" s="1656"/>
      <c r="AL1" s="1656"/>
      <c r="AM1" s="1656"/>
      <c r="AN1" s="1656"/>
      <c r="AO1" s="1656"/>
      <c r="AP1" s="1656"/>
      <c r="AQ1" s="1656"/>
      <c r="AR1" s="1657"/>
      <c r="AS1" s="1657"/>
      <c r="AT1" s="1657"/>
      <c r="AU1" s="1657"/>
      <c r="AV1" s="1657"/>
      <c r="AW1" s="1657"/>
      <c r="AX1" s="1657"/>
      <c r="AY1" s="1982"/>
      <c r="AZ1" s="1982"/>
      <c r="BA1" s="1982"/>
      <c r="BB1" s="1982"/>
      <c r="BC1" s="1982"/>
      <c r="BD1" s="1982"/>
      <c r="BE1" s="1982"/>
    </row>
    <row r="2" spans="1:57" s="1668" customFormat="1">
      <c r="A2" s="3115" t="str">
        <f>HYPERLINK("#Index!A4", "Index Pg")</f>
        <v>Index Pg</v>
      </c>
      <c r="B2" s="1287" t="str">
        <f>HYPERLINK("#'Budget Summary I'!A1:AL1", "Budget Summary I")</f>
        <v>Budget Summary I</v>
      </c>
      <c r="C2" s="1287" t="str">
        <f>HYPERLINK("#'Budget Summary II'!A3:B5", "Budget Summary II")</f>
        <v>Budget Summary II</v>
      </c>
      <c r="D2" s="1984" t="str">
        <f>HYPERLINK("#'Summary of Abstracts'!A2", "Summary of Abst.")</f>
        <v>Summary of Abst.</v>
      </c>
      <c r="F2" s="3116"/>
      <c r="G2" s="1654"/>
      <c r="H2" s="3116"/>
      <c r="I2" s="1655"/>
      <c r="J2" s="1664"/>
      <c r="K2" s="1664"/>
      <c r="L2" s="1664"/>
      <c r="M2" s="1664"/>
      <c r="N2" s="1664"/>
      <c r="O2" s="1665"/>
      <c r="P2" s="1665"/>
      <c r="Q2" s="1665"/>
      <c r="R2" s="1665"/>
      <c r="S2" s="1666"/>
      <c r="T2" s="1666"/>
      <c r="U2" s="1666"/>
      <c r="V2" s="1666"/>
      <c r="W2" s="1666"/>
      <c r="X2" s="1666"/>
      <c r="Y2" s="1666"/>
      <c r="Z2" s="1666"/>
      <c r="AA2" s="1666"/>
      <c r="AB2" s="1666"/>
      <c r="AC2" s="1666"/>
      <c r="AD2" s="1666"/>
      <c r="AE2" s="1666"/>
      <c r="AF2" s="1666"/>
      <c r="AG2" s="1666"/>
      <c r="AH2" s="1666"/>
      <c r="AI2" s="1666"/>
      <c r="AJ2" s="1666"/>
      <c r="AK2" s="1666"/>
      <c r="AL2" s="1666"/>
      <c r="AM2" s="1666"/>
      <c r="AN2" s="1663"/>
      <c r="AO2" s="1663"/>
      <c r="AP2" s="1663"/>
      <c r="AQ2" s="1663"/>
      <c r="AR2" s="1663"/>
      <c r="AS2" s="1663"/>
      <c r="AT2" s="1663"/>
      <c r="AU2" s="1663"/>
      <c r="AV2" s="1663"/>
      <c r="AW2" s="1663"/>
      <c r="AX2" s="1663"/>
      <c r="AY2" s="1985"/>
      <c r="AZ2" s="1985"/>
      <c r="BA2" s="1985"/>
      <c r="BB2" s="1985"/>
      <c r="BC2" s="1985"/>
      <c r="BD2" s="1985"/>
      <c r="BE2" s="1985"/>
    </row>
    <row r="3" spans="1:57" s="3117" customFormat="1">
      <c r="A3" s="4343" t="s">
        <v>5048</v>
      </c>
      <c r="B3" s="4382" t="s">
        <v>54</v>
      </c>
      <c r="C3" s="4383"/>
      <c r="D3" s="4343" t="s">
        <v>55</v>
      </c>
      <c r="E3" s="4343" t="s">
        <v>56</v>
      </c>
      <c r="F3" s="4343" t="s">
        <v>57</v>
      </c>
      <c r="G3" s="4339" t="s">
        <v>4620</v>
      </c>
      <c r="H3" s="4339"/>
      <c r="I3" s="4339"/>
      <c r="J3" s="4339"/>
      <c r="K3" s="4339"/>
      <c r="L3" s="4340" t="s">
        <v>4631</v>
      </c>
      <c r="M3" s="4380"/>
      <c r="N3" s="4380"/>
      <c r="O3" s="4380"/>
      <c r="P3" s="4380"/>
      <c r="Q3" s="4381"/>
      <c r="R3" s="4422" t="s">
        <v>4661</v>
      </c>
      <c r="S3" s="4423"/>
    </row>
    <row r="4" spans="1:57" s="1989" customFormat="1" ht="66">
      <c r="A4" s="4343"/>
      <c r="B4" s="4414"/>
      <c r="C4" s="4415"/>
      <c r="D4" s="4343"/>
      <c r="E4" s="4343"/>
      <c r="F4" s="4343"/>
      <c r="G4" s="1288" t="s">
        <v>4621</v>
      </c>
      <c r="H4" s="1288" t="s">
        <v>4629</v>
      </c>
      <c r="I4" s="1288" t="s">
        <v>4622</v>
      </c>
      <c r="J4" s="1288" t="s">
        <v>4630</v>
      </c>
      <c r="K4" s="1288" t="s">
        <v>2534</v>
      </c>
      <c r="L4" s="1289" t="s">
        <v>58</v>
      </c>
      <c r="M4" s="1289" t="s">
        <v>59</v>
      </c>
      <c r="N4" s="1987" t="s">
        <v>60</v>
      </c>
      <c r="O4" s="1289" t="s">
        <v>61</v>
      </c>
      <c r="P4" s="1987" t="s">
        <v>62</v>
      </c>
      <c r="Q4" s="1289" t="s">
        <v>5564</v>
      </c>
      <c r="R4" s="3118" t="s">
        <v>2536</v>
      </c>
      <c r="S4" s="3119" t="s">
        <v>4662</v>
      </c>
    </row>
    <row r="5" spans="1:57" s="3124" customFormat="1">
      <c r="A5" s="4471" t="s">
        <v>5218</v>
      </c>
      <c r="B5" s="4471"/>
      <c r="C5" s="4471"/>
      <c r="D5" s="4471"/>
      <c r="E5" s="3120"/>
      <c r="F5" s="3120"/>
      <c r="G5" s="3596"/>
      <c r="H5" s="3596"/>
      <c r="I5" s="3596"/>
      <c r="J5" s="3596"/>
      <c r="K5" s="3596"/>
      <c r="L5" s="3255"/>
      <c r="M5" s="3255"/>
      <c r="N5" s="3121"/>
      <c r="O5" s="3596"/>
      <c r="P5" s="3122"/>
      <c r="Q5" s="3123"/>
      <c r="R5" s="1735"/>
      <c r="S5" s="1694"/>
    </row>
    <row r="6" spans="1:57">
      <c r="A6" s="3125" t="s">
        <v>4350</v>
      </c>
      <c r="B6" s="1296">
        <v>11.4</v>
      </c>
      <c r="C6" s="1295" t="s">
        <v>1343</v>
      </c>
      <c r="D6" s="1296" t="s">
        <v>1344</v>
      </c>
      <c r="E6" s="1297"/>
      <c r="F6" s="1297"/>
      <c r="G6" s="1993"/>
      <c r="H6" s="1993"/>
      <c r="I6" s="1993"/>
      <c r="J6" s="1993"/>
      <c r="K6" s="1993"/>
      <c r="L6" s="1297"/>
      <c r="M6" s="1297"/>
      <c r="N6" s="1672"/>
      <c r="O6" s="1993"/>
      <c r="P6" s="1672">
        <f>SUM(P7:P9)</f>
        <v>46.17</v>
      </c>
      <c r="Q6" s="3126"/>
      <c r="R6" s="3127"/>
      <c r="S6" s="1777">
        <f>SUM(S7:S9)</f>
        <v>0</v>
      </c>
    </row>
    <row r="7" spans="1:57" ht="70.5" customHeight="1">
      <c r="A7" s="1986">
        <v>1</v>
      </c>
      <c r="B7" s="3129" t="s">
        <v>1363</v>
      </c>
      <c r="C7" s="1331" t="s">
        <v>1345</v>
      </c>
      <c r="D7" s="1331" t="s">
        <v>1346</v>
      </c>
      <c r="E7" s="3130" t="s">
        <v>90</v>
      </c>
      <c r="F7" s="1727" t="s">
        <v>118</v>
      </c>
      <c r="G7" s="3131"/>
      <c r="H7" s="3131"/>
      <c r="I7" s="3131"/>
      <c r="J7" s="3131"/>
      <c r="K7" s="3131"/>
      <c r="L7" s="3533" t="s">
        <v>6457</v>
      </c>
      <c r="M7" s="1317">
        <v>238235.29411764705</v>
      </c>
      <c r="N7" s="1857">
        <f>M7/100000</f>
        <v>2.3823529411764706</v>
      </c>
      <c r="O7" s="1317">
        <v>17</v>
      </c>
      <c r="P7" s="3133">
        <f>N7*O7</f>
        <v>40.5</v>
      </c>
      <c r="Q7" s="3524" t="s">
        <v>6459</v>
      </c>
      <c r="R7" s="3134">
        <f>'Ab1. RMNCH+A'!Q93</f>
        <v>0</v>
      </c>
      <c r="S7" s="3135">
        <f>'Ab1. RMNCH+A'!R93</f>
        <v>0</v>
      </c>
    </row>
    <row r="8" spans="1:57" ht="44.25" customHeight="1">
      <c r="A8" s="1986">
        <v>2</v>
      </c>
      <c r="B8" s="3129" t="s">
        <v>1365</v>
      </c>
      <c r="C8" s="1331" t="s">
        <v>1347</v>
      </c>
      <c r="D8" s="1331" t="s">
        <v>1348</v>
      </c>
      <c r="E8" s="3130" t="s">
        <v>90</v>
      </c>
      <c r="F8" s="1727" t="s">
        <v>118</v>
      </c>
      <c r="G8" s="3131"/>
      <c r="H8" s="3131"/>
      <c r="I8" s="3131"/>
      <c r="J8" s="3131"/>
      <c r="K8" s="3131"/>
      <c r="L8" s="3533"/>
      <c r="M8" s="1317"/>
      <c r="N8" s="1857">
        <f>M8/100000</f>
        <v>0</v>
      </c>
      <c r="O8" s="1317"/>
      <c r="P8" s="3133">
        <f>N8*O8</f>
        <v>0</v>
      </c>
      <c r="Q8" s="3524"/>
      <c r="R8" s="3134">
        <f>'Ab1. RMNCH+A'!Q94</f>
        <v>0</v>
      </c>
      <c r="S8" s="3135">
        <f>'Ab1. RMNCH+A'!R94</f>
        <v>0</v>
      </c>
    </row>
    <row r="9" spans="1:57" ht="44.25" customHeight="1">
      <c r="A9" s="1986">
        <v>3</v>
      </c>
      <c r="B9" s="3129" t="s">
        <v>1367</v>
      </c>
      <c r="C9" s="1530"/>
      <c r="D9" s="1331" t="s">
        <v>1349</v>
      </c>
      <c r="E9" s="3130" t="s">
        <v>90</v>
      </c>
      <c r="F9" s="1727" t="s">
        <v>118</v>
      </c>
      <c r="G9" s="3131"/>
      <c r="H9" s="3131"/>
      <c r="I9" s="3131"/>
      <c r="J9" s="3131"/>
      <c r="K9" s="3131"/>
      <c r="L9" s="1316" t="s">
        <v>6458</v>
      </c>
      <c r="M9" s="1317">
        <v>3500</v>
      </c>
      <c r="N9" s="1857">
        <f>M9/100000</f>
        <v>3.5000000000000003E-2</v>
      </c>
      <c r="O9" s="1317">
        <v>162</v>
      </c>
      <c r="P9" s="3133">
        <f>N9*O9</f>
        <v>5.6700000000000008</v>
      </c>
      <c r="Q9" s="3524" t="s">
        <v>6460</v>
      </c>
      <c r="R9" s="3134">
        <f>'Ab1. RMNCH+A'!Q95</f>
        <v>0</v>
      </c>
      <c r="S9" s="3135">
        <f>'Ab1. RMNCH+A'!R95</f>
        <v>0</v>
      </c>
    </row>
    <row r="10" spans="1:57" ht="44.25" customHeight="1">
      <c r="A10" s="3125" t="s">
        <v>4351</v>
      </c>
      <c r="B10" s="1296">
        <v>11.5</v>
      </c>
      <c r="C10" s="1295" t="s">
        <v>1350</v>
      </c>
      <c r="D10" s="1296" t="s">
        <v>1351</v>
      </c>
      <c r="E10" s="1297"/>
      <c r="F10" s="1297"/>
      <c r="G10" s="2058"/>
      <c r="H10" s="2058"/>
      <c r="I10" s="2058"/>
      <c r="J10" s="2058"/>
      <c r="K10" s="2058"/>
      <c r="L10" s="1531"/>
      <c r="M10" s="1531"/>
      <c r="N10" s="1672"/>
      <c r="O10" s="2058"/>
      <c r="P10" s="1672">
        <f>SUM(P11:P14)</f>
        <v>183.02352199999996</v>
      </c>
      <c r="Q10" s="1605"/>
      <c r="R10" s="3127"/>
      <c r="S10" s="1777">
        <f>SUM(S11:S14)</f>
        <v>0</v>
      </c>
    </row>
    <row r="11" spans="1:57" ht="102" customHeight="1">
      <c r="A11" s="1986">
        <v>1</v>
      </c>
      <c r="B11" s="3129" t="s">
        <v>1369</v>
      </c>
      <c r="C11" s="1331" t="s">
        <v>1352</v>
      </c>
      <c r="D11" s="1331" t="s">
        <v>1346</v>
      </c>
      <c r="E11" s="3130" t="s">
        <v>90</v>
      </c>
      <c r="F11" s="1727" t="s">
        <v>131</v>
      </c>
      <c r="G11" s="3131"/>
      <c r="H11" s="3131"/>
      <c r="I11" s="3131"/>
      <c r="J11" s="3131"/>
      <c r="K11" s="3131"/>
      <c r="L11" s="3533" t="s">
        <v>6461</v>
      </c>
      <c r="M11" s="1317">
        <v>0.93301373784850827</v>
      </c>
      <c r="N11" s="1857">
        <f>M11/100000</f>
        <v>9.3301373784850819E-6</v>
      </c>
      <c r="O11" s="1317">
        <v>14055476</v>
      </c>
      <c r="P11" s="3133">
        <f>N11*O11</f>
        <v>131.13952199999997</v>
      </c>
      <c r="Q11" s="3598" t="s">
        <v>6748</v>
      </c>
      <c r="R11" s="3134">
        <f>'Ab1. RMNCH+A'!Q176</f>
        <v>0</v>
      </c>
      <c r="S11" s="3135">
        <f>'Ab1. RMNCH+A'!R176</f>
        <v>0</v>
      </c>
    </row>
    <row r="12" spans="1:57" ht="65.25" customHeight="1">
      <c r="A12" s="1986">
        <v>2</v>
      </c>
      <c r="B12" s="3129" t="s">
        <v>2500</v>
      </c>
      <c r="C12" s="1331" t="s">
        <v>1353</v>
      </c>
      <c r="D12" s="1331" t="s">
        <v>1348</v>
      </c>
      <c r="E12" s="3130" t="s">
        <v>90</v>
      </c>
      <c r="F12" s="1727" t="s">
        <v>131</v>
      </c>
      <c r="G12" s="3131"/>
      <c r="H12" s="3131"/>
      <c r="I12" s="3131"/>
      <c r="J12" s="3131"/>
      <c r="K12" s="3131"/>
      <c r="L12" s="3533" t="s">
        <v>6462</v>
      </c>
      <c r="M12" s="1317">
        <v>1263.0600169061709</v>
      </c>
      <c r="N12" s="1857">
        <f>M12/100000</f>
        <v>1.2630600169061708E-2</v>
      </c>
      <c r="O12" s="1317">
        <v>2366</v>
      </c>
      <c r="P12" s="3133">
        <f>N12*O12</f>
        <v>29.884</v>
      </c>
      <c r="Q12" s="3599" t="s">
        <v>6749</v>
      </c>
      <c r="R12" s="3134">
        <f>'Ab1. RMNCH+A'!Q177</f>
        <v>0</v>
      </c>
      <c r="S12" s="3135">
        <f>'Ab1. RMNCH+A'!R177</f>
        <v>0</v>
      </c>
    </row>
    <row r="13" spans="1:57" ht="44.25" customHeight="1">
      <c r="A13" s="1986">
        <v>3</v>
      </c>
      <c r="B13" s="3129" t="s">
        <v>2501</v>
      </c>
      <c r="C13" s="1530"/>
      <c r="D13" s="1331" t="s">
        <v>2466</v>
      </c>
      <c r="E13" s="3130" t="s">
        <v>90</v>
      </c>
      <c r="F13" s="1727" t="s">
        <v>131</v>
      </c>
      <c r="G13" s="3131"/>
      <c r="H13" s="3131"/>
      <c r="I13" s="3131"/>
      <c r="J13" s="3131"/>
      <c r="K13" s="3131"/>
      <c r="L13" s="3533"/>
      <c r="M13" s="1317">
        <v>0</v>
      </c>
      <c r="N13" s="1857">
        <f>M13/100000</f>
        <v>0</v>
      </c>
      <c r="O13" s="1317">
        <v>0</v>
      </c>
      <c r="P13" s="3133">
        <f>N13*O13</f>
        <v>0</v>
      </c>
      <c r="Q13" s="3600"/>
      <c r="R13" s="3134">
        <f>'Ab1. RMNCH+A'!Q178</f>
        <v>0</v>
      </c>
      <c r="S13" s="3135">
        <f>'Ab1. RMNCH+A'!R178</f>
        <v>0</v>
      </c>
    </row>
    <row r="14" spans="1:57" ht="101.25" customHeight="1">
      <c r="A14" s="1986">
        <v>4</v>
      </c>
      <c r="B14" s="3129" t="s">
        <v>2502</v>
      </c>
      <c r="C14" s="1530"/>
      <c r="D14" s="1331" t="s">
        <v>4364</v>
      </c>
      <c r="E14" s="3130" t="s">
        <v>90</v>
      </c>
      <c r="F14" s="1727" t="s">
        <v>131</v>
      </c>
      <c r="G14" s="3131"/>
      <c r="H14" s="3131"/>
      <c r="I14" s="3131"/>
      <c r="J14" s="3131"/>
      <c r="K14" s="3131"/>
      <c r="L14" s="3533" t="s">
        <v>6463</v>
      </c>
      <c r="M14" s="1317">
        <v>1068.4798445847498</v>
      </c>
      <c r="N14" s="1857">
        <f>M14/100000</f>
        <v>1.0684798445847498E-2</v>
      </c>
      <c r="O14" s="1317">
        <v>2059</v>
      </c>
      <c r="P14" s="3133">
        <f>N14*O14</f>
        <v>22</v>
      </c>
      <c r="Q14" s="3599" t="s">
        <v>6589</v>
      </c>
      <c r="R14" s="3134">
        <f>'Ab1. RMNCH+A'!Q179</f>
        <v>0</v>
      </c>
      <c r="S14" s="3135">
        <f>'Ab1. RMNCH+A'!R179</f>
        <v>0</v>
      </c>
    </row>
    <row r="15" spans="1:57" ht="44.25" customHeight="1">
      <c r="A15" s="3125" t="s">
        <v>4354</v>
      </c>
      <c r="B15" s="1296">
        <v>11.6</v>
      </c>
      <c r="C15" s="1295" t="s">
        <v>1354</v>
      </c>
      <c r="D15" s="1296" t="s">
        <v>1355</v>
      </c>
      <c r="E15" s="1297"/>
      <c r="F15" s="1297"/>
      <c r="G15" s="2058"/>
      <c r="H15" s="2058"/>
      <c r="I15" s="2058"/>
      <c r="J15" s="2058"/>
      <c r="K15" s="2058"/>
      <c r="L15" s="1531"/>
      <c r="M15" s="1531"/>
      <c r="N15" s="1672"/>
      <c r="O15" s="2058"/>
      <c r="P15" s="1672">
        <f>SUM(P16:P21)</f>
        <v>418.61</v>
      </c>
      <c r="Q15" s="1605"/>
      <c r="R15" s="3127"/>
      <c r="S15" s="1777">
        <f>SUM(S16:S21)</f>
        <v>0</v>
      </c>
    </row>
    <row r="16" spans="1:57" ht="159" customHeight="1">
      <c r="A16" s="1986">
        <v>1</v>
      </c>
      <c r="B16" s="3129" t="s">
        <v>1372</v>
      </c>
      <c r="C16" s="1331" t="s">
        <v>1356</v>
      </c>
      <c r="D16" s="1331" t="s">
        <v>1346</v>
      </c>
      <c r="E16" s="3130" t="s">
        <v>90</v>
      </c>
      <c r="F16" s="1727" t="s">
        <v>91</v>
      </c>
      <c r="G16" s="3137"/>
      <c r="H16" s="3137"/>
      <c r="I16" s="3131"/>
      <c r="J16" s="3131"/>
      <c r="K16" s="3131"/>
      <c r="L16" s="3533" t="s">
        <v>6464</v>
      </c>
      <c r="M16" s="1317">
        <v>1500000</v>
      </c>
      <c r="N16" s="1857">
        <f t="shared" ref="N16:N21" si="0">M16/100000</f>
        <v>15</v>
      </c>
      <c r="O16" s="1714">
        <v>4</v>
      </c>
      <c r="P16" s="3133">
        <f t="shared" ref="P16:P21" si="1">N16*O16</f>
        <v>60</v>
      </c>
      <c r="Q16" s="3601" t="s">
        <v>6590</v>
      </c>
      <c r="R16" s="3134">
        <f>'Ab1. RMNCH+A'!Q271</f>
        <v>0</v>
      </c>
      <c r="S16" s="3135">
        <f>'Ab1. RMNCH+A'!R271</f>
        <v>0</v>
      </c>
    </row>
    <row r="17" spans="1:19">
      <c r="A17" s="1986">
        <v>2</v>
      </c>
      <c r="B17" s="3129" t="s">
        <v>2503</v>
      </c>
      <c r="C17" s="1331" t="s">
        <v>1357</v>
      </c>
      <c r="D17" s="1331" t="s">
        <v>1348</v>
      </c>
      <c r="E17" s="3130" t="s">
        <v>90</v>
      </c>
      <c r="F17" s="1727" t="s">
        <v>91</v>
      </c>
      <c r="G17" s="3131"/>
      <c r="H17" s="3131"/>
      <c r="I17" s="3131"/>
      <c r="J17" s="3131"/>
      <c r="K17" s="3131"/>
      <c r="L17" s="3533">
        <v>0</v>
      </c>
      <c r="M17" s="1317">
        <v>0</v>
      </c>
      <c r="N17" s="1857">
        <f t="shared" si="0"/>
        <v>0</v>
      </c>
      <c r="O17" s="1714"/>
      <c r="P17" s="3133">
        <f t="shared" si="1"/>
        <v>0</v>
      </c>
      <c r="Q17" s="3602"/>
      <c r="R17" s="3134">
        <f>'Ab1. RMNCH+A'!Q272</f>
        <v>0</v>
      </c>
      <c r="S17" s="3135">
        <f>'Ab1. RMNCH+A'!R272</f>
        <v>0</v>
      </c>
    </row>
    <row r="18" spans="1:19" ht="132">
      <c r="A18" s="1986">
        <v>3</v>
      </c>
      <c r="B18" s="3129" t="s">
        <v>2504</v>
      </c>
      <c r="C18" s="1331" t="s">
        <v>1358</v>
      </c>
      <c r="D18" s="3138" t="s">
        <v>2488</v>
      </c>
      <c r="E18" s="3130" t="s">
        <v>90</v>
      </c>
      <c r="F18" s="1727" t="s">
        <v>91</v>
      </c>
      <c r="G18" s="3137"/>
      <c r="H18" s="3137"/>
      <c r="I18" s="3139"/>
      <c r="J18" s="3139"/>
      <c r="K18" s="3131"/>
      <c r="L18" s="3533" t="s">
        <v>6465</v>
      </c>
      <c r="M18" s="1317">
        <v>6024000</v>
      </c>
      <c r="N18" s="1857">
        <f t="shared" si="0"/>
        <v>60.24</v>
      </c>
      <c r="O18" s="1714">
        <v>1</v>
      </c>
      <c r="P18" s="3133">
        <f t="shared" si="1"/>
        <v>60.24</v>
      </c>
      <c r="Q18" s="3601" t="s">
        <v>6823</v>
      </c>
      <c r="R18" s="3134">
        <f>'Ab1. RMNCH+A'!Q273</f>
        <v>0</v>
      </c>
      <c r="S18" s="3135">
        <f>'Ab1. RMNCH+A'!R273</f>
        <v>0</v>
      </c>
    </row>
    <row r="19" spans="1:19" ht="132">
      <c r="A19" s="1986">
        <v>4</v>
      </c>
      <c r="B19" s="3129" t="s">
        <v>2505</v>
      </c>
      <c r="C19" s="1331" t="s">
        <v>1359</v>
      </c>
      <c r="D19" s="1331" t="s">
        <v>2489</v>
      </c>
      <c r="E19" s="3130" t="s">
        <v>90</v>
      </c>
      <c r="F19" s="1727" t="s">
        <v>91</v>
      </c>
      <c r="G19" s="3137"/>
      <c r="H19" s="3137"/>
      <c r="I19" s="3139"/>
      <c r="J19" s="3139"/>
      <c r="K19" s="3131"/>
      <c r="L19" s="3533" t="s">
        <v>6466</v>
      </c>
      <c r="M19" s="1317">
        <v>6024000</v>
      </c>
      <c r="N19" s="1857">
        <f t="shared" si="0"/>
        <v>60.24</v>
      </c>
      <c r="O19" s="1714">
        <v>1</v>
      </c>
      <c r="P19" s="3133">
        <f t="shared" si="1"/>
        <v>60.24</v>
      </c>
      <c r="Q19" s="3601" t="s">
        <v>6824</v>
      </c>
      <c r="R19" s="3134">
        <f>'Ab1. RMNCH+A'!Q274</f>
        <v>0</v>
      </c>
      <c r="S19" s="3135">
        <f>'Ab1. RMNCH+A'!R274</f>
        <v>0</v>
      </c>
    </row>
    <row r="20" spans="1:19" ht="155.25" customHeight="1">
      <c r="A20" s="1986">
        <v>5</v>
      </c>
      <c r="B20" s="3129" t="s">
        <v>2506</v>
      </c>
      <c r="C20" s="1541" t="s">
        <v>1360</v>
      </c>
      <c r="D20" s="1331" t="s">
        <v>1361</v>
      </c>
      <c r="E20" s="3130" t="s">
        <v>90</v>
      </c>
      <c r="F20" s="1727" t="s">
        <v>91</v>
      </c>
      <c r="G20" s="3137"/>
      <c r="H20" s="3137"/>
      <c r="I20" s="3139"/>
      <c r="J20" s="3139"/>
      <c r="K20" s="3131"/>
      <c r="L20" s="3533" t="s">
        <v>6467</v>
      </c>
      <c r="M20" s="1317">
        <v>6024000</v>
      </c>
      <c r="N20" s="1857">
        <f t="shared" si="0"/>
        <v>60.24</v>
      </c>
      <c r="O20" s="1714">
        <v>2</v>
      </c>
      <c r="P20" s="3133">
        <f t="shared" si="1"/>
        <v>120.48</v>
      </c>
      <c r="Q20" s="3601" t="s">
        <v>6825</v>
      </c>
      <c r="R20" s="3134">
        <f>'Ab1. RMNCH+A'!Q275</f>
        <v>0</v>
      </c>
      <c r="S20" s="3135">
        <f>'Ab1. RMNCH+A'!R275</f>
        <v>0</v>
      </c>
    </row>
    <row r="21" spans="1:19" ht="237" customHeight="1">
      <c r="A21" s="1986">
        <v>6</v>
      </c>
      <c r="B21" s="3129" t="s">
        <v>2507</v>
      </c>
      <c r="C21" s="3140"/>
      <c r="D21" s="1331" t="s">
        <v>1349</v>
      </c>
      <c r="E21" s="3130" t="s">
        <v>90</v>
      </c>
      <c r="F21" s="1727" t="s">
        <v>91</v>
      </c>
      <c r="G21" s="3131"/>
      <c r="H21" s="3131"/>
      <c r="I21" s="3131"/>
      <c r="J21" s="3131"/>
      <c r="K21" s="3131"/>
      <c r="L21" s="3533" t="s">
        <v>6468</v>
      </c>
      <c r="M21" s="1317">
        <v>11765000</v>
      </c>
      <c r="N21" s="1857">
        <f t="shared" si="0"/>
        <v>117.65</v>
      </c>
      <c r="O21" s="1714">
        <v>1</v>
      </c>
      <c r="P21" s="3133">
        <f t="shared" si="1"/>
        <v>117.65</v>
      </c>
      <c r="Q21" s="3601" t="s">
        <v>6754</v>
      </c>
      <c r="R21" s="3134">
        <f>'Ab1. RMNCH+A'!Q276</f>
        <v>0</v>
      </c>
      <c r="S21" s="3135">
        <f>'Ab1. RMNCH+A'!R276</f>
        <v>0</v>
      </c>
    </row>
    <row r="22" spans="1:19" ht="44.25" customHeight="1">
      <c r="A22" s="3125" t="s">
        <v>4355</v>
      </c>
      <c r="B22" s="1296">
        <v>11.7</v>
      </c>
      <c r="C22" s="1295" t="s">
        <v>1362</v>
      </c>
      <c r="D22" s="1296" t="s">
        <v>2637</v>
      </c>
      <c r="E22" s="1298"/>
      <c r="F22" s="1298"/>
      <c r="G22" s="2058"/>
      <c r="H22" s="2058"/>
      <c r="I22" s="2058"/>
      <c r="J22" s="2058"/>
      <c r="K22" s="2058"/>
      <c r="L22" s="1531"/>
      <c r="M22" s="1531"/>
      <c r="N22" s="1672"/>
      <c r="O22" s="2058"/>
      <c r="P22" s="1672">
        <f>SUM(P23:P25)</f>
        <v>25</v>
      </c>
      <c r="Q22" s="1605"/>
      <c r="R22" s="3127"/>
      <c r="S22" s="1777">
        <f>SUM(S23:S25)</f>
        <v>0</v>
      </c>
    </row>
    <row r="23" spans="1:19" ht="44.25" customHeight="1">
      <c r="A23" s="1986">
        <v>1</v>
      </c>
      <c r="B23" s="3129" t="s">
        <v>1375</v>
      </c>
      <c r="C23" s="1331" t="s">
        <v>1364</v>
      </c>
      <c r="D23" s="1331" t="s">
        <v>2498</v>
      </c>
      <c r="E23" s="3130" t="s">
        <v>90</v>
      </c>
      <c r="F23" s="1727" t="s">
        <v>193</v>
      </c>
      <c r="G23" s="3131"/>
      <c r="H23" s="3131"/>
      <c r="I23" s="3131"/>
      <c r="J23" s="3131"/>
      <c r="K23" s="3131"/>
      <c r="L23" s="3534" t="s">
        <v>6469</v>
      </c>
      <c r="M23" s="1714">
        <v>500000</v>
      </c>
      <c r="N23" s="1857">
        <f>M23/100000</f>
        <v>5</v>
      </c>
      <c r="O23" s="1714">
        <v>1</v>
      </c>
      <c r="P23" s="3133">
        <f>N23*O23</f>
        <v>5</v>
      </c>
      <c r="Q23" s="3603" t="s">
        <v>6472</v>
      </c>
      <c r="R23" s="3134">
        <f>'Ab1. RMNCH+A'!Q331</f>
        <v>0</v>
      </c>
      <c r="S23" s="3135">
        <f>'Ab1. RMNCH+A'!R331</f>
        <v>0</v>
      </c>
    </row>
    <row r="24" spans="1:19" ht="44.25" customHeight="1">
      <c r="A24" s="1986">
        <v>2</v>
      </c>
      <c r="B24" s="3129" t="s">
        <v>2508</v>
      </c>
      <c r="C24" s="1331" t="s">
        <v>1366</v>
      </c>
      <c r="D24" s="1331" t="s">
        <v>1348</v>
      </c>
      <c r="E24" s="3130" t="s">
        <v>90</v>
      </c>
      <c r="F24" s="1727" t="s">
        <v>193</v>
      </c>
      <c r="G24" s="3141"/>
      <c r="H24" s="3141"/>
      <c r="I24" s="3141"/>
      <c r="J24" s="3141"/>
      <c r="K24" s="3141"/>
      <c r="L24" s="3534" t="s">
        <v>6470</v>
      </c>
      <c r="M24" s="1714">
        <v>1000000</v>
      </c>
      <c r="N24" s="1857">
        <f>M24/100000</f>
        <v>10</v>
      </c>
      <c r="O24" s="1714">
        <v>1</v>
      </c>
      <c r="P24" s="3133">
        <f>N24*O24</f>
        <v>10</v>
      </c>
      <c r="Q24" s="3604"/>
      <c r="R24" s="3134">
        <f>'Ab1. RMNCH+A'!Q332</f>
        <v>0</v>
      </c>
      <c r="S24" s="3135">
        <f>'Ab1. RMNCH+A'!R332</f>
        <v>0</v>
      </c>
    </row>
    <row r="25" spans="1:19" ht="105.75" customHeight="1">
      <c r="A25" s="1986">
        <v>3</v>
      </c>
      <c r="B25" s="3129" t="s">
        <v>2509</v>
      </c>
      <c r="C25" s="1530"/>
      <c r="D25" s="1331" t="s">
        <v>1349</v>
      </c>
      <c r="E25" s="3130" t="s">
        <v>90</v>
      </c>
      <c r="F25" s="1727" t="s">
        <v>193</v>
      </c>
      <c r="G25" s="3132"/>
      <c r="H25" s="3132"/>
      <c r="I25" s="3132"/>
      <c r="J25" s="3132"/>
      <c r="K25" s="3132"/>
      <c r="L25" s="3534" t="s">
        <v>6471</v>
      </c>
      <c r="M25" s="1714">
        <v>200000</v>
      </c>
      <c r="N25" s="1857">
        <f>M25/100000</f>
        <v>2</v>
      </c>
      <c r="O25" s="1714">
        <v>5</v>
      </c>
      <c r="P25" s="3133">
        <f>N25*O25</f>
        <v>10</v>
      </c>
      <c r="Q25" s="3604" t="s">
        <v>6473</v>
      </c>
      <c r="R25" s="3134">
        <f>'Ab1. RMNCH+A'!Q333</f>
        <v>0</v>
      </c>
      <c r="S25" s="3135">
        <f>'Ab1. RMNCH+A'!R333</f>
        <v>0</v>
      </c>
    </row>
    <row r="26" spans="1:19" ht="44.25" customHeight="1">
      <c r="A26" s="3125" t="s">
        <v>4356</v>
      </c>
      <c r="B26" s="1296">
        <v>11.8</v>
      </c>
      <c r="C26" s="1295"/>
      <c r="D26" s="1296" t="s">
        <v>2482</v>
      </c>
      <c r="E26" s="1297"/>
      <c r="F26" s="1297"/>
      <c r="G26" s="2058"/>
      <c r="H26" s="2058"/>
      <c r="I26" s="2058"/>
      <c r="J26" s="2058"/>
      <c r="K26" s="2058"/>
      <c r="L26" s="1531"/>
      <c r="M26" s="1531"/>
      <c r="N26" s="1672"/>
      <c r="O26" s="2058"/>
      <c r="P26" s="1672">
        <f>P27+P28</f>
        <v>400</v>
      </c>
      <c r="Q26" s="1605"/>
      <c r="R26" s="3127"/>
      <c r="S26" s="1777">
        <f>S27+S28</f>
        <v>0</v>
      </c>
    </row>
    <row r="27" spans="1:19" ht="160.5" customHeight="1">
      <c r="A27" s="1986">
        <v>1</v>
      </c>
      <c r="B27" s="3129" t="s">
        <v>1378</v>
      </c>
      <c r="C27" s="1530"/>
      <c r="D27" s="1331" t="s">
        <v>2483</v>
      </c>
      <c r="E27" s="3130" t="s">
        <v>90</v>
      </c>
      <c r="F27" s="1727" t="s">
        <v>205</v>
      </c>
      <c r="G27" s="3132"/>
      <c r="H27" s="3132"/>
      <c r="I27" s="3132"/>
      <c r="J27" s="3132"/>
      <c r="K27" s="3132"/>
      <c r="L27" s="3534" t="s">
        <v>6474</v>
      </c>
      <c r="M27" s="1714">
        <v>9.615520989360185</v>
      </c>
      <c r="N27" s="1857">
        <f>M27/100000</f>
        <v>9.6155209893601852E-5</v>
      </c>
      <c r="O27" s="1714">
        <v>4159941</v>
      </c>
      <c r="P27" s="3133">
        <f>N27*O27</f>
        <v>400</v>
      </c>
      <c r="Q27" s="3605" t="s">
        <v>6591</v>
      </c>
      <c r="R27" s="3134">
        <f>'Ab1. RMNCH+A'!Q418</f>
        <v>0</v>
      </c>
      <c r="S27" s="3135">
        <f>'Ab1. RMNCH+A'!R418</f>
        <v>0</v>
      </c>
    </row>
    <row r="28" spans="1:19">
      <c r="A28" s="1986">
        <v>2</v>
      </c>
      <c r="B28" s="3129" t="s">
        <v>1381</v>
      </c>
      <c r="C28" s="1530"/>
      <c r="D28" s="1331" t="s">
        <v>1349</v>
      </c>
      <c r="E28" s="3130" t="s">
        <v>90</v>
      </c>
      <c r="F28" s="1727" t="s">
        <v>205</v>
      </c>
      <c r="G28" s="3132"/>
      <c r="H28" s="3132"/>
      <c r="I28" s="3132"/>
      <c r="J28" s="3132"/>
      <c r="K28" s="3132"/>
      <c r="L28" s="3533"/>
      <c r="M28" s="1317"/>
      <c r="N28" s="1857">
        <f>M28/100000</f>
        <v>0</v>
      </c>
      <c r="O28" s="1317"/>
      <c r="P28" s="3133">
        <f>N28*O28</f>
        <v>0</v>
      </c>
      <c r="Q28" s="3525"/>
      <c r="R28" s="3134">
        <f>'Ab1. RMNCH+A'!Q419</f>
        <v>0</v>
      </c>
      <c r="S28" s="3135">
        <f>'Ab1. RMNCH+A'!R419</f>
        <v>0</v>
      </c>
    </row>
    <row r="29" spans="1:19">
      <c r="A29" s="3125" t="s">
        <v>4664</v>
      </c>
      <c r="B29" s="1296">
        <v>11.9</v>
      </c>
      <c r="C29" s="1295"/>
      <c r="D29" s="1296" t="s">
        <v>1368</v>
      </c>
      <c r="E29" s="1297"/>
      <c r="F29" s="1297"/>
      <c r="G29" s="2058"/>
      <c r="H29" s="2058"/>
      <c r="I29" s="2058"/>
      <c r="J29" s="2058"/>
      <c r="K29" s="2058"/>
      <c r="L29" s="1531"/>
      <c r="M29" s="1531"/>
      <c r="N29" s="1672"/>
      <c r="O29" s="2058"/>
      <c r="P29" s="1672">
        <f>P30+P31</f>
        <v>16.8</v>
      </c>
      <c r="Q29" s="1605"/>
      <c r="R29" s="3127"/>
      <c r="S29" s="1777">
        <f>S30+S31</f>
        <v>0</v>
      </c>
    </row>
    <row r="30" spans="1:19" ht="219" customHeight="1">
      <c r="A30" s="1986">
        <v>1</v>
      </c>
      <c r="B30" s="3129" t="s">
        <v>1385</v>
      </c>
      <c r="C30" s="1331" t="s">
        <v>1370</v>
      </c>
      <c r="D30" s="1331" t="s">
        <v>1371</v>
      </c>
      <c r="E30" s="3130" t="s">
        <v>90</v>
      </c>
      <c r="F30" s="3142" t="s">
        <v>1134</v>
      </c>
      <c r="G30" s="3132"/>
      <c r="H30" s="3132"/>
      <c r="I30" s="3132"/>
      <c r="J30" s="3132"/>
      <c r="K30" s="3132"/>
      <c r="L30" s="3534" t="s">
        <v>6475</v>
      </c>
      <c r="M30" s="1714">
        <v>1680000</v>
      </c>
      <c r="N30" s="1857">
        <f>M30/100000</f>
        <v>16.8</v>
      </c>
      <c r="O30" s="1317">
        <v>1</v>
      </c>
      <c r="P30" s="3133">
        <f>N30*O30</f>
        <v>16.8</v>
      </c>
      <c r="Q30" s="1491" t="s">
        <v>6592</v>
      </c>
      <c r="R30" s="3134">
        <f>'Ab1. RMNCH+A'!Q384</f>
        <v>0</v>
      </c>
      <c r="S30" s="3135">
        <f>'Ab1. RMNCH+A'!R384</f>
        <v>0</v>
      </c>
    </row>
    <row r="31" spans="1:19">
      <c r="A31" s="1986">
        <v>2</v>
      </c>
      <c r="B31" s="3129" t="s">
        <v>2638</v>
      </c>
      <c r="C31" s="1530"/>
      <c r="D31" s="1331" t="s">
        <v>1349</v>
      </c>
      <c r="E31" s="3130" t="s">
        <v>90</v>
      </c>
      <c r="F31" s="3142" t="s">
        <v>1134</v>
      </c>
      <c r="G31" s="3132"/>
      <c r="H31" s="3132"/>
      <c r="I31" s="3132"/>
      <c r="J31" s="3132"/>
      <c r="K31" s="3132"/>
      <c r="L31" s="3533"/>
      <c r="M31" s="1317"/>
      <c r="N31" s="1857">
        <f>M31/100000</f>
        <v>0</v>
      </c>
      <c r="O31" s="1317"/>
      <c r="P31" s="3133">
        <f>N31*O31</f>
        <v>0</v>
      </c>
      <c r="Q31" s="3526"/>
      <c r="R31" s="3134">
        <f>'Ab1. RMNCH+A'!Q385</f>
        <v>0</v>
      </c>
      <c r="S31" s="3135">
        <f>'Ab1. RMNCH+A'!R385</f>
        <v>0</v>
      </c>
    </row>
    <row r="32" spans="1:19">
      <c r="A32" s="3125" t="s">
        <v>4665</v>
      </c>
      <c r="B32" s="3143">
        <v>11.14</v>
      </c>
      <c r="C32" s="1295"/>
      <c r="D32" s="1296" t="s">
        <v>1388</v>
      </c>
      <c r="E32" s="1297"/>
      <c r="F32" s="1297"/>
      <c r="G32" s="2058"/>
      <c r="H32" s="2058"/>
      <c r="I32" s="2058"/>
      <c r="J32" s="2058"/>
      <c r="K32" s="2058"/>
      <c r="L32" s="1531"/>
      <c r="M32" s="1531"/>
      <c r="N32" s="1672"/>
      <c r="O32" s="2058"/>
      <c r="P32" s="1672">
        <f>P33+P34</f>
        <v>12.4</v>
      </c>
      <c r="Q32" s="1605"/>
      <c r="R32" s="3127"/>
      <c r="S32" s="1777">
        <f>S33+S34</f>
        <v>0</v>
      </c>
    </row>
    <row r="33" spans="1:19" ht="93" customHeight="1">
      <c r="A33" s="1986">
        <v>1</v>
      </c>
      <c r="B33" s="3129" t="s">
        <v>1412</v>
      </c>
      <c r="C33" s="1331" t="s">
        <v>1390</v>
      </c>
      <c r="D33" s="1331" t="s">
        <v>1391</v>
      </c>
      <c r="E33" s="3130" t="s">
        <v>90</v>
      </c>
      <c r="F33" s="1727" t="s">
        <v>208</v>
      </c>
      <c r="G33" s="3139"/>
      <c r="H33" s="3139"/>
      <c r="I33" s="3139"/>
      <c r="J33" s="3139"/>
      <c r="K33" s="3139"/>
      <c r="L33" s="3533" t="s">
        <v>6077</v>
      </c>
      <c r="M33" s="1317">
        <v>30000</v>
      </c>
      <c r="N33" s="1857">
        <f>M33/100000</f>
        <v>0.3</v>
      </c>
      <c r="O33" s="1714">
        <v>38</v>
      </c>
      <c r="P33" s="3133">
        <f>N33*O33</f>
        <v>11.4</v>
      </c>
      <c r="Q33" s="3347" t="s">
        <v>6476</v>
      </c>
      <c r="R33" s="3134">
        <f>'Ab2. NIDDCP'!Q19</f>
        <v>0</v>
      </c>
      <c r="S33" s="3135">
        <f>'Ab2. NIDDCP'!R19</f>
        <v>0</v>
      </c>
    </row>
    <row r="34" spans="1:19" ht="44.25" customHeight="1">
      <c r="A34" s="1986">
        <v>2</v>
      </c>
      <c r="B34" s="3129" t="s">
        <v>2644</v>
      </c>
      <c r="C34" s="1530"/>
      <c r="D34" s="1331" t="s">
        <v>1349</v>
      </c>
      <c r="E34" s="3130" t="s">
        <v>90</v>
      </c>
      <c r="F34" s="1727" t="s">
        <v>208</v>
      </c>
      <c r="G34" s="3131"/>
      <c r="H34" s="3131"/>
      <c r="I34" s="3131"/>
      <c r="J34" s="3131"/>
      <c r="K34" s="3131"/>
      <c r="L34" s="3533" t="s">
        <v>5829</v>
      </c>
      <c r="M34" s="1317">
        <v>100000</v>
      </c>
      <c r="N34" s="1857">
        <f>M34/100000</f>
        <v>1</v>
      </c>
      <c r="O34" s="1714">
        <v>1</v>
      </c>
      <c r="P34" s="3133">
        <f>N34*O34</f>
        <v>1</v>
      </c>
      <c r="Q34" s="3347" t="s">
        <v>6477</v>
      </c>
      <c r="R34" s="3134">
        <f>'Ab2. NIDDCP'!Q20</f>
        <v>0</v>
      </c>
      <c r="S34" s="3135">
        <f>'Ab2. NIDDCP'!R20</f>
        <v>0</v>
      </c>
    </row>
    <row r="35" spans="1:19" s="3124" customFormat="1" ht="44.25" customHeight="1">
      <c r="A35" s="4471" t="s">
        <v>5219</v>
      </c>
      <c r="B35" s="4471"/>
      <c r="C35" s="4471"/>
      <c r="D35" s="4471"/>
      <c r="E35" s="3120"/>
      <c r="F35" s="3120"/>
      <c r="G35" s="3144"/>
      <c r="H35" s="3144"/>
      <c r="I35" s="3144"/>
      <c r="J35" s="3144"/>
      <c r="K35" s="3144"/>
      <c r="L35" s="3256"/>
      <c r="M35" s="3256"/>
      <c r="N35" s="3121"/>
      <c r="O35" s="3144"/>
      <c r="P35" s="3122"/>
      <c r="Q35" s="3527"/>
      <c r="R35" s="3146"/>
      <c r="S35" s="1694"/>
    </row>
    <row r="36" spans="1:19" s="3148" customFormat="1" ht="44.25" customHeight="1">
      <c r="A36" s="3147" t="s">
        <v>4350</v>
      </c>
      <c r="B36" s="3129">
        <v>11.1</v>
      </c>
      <c r="C36" s="1331" t="s">
        <v>1433</v>
      </c>
      <c r="D36" s="1331" t="s">
        <v>1434</v>
      </c>
      <c r="E36" s="1281" t="s">
        <v>70</v>
      </c>
      <c r="F36" s="3142" t="s">
        <v>70</v>
      </c>
      <c r="G36" s="3131"/>
      <c r="H36" s="3131"/>
      <c r="I36" s="3131"/>
      <c r="J36" s="3131"/>
      <c r="K36" s="3131"/>
      <c r="L36" s="3534" t="s">
        <v>6478</v>
      </c>
      <c r="M36" s="1714">
        <v>200000</v>
      </c>
      <c r="N36" s="1857">
        <f>M36/100000</f>
        <v>2</v>
      </c>
      <c r="O36" s="1317">
        <v>1</v>
      </c>
      <c r="P36" s="3133">
        <f>N36*O36</f>
        <v>2</v>
      </c>
      <c r="Q36" s="3606" t="s">
        <v>6479</v>
      </c>
      <c r="R36" s="1955"/>
      <c r="S36" s="2052"/>
    </row>
    <row r="37" spans="1:19" ht="44.25" customHeight="1">
      <c r="A37" s="3125" t="s">
        <v>4351</v>
      </c>
      <c r="B37" s="3149" t="s">
        <v>2510</v>
      </c>
      <c r="C37" s="1295" t="s">
        <v>1373</v>
      </c>
      <c r="D37" s="1296" t="s">
        <v>2639</v>
      </c>
      <c r="E37" s="1297"/>
      <c r="F37" s="1297"/>
      <c r="G37" s="2058"/>
      <c r="H37" s="2058"/>
      <c r="I37" s="2058"/>
      <c r="J37" s="2058"/>
      <c r="K37" s="2058"/>
      <c r="L37" s="1531"/>
      <c r="M37" s="1531"/>
      <c r="N37" s="1672"/>
      <c r="O37" s="2058"/>
      <c r="P37" s="1672">
        <f>P38+P39</f>
        <v>15</v>
      </c>
      <c r="Q37" s="1605"/>
      <c r="R37" s="3127"/>
      <c r="S37" s="1777">
        <f>S38+S39</f>
        <v>0</v>
      </c>
    </row>
    <row r="38" spans="1:19" s="3851" customFormat="1" ht="65.25" customHeight="1">
      <c r="A38" s="3841">
        <v>1</v>
      </c>
      <c r="B38" s="3842" t="s">
        <v>1389</v>
      </c>
      <c r="C38" s="3843"/>
      <c r="D38" s="3843" t="s">
        <v>3824</v>
      </c>
      <c r="E38" s="3813" t="s">
        <v>70</v>
      </c>
      <c r="F38" s="3844" t="s">
        <v>3305</v>
      </c>
      <c r="G38" s="3845"/>
      <c r="H38" s="3845"/>
      <c r="I38" s="3845"/>
      <c r="J38" s="3845"/>
      <c r="K38" s="3845"/>
      <c r="L38" s="3846" t="s">
        <v>6480</v>
      </c>
      <c r="M38" s="3739">
        <v>1500000</v>
      </c>
      <c r="N38" s="3738">
        <f>M38/100000</f>
        <v>15</v>
      </c>
      <c r="O38" s="3739">
        <v>1</v>
      </c>
      <c r="P38" s="3847">
        <f>N38*O38</f>
        <v>15</v>
      </c>
      <c r="Q38" s="3848" t="s">
        <v>6828</v>
      </c>
      <c r="R38" s="3849">
        <f>'Abs5. Blood services &amp; Disorder'!Q24</f>
        <v>0</v>
      </c>
      <c r="S38" s="3850">
        <f>'Abs5. Blood services &amp; Disorder'!R24</f>
        <v>0</v>
      </c>
    </row>
    <row r="39" spans="1:19" ht="44.25" customHeight="1">
      <c r="A39" s="1986">
        <v>2</v>
      </c>
      <c r="B39" s="3129" t="s">
        <v>2640</v>
      </c>
      <c r="C39" s="1530"/>
      <c r="D39" s="1331" t="s">
        <v>3825</v>
      </c>
      <c r="E39" s="1281" t="s">
        <v>70</v>
      </c>
      <c r="F39" s="3142" t="s">
        <v>3305</v>
      </c>
      <c r="G39" s="3132"/>
      <c r="H39" s="3132"/>
      <c r="I39" s="3132"/>
      <c r="J39" s="3132"/>
      <c r="K39" s="3132"/>
      <c r="L39" s="3533"/>
      <c r="M39" s="1317"/>
      <c r="N39" s="1857">
        <f>M39/100000</f>
        <v>0</v>
      </c>
      <c r="O39" s="1317"/>
      <c r="P39" s="3133">
        <f>N39*O39</f>
        <v>0</v>
      </c>
      <c r="Q39" s="3528"/>
      <c r="R39" s="3134">
        <f>'Abs5. Blood services &amp; Disorder'!Q25</f>
        <v>0</v>
      </c>
      <c r="S39" s="3150">
        <f>'Abs5. Blood services &amp; Disorder'!R25</f>
        <v>0</v>
      </c>
    </row>
    <row r="40" spans="1:19" ht="44.25" customHeight="1">
      <c r="A40" s="3125" t="s">
        <v>4354</v>
      </c>
      <c r="B40" s="1296">
        <v>11.23</v>
      </c>
      <c r="C40" s="1296"/>
      <c r="D40" s="1296" t="s">
        <v>2527</v>
      </c>
      <c r="E40" s="1297"/>
      <c r="F40" s="1297"/>
      <c r="G40" s="2058"/>
      <c r="H40" s="2058"/>
      <c r="I40" s="2058"/>
      <c r="J40" s="2058"/>
      <c r="K40" s="2058"/>
      <c r="L40" s="1531"/>
      <c r="M40" s="1531"/>
      <c r="N40" s="1672"/>
      <c r="O40" s="2058"/>
      <c r="P40" s="1672">
        <f>P41+P42</f>
        <v>0</v>
      </c>
      <c r="Q40" s="1605"/>
      <c r="R40" s="3127"/>
      <c r="S40" s="1777">
        <f>S41+S42</f>
        <v>0</v>
      </c>
    </row>
    <row r="41" spans="1:19" ht="44.25" customHeight="1">
      <c r="A41" s="1986">
        <v>1</v>
      </c>
      <c r="B41" s="3129" t="s">
        <v>2522</v>
      </c>
      <c r="C41" s="3151"/>
      <c r="D41" s="3129"/>
      <c r="E41" s="1281" t="s">
        <v>70</v>
      </c>
      <c r="F41" s="3142" t="s">
        <v>4985</v>
      </c>
      <c r="G41" s="3131"/>
      <c r="H41" s="3131"/>
      <c r="I41" s="3131"/>
      <c r="J41" s="3131"/>
      <c r="K41" s="3131"/>
      <c r="L41" s="3533"/>
      <c r="M41" s="1317"/>
      <c r="N41" s="1857">
        <f>M41/100000</f>
        <v>0</v>
      </c>
      <c r="O41" s="1317"/>
      <c r="P41" s="3133">
        <f>N41*O41</f>
        <v>0</v>
      </c>
      <c r="Q41" s="3529"/>
      <c r="R41" s="3134">
        <f>'Ab3. ASHA'!Q95</f>
        <v>0</v>
      </c>
      <c r="S41" s="3150">
        <f>'Ab3. ASHA'!R95</f>
        <v>0</v>
      </c>
    </row>
    <row r="42" spans="1:19" ht="44.25" customHeight="1">
      <c r="A42" s="1986">
        <v>2</v>
      </c>
      <c r="B42" s="3129" t="s">
        <v>2653</v>
      </c>
      <c r="C42" s="3151"/>
      <c r="D42" s="1331"/>
      <c r="E42" s="1281" t="s">
        <v>70</v>
      </c>
      <c r="F42" s="3142" t="s">
        <v>4985</v>
      </c>
      <c r="G42" s="3131"/>
      <c r="H42" s="3131"/>
      <c r="I42" s="3131"/>
      <c r="J42" s="3131"/>
      <c r="K42" s="3131"/>
      <c r="L42" s="3533"/>
      <c r="M42" s="1317"/>
      <c r="N42" s="1857">
        <f>M42/100000</f>
        <v>0</v>
      </c>
      <c r="O42" s="1317"/>
      <c r="P42" s="3133">
        <f>N42*O42</f>
        <v>0</v>
      </c>
      <c r="Q42" s="3529"/>
      <c r="R42" s="3134">
        <f>'Ab3. ASHA'!Q96</f>
        <v>0</v>
      </c>
      <c r="S42" s="3150">
        <f>'Ab3. ASHA'!R96</f>
        <v>0</v>
      </c>
    </row>
    <row r="43" spans="1:19" ht="100.5" customHeight="1">
      <c r="A43" s="3125" t="s">
        <v>4355</v>
      </c>
      <c r="B43" s="3152" t="s">
        <v>2523</v>
      </c>
      <c r="C43" s="3134" t="s">
        <v>2037</v>
      </c>
      <c r="D43" s="1331" t="s">
        <v>3883</v>
      </c>
      <c r="E43" s="1281" t="s">
        <v>70</v>
      </c>
      <c r="F43" s="3142" t="s">
        <v>4357</v>
      </c>
      <c r="G43" s="3139"/>
      <c r="H43" s="3139"/>
      <c r="I43" s="3139"/>
      <c r="J43" s="3139"/>
      <c r="K43" s="3131"/>
      <c r="L43" s="3248" t="s">
        <v>6481</v>
      </c>
      <c r="M43" s="1714">
        <v>8000</v>
      </c>
      <c r="N43" s="1857">
        <f>M43/100000</f>
        <v>0.08</v>
      </c>
      <c r="O43" s="1714">
        <v>7974</v>
      </c>
      <c r="P43" s="3133">
        <f>N43*O43</f>
        <v>637.91999999999996</v>
      </c>
      <c r="Q43" s="3347" t="s">
        <v>6750</v>
      </c>
      <c r="R43" s="1314">
        <f>'Abs6. CPHC'!Q29</f>
        <v>0</v>
      </c>
      <c r="S43" s="3153">
        <f>'Abs6. CPHC'!R29</f>
        <v>0</v>
      </c>
    </row>
    <row r="44" spans="1:19" ht="69" customHeight="1">
      <c r="A44" s="3125" t="s">
        <v>4356</v>
      </c>
      <c r="B44" s="3129" t="s">
        <v>4007</v>
      </c>
      <c r="C44" s="3151"/>
      <c r="D44" s="1331" t="s">
        <v>4018</v>
      </c>
      <c r="E44" s="1281" t="s">
        <v>70</v>
      </c>
      <c r="F44" s="2164" t="s">
        <v>3900</v>
      </c>
      <c r="G44" s="3132"/>
      <c r="H44" s="3132"/>
      <c r="I44" s="3132"/>
      <c r="J44" s="3132"/>
      <c r="K44" s="3132"/>
      <c r="L44" s="3533"/>
      <c r="M44" s="1317"/>
      <c r="N44" s="1857">
        <f>M44/100000</f>
        <v>0</v>
      </c>
      <c r="O44" s="1317"/>
      <c r="P44" s="3133">
        <f>N44*O44</f>
        <v>0</v>
      </c>
      <c r="Q44" s="3530"/>
      <c r="R44" s="1955"/>
      <c r="S44" s="2052"/>
    </row>
    <row r="45" spans="1:19" s="3156" customFormat="1" ht="98.25" customHeight="1">
      <c r="A45" s="3125" t="s">
        <v>4664</v>
      </c>
      <c r="B45" s="3151" t="s">
        <v>4488</v>
      </c>
      <c r="C45" s="3151"/>
      <c r="D45" s="1530" t="s">
        <v>4537</v>
      </c>
      <c r="E45" s="1281" t="s">
        <v>70</v>
      </c>
      <c r="F45" s="2306" t="s">
        <v>4536</v>
      </c>
      <c r="G45" s="3154"/>
      <c r="H45" s="3154"/>
      <c r="I45" s="3154"/>
      <c r="J45" s="3154"/>
      <c r="K45" s="3154"/>
      <c r="L45" s="3607">
        <v>1</v>
      </c>
      <c r="M45" s="3534">
        <v>2000000</v>
      </c>
      <c r="N45" s="1857">
        <f>M45/100000</f>
        <v>20</v>
      </c>
      <c r="O45" s="1317">
        <v>1</v>
      </c>
      <c r="P45" s="3155">
        <f>N45*O45</f>
        <v>20</v>
      </c>
      <c r="Q45" s="3601" t="s">
        <v>6593</v>
      </c>
      <c r="R45" s="3134"/>
      <c r="S45" s="2055"/>
    </row>
    <row r="46" spans="1:19" ht="44.25" customHeight="1">
      <c r="A46" s="3125" t="s">
        <v>4665</v>
      </c>
      <c r="B46" s="3143">
        <v>11.24</v>
      </c>
      <c r="C46" s="1295"/>
      <c r="D46" s="1296" t="s">
        <v>1431</v>
      </c>
      <c r="E46" s="1297"/>
      <c r="F46" s="1297"/>
      <c r="G46" s="2058"/>
      <c r="H46" s="2058"/>
      <c r="I46" s="2058"/>
      <c r="J46" s="2058"/>
      <c r="K46" s="2058"/>
      <c r="L46" s="1531"/>
      <c r="M46" s="1531"/>
      <c r="N46" s="1672"/>
      <c r="O46" s="2058"/>
      <c r="P46" s="1672">
        <f>SUM(P47:P50)</f>
        <v>246.43906947890821</v>
      </c>
      <c r="Q46" s="1605"/>
      <c r="R46" s="3127"/>
      <c r="S46" s="1672">
        <f>SUM(S47:S50)</f>
        <v>0</v>
      </c>
    </row>
    <row r="47" spans="1:19" s="3148" customFormat="1" ht="44.25" customHeight="1">
      <c r="A47" s="1989">
        <v>1</v>
      </c>
      <c r="B47" s="3129">
        <v>11.2</v>
      </c>
      <c r="C47" s="1331" t="s">
        <v>1435</v>
      </c>
      <c r="D47" s="1331" t="s">
        <v>1436</v>
      </c>
      <c r="E47" s="1281" t="s">
        <v>70</v>
      </c>
      <c r="F47" s="3142" t="s">
        <v>70</v>
      </c>
      <c r="G47" s="3131"/>
      <c r="H47" s="3131"/>
      <c r="I47" s="3131"/>
      <c r="J47" s="3131"/>
      <c r="K47" s="3131"/>
      <c r="L47" s="3533"/>
      <c r="M47" s="1317"/>
      <c r="N47" s="1857">
        <f>M47/100000</f>
        <v>0</v>
      </c>
      <c r="O47" s="1317"/>
      <c r="P47" s="3133">
        <f>N47*O47</f>
        <v>0</v>
      </c>
      <c r="Q47" s="3529"/>
      <c r="R47" s="1955"/>
      <c r="S47" s="2052"/>
    </row>
    <row r="48" spans="1:19" s="3148" customFormat="1" ht="181.5" customHeight="1">
      <c r="A48" s="1989">
        <v>2</v>
      </c>
      <c r="B48" s="3129">
        <v>11.3</v>
      </c>
      <c r="C48" s="1331" t="s">
        <v>1437</v>
      </c>
      <c r="D48" s="1331" t="s">
        <v>1438</v>
      </c>
      <c r="E48" s="1281" t="s">
        <v>70</v>
      </c>
      <c r="F48" s="3142" t="s">
        <v>70</v>
      </c>
      <c r="G48" s="3131"/>
      <c r="H48" s="3131"/>
      <c r="I48" s="3131"/>
      <c r="J48" s="3131"/>
      <c r="K48" s="3131"/>
      <c r="L48" s="3608" t="s">
        <v>6482</v>
      </c>
      <c r="M48" s="3608">
        <v>6800000</v>
      </c>
      <c r="N48" s="1857">
        <f>M48/100000</f>
        <v>68</v>
      </c>
      <c r="O48" s="1317">
        <v>1</v>
      </c>
      <c r="P48" s="3133">
        <f>N48*O48</f>
        <v>68</v>
      </c>
      <c r="Q48" s="3609" t="s">
        <v>6594</v>
      </c>
      <c r="R48" s="1955"/>
      <c r="S48" s="2052"/>
    </row>
    <row r="49" spans="1:19" s="3158" customFormat="1" ht="44.25" customHeight="1">
      <c r="A49" s="3157">
        <v>3</v>
      </c>
      <c r="B49" s="3129" t="s">
        <v>2654</v>
      </c>
      <c r="C49" s="1331" t="s">
        <v>1439</v>
      </c>
      <c r="D49" s="1331" t="s">
        <v>2499</v>
      </c>
      <c r="E49" s="1281" t="s">
        <v>70</v>
      </c>
      <c r="F49" s="3142" t="s">
        <v>70</v>
      </c>
      <c r="G49" s="3131"/>
      <c r="H49" s="3131"/>
      <c r="I49" s="3131"/>
      <c r="J49" s="3131"/>
      <c r="K49" s="3131"/>
      <c r="L49" s="3534" t="s">
        <v>6480</v>
      </c>
      <c r="M49" s="1714">
        <v>1000000</v>
      </c>
      <c r="N49" s="1857">
        <f>M49/100000</f>
        <v>10</v>
      </c>
      <c r="O49" s="1317">
        <v>1</v>
      </c>
      <c r="P49" s="3133">
        <f>N49*O49</f>
        <v>10</v>
      </c>
      <c r="Q49" s="3606" t="s">
        <v>6483</v>
      </c>
      <c r="R49" s="1955"/>
      <c r="S49" s="2052"/>
    </row>
    <row r="50" spans="1:19" s="3158" customFormat="1" ht="44.25" customHeight="1">
      <c r="A50" s="3157"/>
      <c r="B50" s="3159" t="s">
        <v>2655</v>
      </c>
      <c r="C50" s="3160" t="s">
        <v>1440</v>
      </c>
      <c r="D50" s="3159" t="s">
        <v>2656</v>
      </c>
      <c r="E50" s="2094"/>
      <c r="F50" s="1305"/>
      <c r="G50" s="2086"/>
      <c r="H50" s="2086"/>
      <c r="I50" s="2086"/>
      <c r="J50" s="2086"/>
      <c r="K50" s="2086"/>
      <c r="L50" s="3515"/>
      <c r="M50" s="3245"/>
      <c r="N50" s="2079"/>
      <c r="O50" s="2086"/>
      <c r="P50" s="2087">
        <f>SUM(P51:P55)</f>
        <v>168.43906947890821</v>
      </c>
      <c r="Q50" s="3531"/>
      <c r="R50" s="3161"/>
      <c r="S50" s="2087">
        <f>SUM(S51:S55)</f>
        <v>0</v>
      </c>
    </row>
    <row r="51" spans="1:19" s="3158" customFormat="1" ht="44.25" customHeight="1">
      <c r="A51" s="3142">
        <v>4</v>
      </c>
      <c r="B51" s="1331" t="s">
        <v>2857</v>
      </c>
      <c r="C51" s="1331" t="s">
        <v>1441</v>
      </c>
      <c r="D51" s="1331" t="s">
        <v>1442</v>
      </c>
      <c r="E51" s="1281" t="s">
        <v>70</v>
      </c>
      <c r="F51" s="3142" t="s">
        <v>70</v>
      </c>
      <c r="G51" s="3162"/>
      <c r="H51" s="3162"/>
      <c r="I51" s="3162"/>
      <c r="J51" s="3162"/>
      <c r="K51" s="3162"/>
      <c r="L51" s="3534" t="s">
        <v>6484</v>
      </c>
      <c r="M51" s="1714">
        <v>2500000</v>
      </c>
      <c r="N51" s="1857">
        <f>M51/100000</f>
        <v>25</v>
      </c>
      <c r="O51" s="1714">
        <v>1</v>
      </c>
      <c r="P51" s="3133">
        <f>N51*O51</f>
        <v>25</v>
      </c>
      <c r="Q51" s="3606" t="s">
        <v>6487</v>
      </c>
      <c r="R51" s="1955"/>
      <c r="S51" s="2052"/>
    </row>
    <row r="52" spans="1:19" s="3158" customFormat="1" ht="44.25" customHeight="1">
      <c r="A52" s="3142">
        <v>5</v>
      </c>
      <c r="B52" s="1331" t="s">
        <v>2858</v>
      </c>
      <c r="C52" s="1331" t="s">
        <v>1443</v>
      </c>
      <c r="D52" s="1331" t="s">
        <v>1444</v>
      </c>
      <c r="E52" s="1281" t="s">
        <v>70</v>
      </c>
      <c r="F52" s="3142" t="s">
        <v>70</v>
      </c>
      <c r="G52" s="3132"/>
      <c r="H52" s="3132"/>
      <c r="I52" s="3132"/>
      <c r="J52" s="3132"/>
      <c r="K52" s="3132"/>
      <c r="L52" s="3534" t="s">
        <v>6485</v>
      </c>
      <c r="M52" s="1714">
        <v>3000000</v>
      </c>
      <c r="N52" s="1857">
        <f>M52/100000</f>
        <v>30</v>
      </c>
      <c r="O52" s="1714">
        <v>1</v>
      </c>
      <c r="P52" s="3133">
        <f>N52*O52</f>
        <v>30</v>
      </c>
      <c r="Q52" s="3606" t="s">
        <v>6488</v>
      </c>
      <c r="R52" s="1955"/>
      <c r="S52" s="2052"/>
    </row>
    <row r="53" spans="1:19" s="3158" customFormat="1" ht="44.25" customHeight="1">
      <c r="A53" s="3142">
        <v>6</v>
      </c>
      <c r="B53" s="1331" t="s">
        <v>2859</v>
      </c>
      <c r="C53" s="1331" t="s">
        <v>1445</v>
      </c>
      <c r="D53" s="1331" t="s">
        <v>1446</v>
      </c>
      <c r="E53" s="1281" t="s">
        <v>70</v>
      </c>
      <c r="F53" s="3142" t="s">
        <v>70</v>
      </c>
      <c r="G53" s="3132"/>
      <c r="H53" s="3132"/>
      <c r="I53" s="3132"/>
      <c r="J53" s="3132"/>
      <c r="K53" s="3132"/>
      <c r="L53" s="3534"/>
      <c r="M53" s="1714"/>
      <c r="N53" s="1857">
        <f>M53/100000</f>
        <v>0</v>
      </c>
      <c r="O53" s="1714"/>
      <c r="P53" s="3133">
        <f>N53*O53</f>
        <v>0</v>
      </c>
      <c r="Q53" s="3606" t="s">
        <v>6489</v>
      </c>
      <c r="R53" s="1955"/>
      <c r="S53" s="2052"/>
    </row>
    <row r="54" spans="1:19" s="3158" customFormat="1" ht="44.25" customHeight="1">
      <c r="A54" s="3142">
        <v>7</v>
      </c>
      <c r="B54" s="1331" t="s">
        <v>2860</v>
      </c>
      <c r="C54" s="1331" t="s">
        <v>1447</v>
      </c>
      <c r="D54" s="1331" t="s">
        <v>1448</v>
      </c>
      <c r="E54" s="1281" t="s">
        <v>70</v>
      </c>
      <c r="F54" s="3142" t="s">
        <v>70</v>
      </c>
      <c r="G54" s="3132"/>
      <c r="H54" s="3132"/>
      <c r="I54" s="3132"/>
      <c r="J54" s="3132"/>
      <c r="K54" s="3132"/>
      <c r="L54" s="3534" t="s">
        <v>6486</v>
      </c>
      <c r="M54" s="1714">
        <v>500000</v>
      </c>
      <c r="N54" s="1857">
        <f>M54/100000</f>
        <v>5</v>
      </c>
      <c r="O54" s="1714">
        <v>1</v>
      </c>
      <c r="P54" s="3133">
        <f>N54*O54</f>
        <v>5</v>
      </c>
      <c r="Q54" s="3606" t="s">
        <v>6490</v>
      </c>
      <c r="R54" s="1955"/>
      <c r="S54" s="2052"/>
    </row>
    <row r="55" spans="1:19" ht="69" customHeight="1">
      <c r="A55" s="3163">
        <v>8</v>
      </c>
      <c r="B55" s="3151" t="s">
        <v>4535</v>
      </c>
      <c r="C55" s="3151"/>
      <c r="D55" s="3129" t="s">
        <v>1310</v>
      </c>
      <c r="E55" s="1281" t="s">
        <v>70</v>
      </c>
      <c r="F55" s="3142"/>
      <c r="G55" s="3132"/>
      <c r="H55" s="3132"/>
      <c r="I55" s="3132"/>
      <c r="J55" s="3132"/>
      <c r="K55" s="3132"/>
      <c r="L55" s="3534" t="s">
        <v>6480</v>
      </c>
      <c r="M55" s="1714">
        <v>4453.3498759305212</v>
      </c>
      <c r="N55" s="1857">
        <f>M55/100000</f>
        <v>4.4533498759305214E-2</v>
      </c>
      <c r="O55" s="1714">
        <v>2435</v>
      </c>
      <c r="P55" s="3133">
        <f>N55*O55</f>
        <v>108.43906947890819</v>
      </c>
      <c r="Q55" s="3610" t="s">
        <v>6751</v>
      </c>
      <c r="R55" s="1955"/>
      <c r="S55" s="2052"/>
    </row>
    <row r="56" spans="1:19" s="3124" customFormat="1" ht="44.25" customHeight="1">
      <c r="A56" s="4471" t="s">
        <v>5220</v>
      </c>
      <c r="B56" s="4471"/>
      <c r="C56" s="4471"/>
      <c r="D56" s="4471"/>
      <c r="E56" s="3120"/>
      <c r="F56" s="3120"/>
      <c r="G56" s="3144"/>
      <c r="H56" s="3144"/>
      <c r="I56" s="3144"/>
      <c r="J56" s="3144"/>
      <c r="K56" s="3144"/>
      <c r="L56" s="3256"/>
      <c r="M56" s="3256"/>
      <c r="N56" s="3121"/>
      <c r="O56" s="3144"/>
      <c r="P56" s="3122"/>
      <c r="Q56" s="3527"/>
      <c r="R56" s="3146"/>
      <c r="S56" s="1694"/>
    </row>
    <row r="57" spans="1:19" s="3158" customFormat="1" ht="44.25" customHeight="1">
      <c r="A57" s="3164" t="s">
        <v>4350</v>
      </c>
      <c r="B57" s="1296">
        <v>11.15</v>
      </c>
      <c r="C57" s="1295"/>
      <c r="D57" s="1296" t="s">
        <v>1392</v>
      </c>
      <c r="E57" s="1297"/>
      <c r="F57" s="1297"/>
      <c r="G57" s="2058"/>
      <c r="H57" s="2058"/>
      <c r="I57" s="2058"/>
      <c r="J57" s="2058"/>
      <c r="K57" s="2058"/>
      <c r="L57" s="1531"/>
      <c r="M57" s="1531"/>
      <c r="N57" s="1672"/>
      <c r="O57" s="2058"/>
      <c r="P57" s="1672">
        <f>SUM(P58:P65)</f>
        <v>249.94907999999998</v>
      </c>
      <c r="Q57" s="1605"/>
      <c r="R57" s="3127"/>
      <c r="S57" s="1777">
        <f>SUM(S58:S65)</f>
        <v>0</v>
      </c>
    </row>
    <row r="58" spans="1:19" s="3158" customFormat="1" ht="94.5" customHeight="1">
      <c r="A58" s="3142">
        <v>1</v>
      </c>
      <c r="B58" s="3129" t="s">
        <v>1416</v>
      </c>
      <c r="C58" s="1331" t="s">
        <v>1394</v>
      </c>
      <c r="D58" s="1331" t="s">
        <v>1395</v>
      </c>
      <c r="E58" s="1283" t="s">
        <v>4358</v>
      </c>
      <c r="F58" s="3165" t="s">
        <v>4976</v>
      </c>
      <c r="G58" s="3132"/>
      <c r="H58" s="3132"/>
      <c r="I58" s="3166"/>
      <c r="J58" s="3166"/>
      <c r="K58" s="3132"/>
      <c r="L58" s="1326" t="s">
        <v>6111</v>
      </c>
      <c r="M58" s="1714">
        <v>74941</v>
      </c>
      <c r="N58" s="1857">
        <f t="shared" ref="N58:N65" si="2">M58/100000</f>
        <v>0.74941000000000002</v>
      </c>
      <c r="O58" s="1714">
        <v>38</v>
      </c>
      <c r="P58" s="3133">
        <f t="shared" ref="P58:P65" si="3">N58*O58</f>
        <v>28.47758</v>
      </c>
      <c r="Q58" s="3339" t="s">
        <v>6492</v>
      </c>
      <c r="R58" s="3134">
        <f>'Abs9. NVBDCP'!Q90</f>
        <v>0</v>
      </c>
      <c r="S58" s="3150">
        <f>'Abs9. NVBDCP'!R90</f>
        <v>0</v>
      </c>
    </row>
    <row r="59" spans="1:19" s="3158" customFormat="1" ht="98.25" customHeight="1">
      <c r="A59" s="3142">
        <v>2</v>
      </c>
      <c r="B59" s="3129" t="s">
        <v>1419</v>
      </c>
      <c r="C59" s="1331" t="s">
        <v>1396</v>
      </c>
      <c r="D59" s="1331" t="s">
        <v>1397</v>
      </c>
      <c r="E59" s="1283" t="s">
        <v>4358</v>
      </c>
      <c r="F59" s="3165" t="s">
        <v>4971</v>
      </c>
      <c r="G59" s="3132"/>
      <c r="H59" s="3132"/>
      <c r="I59" s="3166"/>
      <c r="J59" s="3166"/>
      <c r="K59" s="3132"/>
      <c r="L59" s="1326" t="s">
        <v>6111</v>
      </c>
      <c r="M59" s="1714">
        <v>65789</v>
      </c>
      <c r="N59" s="1857">
        <f t="shared" si="2"/>
        <v>0.65788999999999997</v>
      </c>
      <c r="O59" s="1714">
        <v>38</v>
      </c>
      <c r="P59" s="3133">
        <f t="shared" si="3"/>
        <v>24.99982</v>
      </c>
      <c r="Q59" s="3339" t="s">
        <v>6493</v>
      </c>
      <c r="R59" s="3134">
        <f>'Abs9. NVBDCP'!Q91</f>
        <v>0</v>
      </c>
      <c r="S59" s="3150">
        <f>'Abs9. NVBDCP'!R91</f>
        <v>0</v>
      </c>
    </row>
    <row r="60" spans="1:19" s="3158" customFormat="1" ht="74.25" customHeight="1">
      <c r="A60" s="3142">
        <v>3</v>
      </c>
      <c r="B60" s="3129" t="s">
        <v>2513</v>
      </c>
      <c r="C60" s="1331" t="s">
        <v>1398</v>
      </c>
      <c r="D60" s="1331" t="s">
        <v>1399</v>
      </c>
      <c r="E60" s="1283" t="s">
        <v>4358</v>
      </c>
      <c r="F60" s="3165" t="s">
        <v>4972</v>
      </c>
      <c r="G60" s="3132"/>
      <c r="H60" s="3132"/>
      <c r="I60" s="3132"/>
      <c r="J60" s="3132"/>
      <c r="K60" s="3132"/>
      <c r="L60" s="3534" t="s">
        <v>6128</v>
      </c>
      <c r="M60" s="1714">
        <v>5000000</v>
      </c>
      <c r="N60" s="1857">
        <f t="shared" si="2"/>
        <v>50</v>
      </c>
      <c r="O60" s="1714">
        <v>1</v>
      </c>
      <c r="P60" s="3133">
        <f t="shared" si="3"/>
        <v>50</v>
      </c>
      <c r="Q60" s="3610" t="s">
        <v>6494</v>
      </c>
      <c r="R60" s="3134">
        <f>'Abs9. NVBDCP'!Q92</f>
        <v>0</v>
      </c>
      <c r="S60" s="3150">
        <f>'Abs9. NVBDCP'!R92</f>
        <v>0</v>
      </c>
    </row>
    <row r="61" spans="1:19" s="3158" customFormat="1" ht="93" customHeight="1">
      <c r="A61" s="3142">
        <v>4</v>
      </c>
      <c r="B61" s="3129" t="s">
        <v>2514</v>
      </c>
      <c r="C61" s="1331" t="s">
        <v>1400</v>
      </c>
      <c r="D61" s="1331" t="s">
        <v>1401</v>
      </c>
      <c r="E61" s="1283" t="s">
        <v>4358</v>
      </c>
      <c r="F61" s="3165" t="s">
        <v>4973</v>
      </c>
      <c r="G61" s="3132"/>
      <c r="H61" s="3132"/>
      <c r="I61" s="3132"/>
      <c r="J61" s="3132"/>
      <c r="K61" s="3132"/>
      <c r="L61" s="3534" t="s">
        <v>1342</v>
      </c>
      <c r="M61" s="1714">
        <v>100000</v>
      </c>
      <c r="N61" s="1857">
        <f t="shared" si="2"/>
        <v>1</v>
      </c>
      <c r="O61" s="1714">
        <v>40</v>
      </c>
      <c r="P61" s="3133">
        <f t="shared" si="3"/>
        <v>40</v>
      </c>
      <c r="Q61" s="3610" t="s">
        <v>6495</v>
      </c>
      <c r="R61" s="3134">
        <f>'Abs9. NVBDCP'!Q93</f>
        <v>0</v>
      </c>
      <c r="S61" s="3150">
        <f>'Abs9. NVBDCP'!R93</f>
        <v>0</v>
      </c>
    </row>
    <row r="62" spans="1:19" s="4033" customFormat="1" ht="74.25" customHeight="1">
      <c r="A62" s="3844">
        <v>5</v>
      </c>
      <c r="B62" s="3842" t="s">
        <v>2515</v>
      </c>
      <c r="C62" s="3843" t="s">
        <v>1402</v>
      </c>
      <c r="D62" s="3843" t="s">
        <v>1403</v>
      </c>
      <c r="E62" s="3813" t="s">
        <v>4358</v>
      </c>
      <c r="F62" s="4031" t="s">
        <v>4974</v>
      </c>
      <c r="G62" s="3845"/>
      <c r="H62" s="3845"/>
      <c r="I62" s="3845"/>
      <c r="J62" s="3845"/>
      <c r="K62" s="3845"/>
      <c r="L62" s="3846" t="s">
        <v>6491</v>
      </c>
      <c r="M62" s="4032">
        <v>27727</v>
      </c>
      <c r="N62" s="3738">
        <f t="shared" si="2"/>
        <v>0.27727000000000002</v>
      </c>
      <c r="O62" s="3739">
        <v>384</v>
      </c>
      <c r="P62" s="3847">
        <f t="shared" si="3"/>
        <v>106.47168000000001</v>
      </c>
      <c r="Q62" s="4034" t="s">
        <v>6899</v>
      </c>
      <c r="R62" s="3849">
        <f>'Abs9. NVBDCP'!Q94</f>
        <v>0</v>
      </c>
      <c r="S62" s="3850">
        <f>'Abs9. NVBDCP'!R94</f>
        <v>0</v>
      </c>
    </row>
    <row r="63" spans="1:19" s="3158" customFormat="1" ht="44.25" customHeight="1">
      <c r="A63" s="3142">
        <v>6</v>
      </c>
      <c r="B63" s="3129" t="s">
        <v>2516</v>
      </c>
      <c r="C63" s="1331" t="s">
        <v>1404</v>
      </c>
      <c r="D63" s="1331" t="s">
        <v>1405</v>
      </c>
      <c r="E63" s="1283" t="s">
        <v>4358</v>
      </c>
      <c r="F63" s="3165" t="s">
        <v>1548</v>
      </c>
      <c r="G63" s="3132"/>
      <c r="H63" s="3132"/>
      <c r="I63" s="3132"/>
      <c r="J63" s="3132"/>
      <c r="K63" s="3132"/>
      <c r="L63" s="3533"/>
      <c r="M63" s="1317"/>
      <c r="N63" s="1857">
        <f t="shared" si="2"/>
        <v>0</v>
      </c>
      <c r="O63" s="1317"/>
      <c r="P63" s="3133">
        <f t="shared" si="3"/>
        <v>0</v>
      </c>
      <c r="Q63" s="3529"/>
      <c r="R63" s="3134">
        <f>'Abs9. NVBDCP'!Q95</f>
        <v>0</v>
      </c>
      <c r="S63" s="3150">
        <f>'Abs9. NVBDCP'!R95</f>
        <v>0</v>
      </c>
    </row>
    <row r="64" spans="1:19" s="3158" customFormat="1" ht="44.25" customHeight="1">
      <c r="A64" s="3142">
        <v>7</v>
      </c>
      <c r="B64" s="3129" t="s">
        <v>2645</v>
      </c>
      <c r="C64" s="1530"/>
      <c r="D64" s="1331" t="s">
        <v>3821</v>
      </c>
      <c r="E64" s="1283" t="s">
        <v>4358</v>
      </c>
      <c r="F64" s="3165" t="s">
        <v>4976</v>
      </c>
      <c r="G64" s="3132"/>
      <c r="H64" s="3132"/>
      <c r="I64" s="3132"/>
      <c r="J64" s="3132"/>
      <c r="K64" s="3132"/>
      <c r="L64" s="3533"/>
      <c r="M64" s="1317"/>
      <c r="N64" s="1857">
        <f t="shared" si="2"/>
        <v>0</v>
      </c>
      <c r="O64" s="1317"/>
      <c r="P64" s="3133">
        <f t="shared" si="3"/>
        <v>0</v>
      </c>
      <c r="Q64" s="3529"/>
      <c r="R64" s="3134">
        <f>'Abs9. NVBDCP'!Q96</f>
        <v>0</v>
      </c>
      <c r="S64" s="3150">
        <f>'Abs9. NVBDCP'!R96</f>
        <v>0</v>
      </c>
    </row>
    <row r="65" spans="1:19" s="3158" customFormat="1" ht="44.25" customHeight="1">
      <c r="A65" s="3142">
        <v>8</v>
      </c>
      <c r="B65" s="3129" t="s">
        <v>3820</v>
      </c>
      <c r="C65" s="1530"/>
      <c r="D65" s="1331" t="s">
        <v>1349</v>
      </c>
      <c r="E65" s="1283" t="s">
        <v>4358</v>
      </c>
      <c r="F65" s="3165" t="s">
        <v>114</v>
      </c>
      <c r="G65" s="3132"/>
      <c r="H65" s="3132"/>
      <c r="I65" s="3132"/>
      <c r="J65" s="3132"/>
      <c r="K65" s="3132"/>
      <c r="L65" s="3533"/>
      <c r="M65" s="1317"/>
      <c r="N65" s="1857">
        <f t="shared" si="2"/>
        <v>0</v>
      </c>
      <c r="O65" s="1317"/>
      <c r="P65" s="3133">
        <f t="shared" si="3"/>
        <v>0</v>
      </c>
      <c r="Q65" s="3530"/>
      <c r="R65" s="3134">
        <f>'Abs9. NVBDCP'!Q97</f>
        <v>0</v>
      </c>
      <c r="S65" s="3150">
        <f>'Abs9. NVBDCP'!R97</f>
        <v>0</v>
      </c>
    </row>
    <row r="66" spans="1:19" s="3158" customFormat="1" ht="44.25" customHeight="1">
      <c r="A66" s="3164" t="s">
        <v>4351</v>
      </c>
      <c r="B66" s="1296">
        <v>11.16</v>
      </c>
      <c r="C66" s="1295"/>
      <c r="D66" s="1296" t="s">
        <v>1406</v>
      </c>
      <c r="E66" s="1297"/>
      <c r="F66" s="1297"/>
      <c r="G66" s="2058"/>
      <c r="H66" s="2058"/>
      <c r="I66" s="2058"/>
      <c r="J66" s="2058"/>
      <c r="K66" s="2058"/>
      <c r="L66" s="1531"/>
      <c r="M66" s="1531"/>
      <c r="N66" s="1672"/>
      <c r="O66" s="2058"/>
      <c r="P66" s="1672">
        <f>SUM(P67:P68)</f>
        <v>37.24</v>
      </c>
      <c r="Q66" s="1605"/>
      <c r="R66" s="3127"/>
      <c r="S66" s="1777">
        <f>SUM(S67:S68)</f>
        <v>0</v>
      </c>
    </row>
    <row r="67" spans="1:19" s="3158" customFormat="1" ht="54.75" customHeight="1">
      <c r="A67" s="3142">
        <v>1</v>
      </c>
      <c r="B67" s="3129" t="s">
        <v>1423</v>
      </c>
      <c r="C67" s="1331" t="s">
        <v>1408</v>
      </c>
      <c r="D67" s="1331" t="s">
        <v>5759</v>
      </c>
      <c r="E67" s="1283" t="s">
        <v>4358</v>
      </c>
      <c r="F67" s="3142" t="s">
        <v>146</v>
      </c>
      <c r="G67" s="3136"/>
      <c r="H67" s="3136"/>
      <c r="I67" s="3136"/>
      <c r="J67" s="3136"/>
      <c r="K67" s="3136"/>
      <c r="L67" s="1737"/>
      <c r="M67" s="3534">
        <v>3724000</v>
      </c>
      <c r="N67" s="1857">
        <f>M67/100000</f>
        <v>37.24</v>
      </c>
      <c r="O67" s="1317">
        <v>1</v>
      </c>
      <c r="P67" s="3133">
        <f>N67*O67</f>
        <v>37.24</v>
      </c>
      <c r="Q67" s="3347" t="s">
        <v>6496</v>
      </c>
      <c r="R67" s="3134">
        <f>'Abs10. NLEP'!Q29</f>
        <v>0</v>
      </c>
      <c r="S67" s="2055">
        <f>'Abs10. NLEP'!R29</f>
        <v>0</v>
      </c>
    </row>
    <row r="68" spans="1:19" s="3158" customFormat="1" ht="44.25" customHeight="1">
      <c r="A68" s="3142">
        <v>2</v>
      </c>
      <c r="B68" s="3129" t="s">
        <v>2646</v>
      </c>
      <c r="C68" s="1530"/>
      <c r="D68" s="1331" t="s">
        <v>1349</v>
      </c>
      <c r="E68" s="1283" t="s">
        <v>4358</v>
      </c>
      <c r="F68" s="3142" t="s">
        <v>146</v>
      </c>
      <c r="G68" s="3132"/>
      <c r="H68" s="3132"/>
      <c r="I68" s="3132"/>
      <c r="J68" s="3132"/>
      <c r="K68" s="3132"/>
      <c r="L68" s="3533"/>
      <c r="M68" s="1317"/>
      <c r="N68" s="1857">
        <f>M68/100000</f>
        <v>0</v>
      </c>
      <c r="O68" s="1317"/>
      <c r="P68" s="3133">
        <f>N68*O68</f>
        <v>0</v>
      </c>
      <c r="Q68" s="3529"/>
      <c r="R68" s="3134">
        <f>'Abs10. NLEP'!Q30</f>
        <v>0</v>
      </c>
      <c r="S68" s="2055">
        <f>'Abs10. NLEP'!R30</f>
        <v>0</v>
      </c>
    </row>
    <row r="69" spans="1:19" ht="44.25" customHeight="1">
      <c r="A69" s="3167" t="s">
        <v>4354</v>
      </c>
      <c r="B69" s="1296">
        <v>11.17</v>
      </c>
      <c r="C69" s="1295"/>
      <c r="D69" s="1296" t="s">
        <v>4886</v>
      </c>
      <c r="E69" s="1297"/>
      <c r="F69" s="1297"/>
      <c r="G69" s="2058"/>
      <c r="H69" s="2058"/>
      <c r="I69" s="2058"/>
      <c r="J69" s="2058"/>
      <c r="K69" s="2058"/>
      <c r="L69" s="1531"/>
      <c r="M69" s="1531"/>
      <c r="N69" s="1672"/>
      <c r="O69" s="2058"/>
      <c r="P69" s="1672">
        <f>P70+P71+P72</f>
        <v>69.400000000000006</v>
      </c>
      <c r="Q69" s="1605"/>
      <c r="R69" s="3127"/>
      <c r="S69" s="1777">
        <f>S70+S71+S72</f>
        <v>0</v>
      </c>
    </row>
    <row r="70" spans="1:19" s="3158" customFormat="1" ht="44.25" customHeight="1">
      <c r="A70" s="3142">
        <v>1</v>
      </c>
      <c r="B70" s="3129" t="s">
        <v>2647</v>
      </c>
      <c r="C70" s="3138" t="s">
        <v>1409</v>
      </c>
      <c r="D70" s="3138" t="s">
        <v>1410</v>
      </c>
      <c r="E70" s="1537" t="s">
        <v>4358</v>
      </c>
      <c r="F70" s="1727" t="s">
        <v>4674</v>
      </c>
      <c r="G70" s="3131"/>
      <c r="H70" s="3131"/>
      <c r="I70" s="3131"/>
      <c r="J70" s="3131"/>
      <c r="K70" s="3131"/>
      <c r="L70" s="1326" t="s">
        <v>6497</v>
      </c>
      <c r="M70" s="3173">
        <v>6000000</v>
      </c>
      <c r="N70" s="1857">
        <f t="shared" ref="N70:N75" si="4">M70/100000</f>
        <v>60</v>
      </c>
      <c r="O70" s="1714">
        <v>1</v>
      </c>
      <c r="P70" s="3133">
        <f t="shared" ref="P70:P75" si="5">N70*O70</f>
        <v>60</v>
      </c>
      <c r="Q70" s="3606" t="s">
        <v>6595</v>
      </c>
      <c r="R70" s="3134">
        <f>'Abs11. NTEP'!Q41</f>
        <v>0</v>
      </c>
      <c r="S70" s="2055">
        <f>'Abs11. NTEP'!R41</f>
        <v>0</v>
      </c>
    </row>
    <row r="71" spans="1:19" s="3172" customFormat="1" ht="33">
      <c r="A71" s="3168">
        <v>2</v>
      </c>
      <c r="B71" s="3151" t="s">
        <v>2648</v>
      </c>
      <c r="C71" s="3169"/>
      <c r="D71" s="3170" t="s">
        <v>4507</v>
      </c>
      <c r="E71" s="1537" t="s">
        <v>4358</v>
      </c>
      <c r="F71" s="1697" t="s">
        <v>4674</v>
      </c>
      <c r="G71" s="3171"/>
      <c r="H71" s="3171"/>
      <c r="I71" s="3171"/>
      <c r="J71" s="3171"/>
      <c r="K71" s="3171"/>
      <c r="L71" s="1326" t="s">
        <v>6497</v>
      </c>
      <c r="M71" s="3611">
        <v>940000</v>
      </c>
      <c r="N71" s="1857">
        <f t="shared" si="4"/>
        <v>9.4</v>
      </c>
      <c r="O71" s="1714">
        <v>1</v>
      </c>
      <c r="P71" s="3155">
        <f t="shared" si="5"/>
        <v>9.4</v>
      </c>
      <c r="Q71" s="3606" t="s">
        <v>6498</v>
      </c>
      <c r="R71" s="3134">
        <f>'Abs11. NTEP'!Q42</f>
        <v>0</v>
      </c>
      <c r="S71" s="2055">
        <f>'Abs11. NTEP'!R42</f>
        <v>0</v>
      </c>
    </row>
    <row r="72" spans="1:19" s="3158" customFormat="1" ht="44.25" customHeight="1">
      <c r="A72" s="3142">
        <v>3</v>
      </c>
      <c r="B72" s="3129" t="s">
        <v>4506</v>
      </c>
      <c r="C72" s="3169"/>
      <c r="D72" s="1331" t="s">
        <v>1349</v>
      </c>
      <c r="E72" s="1537" t="s">
        <v>4358</v>
      </c>
      <c r="F72" s="1727" t="s">
        <v>4674</v>
      </c>
      <c r="G72" s="3131"/>
      <c r="H72" s="3131"/>
      <c r="I72" s="3131"/>
      <c r="J72" s="3131"/>
      <c r="K72" s="3131"/>
      <c r="L72" s="3533"/>
      <c r="M72" s="1317"/>
      <c r="N72" s="1857">
        <f t="shared" si="4"/>
        <v>0</v>
      </c>
      <c r="O72" s="1317"/>
      <c r="P72" s="3133">
        <f t="shared" si="5"/>
        <v>0</v>
      </c>
      <c r="Q72" s="3529"/>
      <c r="R72" s="3134">
        <f>'Abs11. NTEP'!Q43</f>
        <v>0</v>
      </c>
      <c r="S72" s="2055">
        <f>'Abs11. NTEP'!R43</f>
        <v>0</v>
      </c>
    </row>
    <row r="73" spans="1:19" s="3158" customFormat="1" ht="44.25" customHeight="1">
      <c r="A73" s="3164" t="s">
        <v>4355</v>
      </c>
      <c r="B73" s="3129" t="s">
        <v>3895</v>
      </c>
      <c r="C73" s="3151"/>
      <c r="D73" s="1331" t="s">
        <v>5222</v>
      </c>
      <c r="E73" s="1283" t="s">
        <v>4358</v>
      </c>
      <c r="F73" s="3142" t="s">
        <v>3986</v>
      </c>
      <c r="G73" s="3132"/>
      <c r="H73" s="3132"/>
      <c r="I73" s="3132"/>
      <c r="J73" s="3132"/>
      <c r="K73" s="3132"/>
      <c r="L73" s="3534"/>
      <c r="M73" s="1714">
        <v>10000</v>
      </c>
      <c r="N73" s="1857">
        <f t="shared" si="4"/>
        <v>0.1</v>
      </c>
      <c r="O73" s="1714">
        <v>38</v>
      </c>
      <c r="P73" s="3133">
        <f t="shared" si="5"/>
        <v>3.8000000000000003</v>
      </c>
      <c r="Q73" s="3606" t="s">
        <v>6499</v>
      </c>
      <c r="R73" s="3134">
        <f>'Abs13. NRCP'!Q12</f>
        <v>0</v>
      </c>
      <c r="S73" s="2055">
        <f>'Abs13. NRCP'!R12</f>
        <v>0</v>
      </c>
    </row>
    <row r="74" spans="1:19" s="3156" customFormat="1" ht="44.25" customHeight="1">
      <c r="A74" s="3167" t="s">
        <v>4356</v>
      </c>
      <c r="B74" s="3151" t="s">
        <v>4017</v>
      </c>
      <c r="C74" s="3151"/>
      <c r="D74" s="1530" t="s">
        <v>4525</v>
      </c>
      <c r="E74" s="1283" t="s">
        <v>4358</v>
      </c>
      <c r="F74" s="2306" t="s">
        <v>4544</v>
      </c>
      <c r="G74" s="3154"/>
      <c r="H74" s="3154"/>
      <c r="I74" s="3154"/>
      <c r="J74" s="3154"/>
      <c r="K74" s="3154"/>
      <c r="L74" s="3534"/>
      <c r="M74" s="1714"/>
      <c r="N74" s="1857">
        <f t="shared" si="4"/>
        <v>0</v>
      </c>
      <c r="O74" s="1714"/>
      <c r="P74" s="3155">
        <f t="shared" si="5"/>
        <v>0</v>
      </c>
      <c r="Q74" s="3606"/>
      <c r="R74" s="3134">
        <f>'Abs14. PPCL'!Q12</f>
        <v>0</v>
      </c>
      <c r="S74" s="2055">
        <f>'Abs14. PPCL'!R12</f>
        <v>0</v>
      </c>
    </row>
    <row r="75" spans="1:19" s="3156" customFormat="1" ht="44.25" customHeight="1">
      <c r="A75" s="3167" t="s">
        <v>4664</v>
      </c>
      <c r="B75" s="3151"/>
      <c r="C75" s="3151"/>
      <c r="D75" s="1530" t="s">
        <v>5260</v>
      </c>
      <c r="E75" s="1283" t="s">
        <v>4358</v>
      </c>
      <c r="F75" s="2306" t="s">
        <v>3316</v>
      </c>
      <c r="G75" s="3154"/>
      <c r="H75" s="3154"/>
      <c r="I75" s="3173">
        <v>5</v>
      </c>
      <c r="J75" s="3154"/>
      <c r="K75" s="3154"/>
      <c r="L75" s="3534"/>
      <c r="M75" s="1714">
        <v>500000</v>
      </c>
      <c r="N75" s="1857">
        <f t="shared" si="4"/>
        <v>5</v>
      </c>
      <c r="O75" s="1714">
        <v>1</v>
      </c>
      <c r="P75" s="3155">
        <f t="shared" si="5"/>
        <v>5</v>
      </c>
      <c r="Q75" s="3606" t="s">
        <v>6500</v>
      </c>
      <c r="R75" s="3134">
        <f>'Abs12. NVHCP'!Q33</f>
        <v>0</v>
      </c>
      <c r="S75" s="3174">
        <f>'Abs12. NVHCP'!R33</f>
        <v>0</v>
      </c>
    </row>
    <row r="76" spans="1:19" s="3124" customFormat="1" ht="44.25" customHeight="1">
      <c r="A76" s="4471" t="s">
        <v>5221</v>
      </c>
      <c r="B76" s="4471"/>
      <c r="C76" s="4471"/>
      <c r="D76" s="4471"/>
      <c r="E76" s="3120"/>
      <c r="F76" s="3120"/>
      <c r="G76" s="3144"/>
      <c r="H76" s="3144"/>
      <c r="I76" s="3144"/>
      <c r="J76" s="3144"/>
      <c r="K76" s="3144"/>
      <c r="L76" s="3256"/>
      <c r="M76" s="3256"/>
      <c r="N76" s="3121"/>
      <c r="O76" s="3144"/>
      <c r="P76" s="3122"/>
      <c r="Q76" s="3527"/>
      <c r="R76" s="3146"/>
      <c r="S76" s="1694"/>
    </row>
    <row r="77" spans="1:19" ht="44.25" customHeight="1">
      <c r="A77" s="3167" t="s">
        <v>4350</v>
      </c>
      <c r="B77" s="1296">
        <v>11.18</v>
      </c>
      <c r="C77" s="1295"/>
      <c r="D77" s="1296" t="s">
        <v>1411</v>
      </c>
      <c r="E77" s="1297"/>
      <c r="F77" s="1297"/>
      <c r="G77" s="2058"/>
      <c r="H77" s="2058"/>
      <c r="I77" s="2058"/>
      <c r="J77" s="2058"/>
      <c r="K77" s="2058"/>
      <c r="L77" s="1531"/>
      <c r="M77" s="1531"/>
      <c r="N77" s="1672"/>
      <c r="O77" s="2058"/>
      <c r="P77" s="1672">
        <f>P78+P79</f>
        <v>22.05</v>
      </c>
      <c r="Q77" s="1605"/>
      <c r="R77" s="3127"/>
      <c r="S77" s="1777">
        <f>S78+S79</f>
        <v>0</v>
      </c>
    </row>
    <row r="78" spans="1:19" ht="51.75" customHeight="1">
      <c r="A78" s="3163">
        <v>1</v>
      </c>
      <c r="B78" s="3129" t="s">
        <v>1428</v>
      </c>
      <c r="C78" s="1331" t="s">
        <v>1413</v>
      </c>
      <c r="D78" s="1331" t="s">
        <v>4470</v>
      </c>
      <c r="E78" s="1285" t="s">
        <v>85</v>
      </c>
      <c r="F78" s="1727" t="s">
        <v>86</v>
      </c>
      <c r="G78" s="3131"/>
      <c r="H78" s="3131"/>
      <c r="I78" s="3131"/>
      <c r="J78" s="3131"/>
      <c r="K78" s="3131"/>
      <c r="L78" s="3534" t="s">
        <v>6501</v>
      </c>
      <c r="M78" s="3534">
        <v>15000</v>
      </c>
      <c r="N78" s="1857">
        <f>M78/100000</f>
        <v>0.15</v>
      </c>
      <c r="O78" s="1317">
        <v>147</v>
      </c>
      <c r="P78" s="3133">
        <f>N78*O78</f>
        <v>22.05</v>
      </c>
      <c r="Q78" s="3612" t="s">
        <v>6502</v>
      </c>
      <c r="R78" s="3134">
        <f>'Abs15. NPCB'!Q28</f>
        <v>0</v>
      </c>
      <c r="S78" s="2055">
        <f>'Abs15. NPCB'!R28</f>
        <v>0</v>
      </c>
    </row>
    <row r="79" spans="1:19" ht="44.25" customHeight="1">
      <c r="A79" s="3163">
        <v>2</v>
      </c>
      <c r="B79" s="3129" t="s">
        <v>2649</v>
      </c>
      <c r="C79" s="1530"/>
      <c r="D79" s="1331" t="s">
        <v>1349</v>
      </c>
      <c r="E79" s="1285" t="s">
        <v>85</v>
      </c>
      <c r="F79" s="1727" t="s">
        <v>86</v>
      </c>
      <c r="G79" s="3131"/>
      <c r="H79" s="3131"/>
      <c r="I79" s="3131"/>
      <c r="J79" s="3131"/>
      <c r="K79" s="3131"/>
      <c r="L79" s="3533"/>
      <c r="M79" s="1317"/>
      <c r="N79" s="1857">
        <f>M79/100000</f>
        <v>0</v>
      </c>
      <c r="O79" s="1317"/>
      <c r="P79" s="3133">
        <f>N79*O79</f>
        <v>0</v>
      </c>
      <c r="Q79" s="3529"/>
      <c r="R79" s="3134">
        <f>'Abs15. NPCB'!Q29</f>
        <v>0</v>
      </c>
      <c r="S79" s="2055">
        <f>'Abs15. NPCB'!R29</f>
        <v>0</v>
      </c>
    </row>
    <row r="80" spans="1:19" ht="44.25" customHeight="1">
      <c r="A80" s="3167" t="s">
        <v>4351</v>
      </c>
      <c r="B80" s="1296">
        <v>11.19</v>
      </c>
      <c r="C80" s="1295" t="s">
        <v>1414</v>
      </c>
      <c r="D80" s="1296" t="s">
        <v>1415</v>
      </c>
      <c r="E80" s="1297"/>
      <c r="F80" s="1297"/>
      <c r="G80" s="2058"/>
      <c r="H80" s="2058"/>
      <c r="I80" s="2058"/>
      <c r="J80" s="2058"/>
      <c r="K80" s="2058"/>
      <c r="L80" s="1531"/>
      <c r="M80" s="1531"/>
      <c r="N80" s="1672"/>
      <c r="O80" s="2058"/>
      <c r="P80" s="1672">
        <f>SUM(P81:P83)</f>
        <v>9.5</v>
      </c>
      <c r="Q80" s="1605"/>
      <c r="R80" s="3127"/>
      <c r="S80" s="1777">
        <f>SUM(S81:S83)</f>
        <v>0</v>
      </c>
    </row>
    <row r="81" spans="1:19" ht="44.25" customHeight="1">
      <c r="A81" s="3163">
        <v>1</v>
      </c>
      <c r="B81" s="3129" t="s">
        <v>1432</v>
      </c>
      <c r="C81" s="1331" t="s">
        <v>1417</v>
      </c>
      <c r="D81" s="3138" t="s">
        <v>1418</v>
      </c>
      <c r="E81" s="1285" t="s">
        <v>85</v>
      </c>
      <c r="F81" s="3142" t="s">
        <v>150</v>
      </c>
      <c r="G81" s="3175"/>
      <c r="H81" s="3175"/>
      <c r="I81" s="3175"/>
      <c r="J81" s="3175"/>
      <c r="K81" s="3175"/>
      <c r="L81" s="3534" t="s">
        <v>5922</v>
      </c>
      <c r="M81" s="1714">
        <v>25000</v>
      </c>
      <c r="N81" s="1857">
        <f>M81/100000</f>
        <v>0.25</v>
      </c>
      <c r="O81" s="1714">
        <v>38</v>
      </c>
      <c r="P81" s="3133">
        <f>N81*O81</f>
        <v>9.5</v>
      </c>
      <c r="Q81" s="3601" t="s">
        <v>6503</v>
      </c>
      <c r="R81" s="3134">
        <f>'Abs16. NMHP'!Q22</f>
        <v>0</v>
      </c>
      <c r="S81" s="2055">
        <f>'Abs16. NMHP'!R22</f>
        <v>0</v>
      </c>
    </row>
    <row r="82" spans="1:19" ht="44.25" customHeight="1">
      <c r="A82" s="3163">
        <v>2</v>
      </c>
      <c r="B82" s="3129" t="s">
        <v>2517</v>
      </c>
      <c r="C82" s="1331" t="s">
        <v>1420</v>
      </c>
      <c r="D82" s="3138" t="s">
        <v>1421</v>
      </c>
      <c r="E82" s="1285" t="s">
        <v>85</v>
      </c>
      <c r="F82" s="3142" t="s">
        <v>150</v>
      </c>
      <c r="G82" s="3132"/>
      <c r="H82" s="3132"/>
      <c r="I82" s="3166"/>
      <c r="J82" s="3166"/>
      <c r="K82" s="3132"/>
      <c r="L82" s="3533"/>
      <c r="M82" s="1317"/>
      <c r="N82" s="1857">
        <f>M82/100000</f>
        <v>0</v>
      </c>
      <c r="O82" s="1317"/>
      <c r="P82" s="3133">
        <f>N82*O82</f>
        <v>0</v>
      </c>
      <c r="Q82" s="3529"/>
      <c r="R82" s="3134">
        <f>'Abs16. NMHP'!Q23</f>
        <v>0</v>
      </c>
      <c r="S82" s="2055">
        <f>'Abs16. NMHP'!R23</f>
        <v>0</v>
      </c>
    </row>
    <row r="83" spans="1:19" ht="44.25" customHeight="1">
      <c r="A83" s="3163">
        <v>3</v>
      </c>
      <c r="B83" s="3129" t="s">
        <v>2650</v>
      </c>
      <c r="C83" s="1530"/>
      <c r="D83" s="1331" t="s">
        <v>1349</v>
      </c>
      <c r="E83" s="1285" t="s">
        <v>85</v>
      </c>
      <c r="F83" s="3142" t="s">
        <v>150</v>
      </c>
      <c r="G83" s="3132"/>
      <c r="H83" s="3132"/>
      <c r="I83" s="3132"/>
      <c r="J83" s="3132"/>
      <c r="K83" s="3132"/>
      <c r="L83" s="3533"/>
      <c r="M83" s="1317"/>
      <c r="N83" s="1857">
        <f>M83/100000</f>
        <v>0</v>
      </c>
      <c r="O83" s="1317"/>
      <c r="P83" s="3133">
        <f>N83*O83</f>
        <v>0</v>
      </c>
      <c r="Q83" s="3530"/>
      <c r="R83" s="3134">
        <f>'Abs16. NMHP'!Q24</f>
        <v>0</v>
      </c>
      <c r="S83" s="2055">
        <f>'Abs16. NMHP'!R24</f>
        <v>0</v>
      </c>
    </row>
    <row r="84" spans="1:19" ht="44.25" customHeight="1">
      <c r="A84" s="3167" t="s">
        <v>4354</v>
      </c>
      <c r="B84" s="3149" t="s">
        <v>2518</v>
      </c>
      <c r="C84" s="1295"/>
      <c r="D84" s="1296" t="s">
        <v>1422</v>
      </c>
      <c r="E84" s="1297"/>
      <c r="F84" s="1297"/>
      <c r="G84" s="2058"/>
      <c r="H84" s="2058"/>
      <c r="I84" s="2058"/>
      <c r="J84" s="2058"/>
      <c r="K84" s="2058"/>
      <c r="L84" s="1531"/>
      <c r="M84" s="1531"/>
      <c r="N84" s="1672"/>
      <c r="O84" s="2058"/>
      <c r="P84" s="1672">
        <f>P85+P86</f>
        <v>15.750080000000001</v>
      </c>
      <c r="Q84" s="1605"/>
      <c r="R84" s="3127"/>
      <c r="S84" s="1777">
        <f>S85+S86</f>
        <v>0</v>
      </c>
    </row>
    <row r="85" spans="1:19" s="3851" customFormat="1" ht="96.75" customHeight="1">
      <c r="A85" s="4175">
        <v>1</v>
      </c>
      <c r="B85" s="3842" t="s">
        <v>2393</v>
      </c>
      <c r="C85" s="3843" t="s">
        <v>1424</v>
      </c>
      <c r="D85" s="3843" t="s">
        <v>4419</v>
      </c>
      <c r="E85" s="3813" t="s">
        <v>85</v>
      </c>
      <c r="F85" s="3844" t="s">
        <v>399</v>
      </c>
      <c r="G85" s="3845"/>
      <c r="H85" s="3845"/>
      <c r="I85" s="3845"/>
      <c r="J85" s="3845"/>
      <c r="K85" s="3845"/>
      <c r="L85" s="3846">
        <v>1</v>
      </c>
      <c r="M85" s="3739">
        <v>800000</v>
      </c>
      <c r="N85" s="3738">
        <f>M85/100000</f>
        <v>8</v>
      </c>
      <c r="O85" s="3739">
        <v>1</v>
      </c>
      <c r="P85" s="3847">
        <f>N85*O85</f>
        <v>8</v>
      </c>
      <c r="Q85" s="4176" t="s">
        <v>6950</v>
      </c>
      <c r="R85" s="3849">
        <f>'Abs17. NPHCE'!Q28</f>
        <v>0</v>
      </c>
      <c r="S85" s="3850">
        <f>'Abs17. NPHCE'!R28</f>
        <v>0</v>
      </c>
    </row>
    <row r="86" spans="1:19" s="3851" customFormat="1" ht="98.25" customHeight="1">
      <c r="A86" s="4175">
        <v>2</v>
      </c>
      <c r="B86" s="3842" t="s">
        <v>2651</v>
      </c>
      <c r="C86" s="3843"/>
      <c r="D86" s="3843" t="s">
        <v>4420</v>
      </c>
      <c r="E86" s="3813" t="s">
        <v>85</v>
      </c>
      <c r="F86" s="3844" t="s">
        <v>399</v>
      </c>
      <c r="G86" s="3845"/>
      <c r="H86" s="3845"/>
      <c r="I86" s="3845"/>
      <c r="J86" s="3845"/>
      <c r="K86" s="3845"/>
      <c r="L86" s="3846" t="s">
        <v>6480</v>
      </c>
      <c r="M86" s="3739">
        <v>19872</v>
      </c>
      <c r="N86" s="3738">
        <f>M86/100000</f>
        <v>0.19872000000000001</v>
      </c>
      <c r="O86" s="3739">
        <v>39</v>
      </c>
      <c r="P86" s="3847">
        <f>N86*O86</f>
        <v>7.7500800000000005</v>
      </c>
      <c r="Q86" s="4176" t="s">
        <v>6951</v>
      </c>
      <c r="R86" s="3849">
        <f>'Abs17. NPHCE'!Q29</f>
        <v>0</v>
      </c>
      <c r="S86" s="3850">
        <f>'Abs17. NPHCE'!R29</f>
        <v>0</v>
      </c>
    </row>
    <row r="87" spans="1:19" ht="44.25" customHeight="1">
      <c r="A87" s="3167" t="s">
        <v>4355</v>
      </c>
      <c r="B87" s="1296">
        <v>11.21</v>
      </c>
      <c r="C87" s="1295"/>
      <c r="D87" s="1296" t="s">
        <v>1425</v>
      </c>
      <c r="E87" s="1297"/>
      <c r="F87" s="1297"/>
      <c r="G87" s="2058"/>
      <c r="H87" s="2058"/>
      <c r="I87" s="2058"/>
      <c r="J87" s="2058"/>
      <c r="K87" s="2058"/>
      <c r="L87" s="1531"/>
      <c r="M87" s="1531"/>
      <c r="N87" s="1672"/>
      <c r="O87" s="2058"/>
      <c r="P87" s="1672">
        <f>P88</f>
        <v>12</v>
      </c>
      <c r="Q87" s="1605"/>
      <c r="R87" s="3127"/>
      <c r="S87" s="1777">
        <f>S88</f>
        <v>0</v>
      </c>
    </row>
    <row r="88" spans="1:19" ht="63.75" customHeight="1">
      <c r="A88" s="3163">
        <v>1</v>
      </c>
      <c r="B88" s="3129" t="s">
        <v>2519</v>
      </c>
      <c r="C88" s="1331" t="s">
        <v>1426</v>
      </c>
      <c r="D88" s="1331" t="s">
        <v>3897</v>
      </c>
      <c r="E88" s="1285" t="s">
        <v>85</v>
      </c>
      <c r="F88" s="3142" t="s">
        <v>152</v>
      </c>
      <c r="G88" s="3132"/>
      <c r="H88" s="3132"/>
      <c r="I88" s="3176"/>
      <c r="J88" s="3154"/>
      <c r="K88" s="3132"/>
      <c r="L88" s="3534" t="s">
        <v>5922</v>
      </c>
      <c r="M88" s="1714">
        <v>31578.947368421053</v>
      </c>
      <c r="N88" s="1857">
        <f>M88/100000</f>
        <v>0.31578947368421051</v>
      </c>
      <c r="O88" s="1714">
        <v>38</v>
      </c>
      <c r="P88" s="3133">
        <f>N88*O88</f>
        <v>12</v>
      </c>
      <c r="Q88" s="3610" t="s">
        <v>6504</v>
      </c>
      <c r="R88" s="3134">
        <f>'Abs18. NTCP'!Q24</f>
        <v>0</v>
      </c>
      <c r="S88" s="3150">
        <f>'Abs18. NTCP'!R24</f>
        <v>0</v>
      </c>
    </row>
    <row r="89" spans="1:19" ht="44.25" customHeight="1">
      <c r="A89" s="3167" t="s">
        <v>4356</v>
      </c>
      <c r="B89" s="1296">
        <v>11.22</v>
      </c>
      <c r="C89" s="1295" t="s">
        <v>1112</v>
      </c>
      <c r="D89" s="1296" t="s">
        <v>1427</v>
      </c>
      <c r="E89" s="1298"/>
      <c r="F89" s="1298"/>
      <c r="G89" s="2058"/>
      <c r="H89" s="2058"/>
      <c r="I89" s="2058"/>
      <c r="J89" s="2058"/>
      <c r="K89" s="2058"/>
      <c r="L89" s="1531"/>
      <c r="M89" s="1531"/>
      <c r="N89" s="1672"/>
      <c r="O89" s="2058"/>
      <c r="P89" s="1672">
        <f>SUM(P90:P93)</f>
        <v>93.925000000000011</v>
      </c>
      <c r="Q89" s="1605"/>
      <c r="R89" s="3127"/>
      <c r="S89" s="1777">
        <f>SUM(S90:S93)</f>
        <v>0</v>
      </c>
    </row>
    <row r="90" spans="1:19" ht="102.75" customHeight="1">
      <c r="A90" s="3163">
        <v>1</v>
      </c>
      <c r="B90" s="3129" t="s">
        <v>2520</v>
      </c>
      <c r="C90" s="3129" t="s">
        <v>1115</v>
      </c>
      <c r="D90" s="3138" t="s">
        <v>1429</v>
      </c>
      <c r="E90" s="1285" t="s">
        <v>85</v>
      </c>
      <c r="F90" s="3142" t="s">
        <v>415</v>
      </c>
      <c r="G90" s="3131"/>
      <c r="H90" s="3131"/>
      <c r="I90" s="3131"/>
      <c r="J90" s="3131"/>
      <c r="K90" s="3131"/>
      <c r="L90" s="3534">
        <v>1</v>
      </c>
      <c r="M90" s="1714">
        <v>2000000</v>
      </c>
      <c r="N90" s="1857">
        <f t="shared" ref="N90:N96" si="6">M90/100000</f>
        <v>20</v>
      </c>
      <c r="O90" s="1714">
        <v>1</v>
      </c>
      <c r="P90" s="3133">
        <f t="shared" ref="P90:P96" si="7">N90*O90</f>
        <v>20</v>
      </c>
      <c r="Q90" s="3347" t="s">
        <v>6596</v>
      </c>
      <c r="R90" s="3134">
        <f>'Abs19. NPCDCS'!Q47</f>
        <v>0</v>
      </c>
      <c r="S90" s="3150">
        <f>'Abs19. NPCDCS'!R47</f>
        <v>0</v>
      </c>
    </row>
    <row r="91" spans="1:19" ht="123.75" customHeight="1">
      <c r="A91" s="3163">
        <v>2</v>
      </c>
      <c r="B91" s="3129" t="s">
        <v>2521</v>
      </c>
      <c r="C91" s="3129" t="s">
        <v>1118</v>
      </c>
      <c r="D91" s="3138" t="s">
        <v>1430</v>
      </c>
      <c r="E91" s="1285" t="s">
        <v>85</v>
      </c>
      <c r="F91" s="3142" t="s">
        <v>415</v>
      </c>
      <c r="G91" s="3131"/>
      <c r="H91" s="3131"/>
      <c r="I91" s="3131"/>
      <c r="J91" s="3131"/>
      <c r="K91" s="3131"/>
      <c r="L91" s="3534">
        <v>38</v>
      </c>
      <c r="M91" s="1714">
        <v>100000</v>
      </c>
      <c r="N91" s="1857">
        <f t="shared" si="6"/>
        <v>1</v>
      </c>
      <c r="O91" s="1714">
        <v>38</v>
      </c>
      <c r="P91" s="3133">
        <f t="shared" si="7"/>
        <v>38</v>
      </c>
      <c r="Q91" s="3347" t="s">
        <v>6597</v>
      </c>
      <c r="R91" s="3134">
        <f>'Abs19. NPCDCS'!Q48</f>
        <v>0</v>
      </c>
      <c r="S91" s="3150">
        <f>'Abs19. NPCDCS'!R48</f>
        <v>0</v>
      </c>
    </row>
    <row r="92" spans="1:19" ht="44.25" customHeight="1">
      <c r="A92" s="3163">
        <v>3</v>
      </c>
      <c r="B92" s="3129" t="s">
        <v>2652</v>
      </c>
      <c r="C92" s="3151"/>
      <c r="D92" s="3129" t="s">
        <v>2543</v>
      </c>
      <c r="E92" s="1285" t="s">
        <v>85</v>
      </c>
      <c r="F92" s="3142" t="s">
        <v>2553</v>
      </c>
      <c r="G92" s="3131"/>
      <c r="H92" s="3131"/>
      <c r="I92" s="3131"/>
      <c r="J92" s="3131"/>
      <c r="K92" s="3131"/>
      <c r="L92" s="3534" t="s">
        <v>6480</v>
      </c>
      <c r="M92" s="1714">
        <v>1250</v>
      </c>
      <c r="N92" s="1857">
        <f t="shared" si="6"/>
        <v>1.2500000000000001E-2</v>
      </c>
      <c r="O92" s="1714">
        <v>2874</v>
      </c>
      <c r="P92" s="3133">
        <f t="shared" si="7"/>
        <v>35.925000000000004</v>
      </c>
      <c r="Q92" s="3347" t="s">
        <v>6505</v>
      </c>
      <c r="R92" s="3134">
        <f>'Abs19. NPCDCS'!Q49</f>
        <v>0</v>
      </c>
      <c r="S92" s="3150">
        <f>'Abs19. NPCDCS'!R49</f>
        <v>0</v>
      </c>
    </row>
    <row r="93" spans="1:19" ht="44.25" customHeight="1">
      <c r="A93" s="3163">
        <v>4</v>
      </c>
      <c r="B93" s="3129" t="s">
        <v>2856</v>
      </c>
      <c r="C93" s="3151"/>
      <c r="D93" s="1331" t="s">
        <v>1349</v>
      </c>
      <c r="E93" s="1285" t="s">
        <v>85</v>
      </c>
      <c r="F93" s="3142" t="s">
        <v>415</v>
      </c>
      <c r="G93" s="3131"/>
      <c r="H93" s="3131"/>
      <c r="I93" s="3131"/>
      <c r="J93" s="3131"/>
      <c r="K93" s="3131"/>
      <c r="L93" s="3533"/>
      <c r="M93" s="1317"/>
      <c r="N93" s="1857">
        <f t="shared" si="6"/>
        <v>0</v>
      </c>
      <c r="O93" s="1317"/>
      <c r="P93" s="3133">
        <f t="shared" si="7"/>
        <v>0</v>
      </c>
      <c r="Q93" s="3529"/>
      <c r="R93" s="3134">
        <f>'Abs19. NPCDCS'!Q50</f>
        <v>0</v>
      </c>
      <c r="S93" s="3150">
        <f>'Abs19. NPCDCS'!R50</f>
        <v>0</v>
      </c>
    </row>
    <row r="94" spans="1:19" ht="44.25" customHeight="1">
      <c r="A94" s="3167" t="s">
        <v>4664</v>
      </c>
      <c r="B94" s="3129" t="s">
        <v>3896</v>
      </c>
      <c r="C94" s="3151"/>
      <c r="D94" s="1331" t="s">
        <v>4527</v>
      </c>
      <c r="E94" s="1285" t="s">
        <v>85</v>
      </c>
      <c r="F94" s="3142" t="s">
        <v>312</v>
      </c>
      <c r="G94" s="3132"/>
      <c r="H94" s="3132"/>
      <c r="I94" s="3132"/>
      <c r="J94" s="3132"/>
      <c r="K94" s="3132"/>
      <c r="L94" s="3534"/>
      <c r="M94" s="1714">
        <v>1300</v>
      </c>
      <c r="N94" s="1857">
        <f t="shared" si="6"/>
        <v>1.2999999999999999E-2</v>
      </c>
      <c r="O94" s="1714">
        <v>542</v>
      </c>
      <c r="P94" s="3133">
        <f t="shared" si="7"/>
        <v>7.0459999999999994</v>
      </c>
      <c r="Q94" s="3606" t="s">
        <v>6506</v>
      </c>
      <c r="R94" s="3134">
        <f>'Abs24. NOHP'!Q13</f>
        <v>0</v>
      </c>
      <c r="S94" s="3150">
        <f>'Abs24. NOHP'!R13</f>
        <v>0</v>
      </c>
    </row>
    <row r="95" spans="1:19" ht="49.5" customHeight="1">
      <c r="A95" s="3167" t="s">
        <v>4665</v>
      </c>
      <c r="B95" s="3129" t="s">
        <v>3994</v>
      </c>
      <c r="C95" s="3151"/>
      <c r="D95" s="1331" t="s">
        <v>4526</v>
      </c>
      <c r="E95" s="1285" t="s">
        <v>85</v>
      </c>
      <c r="F95" s="3142" t="s">
        <v>4124</v>
      </c>
      <c r="G95" s="3132"/>
      <c r="H95" s="3132"/>
      <c r="I95" s="3132"/>
      <c r="J95" s="3132"/>
      <c r="K95" s="3132"/>
      <c r="L95" s="3534"/>
      <c r="M95" s="1714">
        <v>10000</v>
      </c>
      <c r="N95" s="1857">
        <f t="shared" si="6"/>
        <v>0.1</v>
      </c>
      <c r="O95" s="1714">
        <v>41</v>
      </c>
      <c r="P95" s="3133">
        <f t="shared" si="7"/>
        <v>4.1000000000000005</v>
      </c>
      <c r="Q95" s="3610" t="s">
        <v>6507</v>
      </c>
      <c r="R95" s="3134">
        <f>'Abs21. NPCCHH'!Q16</f>
        <v>0</v>
      </c>
      <c r="S95" s="3150">
        <f>'Abs21. NPCCHH'!R16</f>
        <v>0</v>
      </c>
    </row>
    <row r="96" spans="1:19" s="3156" customFormat="1" ht="75.75" customHeight="1">
      <c r="A96" s="3167" t="s">
        <v>4666</v>
      </c>
      <c r="B96" s="3151" t="s">
        <v>4534</v>
      </c>
      <c r="C96" s="3151"/>
      <c r="D96" s="1530" t="s">
        <v>4538</v>
      </c>
      <c r="E96" s="1285" t="s">
        <v>85</v>
      </c>
      <c r="F96" s="2306" t="s">
        <v>4536</v>
      </c>
      <c r="G96" s="3154"/>
      <c r="H96" s="3154"/>
      <c r="I96" s="3154"/>
      <c r="J96" s="3154"/>
      <c r="K96" s="3154"/>
      <c r="L96" s="3534">
        <v>1</v>
      </c>
      <c r="M96" s="1714">
        <v>2400000</v>
      </c>
      <c r="N96" s="1857">
        <f t="shared" si="6"/>
        <v>24</v>
      </c>
      <c r="O96" s="1714">
        <v>1</v>
      </c>
      <c r="P96" s="3155">
        <f t="shared" si="7"/>
        <v>24</v>
      </c>
      <c r="Q96" s="3601" t="s">
        <v>6752</v>
      </c>
      <c r="R96" s="3134">
        <f>'Abs20. PMNDP'!Q19</f>
        <v>0</v>
      </c>
      <c r="S96" s="2055">
        <f>'Abs20. PMNDP'!R19</f>
        <v>0</v>
      </c>
    </row>
    <row r="97" spans="1:19" ht="44.25" customHeight="1">
      <c r="A97" s="3167" t="s">
        <v>4774</v>
      </c>
      <c r="B97" s="1296">
        <v>11.11</v>
      </c>
      <c r="C97" s="1295" t="s">
        <v>1376</v>
      </c>
      <c r="D97" s="1296" t="s">
        <v>1374</v>
      </c>
      <c r="E97" s="1297"/>
      <c r="F97" s="1297"/>
      <c r="G97" s="2058"/>
      <c r="H97" s="2058"/>
      <c r="I97" s="2058"/>
      <c r="J97" s="2058"/>
      <c r="K97" s="2058"/>
      <c r="L97" s="1531"/>
      <c r="M97" s="1531"/>
      <c r="N97" s="1672"/>
      <c r="O97" s="2058"/>
      <c r="P97" s="1672">
        <f>P98+P99</f>
        <v>10</v>
      </c>
      <c r="Q97" s="1605"/>
      <c r="R97" s="3127"/>
      <c r="S97" s="1777">
        <f>S98+S99</f>
        <v>0</v>
      </c>
    </row>
    <row r="98" spans="1:19" ht="44.25" customHeight="1">
      <c r="A98" s="3163">
        <v>1</v>
      </c>
      <c r="B98" s="3129" t="s">
        <v>1393</v>
      </c>
      <c r="C98" s="1530"/>
      <c r="D98" s="1331" t="s">
        <v>5612</v>
      </c>
      <c r="E98" s="1285" t="s">
        <v>85</v>
      </c>
      <c r="F98" s="1727" t="s">
        <v>1020</v>
      </c>
      <c r="G98" s="3131"/>
      <c r="H98" s="3131"/>
      <c r="I98" s="3131"/>
      <c r="J98" s="3131"/>
      <c r="K98" s="3131"/>
      <c r="L98" s="3534" t="s">
        <v>6407</v>
      </c>
      <c r="M98" s="1714">
        <v>76923.076923076922</v>
      </c>
      <c r="N98" s="1857">
        <f>M98/100000</f>
        <v>0.76923076923076927</v>
      </c>
      <c r="O98" s="1714">
        <v>13</v>
      </c>
      <c r="P98" s="3133">
        <f>N98*O98</f>
        <v>10</v>
      </c>
      <c r="Q98" s="3606" t="s">
        <v>6598</v>
      </c>
      <c r="R98" s="3134">
        <f>'Abs22. NPPCD'!Q15</f>
        <v>0</v>
      </c>
      <c r="S98" s="2055">
        <f>'Abs22. NPPCD'!R15</f>
        <v>0</v>
      </c>
    </row>
    <row r="99" spans="1:19" ht="44.25" customHeight="1">
      <c r="A99" s="3163">
        <v>2</v>
      </c>
      <c r="B99" s="3151" t="s">
        <v>2641</v>
      </c>
      <c r="C99" s="1530"/>
      <c r="D99" s="1319" t="s">
        <v>2970</v>
      </c>
      <c r="E99" s="1285" t="s">
        <v>85</v>
      </c>
      <c r="F99" s="1697" t="s">
        <v>1020</v>
      </c>
      <c r="G99" s="3171"/>
      <c r="H99" s="3171"/>
      <c r="I99" s="3171"/>
      <c r="J99" s="3171"/>
      <c r="K99" s="3171"/>
      <c r="L99" s="3534"/>
      <c r="M99" s="1317"/>
      <c r="N99" s="1857">
        <f>M99/100000</f>
        <v>0</v>
      </c>
      <c r="O99" s="1317"/>
      <c r="P99" s="3155">
        <f>N99*O99</f>
        <v>0</v>
      </c>
      <c r="Q99" s="3532"/>
      <c r="R99" s="3134">
        <f>'Abs22. NPPCD'!Q16</f>
        <v>0</v>
      </c>
      <c r="S99" s="2055">
        <f>'Abs22. NPPCD'!R16</f>
        <v>0</v>
      </c>
    </row>
    <row r="100" spans="1:19" ht="44.25" customHeight="1">
      <c r="A100" s="3167" t="s">
        <v>4917</v>
      </c>
      <c r="B100" s="1296">
        <v>11.12</v>
      </c>
      <c r="C100" s="1295"/>
      <c r="D100" s="1296" t="s">
        <v>1377</v>
      </c>
      <c r="E100" s="1297"/>
      <c r="F100" s="1297"/>
      <c r="G100" s="2058"/>
      <c r="H100" s="2058"/>
      <c r="I100" s="2058"/>
      <c r="J100" s="2058"/>
      <c r="K100" s="2058"/>
      <c r="L100" s="1531"/>
      <c r="M100" s="1531"/>
      <c r="N100" s="1672"/>
      <c r="O100" s="2058"/>
      <c r="P100" s="1672">
        <f>SUM(P101:P103)</f>
        <v>0</v>
      </c>
      <c r="Q100" s="1605"/>
      <c r="R100" s="3127"/>
      <c r="S100" s="1777">
        <f>SUM(S101:S103)</f>
        <v>0</v>
      </c>
    </row>
    <row r="101" spans="1:19" ht="44.25" customHeight="1">
      <c r="A101" s="3163">
        <v>1</v>
      </c>
      <c r="B101" s="3129" t="s">
        <v>1407</v>
      </c>
      <c r="C101" s="1331" t="s">
        <v>1379</v>
      </c>
      <c r="D101" s="1331" t="s">
        <v>1380</v>
      </c>
      <c r="E101" s="1285" t="s">
        <v>85</v>
      </c>
      <c r="F101" s="3142" t="s">
        <v>314</v>
      </c>
      <c r="G101" s="3131"/>
      <c r="H101" s="3131"/>
      <c r="I101" s="3131"/>
      <c r="J101" s="3131"/>
      <c r="K101" s="3131"/>
      <c r="L101" s="3533"/>
      <c r="M101" s="1317"/>
      <c r="N101" s="1857">
        <f>M101/100000</f>
        <v>0</v>
      </c>
      <c r="O101" s="1317"/>
      <c r="P101" s="3133">
        <f>N101*O101</f>
        <v>0</v>
      </c>
      <c r="Q101" s="3530"/>
      <c r="R101" s="3134">
        <f>'Abs25. NPPC'!Q17</f>
        <v>0</v>
      </c>
      <c r="S101" s="3150">
        <f>'Abs25. NPPC'!R17</f>
        <v>0</v>
      </c>
    </row>
    <row r="102" spans="1:19" ht="44.25" customHeight="1">
      <c r="A102" s="3163">
        <v>2</v>
      </c>
      <c r="B102" s="3129" t="s">
        <v>2511</v>
      </c>
      <c r="C102" s="1331" t="s">
        <v>1382</v>
      </c>
      <c r="D102" s="1331" t="s">
        <v>1383</v>
      </c>
      <c r="E102" s="1285" t="s">
        <v>85</v>
      </c>
      <c r="F102" s="3142" t="s">
        <v>314</v>
      </c>
      <c r="G102" s="3131"/>
      <c r="H102" s="3131"/>
      <c r="I102" s="3131"/>
      <c r="J102" s="3131"/>
      <c r="K102" s="3131"/>
      <c r="L102" s="3533"/>
      <c r="M102" s="1317"/>
      <c r="N102" s="1857">
        <f>M102/100000</f>
        <v>0</v>
      </c>
      <c r="O102" s="1317"/>
      <c r="P102" s="3133">
        <f>N102*O102</f>
        <v>0</v>
      </c>
      <c r="Q102" s="3530"/>
      <c r="R102" s="3134">
        <f>'Abs25. NPPC'!Q18</f>
        <v>0</v>
      </c>
      <c r="S102" s="3150">
        <f>'Abs25. NPPC'!R18</f>
        <v>0</v>
      </c>
    </row>
    <row r="103" spans="1:19" ht="44.25" customHeight="1">
      <c r="A103" s="3163">
        <v>3</v>
      </c>
      <c r="B103" s="3129" t="s">
        <v>2642</v>
      </c>
      <c r="C103" s="1530"/>
      <c r="D103" s="1331" t="s">
        <v>1349</v>
      </c>
      <c r="E103" s="1285" t="s">
        <v>85</v>
      </c>
      <c r="F103" s="3142" t="s">
        <v>314</v>
      </c>
      <c r="G103" s="3131"/>
      <c r="H103" s="3131"/>
      <c r="I103" s="3131"/>
      <c r="J103" s="3131"/>
      <c r="K103" s="3131"/>
      <c r="L103" s="3533"/>
      <c r="M103" s="1317"/>
      <c r="N103" s="1857">
        <f>M103/100000</f>
        <v>0</v>
      </c>
      <c r="O103" s="1317"/>
      <c r="P103" s="3133">
        <f>N103*O103</f>
        <v>0</v>
      </c>
      <c r="Q103" s="3529"/>
      <c r="R103" s="3134">
        <f>'Abs25. NPPC'!Q19</f>
        <v>0</v>
      </c>
      <c r="S103" s="3150">
        <f>'Abs25. NPPC'!R19</f>
        <v>0</v>
      </c>
    </row>
    <row r="104" spans="1:19" ht="44.25" customHeight="1">
      <c r="A104" s="3167" t="s">
        <v>4918</v>
      </c>
      <c r="B104" s="1296">
        <v>11.13</v>
      </c>
      <c r="C104" s="1295"/>
      <c r="D104" s="1296" t="s">
        <v>1384</v>
      </c>
      <c r="E104" s="1297"/>
      <c r="F104" s="1297"/>
      <c r="G104" s="2058"/>
      <c r="H104" s="2058"/>
      <c r="I104" s="2058"/>
      <c r="J104" s="2058"/>
      <c r="K104" s="2058"/>
      <c r="L104" s="1531"/>
      <c r="M104" s="1531"/>
      <c r="N104" s="1672"/>
      <c r="O104" s="2058"/>
      <c r="P104" s="1672">
        <f>P105+P106</f>
        <v>7.5</v>
      </c>
      <c r="Q104" s="1605"/>
      <c r="R104" s="3127"/>
      <c r="S104" s="1777">
        <f>S105+S106</f>
        <v>0</v>
      </c>
    </row>
    <row r="105" spans="1:19" ht="44.25" customHeight="1">
      <c r="A105" s="3163">
        <v>1</v>
      </c>
      <c r="B105" s="3129" t="s">
        <v>2512</v>
      </c>
      <c r="C105" s="1331" t="s">
        <v>1386</v>
      </c>
      <c r="D105" s="1331" t="s">
        <v>1387</v>
      </c>
      <c r="E105" s="1285" t="s">
        <v>85</v>
      </c>
      <c r="F105" s="1727" t="s">
        <v>1034</v>
      </c>
      <c r="G105" s="3131"/>
      <c r="H105" s="3131"/>
      <c r="I105" s="3131"/>
      <c r="J105" s="3131"/>
      <c r="K105" s="3131"/>
      <c r="L105" s="3534" t="s">
        <v>6407</v>
      </c>
      <c r="M105" s="1714">
        <v>62500</v>
      </c>
      <c r="N105" s="1857">
        <f>M105/100000</f>
        <v>0.625</v>
      </c>
      <c r="O105" s="1714">
        <v>12</v>
      </c>
      <c r="P105" s="3133">
        <f>N105*O105</f>
        <v>7.5</v>
      </c>
      <c r="Q105" s="3610" t="s">
        <v>6599</v>
      </c>
      <c r="R105" s="3134">
        <f>'Abs23. NPPCF'!Q15</f>
        <v>0</v>
      </c>
      <c r="S105" s="3150">
        <f>'Abs23. NPPCF'!R15</f>
        <v>0</v>
      </c>
    </row>
    <row r="106" spans="1:19" ht="44.25" customHeight="1">
      <c r="A106" s="3163">
        <v>2</v>
      </c>
      <c r="B106" s="3129" t="s">
        <v>2643</v>
      </c>
      <c r="C106" s="1530"/>
      <c r="D106" s="1331" t="s">
        <v>1349</v>
      </c>
      <c r="E106" s="1285" t="s">
        <v>85</v>
      </c>
      <c r="F106" s="1727" t="s">
        <v>1034</v>
      </c>
      <c r="G106" s="3131"/>
      <c r="H106" s="3131"/>
      <c r="I106" s="3131"/>
      <c r="J106" s="3131"/>
      <c r="K106" s="3131"/>
      <c r="L106" s="3533"/>
      <c r="M106" s="1317"/>
      <c r="N106" s="1857">
        <f>M106/100000</f>
        <v>0</v>
      </c>
      <c r="O106" s="1317"/>
      <c r="P106" s="3133">
        <f>N106*O106</f>
        <v>0</v>
      </c>
      <c r="Q106" s="3529"/>
      <c r="R106" s="3134">
        <f>'Abs23. NPPCF'!Q16</f>
        <v>0</v>
      </c>
      <c r="S106" s="3150">
        <f>'Abs23. NPPCF'!R16</f>
        <v>0</v>
      </c>
    </row>
    <row r="107" spans="1:19">
      <c r="C107" s="3178"/>
    </row>
  </sheetData>
  <sheetProtection sheet="1" formatCells="0" formatColumns="0" formatRows="0" autoFilter="0"/>
  <autoFilter ref="A4:BE106">
    <filterColumn colId="1" showButton="0"/>
    <filterColumn colId="5"/>
  </autoFilter>
  <mergeCells count="13">
    <mergeCell ref="A5:D5"/>
    <mergeCell ref="A35:D35"/>
    <mergeCell ref="A56:D56"/>
    <mergeCell ref="A76:D76"/>
    <mergeCell ref="A1:D1"/>
    <mergeCell ref="A3:A4"/>
    <mergeCell ref="B3:C4"/>
    <mergeCell ref="L3:Q3"/>
    <mergeCell ref="R3:S3"/>
    <mergeCell ref="G3:K3"/>
    <mergeCell ref="D3:D4"/>
    <mergeCell ref="E3:E4"/>
    <mergeCell ref="F3:F4"/>
  </mergeCells>
  <phoneticPr fontId="27" type="noConversion"/>
  <pageMargins left="0.7" right="0.32" top="0.35" bottom="0.16" header="0.3" footer="0.3"/>
  <pageSetup paperSize="5" scale="70" orientation="landscape" r:id="rId1"/>
</worksheet>
</file>

<file path=xl/worksheets/sheet24.xml><?xml version="1.0" encoding="utf-8"?>
<worksheet xmlns="http://schemas.openxmlformats.org/spreadsheetml/2006/main" xmlns:r="http://schemas.openxmlformats.org/officeDocument/2006/relationships">
  <dimension ref="A1:BA45"/>
  <sheetViews>
    <sheetView zoomScale="70" zoomScaleNormal="70" workbookViewId="0">
      <pane xSplit="5" ySplit="7" topLeftCell="J8" activePane="bottomRight" state="frozen"/>
      <selection activeCell="Q172" sqref="A1:BE179"/>
      <selection pane="topRight" activeCell="Q172" sqref="A1:BE179"/>
      <selection pane="bottomLeft" activeCell="Q172" sqref="A1:BE179"/>
      <selection pane="bottomRight" activeCell="P30" sqref="P30"/>
    </sheetView>
  </sheetViews>
  <sheetFormatPr defaultColWidth="48.85546875" defaultRowHeight="15"/>
  <cols>
    <col min="1" max="1" width="10.140625" style="801" bestFit="1" customWidth="1"/>
    <col min="2" max="2" width="16.5703125" style="801" bestFit="1" customWidth="1"/>
    <col min="3" max="3" width="36.5703125" style="802" bestFit="1" customWidth="1"/>
    <col min="4" max="4" width="9.5703125" style="801" customWidth="1"/>
    <col min="5" max="5" width="22.42578125" style="801" bestFit="1" customWidth="1"/>
    <col min="6" max="6" width="15.140625" style="791" customWidth="1"/>
    <col min="7" max="7" width="19.85546875" style="791" customWidth="1"/>
    <col min="8" max="9" width="15.140625" style="791" customWidth="1"/>
    <col min="10" max="10" width="17" style="791" customWidth="1"/>
    <col min="11" max="11" width="9.140625" style="803" customWidth="1"/>
    <col min="12" max="12" width="9.85546875" style="791" bestFit="1" customWidth="1"/>
    <col min="13" max="13" width="12.140625" style="804" bestFit="1" customWidth="1"/>
    <col min="14" max="14" width="10.5703125" style="791" bestFit="1" customWidth="1"/>
    <col min="15" max="15" width="12.140625" style="804" bestFit="1" customWidth="1"/>
    <col min="16" max="16" width="45.5703125" style="805" customWidth="1"/>
    <col min="17" max="17" width="40.42578125" style="805" customWidth="1"/>
    <col min="18" max="18" width="11.140625" style="804" customWidth="1"/>
    <col min="19" max="19" width="6.140625" style="791" bestFit="1" customWidth="1"/>
    <col min="20" max="20" width="3.7109375" style="791" bestFit="1" customWidth="1"/>
    <col min="21" max="22" width="5.5703125" style="791" bestFit="1" customWidth="1"/>
    <col min="23" max="23" width="3.85546875" style="791" bestFit="1" customWidth="1"/>
    <col min="24" max="24" width="4.5703125" style="791" bestFit="1" customWidth="1"/>
    <col min="25" max="25" width="6.140625" style="791" bestFit="1" customWidth="1"/>
    <col min="26" max="26" width="7.5703125" style="791" bestFit="1" customWidth="1"/>
    <col min="27" max="27" width="4.140625" style="791" bestFit="1" customWidth="1"/>
    <col min="28" max="28" width="8.140625" style="791" bestFit="1" customWidth="1"/>
    <col min="29" max="30" width="4.140625" style="791" bestFit="1" customWidth="1"/>
    <col min="31" max="31" width="12" style="791" bestFit="1" customWidth="1"/>
    <col min="32" max="32" width="5.5703125" style="791" bestFit="1" customWidth="1"/>
    <col min="33" max="33" width="7.42578125" style="791" bestFit="1" customWidth="1"/>
    <col min="34" max="34" width="7" style="791" bestFit="1" customWidth="1"/>
    <col min="35" max="35" width="5.5703125" style="791" bestFit="1" customWidth="1"/>
    <col min="36" max="36" width="8" style="791" bestFit="1" customWidth="1"/>
    <col min="37" max="37" width="5.5703125" style="791" bestFit="1" customWidth="1"/>
    <col min="38" max="38" width="5.42578125" style="791" bestFit="1" customWidth="1"/>
    <col min="39" max="39" width="6.85546875" style="791" bestFit="1" customWidth="1"/>
    <col min="40" max="42" width="5.5703125" style="791" bestFit="1" customWidth="1"/>
    <col min="43" max="43" width="6.42578125" style="791" bestFit="1" customWidth="1"/>
    <col min="44" max="44" width="6.7109375" style="791" bestFit="1" customWidth="1"/>
    <col min="45" max="45" width="5.42578125" style="791" bestFit="1" customWidth="1"/>
    <col min="46" max="46" width="7.7109375" style="791" bestFit="1" customWidth="1"/>
    <col min="47" max="47" width="7.42578125" style="791" bestFit="1" customWidth="1"/>
    <col min="48" max="48" width="8" style="791" bestFit="1" customWidth="1"/>
    <col min="49" max="49" width="6" style="791" bestFit="1" customWidth="1"/>
    <col min="50" max="50" width="5.42578125" style="791" bestFit="1" customWidth="1"/>
    <col min="51" max="51" width="6.42578125" style="791" bestFit="1" customWidth="1"/>
    <col min="52" max="52" width="6.7109375" style="791" bestFit="1" customWidth="1"/>
    <col min="53" max="53" width="7.7109375" style="791" bestFit="1" customWidth="1"/>
    <col min="54" max="16384" width="48.85546875" style="791"/>
  </cols>
  <sheetData>
    <row r="1" spans="1:53" s="778" customFormat="1" ht="13.5" customHeight="1">
      <c r="A1" s="4476" t="s">
        <v>1449</v>
      </c>
      <c r="B1" s="4477"/>
      <c r="C1" s="4478"/>
      <c r="D1" s="616"/>
      <c r="E1" s="4400" t="s">
        <v>4709</v>
      </c>
      <c r="F1" s="4479" t="s">
        <v>4707</v>
      </c>
      <c r="G1" s="4479"/>
      <c r="H1" s="4479"/>
      <c r="I1" s="4479"/>
      <c r="J1" s="4479"/>
      <c r="K1" s="4479"/>
      <c r="L1" s="4479"/>
      <c r="M1" s="4479"/>
      <c r="N1" s="4479"/>
      <c r="O1" s="4480" t="s">
        <v>70</v>
      </c>
      <c r="P1" s="4480"/>
      <c r="Q1" s="4480"/>
      <c r="R1" s="4480"/>
      <c r="S1" s="4480"/>
      <c r="T1" s="4480"/>
      <c r="U1" s="4480"/>
      <c r="V1" s="4480"/>
      <c r="W1" s="4480"/>
      <c r="X1" s="4480"/>
      <c r="Y1" s="4480"/>
      <c r="Z1" s="4480"/>
      <c r="AA1" s="4480"/>
      <c r="AB1" s="4480"/>
      <c r="AC1" s="4480"/>
      <c r="AD1" s="4480"/>
      <c r="AE1" s="4480"/>
      <c r="AF1" s="4480"/>
      <c r="AG1" s="4480"/>
      <c r="AH1" s="4480"/>
      <c r="AI1" s="4481" t="s">
        <v>4358</v>
      </c>
      <c r="AJ1" s="4481"/>
      <c r="AK1" s="4481"/>
      <c r="AL1" s="4481"/>
      <c r="AM1" s="4481"/>
      <c r="AN1" s="4481"/>
      <c r="AO1" s="4481"/>
      <c r="AP1" s="4472" t="s">
        <v>85</v>
      </c>
      <c r="AQ1" s="4472"/>
      <c r="AR1" s="4472"/>
      <c r="AS1" s="4472"/>
      <c r="AT1" s="4472"/>
      <c r="AU1" s="4472"/>
      <c r="AV1" s="4472"/>
      <c r="AW1" s="4472"/>
      <c r="AX1" s="4472"/>
      <c r="AY1" s="4472"/>
      <c r="AZ1" s="4472"/>
      <c r="BA1" s="4472"/>
    </row>
    <row r="2" spans="1:53" s="779" customFormat="1" ht="30">
      <c r="A2" s="4473" t="str">
        <f>HYPERLINK("#Index!A4", "Index Pg")</f>
        <v>Index Pg</v>
      </c>
      <c r="B2" s="681" t="str">
        <f>HYPERLINK("#'Summary of Abstracts'!A2", "Summary of Abst.")</f>
        <v>Summary of Abst.</v>
      </c>
      <c r="C2" s="400"/>
      <c r="D2" s="618"/>
      <c r="E2" s="4400"/>
      <c r="F2" s="455" t="s">
        <v>118</v>
      </c>
      <c r="G2" s="455" t="s">
        <v>131</v>
      </c>
      <c r="H2" s="455" t="s">
        <v>91</v>
      </c>
      <c r="I2" s="455" t="s">
        <v>4705</v>
      </c>
      <c r="J2" s="455" t="s">
        <v>96</v>
      </c>
      <c r="K2" s="619" t="s">
        <v>4064</v>
      </c>
      <c r="L2" s="456" t="s">
        <v>4706</v>
      </c>
      <c r="M2" s="455" t="s">
        <v>4710</v>
      </c>
      <c r="N2" s="456" t="s">
        <v>208</v>
      </c>
      <c r="O2" s="457" t="s">
        <v>4357</v>
      </c>
      <c r="P2" s="458" t="s">
        <v>3848</v>
      </c>
      <c r="Q2" s="458" t="s">
        <v>4719</v>
      </c>
      <c r="R2" s="458" t="s">
        <v>4716</v>
      </c>
      <c r="S2" s="458" t="s">
        <v>4717</v>
      </c>
      <c r="T2" s="458" t="s">
        <v>4718</v>
      </c>
      <c r="U2" s="458" t="s">
        <v>4720</v>
      </c>
      <c r="V2" s="458" t="s">
        <v>4695</v>
      </c>
      <c r="W2" s="458" t="s">
        <v>4721</v>
      </c>
      <c r="X2" s="458" t="s">
        <v>33</v>
      </c>
      <c r="Y2" s="458" t="s">
        <v>4722</v>
      </c>
      <c r="Z2" s="458" t="s">
        <v>4723</v>
      </c>
      <c r="AA2" s="458" t="s">
        <v>4713</v>
      </c>
      <c r="AB2" s="458" t="s">
        <v>742</v>
      </c>
      <c r="AC2" s="458" t="s">
        <v>4714</v>
      </c>
      <c r="AD2" s="458" t="s">
        <v>4715</v>
      </c>
      <c r="AE2" s="458" t="s">
        <v>2379</v>
      </c>
      <c r="AF2" s="458" t="s">
        <v>4724</v>
      </c>
      <c r="AG2" s="458" t="s">
        <v>3847</v>
      </c>
      <c r="AH2" s="458" t="s">
        <v>307</v>
      </c>
      <c r="AI2" s="459" t="s">
        <v>293</v>
      </c>
      <c r="AJ2" s="459" t="s">
        <v>114</v>
      </c>
      <c r="AK2" s="459" t="s">
        <v>146</v>
      </c>
      <c r="AL2" s="459" t="s">
        <v>4674</v>
      </c>
      <c r="AM2" s="459" t="s">
        <v>3316</v>
      </c>
      <c r="AN2" s="459" t="s">
        <v>3986</v>
      </c>
      <c r="AO2" s="459" t="s">
        <v>4544</v>
      </c>
      <c r="AP2" s="613" t="s">
        <v>86</v>
      </c>
      <c r="AQ2" s="613" t="s">
        <v>150</v>
      </c>
      <c r="AR2" s="613" t="s">
        <v>399</v>
      </c>
      <c r="AS2" s="613" t="s">
        <v>152</v>
      </c>
      <c r="AT2" s="613" t="s">
        <v>415</v>
      </c>
      <c r="AU2" s="613" t="s">
        <v>4598</v>
      </c>
      <c r="AV2" s="613" t="s">
        <v>4124</v>
      </c>
      <c r="AW2" s="613" t="s">
        <v>312</v>
      </c>
      <c r="AX2" s="613" t="s">
        <v>314</v>
      </c>
      <c r="AY2" s="613" t="s">
        <v>1034</v>
      </c>
      <c r="AZ2" s="613" t="s">
        <v>1020</v>
      </c>
      <c r="BA2" s="613" t="s">
        <v>4708</v>
      </c>
    </row>
    <row r="3" spans="1:53" s="779" customFormat="1" ht="30">
      <c r="A3" s="4474"/>
      <c r="B3" s="780" t="str">
        <f>HYPERLINK("#'Budget Summary I'!A1:AL1", "Budget Summary I")</f>
        <v>Budget Summary I</v>
      </c>
      <c r="C3" s="483" t="s">
        <v>4599</v>
      </c>
      <c r="D3" s="618"/>
      <c r="E3" s="699">
        <f>R7</f>
        <v>0</v>
      </c>
      <c r="F3" s="483">
        <f>R9</f>
        <v>0</v>
      </c>
      <c r="G3" s="483">
        <f>R10</f>
        <v>0</v>
      </c>
      <c r="H3" s="483">
        <f>R11</f>
        <v>0</v>
      </c>
      <c r="I3" s="483">
        <f>R12</f>
        <v>0</v>
      </c>
      <c r="J3" s="483">
        <f>R13</f>
        <v>0</v>
      </c>
      <c r="K3" s="483">
        <f>R15</f>
        <v>0</v>
      </c>
      <c r="L3" s="483">
        <f>R14</f>
        <v>0</v>
      </c>
      <c r="M3" s="483"/>
      <c r="N3" s="483"/>
      <c r="O3" s="483">
        <f>R21</f>
        <v>0</v>
      </c>
      <c r="P3" s="483">
        <f>R18</f>
        <v>0</v>
      </c>
      <c r="Q3" s="483"/>
      <c r="R3" s="483"/>
      <c r="S3" s="483"/>
      <c r="T3" s="483"/>
      <c r="U3" s="483">
        <f>R23</f>
        <v>0</v>
      </c>
      <c r="V3" s="781"/>
      <c r="W3" s="483"/>
      <c r="X3" s="483"/>
      <c r="Y3" s="483"/>
      <c r="Z3" s="483"/>
      <c r="AA3" s="483"/>
      <c r="AB3" s="483"/>
      <c r="AC3" s="483"/>
      <c r="AD3" s="483"/>
      <c r="AE3" s="483">
        <f>R20</f>
        <v>0</v>
      </c>
      <c r="AF3" s="483">
        <f>R19</f>
        <v>0</v>
      </c>
      <c r="AG3" s="483"/>
      <c r="AH3" s="483">
        <f>R17+R22+R24</f>
        <v>0</v>
      </c>
      <c r="AI3" s="483">
        <f>R30</f>
        <v>0</v>
      </c>
      <c r="AJ3" s="483">
        <f>R26</f>
        <v>0</v>
      </c>
      <c r="AK3" s="483">
        <f>R27</f>
        <v>0</v>
      </c>
      <c r="AL3" s="483">
        <f>R28</f>
        <v>0</v>
      </c>
      <c r="AM3" s="483">
        <f>R29</f>
        <v>0</v>
      </c>
      <c r="AN3" s="483">
        <f>R31</f>
        <v>0</v>
      </c>
      <c r="AO3" s="483">
        <f>R32</f>
        <v>0</v>
      </c>
      <c r="AP3" s="483">
        <f>R34</f>
        <v>0</v>
      </c>
      <c r="AQ3" s="483">
        <f>R35</f>
        <v>0</v>
      </c>
      <c r="AR3" s="483">
        <f>R36</f>
        <v>0</v>
      </c>
      <c r="AS3" s="483">
        <f>R37</f>
        <v>0</v>
      </c>
      <c r="AT3" s="483">
        <f>R38</f>
        <v>0</v>
      </c>
      <c r="AU3" s="483">
        <f>R39</f>
        <v>0</v>
      </c>
      <c r="AV3" s="483">
        <f>R40</f>
        <v>0</v>
      </c>
      <c r="AW3" s="483">
        <f>R43</f>
        <v>0</v>
      </c>
      <c r="AX3" s="483">
        <f>R44</f>
        <v>0</v>
      </c>
      <c r="AY3" s="483">
        <f>R42</f>
        <v>0</v>
      </c>
      <c r="AZ3" s="483">
        <f>R41</f>
        <v>0</v>
      </c>
      <c r="BA3" s="483">
        <f>R45</f>
        <v>0</v>
      </c>
    </row>
    <row r="4" spans="1:53" s="779" customFormat="1" ht="30">
      <c r="A4" s="4475"/>
      <c r="B4" s="780" t="str">
        <f>HYPERLINK("#'Budget Summary II'!A3:B5", "Budget Summary II")</f>
        <v>Budget Summary II</v>
      </c>
      <c r="C4" s="483" t="s">
        <v>4600</v>
      </c>
      <c r="D4" s="618"/>
      <c r="E4" s="699">
        <f>O7</f>
        <v>3705.2656358850368</v>
      </c>
      <c r="F4" s="483">
        <f>O9</f>
        <v>841.22730268747398</v>
      </c>
      <c r="G4" s="483">
        <f>O10</f>
        <v>698.74327493437499</v>
      </c>
      <c r="H4" s="483">
        <f>O11</f>
        <v>135</v>
      </c>
      <c r="I4" s="483">
        <f>O12</f>
        <v>393.33100000000002</v>
      </c>
      <c r="J4" s="483">
        <f>O13</f>
        <v>444.15748077618753</v>
      </c>
      <c r="K4" s="483">
        <f>O15</f>
        <v>0</v>
      </c>
      <c r="L4" s="483">
        <f>O14</f>
        <v>640</v>
      </c>
      <c r="M4" s="483"/>
      <c r="N4" s="483"/>
      <c r="O4" s="483">
        <f>O21</f>
        <v>159.47999999999999</v>
      </c>
      <c r="P4" s="483">
        <f>O18</f>
        <v>0</v>
      </c>
      <c r="Q4" s="483"/>
      <c r="R4" s="483"/>
      <c r="S4" s="483"/>
      <c r="T4" s="483"/>
      <c r="U4" s="483">
        <f>O23</f>
        <v>0</v>
      </c>
      <c r="V4" s="781"/>
      <c r="W4" s="483"/>
      <c r="X4" s="483"/>
      <c r="Y4" s="483"/>
      <c r="Z4" s="483"/>
      <c r="AA4" s="483"/>
      <c r="AB4" s="483"/>
      <c r="AC4" s="483"/>
      <c r="AD4" s="483"/>
      <c r="AE4" s="483">
        <f>O20</f>
        <v>15.120000000000001</v>
      </c>
      <c r="AF4" s="483">
        <f>O19</f>
        <v>6</v>
      </c>
      <c r="AG4" s="483"/>
      <c r="AH4" s="483">
        <f>O17+O22+O24</f>
        <v>6.1056774870000012</v>
      </c>
      <c r="AI4" s="483">
        <f>O30</f>
        <v>3.8000000000000003</v>
      </c>
      <c r="AJ4" s="483">
        <f>O26</f>
        <v>43.999839999999999</v>
      </c>
      <c r="AK4" s="483">
        <f>O27</f>
        <v>7.6</v>
      </c>
      <c r="AL4" s="483">
        <f>O28</f>
        <v>46.68</v>
      </c>
      <c r="AM4" s="483">
        <f>O29</f>
        <v>5</v>
      </c>
      <c r="AN4" s="483">
        <f>O31</f>
        <v>0</v>
      </c>
      <c r="AO4" s="483">
        <f>O32</f>
        <v>0</v>
      </c>
      <c r="AP4" s="483">
        <f>O34</f>
        <v>0</v>
      </c>
      <c r="AQ4" s="483">
        <f>O35</f>
        <v>0</v>
      </c>
      <c r="AR4" s="483">
        <f>O36</f>
        <v>0</v>
      </c>
      <c r="AS4" s="483">
        <f>O37</f>
        <v>5</v>
      </c>
      <c r="AT4" s="483">
        <f>O38</f>
        <v>254.02106000000001</v>
      </c>
      <c r="AU4" s="483">
        <f>O39</f>
        <v>0</v>
      </c>
      <c r="AV4" s="483">
        <f>O40</f>
        <v>0</v>
      </c>
      <c r="AW4" s="483">
        <f>O43</f>
        <v>0</v>
      </c>
      <c r="AX4" s="483">
        <f>O44</f>
        <v>0</v>
      </c>
      <c r="AY4" s="483">
        <f>O42</f>
        <v>0</v>
      </c>
      <c r="AZ4" s="483">
        <f>O41</f>
        <v>0</v>
      </c>
      <c r="BA4" s="483">
        <f>O45</f>
        <v>0</v>
      </c>
    </row>
    <row r="5" spans="1:53" s="755" customFormat="1" ht="12.75" customHeight="1">
      <c r="A5" s="4323" t="s">
        <v>53</v>
      </c>
      <c r="B5" s="4323" t="s">
        <v>54</v>
      </c>
      <c r="C5" s="4323" t="s">
        <v>55</v>
      </c>
      <c r="D5" s="4323" t="s">
        <v>56</v>
      </c>
      <c r="E5" s="4323" t="s">
        <v>57</v>
      </c>
      <c r="F5" s="4409" t="s">
        <v>4620</v>
      </c>
      <c r="G5" s="4409"/>
      <c r="H5" s="4409"/>
      <c r="I5" s="4409"/>
      <c r="J5" s="4409"/>
      <c r="K5" s="4409" t="s">
        <v>4631</v>
      </c>
      <c r="L5" s="4409"/>
      <c r="M5" s="4409"/>
      <c r="N5" s="4409"/>
      <c r="O5" s="4409"/>
      <c r="P5" s="4409"/>
      <c r="Q5" s="4323" t="s">
        <v>4661</v>
      </c>
      <c r="R5" s="4323"/>
    </row>
    <row r="6" spans="1:53" s="635" customFormat="1" ht="45">
      <c r="A6" s="4323"/>
      <c r="B6" s="4323"/>
      <c r="C6" s="4323"/>
      <c r="D6" s="4323"/>
      <c r="E6" s="4323"/>
      <c r="F6" s="464" t="s">
        <v>4621</v>
      </c>
      <c r="G6" s="464" t="s">
        <v>4629</v>
      </c>
      <c r="H6" s="464" t="s">
        <v>4622</v>
      </c>
      <c r="I6" s="464" t="s">
        <v>4630</v>
      </c>
      <c r="J6" s="464" t="s">
        <v>2534</v>
      </c>
      <c r="K6" s="465" t="s">
        <v>58</v>
      </c>
      <c r="L6" s="465" t="s">
        <v>59</v>
      </c>
      <c r="M6" s="622" t="s">
        <v>60</v>
      </c>
      <c r="N6" s="465" t="s">
        <v>61</v>
      </c>
      <c r="O6" s="622" t="s">
        <v>62</v>
      </c>
      <c r="P6" s="465" t="s">
        <v>5564</v>
      </c>
      <c r="Q6" s="467" t="s">
        <v>2536</v>
      </c>
      <c r="R6" s="623" t="s">
        <v>4662</v>
      </c>
    </row>
    <row r="7" spans="1:53" s="640" customFormat="1">
      <c r="A7" s="756">
        <v>12</v>
      </c>
      <c r="B7" s="756"/>
      <c r="C7" s="231" t="s">
        <v>29</v>
      </c>
      <c r="D7" s="636"/>
      <c r="E7" s="636"/>
      <c r="F7" s="231"/>
      <c r="G7" s="231"/>
      <c r="H7" s="231"/>
      <c r="I7" s="231"/>
      <c r="J7" s="231"/>
      <c r="K7" s="231"/>
      <c r="L7" s="231"/>
      <c r="M7" s="782"/>
      <c r="N7" s="231"/>
      <c r="O7" s="233">
        <f>O8+O16+O25+O33</f>
        <v>3705.2656358850368</v>
      </c>
      <c r="P7" s="231"/>
      <c r="Q7" s="231"/>
      <c r="R7" s="233">
        <f>R8+R16+R25+R33</f>
        <v>0</v>
      </c>
    </row>
    <row r="8" spans="1:53">
      <c r="A8" s="783">
        <v>12.1</v>
      </c>
      <c r="B8" s="784"/>
      <c r="C8" s="785" t="s">
        <v>5189</v>
      </c>
      <c r="D8" s="784"/>
      <c r="E8" s="784"/>
      <c r="F8" s="786"/>
      <c r="G8" s="786"/>
      <c r="H8" s="786"/>
      <c r="I8" s="786"/>
      <c r="J8" s="786"/>
      <c r="K8" s="787"/>
      <c r="L8" s="786"/>
      <c r="M8" s="788"/>
      <c r="N8" s="786"/>
      <c r="O8" s="789">
        <f>SUM(O9:O15)</f>
        <v>3152.4590583980366</v>
      </c>
      <c r="P8" s="790"/>
      <c r="Q8" s="790"/>
      <c r="R8" s="789">
        <f>SUM(R9:R15)</f>
        <v>0</v>
      </c>
    </row>
    <row r="9" spans="1:53">
      <c r="A9" s="792" t="s">
        <v>1451</v>
      </c>
      <c r="B9" s="793">
        <v>12.1</v>
      </c>
      <c r="C9" s="794" t="s">
        <v>1450</v>
      </c>
      <c r="D9" s="795" t="s">
        <v>90</v>
      </c>
      <c r="E9" s="796" t="s">
        <v>118</v>
      </c>
      <c r="F9" s="228"/>
      <c r="G9" s="228"/>
      <c r="H9" s="228"/>
      <c r="I9" s="228"/>
      <c r="J9" s="228"/>
      <c r="K9" s="806"/>
      <c r="L9" s="228"/>
      <c r="M9" s="807"/>
      <c r="N9" s="228"/>
      <c r="O9" s="797">
        <f>'12-A. Print Sub-Annex'!P6</f>
        <v>841.22730268747398</v>
      </c>
      <c r="P9" s="811"/>
      <c r="Q9" s="798"/>
      <c r="R9" s="797">
        <f>'12-A. Print Sub-Annex'!S6</f>
        <v>0</v>
      </c>
    </row>
    <row r="10" spans="1:53">
      <c r="A10" s="792" t="s">
        <v>1453</v>
      </c>
      <c r="B10" s="793">
        <v>12.2</v>
      </c>
      <c r="C10" s="794" t="s">
        <v>1457</v>
      </c>
      <c r="D10" s="795" t="s">
        <v>90</v>
      </c>
      <c r="E10" s="793" t="s">
        <v>131</v>
      </c>
      <c r="F10" s="228"/>
      <c r="G10" s="228"/>
      <c r="H10" s="228"/>
      <c r="I10" s="228"/>
      <c r="J10" s="228"/>
      <c r="K10" s="806"/>
      <c r="L10" s="228"/>
      <c r="M10" s="807"/>
      <c r="N10" s="228"/>
      <c r="O10" s="797">
        <f>'12-A. Print Sub-Annex'!P12</f>
        <v>698.74327493437499</v>
      </c>
      <c r="P10" s="811"/>
      <c r="Q10" s="798"/>
      <c r="R10" s="797">
        <f>'12-A. Print Sub-Annex'!S12</f>
        <v>0</v>
      </c>
    </row>
    <row r="11" spans="1:53">
      <c r="A11" s="792" t="s">
        <v>1456</v>
      </c>
      <c r="B11" s="793">
        <v>12.3</v>
      </c>
      <c r="C11" s="794" t="s">
        <v>1476</v>
      </c>
      <c r="D11" s="795" t="s">
        <v>90</v>
      </c>
      <c r="E11" s="793" t="s">
        <v>91</v>
      </c>
      <c r="F11" s="228"/>
      <c r="G11" s="228"/>
      <c r="H11" s="228"/>
      <c r="I11" s="228"/>
      <c r="J11" s="228"/>
      <c r="K11" s="806"/>
      <c r="L11" s="228"/>
      <c r="M11" s="807"/>
      <c r="N11" s="228"/>
      <c r="O11" s="797">
        <f>'12-A. Print Sub-Annex'!P27</f>
        <v>135</v>
      </c>
      <c r="P11" s="811"/>
      <c r="Q11" s="798"/>
      <c r="R11" s="797">
        <f>'12-A. Print Sub-Annex'!S27</f>
        <v>0</v>
      </c>
    </row>
    <row r="12" spans="1:53">
      <c r="A12" s="792" t="s">
        <v>2460</v>
      </c>
      <c r="B12" s="793">
        <v>12.4</v>
      </c>
      <c r="C12" s="794" t="s">
        <v>1488</v>
      </c>
      <c r="D12" s="795" t="s">
        <v>90</v>
      </c>
      <c r="E12" s="793" t="s">
        <v>193</v>
      </c>
      <c r="F12" s="228"/>
      <c r="G12" s="228"/>
      <c r="H12" s="228"/>
      <c r="I12" s="228"/>
      <c r="J12" s="228"/>
      <c r="K12" s="806"/>
      <c r="L12" s="228"/>
      <c r="M12" s="807"/>
      <c r="N12" s="228"/>
      <c r="O12" s="797">
        <f>'12-A. Print Sub-Annex'!P33</f>
        <v>393.33100000000002</v>
      </c>
      <c r="P12" s="811"/>
      <c r="Q12" s="798"/>
      <c r="R12" s="797">
        <f>'12-A. Print Sub-Annex'!S33</f>
        <v>0</v>
      </c>
    </row>
    <row r="13" spans="1:53">
      <c r="A13" s="792" t="s">
        <v>2477</v>
      </c>
      <c r="B13" s="793">
        <v>12.5</v>
      </c>
      <c r="C13" s="794" t="s">
        <v>1497</v>
      </c>
      <c r="D13" s="795" t="s">
        <v>90</v>
      </c>
      <c r="E13" s="793" t="s">
        <v>96</v>
      </c>
      <c r="F13" s="228"/>
      <c r="G13" s="228"/>
      <c r="H13" s="228"/>
      <c r="I13" s="228"/>
      <c r="J13" s="228"/>
      <c r="K13" s="806"/>
      <c r="L13" s="228"/>
      <c r="M13" s="807"/>
      <c r="N13" s="228"/>
      <c r="O13" s="797">
        <f>'12-A. Print Sub-Annex'!P40</f>
        <v>444.15748077618753</v>
      </c>
      <c r="P13" s="811"/>
      <c r="Q13" s="798"/>
      <c r="R13" s="797">
        <f>'12-A. Print Sub-Annex'!S40</f>
        <v>0</v>
      </c>
    </row>
    <row r="14" spans="1:53">
      <c r="A14" s="792" t="s">
        <v>5206</v>
      </c>
      <c r="B14" s="793">
        <v>12.1</v>
      </c>
      <c r="C14" s="794" t="s">
        <v>1536</v>
      </c>
      <c r="D14" s="795" t="s">
        <v>90</v>
      </c>
      <c r="E14" s="793" t="s">
        <v>205</v>
      </c>
      <c r="F14" s="228"/>
      <c r="G14" s="228"/>
      <c r="H14" s="228"/>
      <c r="I14" s="228"/>
      <c r="J14" s="228"/>
      <c r="K14" s="806"/>
      <c r="L14" s="228"/>
      <c r="M14" s="807"/>
      <c r="N14" s="228"/>
      <c r="O14" s="797">
        <f>'12-A. Print Sub-Annex'!P47</f>
        <v>640</v>
      </c>
      <c r="P14" s="811"/>
      <c r="Q14" s="798"/>
      <c r="R14" s="797">
        <f>'12-A. Print Sub-Annex'!S47</f>
        <v>0</v>
      </c>
    </row>
    <row r="15" spans="1:53">
      <c r="A15" s="792" t="s">
        <v>5207</v>
      </c>
      <c r="B15" s="793">
        <v>12.18</v>
      </c>
      <c r="C15" s="794" t="s">
        <v>5203</v>
      </c>
      <c r="D15" s="795" t="s">
        <v>90</v>
      </c>
      <c r="E15" s="793" t="s">
        <v>4064</v>
      </c>
      <c r="F15" s="228"/>
      <c r="G15" s="228"/>
      <c r="H15" s="228"/>
      <c r="I15" s="228"/>
      <c r="J15" s="228"/>
      <c r="K15" s="806"/>
      <c r="L15" s="228"/>
      <c r="M15" s="807"/>
      <c r="N15" s="228"/>
      <c r="O15" s="797">
        <f>'12-A. Print Sub-Annex'!P50</f>
        <v>0</v>
      </c>
      <c r="P15" s="811"/>
      <c r="Q15" s="798"/>
      <c r="R15" s="797">
        <f>'12-A. Print Sub-Annex'!S50</f>
        <v>0</v>
      </c>
    </row>
    <row r="16" spans="1:53">
      <c r="A16" s="783">
        <v>12.2</v>
      </c>
      <c r="B16" s="784"/>
      <c r="C16" s="785" t="s">
        <v>5190</v>
      </c>
      <c r="D16" s="784"/>
      <c r="E16" s="784"/>
      <c r="F16" s="808"/>
      <c r="G16" s="808"/>
      <c r="H16" s="808"/>
      <c r="I16" s="808"/>
      <c r="J16" s="808"/>
      <c r="K16" s="809"/>
      <c r="L16" s="808"/>
      <c r="M16" s="810"/>
      <c r="N16" s="808"/>
      <c r="O16" s="789">
        <f>SUM(O17:O24)</f>
        <v>186.705677487</v>
      </c>
      <c r="P16" s="812"/>
      <c r="Q16" s="790"/>
      <c r="R16" s="789">
        <f>SUM(R17:R24)</f>
        <v>0</v>
      </c>
    </row>
    <row r="17" spans="1:18">
      <c r="A17" s="792" t="s">
        <v>1458</v>
      </c>
      <c r="B17" s="793">
        <v>12.6</v>
      </c>
      <c r="C17" s="794" t="s">
        <v>1514</v>
      </c>
      <c r="D17" s="457" t="s">
        <v>70</v>
      </c>
      <c r="E17" s="793" t="s">
        <v>70</v>
      </c>
      <c r="F17" s="228"/>
      <c r="G17" s="228"/>
      <c r="H17" s="228"/>
      <c r="I17" s="228"/>
      <c r="J17" s="228"/>
      <c r="K17" s="806"/>
      <c r="L17" s="228"/>
      <c r="M17" s="807"/>
      <c r="N17" s="228"/>
      <c r="O17" s="797">
        <f>'12-A. Print Sub-Annex'!P55</f>
        <v>6.1056774870000012</v>
      </c>
      <c r="P17" s="811"/>
      <c r="Q17" s="798"/>
      <c r="R17" s="797">
        <f>'12-A. Print Sub-Annex'!S55</f>
        <v>0</v>
      </c>
    </row>
    <row r="18" spans="1:18">
      <c r="A18" s="792" t="s">
        <v>1459</v>
      </c>
      <c r="B18" s="793">
        <v>12.7</v>
      </c>
      <c r="C18" s="794" t="s">
        <v>1518</v>
      </c>
      <c r="D18" s="457" t="s">
        <v>70</v>
      </c>
      <c r="E18" s="793" t="s">
        <v>4985</v>
      </c>
      <c r="F18" s="228"/>
      <c r="G18" s="228"/>
      <c r="H18" s="228"/>
      <c r="I18" s="228"/>
      <c r="J18" s="228"/>
      <c r="K18" s="806"/>
      <c r="L18" s="228"/>
      <c r="M18" s="807"/>
      <c r="N18" s="228"/>
      <c r="O18" s="797">
        <f>'12-A. Print Sub-Annex'!P58</f>
        <v>0</v>
      </c>
      <c r="P18" s="811"/>
      <c r="Q18" s="798"/>
      <c r="R18" s="797">
        <f>'12-A. Print Sub-Annex'!S58</f>
        <v>0</v>
      </c>
    </row>
    <row r="19" spans="1:18" ht="30">
      <c r="A19" s="792" t="s">
        <v>1460</v>
      </c>
      <c r="B19" s="793">
        <v>12.8</v>
      </c>
      <c r="C19" s="794" t="s">
        <v>2657</v>
      </c>
      <c r="D19" s="457" t="s">
        <v>70</v>
      </c>
      <c r="E19" s="793" t="s">
        <v>2087</v>
      </c>
      <c r="F19" s="228"/>
      <c r="G19" s="228"/>
      <c r="H19" s="228"/>
      <c r="I19" s="228"/>
      <c r="J19" s="228"/>
      <c r="K19" s="806"/>
      <c r="L19" s="228"/>
      <c r="M19" s="807"/>
      <c r="N19" s="228"/>
      <c r="O19" s="797">
        <f>'12-A. Print Sub-Annex'!P64</f>
        <v>6</v>
      </c>
      <c r="P19" s="811"/>
      <c r="Q19" s="798"/>
      <c r="R19" s="797">
        <f>'12-A. Print Sub-Annex'!S64</f>
        <v>0</v>
      </c>
    </row>
    <row r="20" spans="1:18">
      <c r="A20" s="792" t="s">
        <v>1461</v>
      </c>
      <c r="B20" s="793">
        <v>12.9</v>
      </c>
      <c r="C20" s="794" t="s">
        <v>1525</v>
      </c>
      <c r="D20" s="457" t="s">
        <v>70</v>
      </c>
      <c r="E20" s="793" t="s">
        <v>2379</v>
      </c>
      <c r="F20" s="228"/>
      <c r="G20" s="228"/>
      <c r="H20" s="228"/>
      <c r="I20" s="228"/>
      <c r="J20" s="228"/>
      <c r="K20" s="806"/>
      <c r="L20" s="228"/>
      <c r="M20" s="807"/>
      <c r="N20" s="228"/>
      <c r="O20" s="797">
        <f>'12-A. Print Sub-Annex'!P67</f>
        <v>15.120000000000001</v>
      </c>
      <c r="P20" s="811"/>
      <c r="Q20" s="798"/>
      <c r="R20" s="797">
        <f>'12-A. Print Sub-Annex'!S67</f>
        <v>0</v>
      </c>
    </row>
    <row r="21" spans="1:18" ht="30">
      <c r="A21" s="792" t="s">
        <v>1463</v>
      </c>
      <c r="B21" s="793" t="s">
        <v>1571</v>
      </c>
      <c r="C21" s="794" t="s">
        <v>3885</v>
      </c>
      <c r="D21" s="457" t="s">
        <v>70</v>
      </c>
      <c r="E21" s="793" t="s">
        <v>4357</v>
      </c>
      <c r="F21" s="228"/>
      <c r="G21" s="228"/>
      <c r="H21" s="228"/>
      <c r="I21" s="228"/>
      <c r="J21" s="228"/>
      <c r="K21" s="806"/>
      <c r="L21" s="228"/>
      <c r="M21" s="807"/>
      <c r="N21" s="228"/>
      <c r="O21" s="797">
        <f>'12-A. Print Sub-Annex'!P72</f>
        <v>159.47999999999999</v>
      </c>
      <c r="P21" s="811"/>
      <c r="Q21" s="798"/>
      <c r="R21" s="797">
        <f>'12-A. Print Sub-Annex'!S72</f>
        <v>0</v>
      </c>
    </row>
    <row r="22" spans="1:18" ht="30">
      <c r="A22" s="792" t="s">
        <v>1466</v>
      </c>
      <c r="B22" s="793" t="s">
        <v>5216</v>
      </c>
      <c r="C22" s="794" t="s">
        <v>3898</v>
      </c>
      <c r="D22" s="457" t="s">
        <v>70</v>
      </c>
      <c r="E22" s="793" t="s">
        <v>70</v>
      </c>
      <c r="F22" s="228"/>
      <c r="G22" s="228"/>
      <c r="H22" s="228"/>
      <c r="I22" s="228"/>
      <c r="J22" s="228"/>
      <c r="K22" s="806"/>
      <c r="L22" s="228"/>
      <c r="M22" s="807"/>
      <c r="N22" s="228"/>
      <c r="O22" s="797">
        <f>'12-A. Print Sub-Annex'!P73</f>
        <v>0</v>
      </c>
      <c r="P22" s="811"/>
      <c r="Q22" s="798"/>
      <c r="R22" s="797">
        <f>'12-A. Print Sub-Annex'!S73</f>
        <v>0</v>
      </c>
    </row>
    <row r="23" spans="1:18" ht="30">
      <c r="A23" s="792" t="s">
        <v>1469</v>
      </c>
      <c r="B23" s="793" t="s">
        <v>4019</v>
      </c>
      <c r="C23" s="794" t="s">
        <v>4020</v>
      </c>
      <c r="D23" s="457" t="s">
        <v>70</v>
      </c>
      <c r="E23" s="793" t="s">
        <v>4720</v>
      </c>
      <c r="F23" s="228"/>
      <c r="G23" s="228"/>
      <c r="H23" s="228"/>
      <c r="I23" s="228"/>
      <c r="J23" s="228"/>
      <c r="K23" s="806"/>
      <c r="L23" s="228"/>
      <c r="M23" s="807"/>
      <c r="N23" s="228"/>
      <c r="O23" s="797">
        <f>'12-A. Print Sub-Annex'!P74</f>
        <v>0</v>
      </c>
      <c r="P23" s="811"/>
      <c r="Q23" s="798"/>
      <c r="R23" s="797">
        <f>'12-A. Print Sub-Annex'!S74</f>
        <v>0</v>
      </c>
    </row>
    <row r="24" spans="1:18">
      <c r="A24" s="792" t="s">
        <v>1472</v>
      </c>
      <c r="B24" s="793" t="s">
        <v>4405</v>
      </c>
      <c r="C24" s="794" t="s">
        <v>1310</v>
      </c>
      <c r="D24" s="457" t="s">
        <v>70</v>
      </c>
      <c r="E24" s="793" t="s">
        <v>70</v>
      </c>
      <c r="F24" s="228"/>
      <c r="G24" s="228"/>
      <c r="H24" s="228"/>
      <c r="I24" s="228"/>
      <c r="J24" s="228"/>
      <c r="K24" s="806"/>
      <c r="L24" s="228"/>
      <c r="M24" s="807"/>
      <c r="N24" s="228"/>
      <c r="O24" s="797">
        <f>'12-A. Print Sub-Annex'!P75</f>
        <v>0</v>
      </c>
      <c r="P24" s="811"/>
      <c r="Q24" s="798"/>
      <c r="R24" s="797">
        <f>'12-A. Print Sub-Annex'!S75</f>
        <v>0</v>
      </c>
    </row>
    <row r="25" spans="1:18">
      <c r="A25" s="783">
        <v>12.3</v>
      </c>
      <c r="B25" s="784"/>
      <c r="C25" s="785" t="s">
        <v>5191</v>
      </c>
      <c r="D25" s="784"/>
      <c r="E25" s="784"/>
      <c r="F25" s="808"/>
      <c r="G25" s="808"/>
      <c r="H25" s="808"/>
      <c r="I25" s="808"/>
      <c r="J25" s="808"/>
      <c r="K25" s="809"/>
      <c r="L25" s="808"/>
      <c r="M25" s="810"/>
      <c r="N25" s="808"/>
      <c r="O25" s="789">
        <f>SUM(O26:O32)</f>
        <v>107.07984</v>
      </c>
      <c r="P25" s="812"/>
      <c r="Q25" s="790"/>
      <c r="R25" s="789">
        <f>SUM(R26:R32)</f>
        <v>0</v>
      </c>
    </row>
    <row r="26" spans="1:18">
      <c r="A26" s="792" t="s">
        <v>1477</v>
      </c>
      <c r="B26" s="793">
        <v>12.11</v>
      </c>
      <c r="C26" s="794" t="s">
        <v>1541</v>
      </c>
      <c r="D26" s="799" t="s">
        <v>4358</v>
      </c>
      <c r="E26" s="793" t="s">
        <v>114</v>
      </c>
      <c r="F26" s="228"/>
      <c r="G26" s="228"/>
      <c r="H26" s="228"/>
      <c r="I26" s="228"/>
      <c r="J26" s="228"/>
      <c r="K26" s="806"/>
      <c r="L26" s="228"/>
      <c r="M26" s="807"/>
      <c r="N26" s="228"/>
      <c r="O26" s="797">
        <f>'12-A. Print Sub-Annex'!P77</f>
        <v>43.999839999999999</v>
      </c>
      <c r="P26" s="811"/>
      <c r="Q26" s="798"/>
      <c r="R26" s="797">
        <f>'12-A. Print Sub-Annex'!S77</f>
        <v>0</v>
      </c>
    </row>
    <row r="27" spans="1:18">
      <c r="A27" s="792" t="s">
        <v>1479</v>
      </c>
      <c r="B27" s="793">
        <v>12.12</v>
      </c>
      <c r="C27" s="794" t="s">
        <v>1550</v>
      </c>
      <c r="D27" s="799" t="s">
        <v>4358</v>
      </c>
      <c r="E27" s="793" t="s">
        <v>146</v>
      </c>
      <c r="F27" s="228"/>
      <c r="G27" s="228"/>
      <c r="H27" s="228"/>
      <c r="I27" s="228"/>
      <c r="J27" s="228"/>
      <c r="K27" s="806"/>
      <c r="L27" s="228"/>
      <c r="M27" s="807"/>
      <c r="N27" s="228"/>
      <c r="O27" s="797">
        <f>'12-A. Print Sub-Annex'!P82</f>
        <v>7.6</v>
      </c>
      <c r="P27" s="811"/>
      <c r="Q27" s="798"/>
      <c r="R27" s="797">
        <f>'12-A. Print Sub-Annex'!S82</f>
        <v>0</v>
      </c>
    </row>
    <row r="28" spans="1:18">
      <c r="A28" s="792" t="s">
        <v>1481</v>
      </c>
      <c r="B28" s="793">
        <v>12.13</v>
      </c>
      <c r="C28" s="794" t="s">
        <v>4887</v>
      </c>
      <c r="D28" s="799" t="s">
        <v>4358</v>
      </c>
      <c r="E28" s="793" t="s">
        <v>4674</v>
      </c>
      <c r="F28" s="228"/>
      <c r="G28" s="228"/>
      <c r="H28" s="228"/>
      <c r="I28" s="228"/>
      <c r="J28" s="228"/>
      <c r="K28" s="806"/>
      <c r="L28" s="228"/>
      <c r="M28" s="807"/>
      <c r="N28" s="228"/>
      <c r="O28" s="797">
        <f>'12-A. Print Sub-Annex'!P84</f>
        <v>46.68</v>
      </c>
      <c r="P28" s="811"/>
      <c r="Q28" s="798"/>
      <c r="R28" s="797">
        <f>'12-A. Print Sub-Annex'!S84</f>
        <v>0</v>
      </c>
    </row>
    <row r="29" spans="1:18" ht="30">
      <c r="A29" s="792" t="s">
        <v>1484</v>
      </c>
      <c r="B29" s="793" t="s">
        <v>4133</v>
      </c>
      <c r="C29" s="794" t="s">
        <v>4406</v>
      </c>
      <c r="D29" s="799" t="s">
        <v>4358</v>
      </c>
      <c r="E29" s="793" t="s">
        <v>3316</v>
      </c>
      <c r="F29" s="228"/>
      <c r="G29" s="228"/>
      <c r="H29" s="228"/>
      <c r="I29" s="228"/>
      <c r="J29" s="228"/>
      <c r="K29" s="806"/>
      <c r="L29" s="228"/>
      <c r="M29" s="807"/>
      <c r="N29" s="228"/>
      <c r="O29" s="797">
        <f>'12-A. Print Sub-Annex'!P87</f>
        <v>5</v>
      </c>
      <c r="P29" s="811"/>
      <c r="Q29" s="798"/>
      <c r="R29" s="797">
        <f>'12-A. Print Sub-Annex'!S87</f>
        <v>0</v>
      </c>
    </row>
    <row r="30" spans="1:18">
      <c r="A30" s="792" t="s">
        <v>1487</v>
      </c>
      <c r="B30" s="793"/>
      <c r="C30" s="794" t="s">
        <v>5204</v>
      </c>
      <c r="D30" s="799" t="s">
        <v>4358</v>
      </c>
      <c r="E30" s="793" t="s">
        <v>293</v>
      </c>
      <c r="F30" s="228"/>
      <c r="G30" s="228"/>
      <c r="H30" s="228"/>
      <c r="I30" s="228"/>
      <c r="J30" s="228"/>
      <c r="K30" s="806"/>
      <c r="L30" s="228"/>
      <c r="M30" s="807"/>
      <c r="N30" s="228"/>
      <c r="O30" s="797">
        <f>'12-A. Print Sub-Annex'!P88</f>
        <v>3.8000000000000003</v>
      </c>
      <c r="P30" s="811"/>
      <c r="Q30" s="798"/>
      <c r="R30" s="797">
        <f>'12-A. Print Sub-Annex'!S88</f>
        <v>0</v>
      </c>
    </row>
    <row r="31" spans="1:18" ht="30">
      <c r="A31" s="792" t="s">
        <v>5208</v>
      </c>
      <c r="B31" s="793" t="s">
        <v>2533</v>
      </c>
      <c r="C31" s="794" t="s">
        <v>5192</v>
      </c>
      <c r="D31" s="799" t="s">
        <v>4358</v>
      </c>
      <c r="E31" s="793" t="s">
        <v>3986</v>
      </c>
      <c r="F31" s="228"/>
      <c r="G31" s="228"/>
      <c r="H31" s="228"/>
      <c r="I31" s="228"/>
      <c r="J31" s="228"/>
      <c r="K31" s="806"/>
      <c r="L31" s="228"/>
      <c r="M31" s="807"/>
      <c r="N31" s="228"/>
      <c r="O31" s="797">
        <f>'12-A. Print Sub-Annex'!P89</f>
        <v>0</v>
      </c>
      <c r="P31" s="811"/>
      <c r="Q31" s="798"/>
      <c r="R31" s="797">
        <f>'12-A. Print Sub-Annex'!S89</f>
        <v>0</v>
      </c>
    </row>
    <row r="32" spans="1:18">
      <c r="A32" s="792" t="s">
        <v>5209</v>
      </c>
      <c r="B32" s="793"/>
      <c r="C32" s="794" t="s">
        <v>5193</v>
      </c>
      <c r="D32" s="799" t="s">
        <v>4358</v>
      </c>
      <c r="E32" s="793" t="s">
        <v>4544</v>
      </c>
      <c r="F32" s="228"/>
      <c r="G32" s="228"/>
      <c r="H32" s="228"/>
      <c r="I32" s="228"/>
      <c r="J32" s="228"/>
      <c r="K32" s="806"/>
      <c r="L32" s="228"/>
      <c r="M32" s="807"/>
      <c r="N32" s="228"/>
      <c r="O32" s="797">
        <f>'12-A. Print Sub-Annex'!P90</f>
        <v>0</v>
      </c>
      <c r="P32" s="811"/>
      <c r="Q32" s="798"/>
      <c r="R32" s="797">
        <f>'12-A. Print Sub-Annex'!S90</f>
        <v>0</v>
      </c>
    </row>
    <row r="33" spans="1:18">
      <c r="A33" s="783">
        <v>12.4</v>
      </c>
      <c r="B33" s="784"/>
      <c r="C33" s="785" t="s">
        <v>5205</v>
      </c>
      <c r="D33" s="784"/>
      <c r="E33" s="784"/>
      <c r="F33" s="808"/>
      <c r="G33" s="808"/>
      <c r="H33" s="808"/>
      <c r="I33" s="808"/>
      <c r="J33" s="808"/>
      <c r="K33" s="809"/>
      <c r="L33" s="808"/>
      <c r="M33" s="810"/>
      <c r="N33" s="808"/>
      <c r="O33" s="789">
        <f>SUM(O34:O45)</f>
        <v>259.02106000000003</v>
      </c>
      <c r="P33" s="812"/>
      <c r="Q33" s="790"/>
      <c r="R33" s="789">
        <f>SUM(R34:R45)</f>
        <v>0</v>
      </c>
    </row>
    <row r="34" spans="1:18">
      <c r="A34" s="792" t="s">
        <v>1489</v>
      </c>
      <c r="B34" s="793"/>
      <c r="C34" s="794" t="s">
        <v>5194</v>
      </c>
      <c r="D34" s="800" t="s">
        <v>85</v>
      </c>
      <c r="E34" s="793" t="s">
        <v>86</v>
      </c>
      <c r="F34" s="228"/>
      <c r="G34" s="228"/>
      <c r="H34" s="228"/>
      <c r="I34" s="228"/>
      <c r="J34" s="228"/>
      <c r="K34" s="806"/>
      <c r="L34" s="228"/>
      <c r="M34" s="807"/>
      <c r="N34" s="228"/>
      <c r="O34" s="797">
        <f>'12-A. Print Sub-Annex'!P92</f>
        <v>0</v>
      </c>
      <c r="P34" s="811"/>
      <c r="Q34" s="798"/>
      <c r="R34" s="797">
        <f>'12-A. Print Sub-Annex'!S92</f>
        <v>0</v>
      </c>
    </row>
    <row r="35" spans="1:18">
      <c r="A35" s="792" t="s">
        <v>1492</v>
      </c>
      <c r="B35" s="793"/>
      <c r="C35" s="794" t="s">
        <v>5195</v>
      </c>
      <c r="D35" s="800" t="s">
        <v>85</v>
      </c>
      <c r="E35" s="793" t="s">
        <v>150</v>
      </c>
      <c r="F35" s="228"/>
      <c r="G35" s="228"/>
      <c r="H35" s="228"/>
      <c r="I35" s="228"/>
      <c r="J35" s="228"/>
      <c r="K35" s="806"/>
      <c r="L35" s="228"/>
      <c r="M35" s="807"/>
      <c r="N35" s="228"/>
      <c r="O35" s="797">
        <f>'12-A. Print Sub-Annex'!P93</f>
        <v>0</v>
      </c>
      <c r="P35" s="811"/>
      <c r="Q35" s="798"/>
      <c r="R35" s="797">
        <f>'12-A. Print Sub-Annex'!S93</f>
        <v>0</v>
      </c>
    </row>
    <row r="36" spans="1:18">
      <c r="A36" s="792" t="s">
        <v>1494</v>
      </c>
      <c r="B36" s="793"/>
      <c r="C36" s="794" t="s">
        <v>5196</v>
      </c>
      <c r="D36" s="800" t="s">
        <v>85</v>
      </c>
      <c r="E36" s="793" t="s">
        <v>399</v>
      </c>
      <c r="F36" s="228"/>
      <c r="G36" s="228"/>
      <c r="H36" s="228"/>
      <c r="I36" s="228"/>
      <c r="J36" s="228"/>
      <c r="K36" s="806"/>
      <c r="L36" s="228"/>
      <c r="M36" s="807"/>
      <c r="N36" s="228"/>
      <c r="O36" s="797">
        <f>'12-A. Print Sub-Annex'!P94</f>
        <v>0</v>
      </c>
      <c r="P36" s="811"/>
      <c r="Q36" s="798"/>
      <c r="R36" s="797">
        <f>'12-A. Print Sub-Annex'!S94</f>
        <v>0</v>
      </c>
    </row>
    <row r="37" spans="1:18">
      <c r="A37" s="793" t="s">
        <v>1496</v>
      </c>
      <c r="B37" s="793">
        <v>12.14</v>
      </c>
      <c r="C37" s="794" t="s">
        <v>1558</v>
      </c>
      <c r="D37" s="800" t="s">
        <v>85</v>
      </c>
      <c r="E37" s="793" t="s">
        <v>152</v>
      </c>
      <c r="F37" s="228"/>
      <c r="G37" s="228"/>
      <c r="H37" s="228"/>
      <c r="I37" s="228"/>
      <c r="J37" s="228"/>
      <c r="K37" s="806"/>
      <c r="L37" s="228"/>
      <c r="M37" s="807"/>
      <c r="N37" s="228"/>
      <c r="O37" s="797">
        <f>'12-A. Print Sub-Annex'!P95</f>
        <v>5</v>
      </c>
      <c r="P37" s="811"/>
      <c r="Q37" s="798"/>
      <c r="R37" s="797">
        <f>'12-A. Print Sub-Annex'!S95</f>
        <v>0</v>
      </c>
    </row>
    <row r="38" spans="1:18">
      <c r="A38" s="792" t="s">
        <v>2496</v>
      </c>
      <c r="B38" s="793">
        <v>12.15</v>
      </c>
      <c r="C38" s="794" t="s">
        <v>1563</v>
      </c>
      <c r="D38" s="800" t="s">
        <v>85</v>
      </c>
      <c r="E38" s="793" t="s">
        <v>415</v>
      </c>
      <c r="F38" s="228"/>
      <c r="G38" s="228"/>
      <c r="H38" s="228"/>
      <c r="I38" s="228"/>
      <c r="J38" s="228"/>
      <c r="K38" s="806"/>
      <c r="L38" s="228"/>
      <c r="M38" s="807"/>
      <c r="N38" s="228"/>
      <c r="O38" s="797">
        <f>'12-A. Print Sub-Annex'!P98</f>
        <v>254.02106000000001</v>
      </c>
      <c r="P38" s="811"/>
      <c r="Q38" s="798"/>
      <c r="R38" s="797">
        <f>'12-A. Print Sub-Annex'!S98</f>
        <v>0</v>
      </c>
    </row>
    <row r="39" spans="1:18">
      <c r="A39" s="792" t="s">
        <v>4143</v>
      </c>
      <c r="B39" s="793"/>
      <c r="C39" s="794" t="s">
        <v>5197</v>
      </c>
      <c r="D39" s="800" t="s">
        <v>85</v>
      </c>
      <c r="E39" s="793" t="s">
        <v>4915</v>
      </c>
      <c r="F39" s="228"/>
      <c r="G39" s="228"/>
      <c r="H39" s="228"/>
      <c r="I39" s="228"/>
      <c r="J39" s="228"/>
      <c r="K39" s="806"/>
      <c r="L39" s="228"/>
      <c r="M39" s="807"/>
      <c r="N39" s="228"/>
      <c r="O39" s="797">
        <f>'12-A. Print Sub-Annex'!P103</f>
        <v>0</v>
      </c>
      <c r="P39" s="811"/>
      <c r="Q39" s="798"/>
      <c r="R39" s="797">
        <f>'12-A. Print Sub-Annex'!S103</f>
        <v>0</v>
      </c>
    </row>
    <row r="40" spans="1:18">
      <c r="A40" s="792" t="s">
        <v>5210</v>
      </c>
      <c r="B40" s="793" t="s">
        <v>3995</v>
      </c>
      <c r="C40" s="794" t="s">
        <v>4134</v>
      </c>
      <c r="D40" s="800" t="s">
        <v>85</v>
      </c>
      <c r="E40" s="793" t="s">
        <v>4124</v>
      </c>
      <c r="F40" s="228"/>
      <c r="G40" s="228"/>
      <c r="H40" s="228"/>
      <c r="I40" s="228"/>
      <c r="J40" s="228"/>
      <c r="K40" s="806"/>
      <c r="L40" s="228"/>
      <c r="M40" s="807"/>
      <c r="N40" s="228"/>
      <c r="O40" s="797">
        <f>'12-A. Print Sub-Annex'!P104</f>
        <v>0</v>
      </c>
      <c r="P40" s="811"/>
      <c r="Q40" s="798"/>
      <c r="R40" s="797">
        <f>'12-A. Print Sub-Annex'!S104</f>
        <v>0</v>
      </c>
    </row>
    <row r="41" spans="1:18">
      <c r="A41" s="792" t="s">
        <v>5211</v>
      </c>
      <c r="B41" s="793"/>
      <c r="C41" s="794" t="s">
        <v>5200</v>
      </c>
      <c r="D41" s="800" t="s">
        <v>85</v>
      </c>
      <c r="E41" s="793" t="s">
        <v>1020</v>
      </c>
      <c r="F41" s="228"/>
      <c r="G41" s="228"/>
      <c r="H41" s="228"/>
      <c r="I41" s="228"/>
      <c r="J41" s="228"/>
      <c r="K41" s="806"/>
      <c r="L41" s="228"/>
      <c r="M41" s="807"/>
      <c r="N41" s="228"/>
      <c r="O41" s="797">
        <f>'12-A. Print Sub-Annex'!P105</f>
        <v>0</v>
      </c>
      <c r="P41" s="811"/>
      <c r="Q41" s="798"/>
      <c r="R41" s="797">
        <f>'12-A. Print Sub-Annex'!S105</f>
        <v>0</v>
      </c>
    </row>
    <row r="42" spans="1:18">
      <c r="A42" s="792" t="s">
        <v>5212</v>
      </c>
      <c r="B42" s="793"/>
      <c r="C42" s="794" t="s">
        <v>5202</v>
      </c>
      <c r="D42" s="800" t="s">
        <v>85</v>
      </c>
      <c r="E42" s="793" t="s">
        <v>1034</v>
      </c>
      <c r="F42" s="228"/>
      <c r="G42" s="228"/>
      <c r="H42" s="228"/>
      <c r="I42" s="228"/>
      <c r="J42" s="228"/>
      <c r="K42" s="806"/>
      <c r="L42" s="228"/>
      <c r="M42" s="807"/>
      <c r="N42" s="228"/>
      <c r="O42" s="797">
        <f>'12-A. Print Sub-Annex'!P106</f>
        <v>0</v>
      </c>
      <c r="P42" s="811"/>
      <c r="Q42" s="798"/>
      <c r="R42" s="797">
        <f>'12-A. Print Sub-Annex'!S106</f>
        <v>0</v>
      </c>
    </row>
    <row r="43" spans="1:18">
      <c r="A43" s="792" t="s">
        <v>5213</v>
      </c>
      <c r="B43" s="793"/>
      <c r="C43" s="794" t="s">
        <v>5201</v>
      </c>
      <c r="D43" s="800" t="s">
        <v>85</v>
      </c>
      <c r="E43" s="793" t="s">
        <v>312</v>
      </c>
      <c r="F43" s="228"/>
      <c r="G43" s="228"/>
      <c r="H43" s="228"/>
      <c r="I43" s="228"/>
      <c r="J43" s="228"/>
      <c r="K43" s="806"/>
      <c r="L43" s="228"/>
      <c r="M43" s="807"/>
      <c r="N43" s="228"/>
      <c r="O43" s="797">
        <f>'12-A. Print Sub-Annex'!P107</f>
        <v>0</v>
      </c>
      <c r="P43" s="811"/>
      <c r="Q43" s="798"/>
      <c r="R43" s="797">
        <f>'12-A. Print Sub-Annex'!S107</f>
        <v>0</v>
      </c>
    </row>
    <row r="44" spans="1:18">
      <c r="A44" s="792" t="s">
        <v>5214</v>
      </c>
      <c r="B44" s="793"/>
      <c r="C44" s="794" t="s">
        <v>5199</v>
      </c>
      <c r="D44" s="800" t="s">
        <v>85</v>
      </c>
      <c r="E44" s="793" t="s">
        <v>314</v>
      </c>
      <c r="F44" s="228"/>
      <c r="G44" s="228"/>
      <c r="H44" s="228"/>
      <c r="I44" s="228"/>
      <c r="J44" s="228"/>
      <c r="K44" s="806"/>
      <c r="L44" s="228"/>
      <c r="M44" s="807"/>
      <c r="N44" s="228"/>
      <c r="O44" s="797">
        <f>'12-A. Print Sub-Annex'!P108</f>
        <v>0</v>
      </c>
      <c r="P44" s="811"/>
      <c r="Q44" s="798"/>
      <c r="R44" s="797">
        <f>'12-A. Print Sub-Annex'!S108</f>
        <v>0</v>
      </c>
    </row>
    <row r="45" spans="1:18" ht="30">
      <c r="A45" s="792" t="s">
        <v>5215</v>
      </c>
      <c r="B45" s="793"/>
      <c r="C45" s="794" t="s">
        <v>5198</v>
      </c>
      <c r="D45" s="800" t="s">
        <v>85</v>
      </c>
      <c r="E45" s="793" t="s">
        <v>4708</v>
      </c>
      <c r="F45" s="228"/>
      <c r="G45" s="228"/>
      <c r="H45" s="228"/>
      <c r="I45" s="228"/>
      <c r="J45" s="228"/>
      <c r="K45" s="806"/>
      <c r="L45" s="228"/>
      <c r="M45" s="807"/>
      <c r="N45" s="228"/>
      <c r="O45" s="797">
        <f>'12-A. Print Sub-Annex'!P109</f>
        <v>0</v>
      </c>
      <c r="P45" s="811"/>
      <c r="Q45" s="798"/>
      <c r="R45" s="797">
        <f>'12-A. Print Sub-Annex'!S109</f>
        <v>0</v>
      </c>
    </row>
  </sheetData>
  <sheetProtection sheet="1" objects="1" scenarios="1" autoFilter="0"/>
  <autoFilter ref="A6:BA45"/>
  <mergeCells count="15">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s>
  <phoneticPr fontId="27" type="noConversion"/>
  <pageMargins left="0.7" right="0.7" top="0.75" bottom="0.75" header="0.3" footer="0.3"/>
  <pageSetup paperSize="5" scale="80" orientation="landscape" horizontalDpi="0" verticalDpi="0" r:id="rId1"/>
</worksheet>
</file>

<file path=xl/worksheets/sheet25.xml><?xml version="1.0" encoding="utf-8"?>
<worksheet xmlns="http://schemas.openxmlformats.org/spreadsheetml/2006/main" xmlns:r="http://schemas.openxmlformats.org/officeDocument/2006/relationships">
  <sheetPr codeName="Sheet43"/>
  <dimension ref="A1:BD109"/>
  <sheetViews>
    <sheetView zoomScale="80" zoomScaleNormal="80" workbookViewId="0">
      <pane xSplit="6" ySplit="4" topLeftCell="G5" activePane="bottomRight" state="frozen"/>
      <selection activeCell="Q172" sqref="A1:BE179"/>
      <selection pane="topRight" activeCell="Q172" sqref="A1:BE179"/>
      <selection pane="bottomLeft" activeCell="Q172" sqref="A1:BE179"/>
      <selection pane="bottomRight" activeCell="A107" sqref="A107"/>
    </sheetView>
  </sheetViews>
  <sheetFormatPr defaultColWidth="48.85546875" defaultRowHeight="16.5"/>
  <cols>
    <col min="1" max="1" width="9" style="3270" bestFit="1" customWidth="1"/>
    <col min="2" max="2" width="13.28515625" style="3270" customWidth="1"/>
    <col min="3" max="3" width="13.85546875" style="3270" customWidth="1"/>
    <col min="4" max="4" width="38" style="3333" bestFit="1" customWidth="1"/>
    <col min="5" max="5" width="9.5703125" style="3334" customWidth="1"/>
    <col min="6" max="6" width="13.85546875" style="3334" customWidth="1"/>
    <col min="7" max="7" width="15.140625" style="3270" hidden="1" customWidth="1"/>
    <col min="8" max="8" width="17.85546875" style="3270" hidden="1" customWidth="1"/>
    <col min="9" max="10" width="15.140625" style="3270" hidden="1" customWidth="1"/>
    <col min="11" max="11" width="17" style="3270" hidden="1" customWidth="1"/>
    <col min="12" max="12" width="17.7109375" style="3544" customWidth="1"/>
    <col min="13" max="13" width="14.28515625" style="3270" customWidth="1"/>
    <col min="14" max="14" width="13" style="3335" customWidth="1"/>
    <col min="15" max="15" width="11.42578125" style="3270" customWidth="1"/>
    <col min="16" max="16" width="10.140625" style="3335" customWidth="1"/>
    <col min="17" max="17" width="69.7109375" style="3336" customWidth="1"/>
    <col min="18" max="18" width="31.5703125" style="3336" hidden="1" customWidth="1"/>
    <col min="19" max="19" width="21" style="3335" hidden="1" customWidth="1"/>
    <col min="20" max="20" width="20.140625" style="3270" customWidth="1"/>
    <col min="21" max="21" width="17.42578125" style="3270" customWidth="1"/>
    <col min="22" max="16384" width="48.85546875" style="3270"/>
  </cols>
  <sheetData>
    <row r="1" spans="1:56" s="1659" customFormat="1">
      <c r="A1" s="4342" t="s">
        <v>5188</v>
      </c>
      <c r="B1" s="4342"/>
      <c r="C1" s="4342"/>
      <c r="D1" s="4342"/>
      <c r="E1" s="1974"/>
      <c r="F1" s="3545"/>
      <c r="G1" s="1974"/>
      <c r="H1" s="1655"/>
      <c r="I1" s="1656"/>
      <c r="J1" s="1656"/>
      <c r="K1" s="1656"/>
      <c r="L1" s="3233"/>
      <c r="M1" s="1656"/>
      <c r="N1" s="2281"/>
      <c r="O1" s="1656"/>
      <c r="P1" s="2281"/>
      <c r="Q1" s="1656"/>
      <c r="R1" s="1656"/>
      <c r="S1" s="2281"/>
      <c r="T1" s="1656"/>
      <c r="U1" s="1656"/>
      <c r="V1" s="1656"/>
      <c r="W1" s="1656"/>
      <c r="X1" s="1656"/>
      <c r="Y1" s="1656"/>
      <c r="Z1" s="1656"/>
      <c r="AA1" s="1656"/>
      <c r="AB1" s="1656"/>
      <c r="AC1" s="1656"/>
      <c r="AD1" s="1656"/>
      <c r="AE1" s="1656"/>
      <c r="AF1" s="1656"/>
      <c r="AG1" s="1656"/>
      <c r="AH1" s="1656"/>
      <c r="AI1" s="1656"/>
      <c r="AJ1" s="1656"/>
      <c r="AK1" s="1656"/>
      <c r="AL1" s="1656"/>
      <c r="AM1" s="1656"/>
      <c r="AN1" s="1656"/>
      <c r="AO1" s="1656"/>
      <c r="AP1" s="1656"/>
      <c r="AQ1" s="1657"/>
      <c r="AR1" s="1657"/>
      <c r="AS1" s="1657"/>
      <c r="AT1" s="1657"/>
      <c r="AU1" s="1657"/>
      <c r="AV1" s="1657"/>
      <c r="AW1" s="1657"/>
      <c r="AX1" s="1982"/>
      <c r="AY1" s="1982"/>
      <c r="AZ1" s="1982"/>
      <c r="BA1" s="1982"/>
      <c r="BB1" s="1982"/>
      <c r="BC1" s="1982"/>
      <c r="BD1" s="1982"/>
    </row>
    <row r="2" spans="1:56" s="1668" customFormat="1">
      <c r="A2" s="1983" t="str">
        <f>HYPERLINK("#Index!A4", "Index Pg")</f>
        <v>Index Pg</v>
      </c>
      <c r="B2" s="1287" t="str">
        <f>HYPERLINK("#'Budget Summary I'!A1:AL1", "Budget Summary I")</f>
        <v>Budget Summary I</v>
      </c>
      <c r="C2" s="1287" t="str">
        <f>HYPERLINK("#'Budget Summary II'!A3:B5", "Budget Summary II")</f>
        <v>Budget Summary II</v>
      </c>
      <c r="D2" s="1984" t="str">
        <f>HYPERLINK("#'Summary of Abstracts'!A2", "Summary of Abst.")</f>
        <v>Summary of Abst.</v>
      </c>
      <c r="E2" s="3116"/>
      <c r="F2" s="3545"/>
      <c r="G2" s="3116"/>
      <c r="H2" s="1655"/>
      <c r="I2" s="1664"/>
      <c r="J2" s="1664"/>
      <c r="K2" s="1664"/>
      <c r="L2" s="3234"/>
      <c r="M2" s="1664"/>
      <c r="N2" s="1665"/>
      <c r="O2" s="1665"/>
      <c r="P2" s="1665"/>
      <c r="Q2" s="1665"/>
      <c r="R2" s="1666"/>
      <c r="S2" s="1666"/>
      <c r="T2" s="1666"/>
      <c r="U2" s="1666"/>
      <c r="V2" s="1666"/>
      <c r="W2" s="1666"/>
      <c r="X2" s="1666"/>
      <c r="Y2" s="1666"/>
      <c r="Z2" s="1666"/>
      <c r="AA2" s="1666"/>
      <c r="AB2" s="1666"/>
      <c r="AC2" s="1666"/>
      <c r="AD2" s="1666"/>
      <c r="AE2" s="1666"/>
      <c r="AF2" s="1666"/>
      <c r="AG2" s="1666"/>
      <c r="AH2" s="1666"/>
      <c r="AI2" s="1666"/>
      <c r="AJ2" s="1666"/>
      <c r="AK2" s="1666"/>
      <c r="AL2" s="1666"/>
      <c r="AM2" s="1663"/>
      <c r="AN2" s="1663"/>
      <c r="AO2" s="1663"/>
      <c r="AP2" s="1663"/>
      <c r="AQ2" s="1663"/>
      <c r="AR2" s="1663"/>
      <c r="AS2" s="1663"/>
      <c r="AT2" s="1663"/>
      <c r="AU2" s="1663"/>
      <c r="AV2" s="1663"/>
      <c r="AW2" s="1663"/>
      <c r="AX2" s="1985"/>
      <c r="AY2" s="1985"/>
      <c r="AZ2" s="1985"/>
      <c r="BA2" s="1985"/>
      <c r="BB2" s="1985"/>
      <c r="BC2" s="1985"/>
      <c r="BD2" s="1985"/>
    </row>
    <row r="3" spans="1:56" s="3117" customFormat="1">
      <c r="A3" s="4343" t="s">
        <v>5048</v>
      </c>
      <c r="B3" s="4343" t="s">
        <v>54</v>
      </c>
      <c r="C3" s="4343"/>
      <c r="D3" s="4343" t="s">
        <v>55</v>
      </c>
      <c r="E3" s="4343" t="s">
        <v>56</v>
      </c>
      <c r="F3" s="4482" t="s">
        <v>57</v>
      </c>
      <c r="G3" s="4339" t="s">
        <v>4620</v>
      </c>
      <c r="H3" s="4339"/>
      <c r="I3" s="4339"/>
      <c r="J3" s="4339"/>
      <c r="K3" s="4339"/>
      <c r="L3" s="4339" t="s">
        <v>4631</v>
      </c>
      <c r="M3" s="4339"/>
      <c r="N3" s="4339"/>
      <c r="O3" s="4339"/>
      <c r="P3" s="4339"/>
      <c r="Q3" s="4339"/>
      <c r="R3" s="4343" t="s">
        <v>4661</v>
      </c>
      <c r="S3" s="4343"/>
    </row>
    <row r="4" spans="1:56" s="1989" customFormat="1" ht="49.5">
      <c r="A4" s="4343"/>
      <c r="B4" s="4343"/>
      <c r="C4" s="4343"/>
      <c r="D4" s="4343"/>
      <c r="E4" s="4343"/>
      <c r="F4" s="4482"/>
      <c r="G4" s="1288" t="s">
        <v>4621</v>
      </c>
      <c r="H4" s="1288" t="s">
        <v>4629</v>
      </c>
      <c r="I4" s="1288" t="s">
        <v>4622</v>
      </c>
      <c r="J4" s="1288" t="s">
        <v>4630</v>
      </c>
      <c r="K4" s="1288" t="s">
        <v>2534</v>
      </c>
      <c r="L4" s="3235" t="s">
        <v>58</v>
      </c>
      <c r="M4" s="1289" t="s">
        <v>59</v>
      </c>
      <c r="N4" s="1290" t="s">
        <v>60</v>
      </c>
      <c r="O4" s="1289" t="s">
        <v>61</v>
      </c>
      <c r="P4" s="1290" t="s">
        <v>62</v>
      </c>
      <c r="Q4" s="1289" t="s">
        <v>5564</v>
      </c>
      <c r="R4" s="3118" t="s">
        <v>2536</v>
      </c>
      <c r="S4" s="3257" t="s">
        <v>4662</v>
      </c>
    </row>
    <row r="5" spans="1:56" s="3258" customFormat="1">
      <c r="A5" s="4471" t="s">
        <v>5189</v>
      </c>
      <c r="B5" s="4471"/>
      <c r="C5" s="4471"/>
      <c r="D5" s="4471"/>
      <c r="E5" s="3120"/>
      <c r="F5" s="3546"/>
      <c r="G5" s="3195"/>
      <c r="H5" s="3195"/>
      <c r="I5" s="3195"/>
      <c r="J5" s="3195"/>
      <c r="K5" s="3195"/>
      <c r="L5" s="3536"/>
      <c r="M5" s="3195"/>
      <c r="N5" s="3121"/>
      <c r="O5" s="3195"/>
      <c r="P5" s="3122"/>
      <c r="Q5" s="3123"/>
      <c r="R5" s="3146"/>
      <c r="S5" s="2323"/>
    </row>
    <row r="6" spans="1:56" s="1996" customFormat="1">
      <c r="A6" s="3259" t="s">
        <v>4350</v>
      </c>
      <c r="B6" s="1991">
        <v>12.1</v>
      </c>
      <c r="C6" s="1671"/>
      <c r="D6" s="1671" t="s">
        <v>1450</v>
      </c>
      <c r="E6" s="3260"/>
      <c r="F6" s="3547"/>
      <c r="G6" s="1671"/>
      <c r="H6" s="1671"/>
      <c r="I6" s="1671"/>
      <c r="J6" s="1671"/>
      <c r="K6" s="1671"/>
      <c r="L6" s="3537"/>
      <c r="M6" s="1671"/>
      <c r="N6" s="2436"/>
      <c r="O6" s="1671"/>
      <c r="P6" s="2436">
        <f>SUM(P7:P11)</f>
        <v>841.22730268747398</v>
      </c>
      <c r="Q6" s="3261"/>
      <c r="R6" s="3127"/>
      <c r="S6" s="2287">
        <f>SUM(S7:S11)</f>
        <v>0</v>
      </c>
    </row>
    <row r="7" spans="1:56" ht="63">
      <c r="A7" s="3262">
        <v>1</v>
      </c>
      <c r="B7" s="3262" t="s">
        <v>1451</v>
      </c>
      <c r="C7" s="1855" t="s">
        <v>769</v>
      </c>
      <c r="D7" s="1855" t="s">
        <v>1452</v>
      </c>
      <c r="E7" s="3263" t="s">
        <v>90</v>
      </c>
      <c r="F7" s="3548" t="s">
        <v>118</v>
      </c>
      <c r="G7" s="3264"/>
      <c r="H7" s="3264"/>
      <c r="I7" s="3264"/>
      <c r="J7" s="3264"/>
      <c r="K7" s="3264"/>
      <c r="L7" s="3538" t="s">
        <v>6508</v>
      </c>
      <c r="M7" s="3266">
        <v>7.7820312500000002</v>
      </c>
      <c r="N7" s="1702">
        <f>M7/100000</f>
        <v>7.7820312499999995E-5</v>
      </c>
      <c r="O7" s="3266">
        <v>19200</v>
      </c>
      <c r="P7" s="3267">
        <f>N7*O7</f>
        <v>1.4941499999999999</v>
      </c>
      <c r="Q7" s="3268" t="s">
        <v>6709</v>
      </c>
      <c r="R7" s="1953">
        <f>'Ab1. RMNCH+A'!Q97</f>
        <v>0</v>
      </c>
      <c r="S7" s="3269">
        <f>'Ab1. RMNCH+A'!R97</f>
        <v>0</v>
      </c>
    </row>
    <row r="8" spans="1:56" ht="51" customHeight="1">
      <c r="A8" s="3262">
        <v>2</v>
      </c>
      <c r="B8" s="3262" t="s">
        <v>1453</v>
      </c>
      <c r="C8" s="1855" t="s">
        <v>1454</v>
      </c>
      <c r="D8" s="1855" t="s">
        <v>1455</v>
      </c>
      <c r="E8" s="3263" t="s">
        <v>90</v>
      </c>
      <c r="F8" s="3271" t="s">
        <v>118</v>
      </c>
      <c r="G8" s="3264"/>
      <c r="H8" s="3264"/>
      <c r="I8" s="3264"/>
      <c r="J8" s="3264"/>
      <c r="K8" s="3264"/>
      <c r="L8" s="3622" t="s">
        <v>6509</v>
      </c>
      <c r="M8" s="3266">
        <v>20</v>
      </c>
      <c r="N8" s="1702">
        <f>M8/100000</f>
        <v>2.0000000000000001E-4</v>
      </c>
      <c r="O8" s="3266">
        <v>3200000</v>
      </c>
      <c r="P8" s="3267">
        <f>N8*O8</f>
        <v>640</v>
      </c>
      <c r="Q8" s="3268" t="s">
        <v>6600</v>
      </c>
      <c r="R8" s="1953">
        <f>'Ab1. RMNCH+A'!Q98</f>
        <v>0</v>
      </c>
      <c r="S8" s="3269">
        <f>'Ab1. RMNCH+A'!R98</f>
        <v>0</v>
      </c>
    </row>
    <row r="9" spans="1:56" s="4072" customFormat="1" ht="173.25">
      <c r="A9" s="4063">
        <v>3</v>
      </c>
      <c r="B9" s="4063" t="s">
        <v>1456</v>
      </c>
      <c r="C9" s="3801"/>
      <c r="D9" s="3801" t="s">
        <v>4111</v>
      </c>
      <c r="E9" s="4177" t="s">
        <v>90</v>
      </c>
      <c r="F9" s="4065" t="s">
        <v>118</v>
      </c>
      <c r="G9" s="4066"/>
      <c r="H9" s="4066"/>
      <c r="I9" s="4066"/>
      <c r="J9" s="4066"/>
      <c r="K9" s="4066"/>
      <c r="L9" s="4178" t="s">
        <v>6510</v>
      </c>
      <c r="M9" s="4179">
        <v>9.2042050544955867</v>
      </c>
      <c r="N9" s="3808">
        <f>M9/100000</f>
        <v>9.2042050544955873E-5</v>
      </c>
      <c r="O9" s="4179">
        <v>1711100</v>
      </c>
      <c r="P9" s="4068">
        <f>N9*O9</f>
        <v>157.49315268747398</v>
      </c>
      <c r="Q9" s="4180" t="s">
        <v>6952</v>
      </c>
      <c r="R9" s="4070">
        <f>'Ab1. RMNCH+A'!Q99</f>
        <v>0</v>
      </c>
      <c r="S9" s="4181">
        <f>'Ab1. RMNCH+A'!R99</f>
        <v>0</v>
      </c>
    </row>
    <row r="10" spans="1:56" ht="94.5">
      <c r="A10" s="3262">
        <v>4</v>
      </c>
      <c r="B10" s="3262" t="s">
        <v>2460</v>
      </c>
      <c r="C10" s="2020"/>
      <c r="D10" s="1855" t="s">
        <v>2478</v>
      </c>
      <c r="E10" s="3263" t="s">
        <v>90</v>
      </c>
      <c r="F10" s="3271" t="s">
        <v>131</v>
      </c>
      <c r="G10" s="3264"/>
      <c r="H10" s="3264"/>
      <c r="I10" s="3264"/>
      <c r="J10" s="3264"/>
      <c r="K10" s="3264"/>
      <c r="L10" s="3622" t="s">
        <v>6511</v>
      </c>
      <c r="M10" s="3274">
        <v>2.8653192502892182</v>
      </c>
      <c r="N10" s="1702">
        <f>M10/100000</f>
        <v>2.8653192502892182E-5</v>
      </c>
      <c r="O10" s="3266">
        <v>1396005</v>
      </c>
      <c r="P10" s="3267">
        <f>N10*O10</f>
        <v>40</v>
      </c>
      <c r="Q10" s="3275" t="s">
        <v>6601</v>
      </c>
      <c r="R10" s="1953">
        <f>'Ab1. RMNCH+A'!Q181</f>
        <v>0</v>
      </c>
      <c r="S10" s="3269">
        <f>'Ab1. RMNCH+A'!R181</f>
        <v>0</v>
      </c>
    </row>
    <row r="11" spans="1:56" ht="80.25" customHeight="1">
      <c r="A11" s="3262">
        <v>5</v>
      </c>
      <c r="B11" s="3262" t="s">
        <v>2477</v>
      </c>
      <c r="C11" s="2020"/>
      <c r="D11" s="1855" t="s">
        <v>1310</v>
      </c>
      <c r="E11" s="3263" t="s">
        <v>90</v>
      </c>
      <c r="F11" s="3271" t="s">
        <v>118</v>
      </c>
      <c r="G11" s="3264"/>
      <c r="H11" s="3264"/>
      <c r="I11" s="3264"/>
      <c r="J11" s="3264"/>
      <c r="K11" s="3264"/>
      <c r="L11" s="3622" t="s">
        <v>6512</v>
      </c>
      <c r="M11" s="3266">
        <v>224000</v>
      </c>
      <c r="N11" s="1702">
        <f>M11/100000</f>
        <v>2.2400000000000002</v>
      </c>
      <c r="O11" s="3266">
        <v>1</v>
      </c>
      <c r="P11" s="3267">
        <f>N11*O11</f>
        <v>2.2400000000000002</v>
      </c>
      <c r="Q11" s="3276" t="s">
        <v>6787</v>
      </c>
      <c r="R11" s="1953">
        <f>'Ab1. RMNCH+A'!Q100</f>
        <v>0</v>
      </c>
      <c r="S11" s="3269">
        <f>'Ab1. RMNCH+A'!R100</f>
        <v>0</v>
      </c>
    </row>
    <row r="12" spans="1:56">
      <c r="A12" s="3277" t="s">
        <v>4351</v>
      </c>
      <c r="B12" s="1991">
        <v>12.2</v>
      </c>
      <c r="C12" s="1671"/>
      <c r="D12" s="1671" t="s">
        <v>1457</v>
      </c>
      <c r="E12" s="3260"/>
      <c r="F12" s="3547"/>
      <c r="G12" s="2448"/>
      <c r="H12" s="2448"/>
      <c r="I12" s="2448"/>
      <c r="J12" s="2448"/>
      <c r="K12" s="2448"/>
      <c r="L12" s="3540"/>
      <c r="M12" s="2448"/>
      <c r="N12" s="2436"/>
      <c r="O12" s="2448"/>
      <c r="P12" s="2436">
        <f>SUM(P13:P26)</f>
        <v>698.74327493437499</v>
      </c>
      <c r="Q12" s="3278"/>
      <c r="R12" s="3127"/>
      <c r="S12" s="2287">
        <f>SUM(S13:S26)</f>
        <v>0</v>
      </c>
    </row>
    <row r="13" spans="1:56" s="4072" customFormat="1" ht="63">
      <c r="A13" s="4063">
        <v>1</v>
      </c>
      <c r="B13" s="4063" t="s">
        <v>1458</v>
      </c>
      <c r="C13" s="3801" t="s">
        <v>829</v>
      </c>
      <c r="D13" s="3801" t="s">
        <v>3361</v>
      </c>
      <c r="E13" s="4177" t="s">
        <v>90</v>
      </c>
      <c r="F13" s="4182" t="s">
        <v>131</v>
      </c>
      <c r="G13" s="4066"/>
      <c r="H13" s="4066"/>
      <c r="I13" s="4066"/>
      <c r="J13" s="4066"/>
      <c r="K13" s="4066"/>
      <c r="L13" s="4178" t="s">
        <v>6513</v>
      </c>
      <c r="M13" s="4179">
        <v>35.246548401819915</v>
      </c>
      <c r="N13" s="3808">
        <f t="shared" ref="N13:N26" si="0">M13/100000</f>
        <v>3.5246548401819916E-4</v>
      </c>
      <c r="O13" s="4179">
        <v>47606.828571428574</v>
      </c>
      <c r="P13" s="4068">
        <f>N13*O13</f>
        <v>16.779763875000004</v>
      </c>
      <c r="Q13" s="4183" t="s">
        <v>6953</v>
      </c>
      <c r="R13" s="4070">
        <f>'Ab1. RMNCH+A'!Q182</f>
        <v>0</v>
      </c>
      <c r="S13" s="4181">
        <f>'Ab1. RMNCH+A'!R182</f>
        <v>0</v>
      </c>
    </row>
    <row r="14" spans="1:56" ht="33">
      <c r="A14" s="3262">
        <v>2</v>
      </c>
      <c r="B14" s="3262" t="s">
        <v>1459</v>
      </c>
      <c r="C14" s="1855" t="s">
        <v>832</v>
      </c>
      <c r="D14" s="1943" t="s">
        <v>4367</v>
      </c>
      <c r="E14" s="3263" t="s">
        <v>90</v>
      </c>
      <c r="F14" s="3548" t="s">
        <v>131</v>
      </c>
      <c r="G14" s="3264"/>
      <c r="H14" s="3264"/>
      <c r="I14" s="3264"/>
      <c r="J14" s="3264"/>
      <c r="K14" s="3264"/>
      <c r="L14" s="3622" t="s">
        <v>6513</v>
      </c>
      <c r="M14" s="3266">
        <v>60.400160993560256</v>
      </c>
      <c r="N14" s="1702">
        <f t="shared" si="0"/>
        <v>6.0400160993560252E-4</v>
      </c>
      <c r="O14" s="3266">
        <v>21740</v>
      </c>
      <c r="P14" s="3267">
        <f>N14*O14</f>
        <v>13.130994999999999</v>
      </c>
      <c r="Q14" s="3279" t="s">
        <v>6710</v>
      </c>
      <c r="R14" s="1953">
        <f>'Ab1. RMNCH+A'!Q183</f>
        <v>0</v>
      </c>
      <c r="S14" s="3269">
        <f>'Ab1. RMNCH+A'!R183</f>
        <v>0</v>
      </c>
    </row>
    <row r="15" spans="1:56" ht="94.5">
      <c r="A15" s="3262">
        <v>3</v>
      </c>
      <c r="B15" s="3262" t="s">
        <v>1460</v>
      </c>
      <c r="C15" s="1855" t="s">
        <v>132</v>
      </c>
      <c r="D15" s="1943" t="s">
        <v>3362</v>
      </c>
      <c r="E15" s="3263" t="s">
        <v>90</v>
      </c>
      <c r="F15" s="3548" t="s">
        <v>131</v>
      </c>
      <c r="G15" s="3264"/>
      <c r="H15" s="3264"/>
      <c r="I15" s="3264"/>
      <c r="J15" s="3264"/>
      <c r="K15" s="3264"/>
      <c r="L15" s="3622" t="s">
        <v>6514</v>
      </c>
      <c r="M15" s="3266">
        <v>1.6165744141534324</v>
      </c>
      <c r="N15" s="1702">
        <f t="shared" si="0"/>
        <v>1.6165744141534324E-5</v>
      </c>
      <c r="O15" s="3266">
        <v>2474368</v>
      </c>
      <c r="P15" s="3267">
        <f>N15*O15</f>
        <v>40</v>
      </c>
      <c r="Q15" s="3280" t="s">
        <v>6602</v>
      </c>
      <c r="R15" s="1953">
        <f>'Ab1. RMNCH+A'!Q184</f>
        <v>0</v>
      </c>
      <c r="S15" s="3269">
        <f>'Ab1. RMNCH+A'!R184</f>
        <v>0</v>
      </c>
    </row>
    <row r="16" spans="1:56" ht="49.5" customHeight="1">
      <c r="A16" s="3262">
        <v>4</v>
      </c>
      <c r="B16" s="3262" t="s">
        <v>1461</v>
      </c>
      <c r="C16" s="2071" t="s">
        <v>835</v>
      </c>
      <c r="D16" s="1855" t="s">
        <v>1462</v>
      </c>
      <c r="E16" s="3263" t="s">
        <v>90</v>
      </c>
      <c r="F16" s="3548" t="s">
        <v>131</v>
      </c>
      <c r="G16" s="3264"/>
      <c r="H16" s="3264"/>
      <c r="I16" s="3264"/>
      <c r="J16" s="3264"/>
      <c r="K16" s="3264"/>
      <c r="L16" s="3623" t="s">
        <v>6508</v>
      </c>
      <c r="M16" s="3266">
        <v>3.2045192307692303</v>
      </c>
      <c r="N16" s="1702">
        <f t="shared" si="0"/>
        <v>3.2045192307692302E-5</v>
      </c>
      <c r="O16" s="3266">
        <v>260000</v>
      </c>
      <c r="P16" s="3267">
        <f>N16*O16</f>
        <v>8.3317499999999978</v>
      </c>
      <c r="Q16" s="3268" t="s">
        <v>6711</v>
      </c>
      <c r="R16" s="1953">
        <f>'Ab1. RMNCH+A'!Q185</f>
        <v>0</v>
      </c>
      <c r="S16" s="3269">
        <f>'Ab1. RMNCH+A'!R185</f>
        <v>0</v>
      </c>
    </row>
    <row r="17" spans="1:19" ht="66">
      <c r="A17" s="3262">
        <v>5</v>
      </c>
      <c r="B17" s="3262" t="s">
        <v>1463</v>
      </c>
      <c r="C17" s="1855" t="s">
        <v>1464</v>
      </c>
      <c r="D17" s="1855" t="s">
        <v>1465</v>
      </c>
      <c r="E17" s="3263" t="s">
        <v>90</v>
      </c>
      <c r="F17" s="3271" t="s">
        <v>131</v>
      </c>
      <c r="G17" s="3264"/>
      <c r="H17" s="3264"/>
      <c r="I17" s="3264"/>
      <c r="J17" s="3264"/>
      <c r="K17" s="3264"/>
      <c r="L17" s="3623" t="s">
        <v>6515</v>
      </c>
      <c r="M17" s="3266">
        <v>5</v>
      </c>
      <c r="N17" s="1702">
        <f t="shared" si="0"/>
        <v>5.0000000000000002E-5</v>
      </c>
      <c r="O17" s="3266">
        <v>7000000</v>
      </c>
      <c r="P17" s="3267">
        <f>N17*O17</f>
        <v>350</v>
      </c>
      <c r="Q17" s="3281" t="s">
        <v>6521</v>
      </c>
      <c r="R17" s="1953">
        <f>'Ab1. RMNCH+A'!Q186</f>
        <v>0</v>
      </c>
      <c r="S17" s="3269">
        <f>'Ab1. RMNCH+A'!R186</f>
        <v>0</v>
      </c>
    </row>
    <row r="18" spans="1:19" ht="47.25">
      <c r="A18" s="3262">
        <v>6</v>
      </c>
      <c r="B18" s="3262" t="s">
        <v>1466</v>
      </c>
      <c r="C18" s="1855" t="s">
        <v>1467</v>
      </c>
      <c r="D18" s="1855" t="s">
        <v>1468</v>
      </c>
      <c r="E18" s="3263" t="s">
        <v>90</v>
      </c>
      <c r="F18" s="3271" t="s">
        <v>131</v>
      </c>
      <c r="G18" s="3264"/>
      <c r="H18" s="3264"/>
      <c r="I18" s="3282"/>
      <c r="J18" s="3282"/>
      <c r="K18" s="3264"/>
      <c r="L18" s="3622" t="s">
        <v>6516</v>
      </c>
      <c r="M18" s="3266">
        <v>2.9984078015122191</v>
      </c>
      <c r="N18" s="1702">
        <f t="shared" si="0"/>
        <v>2.9984078015122191E-5</v>
      </c>
      <c r="O18" s="3266">
        <v>2873789</v>
      </c>
      <c r="P18" s="3267">
        <f t="shared" ref="P18:P23" si="1">N18*O18</f>
        <v>86.167913574999986</v>
      </c>
      <c r="Q18" s="3268" t="s">
        <v>6712</v>
      </c>
      <c r="R18" s="1953">
        <f>'Ab1. RMNCH+A'!Q187</f>
        <v>0</v>
      </c>
      <c r="S18" s="3269">
        <f>'Ab1. RMNCH+A'!R187</f>
        <v>0</v>
      </c>
    </row>
    <row r="19" spans="1:19" ht="63">
      <c r="A19" s="3262">
        <v>7</v>
      </c>
      <c r="B19" s="3262" t="s">
        <v>1469</v>
      </c>
      <c r="C19" s="1855" t="s">
        <v>1470</v>
      </c>
      <c r="D19" s="1855" t="s">
        <v>1471</v>
      </c>
      <c r="E19" s="3263" t="s">
        <v>90</v>
      </c>
      <c r="F19" s="3271" t="s">
        <v>131</v>
      </c>
      <c r="G19" s="3264"/>
      <c r="H19" s="3264"/>
      <c r="I19" s="3264"/>
      <c r="J19" s="3264"/>
      <c r="K19" s="3264"/>
      <c r="L19" s="3539" t="s">
        <v>6517</v>
      </c>
      <c r="M19" s="3266">
        <v>2.6416340393414783</v>
      </c>
      <c r="N19" s="1702">
        <f t="shared" si="0"/>
        <v>2.6416340393414782E-5</v>
      </c>
      <c r="O19" s="3266">
        <v>2649875</v>
      </c>
      <c r="P19" s="3267">
        <f t="shared" si="1"/>
        <v>70</v>
      </c>
      <c r="Q19" s="3283" t="s">
        <v>6603</v>
      </c>
      <c r="R19" s="1953">
        <f>'Ab1. RMNCH+A'!Q188</f>
        <v>0</v>
      </c>
      <c r="S19" s="3269">
        <f>'Ab1. RMNCH+A'!R188</f>
        <v>0</v>
      </c>
    </row>
    <row r="20" spans="1:19" ht="49.5">
      <c r="A20" s="3262">
        <v>8</v>
      </c>
      <c r="B20" s="3262" t="s">
        <v>1472</v>
      </c>
      <c r="C20" s="1855" t="s">
        <v>1473</v>
      </c>
      <c r="D20" s="1855" t="s">
        <v>1474</v>
      </c>
      <c r="E20" s="3263" t="s">
        <v>90</v>
      </c>
      <c r="F20" s="3271" t="s">
        <v>131</v>
      </c>
      <c r="G20" s="3284"/>
      <c r="H20" s="3284"/>
      <c r="I20" s="3284"/>
      <c r="J20" s="3284"/>
      <c r="K20" s="3284"/>
      <c r="L20" s="3623"/>
      <c r="M20" s="3266"/>
      <c r="N20" s="1702">
        <f t="shared" si="0"/>
        <v>0</v>
      </c>
      <c r="O20" s="3266"/>
      <c r="P20" s="3267">
        <f t="shared" si="1"/>
        <v>0</v>
      </c>
      <c r="Q20" s="3285"/>
      <c r="R20" s="1953">
        <f>'Ab1. RMNCH+A'!Q189</f>
        <v>0</v>
      </c>
      <c r="S20" s="3269">
        <f>'Ab1. RMNCH+A'!R189</f>
        <v>0</v>
      </c>
    </row>
    <row r="21" spans="1:19" ht="47.25">
      <c r="A21" s="3262">
        <v>9</v>
      </c>
      <c r="B21" s="3262" t="s">
        <v>1475</v>
      </c>
      <c r="C21" s="2020"/>
      <c r="D21" s="1855" t="s">
        <v>2465</v>
      </c>
      <c r="E21" s="3263" t="s">
        <v>90</v>
      </c>
      <c r="F21" s="3271" t="s">
        <v>131</v>
      </c>
      <c r="G21" s="3264"/>
      <c r="H21" s="3264"/>
      <c r="I21" s="3264"/>
      <c r="J21" s="3264"/>
      <c r="K21" s="3264"/>
      <c r="L21" s="3623" t="s">
        <v>6513</v>
      </c>
      <c r="M21" s="3266">
        <v>122.50245</v>
      </c>
      <c r="N21" s="1702">
        <f t="shared" si="0"/>
        <v>1.2250244999999999E-3</v>
      </c>
      <c r="O21" s="3266">
        <v>1500</v>
      </c>
      <c r="P21" s="3267">
        <f t="shared" si="1"/>
        <v>1.8375367499999997</v>
      </c>
      <c r="Q21" s="3268" t="s">
        <v>6713</v>
      </c>
      <c r="R21" s="1953">
        <f>'Ab1. RMNCH+A'!Q190</f>
        <v>0</v>
      </c>
      <c r="S21" s="3269">
        <f>'Ab1. RMNCH+A'!R190</f>
        <v>0</v>
      </c>
    </row>
    <row r="22" spans="1:19" ht="63">
      <c r="A22" s="3262">
        <v>10</v>
      </c>
      <c r="B22" s="3262" t="s">
        <v>2461</v>
      </c>
      <c r="C22" s="2020"/>
      <c r="D22" s="1855" t="s">
        <v>2462</v>
      </c>
      <c r="E22" s="3263" t="s">
        <v>90</v>
      </c>
      <c r="F22" s="3271" t="s">
        <v>131</v>
      </c>
      <c r="G22" s="3264"/>
      <c r="H22" s="3264"/>
      <c r="I22" s="3282"/>
      <c r="J22" s="3282"/>
      <c r="K22" s="3264"/>
      <c r="L22" s="3622" t="s">
        <v>6518</v>
      </c>
      <c r="M22" s="3266">
        <v>2.5681027087257582</v>
      </c>
      <c r="N22" s="1702">
        <f t="shared" si="0"/>
        <v>2.5681027087257581E-5</v>
      </c>
      <c r="O22" s="3266">
        <v>889768</v>
      </c>
      <c r="P22" s="3267">
        <f t="shared" si="1"/>
        <v>22.850156109375003</v>
      </c>
      <c r="Q22" s="3283" t="s">
        <v>6714</v>
      </c>
      <c r="R22" s="1953">
        <f>'Ab1. RMNCH+A'!Q191</f>
        <v>0</v>
      </c>
      <c r="S22" s="3269">
        <f>'Ab1. RMNCH+A'!R191</f>
        <v>0</v>
      </c>
    </row>
    <row r="23" spans="1:19" ht="63">
      <c r="A23" s="3262">
        <v>11</v>
      </c>
      <c r="B23" s="3262" t="s">
        <v>2464</v>
      </c>
      <c r="C23" s="2020"/>
      <c r="D23" s="1855" t="s">
        <v>2475</v>
      </c>
      <c r="E23" s="3263" t="s">
        <v>90</v>
      </c>
      <c r="F23" s="3271" t="s">
        <v>131</v>
      </c>
      <c r="G23" s="3264"/>
      <c r="H23" s="3264"/>
      <c r="I23" s="3282"/>
      <c r="J23" s="3282"/>
      <c r="K23" s="3264"/>
      <c r="L23" s="3623" t="s">
        <v>6519</v>
      </c>
      <c r="M23" s="3266">
        <v>2.9662500000000001</v>
      </c>
      <c r="N23" s="1702">
        <f t="shared" si="0"/>
        <v>2.9662499999999999E-5</v>
      </c>
      <c r="O23" s="3266">
        <v>2000000</v>
      </c>
      <c r="P23" s="3267">
        <f t="shared" si="1"/>
        <v>59.324999999999996</v>
      </c>
      <c r="Q23" s="3268" t="s">
        <v>6715</v>
      </c>
      <c r="R23" s="1953">
        <f>'Ab1. RMNCH+A'!Q192</f>
        <v>0</v>
      </c>
      <c r="S23" s="3269">
        <f>'Ab1. RMNCH+A'!R192</f>
        <v>0</v>
      </c>
    </row>
    <row r="24" spans="1:19" ht="78.75">
      <c r="A24" s="3262">
        <v>12</v>
      </c>
      <c r="B24" s="3262" t="s">
        <v>2474</v>
      </c>
      <c r="C24" s="2020"/>
      <c r="D24" s="3286" t="s">
        <v>3363</v>
      </c>
      <c r="E24" s="3263" t="s">
        <v>90</v>
      </c>
      <c r="F24" s="3549" t="s">
        <v>131</v>
      </c>
      <c r="G24" s="3264"/>
      <c r="H24" s="3264"/>
      <c r="I24" s="3264"/>
      <c r="J24" s="3264"/>
      <c r="K24" s="3264"/>
      <c r="L24" s="3622" t="s">
        <v>6520</v>
      </c>
      <c r="M24" s="3266">
        <v>5.8794181937172763</v>
      </c>
      <c r="N24" s="1702">
        <f t="shared" si="0"/>
        <v>5.8794181937172765E-5</v>
      </c>
      <c r="O24" s="3266">
        <v>515700</v>
      </c>
      <c r="P24" s="3267">
        <f>N24*O24</f>
        <v>30.320159624999995</v>
      </c>
      <c r="Q24" s="3268" t="s">
        <v>6716</v>
      </c>
      <c r="R24" s="1953">
        <f>'Ab1. RMNCH+A'!Q193</f>
        <v>0</v>
      </c>
      <c r="S24" s="3269">
        <f>'Ab1. RMNCH+A'!R193</f>
        <v>0</v>
      </c>
    </row>
    <row r="25" spans="1:19" ht="33">
      <c r="A25" s="3262">
        <v>13</v>
      </c>
      <c r="B25" s="3287" t="s">
        <v>3366</v>
      </c>
      <c r="C25" s="2020"/>
      <c r="D25" s="3288" t="s">
        <v>4781</v>
      </c>
      <c r="E25" s="3263" t="s">
        <v>90</v>
      </c>
      <c r="F25" s="3548" t="s">
        <v>131</v>
      </c>
      <c r="G25" s="3264"/>
      <c r="H25" s="3264"/>
      <c r="I25" s="3264"/>
      <c r="J25" s="3264"/>
      <c r="K25" s="3264"/>
      <c r="L25" s="3541"/>
      <c r="M25" s="1317"/>
      <c r="N25" s="1702">
        <f>M25/100000</f>
        <v>0</v>
      </c>
      <c r="O25" s="1317"/>
      <c r="P25" s="3267">
        <f>N25*O25</f>
        <v>0</v>
      </c>
      <c r="Q25" s="3289"/>
      <c r="R25" s="1953">
        <f>'Ab1. RMNCH+A'!Q194</f>
        <v>0</v>
      </c>
      <c r="S25" s="3269">
        <f>'Ab1. RMNCH+A'!R194</f>
        <v>0</v>
      </c>
    </row>
    <row r="26" spans="1:19" ht="57.75" customHeight="1">
      <c r="A26" s="3262">
        <v>14</v>
      </c>
      <c r="B26" s="3262" t="s">
        <v>4780</v>
      </c>
      <c r="C26" s="3262" t="s">
        <v>2474</v>
      </c>
      <c r="D26" s="1855" t="s">
        <v>1310</v>
      </c>
      <c r="E26" s="3263" t="s">
        <v>90</v>
      </c>
      <c r="F26" s="3271" t="s">
        <v>131</v>
      </c>
      <c r="G26" s="3264"/>
      <c r="H26" s="3264"/>
      <c r="I26" s="3264"/>
      <c r="J26" s="3264"/>
      <c r="K26" s="3264"/>
      <c r="L26" s="3542"/>
      <c r="M26" s="1317"/>
      <c r="N26" s="1702">
        <f t="shared" si="0"/>
        <v>0</v>
      </c>
      <c r="O26" s="1317"/>
      <c r="P26" s="3267">
        <f>N26*O26</f>
        <v>0</v>
      </c>
      <c r="Q26" s="3290"/>
      <c r="R26" s="1953">
        <f>'Ab1. RMNCH+A'!Q195</f>
        <v>0</v>
      </c>
      <c r="S26" s="3269">
        <f>'Ab1. RMNCH+A'!R195</f>
        <v>0</v>
      </c>
    </row>
    <row r="27" spans="1:19">
      <c r="A27" s="3277" t="s">
        <v>4354</v>
      </c>
      <c r="B27" s="1991">
        <v>12.3</v>
      </c>
      <c r="C27" s="1671"/>
      <c r="D27" s="1671" t="s">
        <v>1476</v>
      </c>
      <c r="E27" s="3260"/>
      <c r="F27" s="3547"/>
      <c r="G27" s="2448"/>
      <c r="H27" s="2448"/>
      <c r="I27" s="2448"/>
      <c r="J27" s="2448"/>
      <c r="K27" s="2448"/>
      <c r="L27" s="3540"/>
      <c r="M27" s="2448"/>
      <c r="N27" s="2436"/>
      <c r="O27" s="2448"/>
      <c r="P27" s="2436">
        <f>SUM(P28:P32)</f>
        <v>135</v>
      </c>
      <c r="Q27" s="3278"/>
      <c r="R27" s="3127"/>
      <c r="S27" s="2287">
        <f>SUM(S28:S32)</f>
        <v>0</v>
      </c>
    </row>
    <row r="28" spans="1:19" ht="29.1" customHeight="1">
      <c r="A28" s="3262">
        <v>1</v>
      </c>
      <c r="B28" s="3262" t="s">
        <v>1477</v>
      </c>
      <c r="C28" s="1855" t="s">
        <v>885</v>
      </c>
      <c r="D28" s="1855" t="s">
        <v>1478</v>
      </c>
      <c r="E28" s="3263" t="s">
        <v>90</v>
      </c>
      <c r="F28" s="3548" t="s">
        <v>91</v>
      </c>
      <c r="G28" s="3291"/>
      <c r="H28" s="3291"/>
      <c r="I28" s="3291"/>
      <c r="J28" s="3291"/>
      <c r="K28" s="3291"/>
      <c r="L28" s="3539"/>
      <c r="M28" s="3266"/>
      <c r="N28" s="1702">
        <f>M28/100000</f>
        <v>0</v>
      </c>
      <c r="O28" s="3266"/>
      <c r="P28" s="3267">
        <f>N28*O28</f>
        <v>0</v>
      </c>
      <c r="Q28" s="3272"/>
      <c r="R28" s="1953">
        <f>'Ab1. RMNCH+A'!Q278</f>
        <v>0</v>
      </c>
      <c r="S28" s="3269">
        <f>'Ab1. RMNCH+A'!R278</f>
        <v>0</v>
      </c>
    </row>
    <row r="29" spans="1:19" ht="78.75">
      <c r="A29" s="3262">
        <v>2</v>
      </c>
      <c r="B29" s="3262" t="s">
        <v>1479</v>
      </c>
      <c r="C29" s="2071" t="s">
        <v>1360</v>
      </c>
      <c r="D29" s="1855" t="s">
        <v>1480</v>
      </c>
      <c r="E29" s="3263" t="s">
        <v>90</v>
      </c>
      <c r="F29" s="3548" t="s">
        <v>91</v>
      </c>
      <c r="G29" s="3264"/>
      <c r="H29" s="3264"/>
      <c r="I29" s="3264"/>
      <c r="J29" s="3264"/>
      <c r="K29" s="3264"/>
      <c r="L29" s="3622" t="s">
        <v>6522</v>
      </c>
      <c r="M29" s="3266">
        <v>1250000</v>
      </c>
      <c r="N29" s="1702">
        <f>M29/100000</f>
        <v>12.5</v>
      </c>
      <c r="O29" s="3266">
        <v>4</v>
      </c>
      <c r="P29" s="3267">
        <f>N29*O29</f>
        <v>50</v>
      </c>
      <c r="Q29" s="3272" t="s">
        <v>6604</v>
      </c>
      <c r="R29" s="1953">
        <f>'Ab1. RMNCH+A'!Q279</f>
        <v>0</v>
      </c>
      <c r="S29" s="3269">
        <f>'Ab1. RMNCH+A'!R279</f>
        <v>0</v>
      </c>
    </row>
    <row r="30" spans="1:19" ht="47.25">
      <c r="A30" s="3262">
        <v>3</v>
      </c>
      <c r="B30" s="3262" t="s">
        <v>1481</v>
      </c>
      <c r="C30" s="1855" t="s">
        <v>1482</v>
      </c>
      <c r="D30" s="1855" t="s">
        <v>1483</v>
      </c>
      <c r="E30" s="3263" t="s">
        <v>90</v>
      </c>
      <c r="F30" s="3548" t="s">
        <v>91</v>
      </c>
      <c r="G30" s="3264"/>
      <c r="H30" s="3264"/>
      <c r="I30" s="3264"/>
      <c r="J30" s="3264"/>
      <c r="K30" s="3264"/>
      <c r="L30" s="3622" t="s">
        <v>6523</v>
      </c>
      <c r="M30" s="3266">
        <v>250000</v>
      </c>
      <c r="N30" s="1702">
        <f>M30/100000</f>
        <v>2.5</v>
      </c>
      <c r="O30" s="3266">
        <v>10</v>
      </c>
      <c r="P30" s="3267">
        <f>N30*O30</f>
        <v>25</v>
      </c>
      <c r="Q30" s="3272" t="s">
        <v>6717</v>
      </c>
      <c r="R30" s="1953">
        <f>'Ab1. RMNCH+A'!Q280</f>
        <v>0</v>
      </c>
      <c r="S30" s="3269">
        <f>'Ab1. RMNCH+A'!R280</f>
        <v>0</v>
      </c>
    </row>
    <row r="31" spans="1:19" ht="47.25">
      <c r="A31" s="3262">
        <v>4</v>
      </c>
      <c r="B31" s="3262" t="s">
        <v>1484</v>
      </c>
      <c r="C31" s="1855" t="s">
        <v>1485</v>
      </c>
      <c r="D31" s="1855" t="s">
        <v>1486</v>
      </c>
      <c r="E31" s="3263" t="s">
        <v>90</v>
      </c>
      <c r="F31" s="3271" t="s">
        <v>91</v>
      </c>
      <c r="G31" s="3264"/>
      <c r="H31" s="3264"/>
      <c r="I31" s="3282"/>
      <c r="J31" s="3282"/>
      <c r="K31" s="3264"/>
      <c r="L31" s="3622" t="s">
        <v>6524</v>
      </c>
      <c r="M31" s="3266">
        <v>500000</v>
      </c>
      <c r="N31" s="1702">
        <f>M31/100000</f>
        <v>5</v>
      </c>
      <c r="O31" s="3266">
        <v>10</v>
      </c>
      <c r="P31" s="3267">
        <f>N31*O31</f>
        <v>50</v>
      </c>
      <c r="Q31" s="3292" t="s">
        <v>6526</v>
      </c>
      <c r="R31" s="1953">
        <f>'Ab1. RMNCH+A'!Q281</f>
        <v>0</v>
      </c>
      <c r="S31" s="3269">
        <f>'Ab1. RMNCH+A'!R281</f>
        <v>0</v>
      </c>
    </row>
    <row r="32" spans="1:19" ht="47.25">
      <c r="A32" s="3262">
        <v>5</v>
      </c>
      <c r="B32" s="3262" t="s">
        <v>1487</v>
      </c>
      <c r="C32" s="2020"/>
      <c r="D32" s="1855" t="s">
        <v>1310</v>
      </c>
      <c r="E32" s="3263" t="s">
        <v>90</v>
      </c>
      <c r="F32" s="3271" t="s">
        <v>91</v>
      </c>
      <c r="G32" s="3264"/>
      <c r="H32" s="3264"/>
      <c r="I32" s="3264"/>
      <c r="J32" s="3264"/>
      <c r="K32" s="3264"/>
      <c r="L32" s="3622" t="s">
        <v>6525</v>
      </c>
      <c r="M32" s="3266">
        <v>200</v>
      </c>
      <c r="N32" s="1702">
        <f>M32/100000</f>
        <v>2E-3</v>
      </c>
      <c r="O32" s="3266">
        <v>5000</v>
      </c>
      <c r="P32" s="3267">
        <f>N32*O32</f>
        <v>10</v>
      </c>
      <c r="Q32" s="3268" t="s">
        <v>6718</v>
      </c>
      <c r="R32" s="1953">
        <f>'Ab1. RMNCH+A'!Q282</f>
        <v>0</v>
      </c>
      <c r="S32" s="3269">
        <f>'Ab1. RMNCH+A'!R282</f>
        <v>0</v>
      </c>
    </row>
    <row r="33" spans="1:19">
      <c r="A33" s="3277" t="s">
        <v>4355</v>
      </c>
      <c r="B33" s="1991">
        <v>12.4</v>
      </c>
      <c r="C33" s="1671"/>
      <c r="D33" s="1671" t="s">
        <v>1488</v>
      </c>
      <c r="E33" s="3260"/>
      <c r="F33" s="3547"/>
      <c r="G33" s="2448"/>
      <c r="H33" s="2448"/>
      <c r="I33" s="2448"/>
      <c r="J33" s="2448"/>
      <c r="K33" s="2448"/>
      <c r="L33" s="3540"/>
      <c r="M33" s="2448"/>
      <c r="N33" s="2436"/>
      <c r="O33" s="2448"/>
      <c r="P33" s="2436">
        <f>SUM(P34:P39)</f>
        <v>393.33100000000002</v>
      </c>
      <c r="Q33" s="3278"/>
      <c r="R33" s="3127"/>
      <c r="S33" s="2287">
        <f>SUM(S34:S39)</f>
        <v>0</v>
      </c>
    </row>
    <row r="34" spans="1:19" ht="47.25">
      <c r="A34" s="3262">
        <v>1</v>
      </c>
      <c r="B34" s="3262" t="s">
        <v>1489</v>
      </c>
      <c r="C34" s="3293" t="s">
        <v>1490</v>
      </c>
      <c r="D34" s="3293" t="s">
        <v>1491</v>
      </c>
      <c r="E34" s="3263" t="s">
        <v>90</v>
      </c>
      <c r="F34" s="3548" t="s">
        <v>193</v>
      </c>
      <c r="G34" s="3291"/>
      <c r="H34" s="3291"/>
      <c r="I34" s="3291"/>
      <c r="J34" s="3291"/>
      <c r="K34" s="3291"/>
      <c r="L34" s="3622" t="s">
        <v>6527</v>
      </c>
      <c r="M34" s="3294">
        <v>100</v>
      </c>
      <c r="N34" s="1702">
        <f t="shared" ref="N34:N39" si="2">M34/100000</f>
        <v>1E-3</v>
      </c>
      <c r="O34" s="3295">
        <v>13920</v>
      </c>
      <c r="P34" s="3267">
        <f t="shared" ref="P34:P39" si="3">N34*O34</f>
        <v>13.92</v>
      </c>
      <c r="Q34" s="3296" t="s">
        <v>6529</v>
      </c>
      <c r="R34" s="1953">
        <f>'Ab1. RMNCH+A'!Q335</f>
        <v>0</v>
      </c>
      <c r="S34" s="3269">
        <f>'Ab1. RMNCH+A'!R335</f>
        <v>0</v>
      </c>
    </row>
    <row r="35" spans="1:19" ht="33">
      <c r="A35" s="3262">
        <v>2</v>
      </c>
      <c r="B35" s="3262" t="s">
        <v>1492</v>
      </c>
      <c r="C35" s="1855" t="s">
        <v>1493</v>
      </c>
      <c r="D35" s="1855" t="s">
        <v>2495</v>
      </c>
      <c r="E35" s="3263" t="s">
        <v>90</v>
      </c>
      <c r="F35" s="3271" t="s">
        <v>193</v>
      </c>
      <c r="G35" s="3264"/>
      <c r="H35" s="3264"/>
      <c r="I35" s="3264"/>
      <c r="J35" s="3264"/>
      <c r="K35" s="3264"/>
      <c r="L35" s="3623"/>
      <c r="M35" s="3266"/>
      <c r="N35" s="1702">
        <f t="shared" si="2"/>
        <v>0</v>
      </c>
      <c r="O35" s="3266"/>
      <c r="P35" s="3267">
        <f t="shared" si="3"/>
        <v>0</v>
      </c>
      <c r="Q35" s="3279"/>
      <c r="R35" s="1953">
        <f>'Ab1. RMNCH+A'!Q336</f>
        <v>0</v>
      </c>
      <c r="S35" s="3269">
        <f>'Ab1. RMNCH+A'!R336</f>
        <v>0</v>
      </c>
    </row>
    <row r="36" spans="1:19" ht="33">
      <c r="A36" s="3262">
        <v>3</v>
      </c>
      <c r="B36" s="3262" t="s">
        <v>1494</v>
      </c>
      <c r="C36" s="1855" t="s">
        <v>1495</v>
      </c>
      <c r="D36" s="1855" t="s">
        <v>2497</v>
      </c>
      <c r="E36" s="3263" t="s">
        <v>90</v>
      </c>
      <c r="F36" s="3271" t="s">
        <v>193</v>
      </c>
      <c r="G36" s="3297"/>
      <c r="H36" s="3297"/>
      <c r="I36" s="3297"/>
      <c r="J36" s="3297"/>
      <c r="K36" s="3297"/>
      <c r="L36" s="3623"/>
      <c r="M36" s="3266"/>
      <c r="N36" s="1702">
        <f t="shared" si="2"/>
        <v>0</v>
      </c>
      <c r="O36" s="3266"/>
      <c r="P36" s="3267">
        <f t="shared" si="3"/>
        <v>0</v>
      </c>
      <c r="Q36" s="3285"/>
      <c r="R36" s="1953">
        <f>'Ab1. RMNCH+A'!Q337</f>
        <v>0</v>
      </c>
      <c r="S36" s="3269">
        <f>'Ab1. RMNCH+A'!R337</f>
        <v>0</v>
      </c>
    </row>
    <row r="37" spans="1:19" ht="49.5">
      <c r="A37" s="3262">
        <v>4</v>
      </c>
      <c r="B37" s="3262" t="s">
        <v>1496</v>
      </c>
      <c r="C37" s="2020"/>
      <c r="D37" s="1855" t="s">
        <v>4112</v>
      </c>
      <c r="E37" s="3263" t="s">
        <v>90</v>
      </c>
      <c r="F37" s="3271" t="s">
        <v>193</v>
      </c>
      <c r="G37" s="3264"/>
      <c r="H37" s="3264"/>
      <c r="I37" s="3264"/>
      <c r="J37" s="3264"/>
      <c r="K37" s="3264"/>
      <c r="L37" s="3622" t="s">
        <v>6513</v>
      </c>
      <c r="M37" s="3266">
        <v>1411</v>
      </c>
      <c r="N37" s="1702">
        <f t="shared" si="2"/>
        <v>1.4109999999999999E-2</v>
      </c>
      <c r="O37" s="3266">
        <v>100</v>
      </c>
      <c r="P37" s="3267">
        <f t="shared" si="3"/>
        <v>1.411</v>
      </c>
      <c r="Q37" s="3273" t="s">
        <v>6530</v>
      </c>
      <c r="R37" s="1953">
        <f>'Ab1. RMNCH+A'!Q338</f>
        <v>0</v>
      </c>
      <c r="S37" s="3269">
        <f>'Ab1. RMNCH+A'!R338</f>
        <v>0</v>
      </c>
    </row>
    <row r="38" spans="1:19" ht="47.25">
      <c r="A38" s="3262">
        <v>5</v>
      </c>
      <c r="B38" s="3262" t="s">
        <v>2496</v>
      </c>
      <c r="C38" s="2020"/>
      <c r="D38" s="1855" t="s">
        <v>4144</v>
      </c>
      <c r="E38" s="3263" t="s">
        <v>90</v>
      </c>
      <c r="F38" s="3271" t="s">
        <v>193</v>
      </c>
      <c r="G38" s="3264"/>
      <c r="H38" s="3264"/>
      <c r="I38" s="3264"/>
      <c r="J38" s="3264"/>
      <c r="K38" s="3264"/>
      <c r="L38" s="3622" t="s">
        <v>6528</v>
      </c>
      <c r="M38" s="3266">
        <v>4200000</v>
      </c>
      <c r="N38" s="1702">
        <f t="shared" si="2"/>
        <v>42</v>
      </c>
      <c r="O38" s="3266">
        <v>9</v>
      </c>
      <c r="P38" s="3267">
        <f t="shared" si="3"/>
        <v>378</v>
      </c>
      <c r="Q38" s="3273" t="s">
        <v>6531</v>
      </c>
      <c r="R38" s="1953">
        <f>'Ab1. RMNCH+A'!Q339</f>
        <v>0</v>
      </c>
      <c r="S38" s="3269">
        <f>'Ab1. RMNCH+A'!R339</f>
        <v>0</v>
      </c>
    </row>
    <row r="39" spans="1:19">
      <c r="A39" s="3262">
        <v>6</v>
      </c>
      <c r="B39" s="3262" t="s">
        <v>4143</v>
      </c>
      <c r="C39" s="2020"/>
      <c r="D39" s="1855" t="s">
        <v>1310</v>
      </c>
      <c r="E39" s="3263" t="s">
        <v>90</v>
      </c>
      <c r="F39" s="3271" t="s">
        <v>193</v>
      </c>
      <c r="G39" s="3297"/>
      <c r="H39" s="3297"/>
      <c r="I39" s="3297"/>
      <c r="J39" s="3297"/>
      <c r="K39" s="3297"/>
      <c r="L39" s="3542"/>
      <c r="M39" s="1317"/>
      <c r="N39" s="1702">
        <f t="shared" si="2"/>
        <v>0</v>
      </c>
      <c r="O39" s="1317"/>
      <c r="P39" s="3267">
        <f t="shared" si="3"/>
        <v>0</v>
      </c>
      <c r="Q39" s="3290"/>
      <c r="R39" s="1953">
        <f>'Ab1. RMNCH+A'!Q340</f>
        <v>0</v>
      </c>
      <c r="S39" s="3269">
        <f>'Ab1. RMNCH+A'!R340</f>
        <v>0</v>
      </c>
    </row>
    <row r="40" spans="1:19">
      <c r="A40" s="3277" t="s">
        <v>4356</v>
      </c>
      <c r="B40" s="1991">
        <v>12.5</v>
      </c>
      <c r="C40" s="1671"/>
      <c r="D40" s="1671" t="s">
        <v>1497</v>
      </c>
      <c r="E40" s="3260"/>
      <c r="F40" s="3547"/>
      <c r="G40" s="2448"/>
      <c r="H40" s="2448"/>
      <c r="I40" s="2448"/>
      <c r="J40" s="2448"/>
      <c r="K40" s="2448"/>
      <c r="L40" s="3540"/>
      <c r="M40" s="2448"/>
      <c r="N40" s="2436"/>
      <c r="O40" s="2448"/>
      <c r="P40" s="2436">
        <f>SUM(P41:P46)</f>
        <v>444.15748077618753</v>
      </c>
      <c r="Q40" s="3278"/>
      <c r="R40" s="3127"/>
      <c r="S40" s="2287">
        <f>SUM(S41:S46)</f>
        <v>0</v>
      </c>
    </row>
    <row r="41" spans="1:19">
      <c r="A41" s="3262">
        <v>1</v>
      </c>
      <c r="B41" s="3262" t="s">
        <v>1498</v>
      </c>
      <c r="C41" s="1855" t="s">
        <v>1499</v>
      </c>
      <c r="D41" s="1855" t="s">
        <v>1500</v>
      </c>
      <c r="E41" s="3263" t="s">
        <v>90</v>
      </c>
      <c r="F41" s="3548" t="s">
        <v>96</v>
      </c>
      <c r="G41" s="3291"/>
      <c r="H41" s="3291"/>
      <c r="I41" s="3282"/>
      <c r="J41" s="3282"/>
      <c r="K41" s="3291"/>
      <c r="L41" s="3539"/>
      <c r="M41" s="3266"/>
      <c r="N41" s="1702">
        <f t="shared" ref="N41:N46" si="4">M41/100000</f>
        <v>0</v>
      </c>
      <c r="O41" s="1317"/>
      <c r="P41" s="3267">
        <f t="shared" ref="P41:P46" si="5">N41*O41</f>
        <v>0</v>
      </c>
      <c r="Q41" s="2297"/>
      <c r="R41" s="1953">
        <f>'Ab1. RMNCH+A'!Q371</f>
        <v>0</v>
      </c>
      <c r="S41" s="3269">
        <f>'Ab1. RMNCH+A'!R371</f>
        <v>0</v>
      </c>
    </row>
    <row r="42" spans="1:19">
      <c r="A42" s="3262">
        <v>2</v>
      </c>
      <c r="B42" s="3262" t="s">
        <v>1501</v>
      </c>
      <c r="C42" s="1855" t="s">
        <v>1502</v>
      </c>
      <c r="D42" s="3298" t="s">
        <v>1503</v>
      </c>
      <c r="E42" s="3263" t="s">
        <v>90</v>
      </c>
      <c r="F42" s="3548" t="s">
        <v>96</v>
      </c>
      <c r="G42" s="3291"/>
      <c r="H42" s="3291"/>
      <c r="I42" s="3282"/>
      <c r="J42" s="3282"/>
      <c r="K42" s="3291"/>
      <c r="L42" s="3539"/>
      <c r="M42" s="3266"/>
      <c r="N42" s="1702">
        <f t="shared" si="4"/>
        <v>0</v>
      </c>
      <c r="O42" s="1317"/>
      <c r="P42" s="3267">
        <f t="shared" si="5"/>
        <v>0</v>
      </c>
      <c r="Q42" s="2297"/>
      <c r="R42" s="1953">
        <f>'Ab1. RMNCH+A'!Q372</f>
        <v>0</v>
      </c>
      <c r="S42" s="3269">
        <f>'Ab1. RMNCH+A'!R372</f>
        <v>0</v>
      </c>
    </row>
    <row r="43" spans="1:19">
      <c r="A43" s="3262">
        <v>3</v>
      </c>
      <c r="B43" s="3262" t="s">
        <v>1504</v>
      </c>
      <c r="C43" s="1855" t="s">
        <v>1505</v>
      </c>
      <c r="D43" s="3298" t="s">
        <v>1506</v>
      </c>
      <c r="E43" s="3263" t="s">
        <v>90</v>
      </c>
      <c r="F43" s="3548" t="s">
        <v>96</v>
      </c>
      <c r="G43" s="3291"/>
      <c r="H43" s="3291"/>
      <c r="I43" s="3282"/>
      <c r="J43" s="3282"/>
      <c r="K43" s="3291"/>
      <c r="L43" s="3542"/>
      <c r="M43" s="1317"/>
      <c r="N43" s="1702">
        <f t="shared" si="4"/>
        <v>0</v>
      </c>
      <c r="O43" s="1317"/>
      <c r="P43" s="3267">
        <f t="shared" si="5"/>
        <v>0</v>
      </c>
      <c r="Q43" s="2297"/>
      <c r="R43" s="1953">
        <f>'Ab1. RMNCH+A'!Q373</f>
        <v>0</v>
      </c>
      <c r="S43" s="3269">
        <f>'Ab1. RMNCH+A'!R373</f>
        <v>0</v>
      </c>
    </row>
    <row r="44" spans="1:19" ht="63">
      <c r="A44" s="3262">
        <v>4</v>
      </c>
      <c r="B44" s="3262" t="s">
        <v>1507</v>
      </c>
      <c r="C44" s="1855" t="s">
        <v>1508</v>
      </c>
      <c r="D44" s="1855" t="s">
        <v>1509</v>
      </c>
      <c r="E44" s="3263" t="s">
        <v>90</v>
      </c>
      <c r="F44" s="3271" t="s">
        <v>96</v>
      </c>
      <c r="G44" s="3297"/>
      <c r="H44" s="3297"/>
      <c r="I44" s="3282"/>
      <c r="J44" s="3282"/>
      <c r="K44" s="3297"/>
      <c r="L44" s="3622" t="s">
        <v>6532</v>
      </c>
      <c r="M44" s="3266">
        <v>2.4159285284535268</v>
      </c>
      <c r="N44" s="1702">
        <f t="shared" si="4"/>
        <v>2.4159285284535267E-5</v>
      </c>
      <c r="O44" s="3299">
        <v>17527344</v>
      </c>
      <c r="P44" s="3267">
        <f t="shared" si="5"/>
        <v>423.4481039761875</v>
      </c>
      <c r="Q44" s="3283" t="s">
        <v>6719</v>
      </c>
      <c r="R44" s="1953">
        <f>'Ab1. RMNCH+A'!Q374</f>
        <v>0</v>
      </c>
      <c r="S44" s="3269">
        <f>'Ab1. RMNCH+A'!R374</f>
        <v>0</v>
      </c>
    </row>
    <row r="45" spans="1:19" ht="47.25">
      <c r="A45" s="3262">
        <v>5</v>
      </c>
      <c r="B45" s="3262" t="s">
        <v>1510</v>
      </c>
      <c r="C45" s="1855" t="s">
        <v>1511</v>
      </c>
      <c r="D45" s="1855" t="s">
        <v>1512</v>
      </c>
      <c r="E45" s="3263" t="s">
        <v>90</v>
      </c>
      <c r="F45" s="3271" t="s">
        <v>96</v>
      </c>
      <c r="G45" s="3297"/>
      <c r="H45" s="3297"/>
      <c r="I45" s="3282"/>
      <c r="J45" s="3282"/>
      <c r="K45" s="3297"/>
      <c r="L45" s="3622" t="s">
        <v>6533</v>
      </c>
      <c r="M45" s="3266">
        <v>537.06890041493784</v>
      </c>
      <c r="N45" s="1702">
        <f t="shared" si="4"/>
        <v>5.3706890041493784E-3</v>
      </c>
      <c r="O45" s="3266">
        <v>3856</v>
      </c>
      <c r="P45" s="3267">
        <f t="shared" si="5"/>
        <v>20.709376800000005</v>
      </c>
      <c r="Q45" s="3283" t="s">
        <v>6720</v>
      </c>
      <c r="R45" s="1953">
        <f>'Ab1. RMNCH+A'!Q375</f>
        <v>0</v>
      </c>
      <c r="S45" s="3269">
        <f>'Ab1. RMNCH+A'!R375</f>
        <v>0</v>
      </c>
    </row>
    <row r="46" spans="1:19">
      <c r="A46" s="3262">
        <v>6</v>
      </c>
      <c r="B46" s="3262" t="s">
        <v>1513</v>
      </c>
      <c r="C46" s="2020"/>
      <c r="D46" s="1855" t="s">
        <v>1310</v>
      </c>
      <c r="E46" s="3263" t="s">
        <v>90</v>
      </c>
      <c r="F46" s="3271" t="s">
        <v>96</v>
      </c>
      <c r="G46" s="3297"/>
      <c r="H46" s="3297"/>
      <c r="I46" s="3282"/>
      <c r="J46" s="3282"/>
      <c r="K46" s="3297"/>
      <c r="L46" s="2401"/>
      <c r="M46" s="1317"/>
      <c r="N46" s="1702">
        <f t="shared" si="4"/>
        <v>0</v>
      </c>
      <c r="O46" s="1317"/>
      <c r="P46" s="3267">
        <f t="shared" si="5"/>
        <v>0</v>
      </c>
      <c r="Q46" s="2297"/>
      <c r="R46" s="1953">
        <f>'Ab1. RMNCH+A'!Q376</f>
        <v>0</v>
      </c>
      <c r="S46" s="3269">
        <f>'Ab1. RMNCH+A'!R376</f>
        <v>0</v>
      </c>
    </row>
    <row r="47" spans="1:19">
      <c r="A47" s="3277" t="s">
        <v>4664</v>
      </c>
      <c r="B47" s="3300">
        <v>12.1</v>
      </c>
      <c r="C47" s="1671"/>
      <c r="D47" s="1671" t="s">
        <v>1536</v>
      </c>
      <c r="E47" s="3260"/>
      <c r="F47" s="3547"/>
      <c r="G47" s="2448"/>
      <c r="H47" s="2448"/>
      <c r="I47" s="2448"/>
      <c r="J47" s="2448"/>
      <c r="K47" s="2448"/>
      <c r="L47" s="3540"/>
      <c r="M47" s="2448"/>
      <c r="N47" s="2436"/>
      <c r="O47" s="2448"/>
      <c r="P47" s="2436">
        <f>SUM(P48:P49)</f>
        <v>640</v>
      </c>
      <c r="Q47" s="3278"/>
      <c r="R47" s="3127"/>
      <c r="S47" s="2287">
        <f>SUM(S48:S49)</f>
        <v>0</v>
      </c>
    </row>
    <row r="48" spans="1:19" ht="47.25">
      <c r="A48" s="3262">
        <v>1</v>
      </c>
      <c r="B48" s="3262" t="s">
        <v>1537</v>
      </c>
      <c r="C48" s="1855" t="s">
        <v>1538</v>
      </c>
      <c r="D48" s="1855" t="s">
        <v>1539</v>
      </c>
      <c r="E48" s="3263" t="s">
        <v>90</v>
      </c>
      <c r="F48" s="3271" t="s">
        <v>205</v>
      </c>
      <c r="G48" s="3297"/>
      <c r="H48" s="3297"/>
      <c r="I48" s="3282"/>
      <c r="J48" s="3282"/>
      <c r="K48" s="3297"/>
      <c r="L48" s="3622" t="s">
        <v>6534</v>
      </c>
      <c r="M48" s="3266">
        <v>20</v>
      </c>
      <c r="N48" s="1702">
        <f>M48/100000</f>
        <v>2.0000000000000001E-4</v>
      </c>
      <c r="O48" s="3295">
        <v>3200000</v>
      </c>
      <c r="P48" s="3267">
        <f>N48*O48</f>
        <v>640</v>
      </c>
      <c r="Q48" s="3268" t="s">
        <v>6535</v>
      </c>
      <c r="R48" s="1953">
        <f>'Ab1. RMNCH+A'!Q421</f>
        <v>0</v>
      </c>
      <c r="S48" s="3269">
        <f>'Ab1. RMNCH+A'!R421</f>
        <v>0</v>
      </c>
    </row>
    <row r="49" spans="1:19">
      <c r="A49" s="3262">
        <v>2</v>
      </c>
      <c r="B49" s="3262" t="s">
        <v>1540</v>
      </c>
      <c r="C49" s="2020"/>
      <c r="D49" s="1855" t="s">
        <v>1310</v>
      </c>
      <c r="E49" s="3263" t="s">
        <v>90</v>
      </c>
      <c r="F49" s="3271" t="s">
        <v>205</v>
      </c>
      <c r="G49" s="3297"/>
      <c r="H49" s="3297"/>
      <c r="I49" s="3297"/>
      <c r="J49" s="3297"/>
      <c r="K49" s="3297"/>
      <c r="L49" s="3542"/>
      <c r="M49" s="1317"/>
      <c r="N49" s="1702">
        <f>M49/100000</f>
        <v>0</v>
      </c>
      <c r="O49" s="1317"/>
      <c r="P49" s="3267">
        <f>N49*O49</f>
        <v>0</v>
      </c>
      <c r="Q49" s="3290"/>
      <c r="R49" s="1953">
        <f>'Ab1. RMNCH+A'!Q422</f>
        <v>0</v>
      </c>
      <c r="S49" s="3269">
        <f>'Ab1. RMNCH+A'!R422</f>
        <v>0</v>
      </c>
    </row>
    <row r="50" spans="1:19">
      <c r="A50" s="3277" t="s">
        <v>4665</v>
      </c>
      <c r="B50" s="1991">
        <v>12.18</v>
      </c>
      <c r="C50" s="1671"/>
      <c r="D50" s="1671" t="s">
        <v>5203</v>
      </c>
      <c r="E50" s="3260"/>
      <c r="F50" s="3547"/>
      <c r="G50" s="2448"/>
      <c r="H50" s="2448"/>
      <c r="I50" s="2448"/>
      <c r="J50" s="2448"/>
      <c r="K50" s="2448"/>
      <c r="L50" s="3540"/>
      <c r="M50" s="2448"/>
      <c r="N50" s="2436"/>
      <c r="O50" s="2448"/>
      <c r="P50" s="2436">
        <f>SUM(P51:P53)</f>
        <v>0</v>
      </c>
      <c r="Q50" s="3278"/>
      <c r="R50" s="3127"/>
      <c r="S50" s="2287">
        <f>SUM(S51:S53)</f>
        <v>0</v>
      </c>
    </row>
    <row r="51" spans="1:19">
      <c r="A51" s="3262">
        <v>1</v>
      </c>
      <c r="B51" s="3262" t="s">
        <v>3801</v>
      </c>
      <c r="C51" s="1855" t="s">
        <v>1572</v>
      </c>
      <c r="D51" s="3286" t="s">
        <v>3364</v>
      </c>
      <c r="E51" s="3263" t="s">
        <v>90</v>
      </c>
      <c r="F51" s="3163" t="s">
        <v>1134</v>
      </c>
      <c r="G51" s="3297"/>
      <c r="H51" s="3297"/>
      <c r="I51" s="3297"/>
      <c r="J51" s="3297"/>
      <c r="K51" s="3297"/>
      <c r="L51" s="3542"/>
      <c r="M51" s="1317"/>
      <c r="N51" s="1702">
        <f>M51/100000</f>
        <v>0</v>
      </c>
      <c r="O51" s="1317"/>
      <c r="P51" s="3267">
        <f>N51*O51</f>
        <v>0</v>
      </c>
      <c r="Q51" s="3290"/>
      <c r="R51" s="1953">
        <f>'Ab1. RMNCH+A'!Q387</f>
        <v>0</v>
      </c>
      <c r="S51" s="3269">
        <f>'Ab1. RMNCH+A'!R387</f>
        <v>0</v>
      </c>
    </row>
    <row r="52" spans="1:19">
      <c r="A52" s="3262">
        <v>2</v>
      </c>
      <c r="B52" s="3262" t="s">
        <v>3802</v>
      </c>
      <c r="C52" s="3287"/>
      <c r="D52" s="3301" t="s">
        <v>3365</v>
      </c>
      <c r="E52" s="3263" t="s">
        <v>90</v>
      </c>
      <c r="F52" s="3163" t="s">
        <v>1134</v>
      </c>
      <c r="G52" s="3264"/>
      <c r="H52" s="3264"/>
      <c r="I52" s="3264"/>
      <c r="J52" s="3264"/>
      <c r="K52" s="3264"/>
      <c r="L52" s="3542"/>
      <c r="M52" s="1317"/>
      <c r="N52" s="1702">
        <f>M52/100000</f>
        <v>0</v>
      </c>
      <c r="O52" s="1317"/>
      <c r="P52" s="3267">
        <f>N52*O52</f>
        <v>0</v>
      </c>
      <c r="Q52" s="3290"/>
      <c r="R52" s="1953">
        <f>'Ab1. RMNCH+A'!Q388</f>
        <v>0</v>
      </c>
      <c r="S52" s="3269">
        <f>'Ab1. RMNCH+A'!R388</f>
        <v>0</v>
      </c>
    </row>
    <row r="53" spans="1:19">
      <c r="A53" s="3262">
        <v>3</v>
      </c>
      <c r="B53" s="3262"/>
      <c r="C53" s="3287"/>
      <c r="D53" s="1855" t="s">
        <v>1310</v>
      </c>
      <c r="E53" s="3263" t="s">
        <v>90</v>
      </c>
      <c r="F53" s="3163" t="s">
        <v>1134</v>
      </c>
      <c r="G53" s="3264"/>
      <c r="H53" s="3264"/>
      <c r="I53" s="3264"/>
      <c r="J53" s="3264"/>
      <c r="K53" s="3264"/>
      <c r="L53" s="3542"/>
      <c r="M53" s="1317"/>
      <c r="N53" s="1702">
        <f>M53/100000</f>
        <v>0</v>
      </c>
      <c r="O53" s="1317"/>
      <c r="P53" s="3267">
        <f>N53*O53</f>
        <v>0</v>
      </c>
      <c r="Q53" s="3290"/>
      <c r="R53" s="1953">
        <f>'Ab1. RMNCH+A'!Q389</f>
        <v>0</v>
      </c>
      <c r="S53" s="3269">
        <f>'Ab1. RMNCH+A'!R389</f>
        <v>0</v>
      </c>
    </row>
    <row r="54" spans="1:19" s="3258" customFormat="1">
      <c r="A54" s="4471" t="s">
        <v>5190</v>
      </c>
      <c r="B54" s="4471"/>
      <c r="C54" s="4471"/>
      <c r="D54" s="4471"/>
      <c r="E54" s="3120"/>
      <c r="F54" s="3546"/>
      <c r="G54" s="3144"/>
      <c r="H54" s="3144"/>
      <c r="I54" s="3144"/>
      <c r="J54" s="3144"/>
      <c r="K54" s="3144"/>
      <c r="L54" s="3543"/>
      <c r="M54" s="3144"/>
      <c r="N54" s="3121"/>
      <c r="O54" s="3144"/>
      <c r="P54" s="3122"/>
      <c r="Q54" s="3145"/>
      <c r="R54" s="3146"/>
      <c r="S54" s="2323"/>
    </row>
    <row r="55" spans="1:19">
      <c r="A55" s="3277" t="s">
        <v>4350</v>
      </c>
      <c r="B55" s="1991">
        <v>12.6</v>
      </c>
      <c r="C55" s="1671"/>
      <c r="D55" s="1671" t="s">
        <v>1514</v>
      </c>
      <c r="E55" s="3260"/>
      <c r="F55" s="3547"/>
      <c r="G55" s="2448"/>
      <c r="H55" s="2448"/>
      <c r="I55" s="2448"/>
      <c r="J55" s="2448"/>
      <c r="K55" s="2448"/>
      <c r="L55" s="3540"/>
      <c r="M55" s="2448"/>
      <c r="N55" s="2436"/>
      <c r="O55" s="2448"/>
      <c r="P55" s="2436">
        <f>SUM(P56:P57)</f>
        <v>6.1056774870000012</v>
      </c>
      <c r="Q55" s="3278"/>
      <c r="R55" s="3127"/>
      <c r="S55" s="2287">
        <f>SUM(S56:S57)</f>
        <v>0</v>
      </c>
    </row>
    <row r="56" spans="1:19">
      <c r="A56" s="3262">
        <v>1</v>
      </c>
      <c r="B56" s="3262" t="s">
        <v>1515</v>
      </c>
      <c r="C56" s="1855" t="s">
        <v>759</v>
      </c>
      <c r="D56" s="1855" t="s">
        <v>1516</v>
      </c>
      <c r="E56" s="1281" t="s">
        <v>70</v>
      </c>
      <c r="F56" s="3271" t="s">
        <v>742</v>
      </c>
      <c r="G56" s="3297"/>
      <c r="H56" s="3297"/>
      <c r="I56" s="3297"/>
      <c r="J56" s="3297"/>
      <c r="K56" s="3297"/>
      <c r="L56" s="3542"/>
      <c r="M56" s="1317"/>
      <c r="N56" s="1702">
        <f>M56/100000</f>
        <v>0</v>
      </c>
      <c r="O56" s="1317"/>
      <c r="P56" s="3267">
        <f>N56*O56</f>
        <v>0</v>
      </c>
      <c r="Q56" s="3290"/>
      <c r="R56" s="1955"/>
      <c r="S56" s="3302"/>
    </row>
    <row r="57" spans="1:19" s="4072" customFormat="1" ht="33">
      <c r="A57" s="4063">
        <v>2</v>
      </c>
      <c r="B57" s="4063" t="s">
        <v>1517</v>
      </c>
      <c r="C57" s="3801"/>
      <c r="D57" s="3801" t="s">
        <v>1310</v>
      </c>
      <c r="E57" s="3813" t="s">
        <v>70</v>
      </c>
      <c r="F57" s="4065" t="s">
        <v>742</v>
      </c>
      <c r="G57" s="4184"/>
      <c r="H57" s="4184"/>
      <c r="I57" s="4184"/>
      <c r="J57" s="4184"/>
      <c r="K57" s="4184"/>
      <c r="L57" s="4185" t="s">
        <v>6513</v>
      </c>
      <c r="M57" s="3739">
        <v>593.36030000000005</v>
      </c>
      <c r="N57" s="3808">
        <f>M57/100000</f>
        <v>5.9336030000000008E-3</v>
      </c>
      <c r="O57" s="3739">
        <v>1029</v>
      </c>
      <c r="P57" s="4068">
        <f>N57*O57</f>
        <v>6.1056774870000012</v>
      </c>
      <c r="Q57" s="4186" t="s">
        <v>6954</v>
      </c>
      <c r="R57" s="4187"/>
      <c r="S57" s="4188"/>
    </row>
    <row r="58" spans="1:19">
      <c r="A58" s="3277" t="s">
        <v>4351</v>
      </c>
      <c r="B58" s="1991">
        <v>12.7</v>
      </c>
      <c r="C58" s="1671"/>
      <c r="D58" s="1671" t="s">
        <v>1518</v>
      </c>
      <c r="E58" s="3260"/>
      <c r="F58" s="3547"/>
      <c r="G58" s="2448"/>
      <c r="H58" s="2448"/>
      <c r="I58" s="2448"/>
      <c r="J58" s="2448"/>
      <c r="K58" s="2448"/>
      <c r="L58" s="3540"/>
      <c r="M58" s="2448"/>
      <c r="N58" s="2436"/>
      <c r="O58" s="2448"/>
      <c r="P58" s="2436">
        <f>SUM(P59:P63)</f>
        <v>0</v>
      </c>
      <c r="Q58" s="3278"/>
      <c r="R58" s="3127"/>
      <c r="S58" s="2287">
        <f>SUM(S59:S63)</f>
        <v>0</v>
      </c>
    </row>
    <row r="59" spans="1:19">
      <c r="A59" s="3262">
        <v>1</v>
      </c>
      <c r="B59" s="3262" t="s">
        <v>1519</v>
      </c>
      <c r="C59" s="1855" t="s">
        <v>243</v>
      </c>
      <c r="D59" s="1855" t="s">
        <v>1520</v>
      </c>
      <c r="E59" s="1281" t="s">
        <v>70</v>
      </c>
      <c r="F59" s="3271" t="s">
        <v>4985</v>
      </c>
      <c r="G59" s="3303"/>
      <c r="H59" s="3303"/>
      <c r="I59" s="3282"/>
      <c r="J59" s="3282"/>
      <c r="K59" s="3297"/>
      <c r="L59" s="3541"/>
      <c r="M59" s="1317"/>
      <c r="N59" s="1702">
        <f>M59/100000</f>
        <v>0</v>
      </c>
      <c r="O59" s="1317"/>
      <c r="P59" s="3267">
        <f>N59*O59</f>
        <v>0</v>
      </c>
      <c r="Q59" s="3290"/>
      <c r="R59" s="1953">
        <f>'Ab3. ASHA'!Q98</f>
        <v>0</v>
      </c>
      <c r="S59" s="3269">
        <f>'Ab3. ASHA'!R98</f>
        <v>0</v>
      </c>
    </row>
    <row r="60" spans="1:19">
      <c r="A60" s="3262">
        <v>2</v>
      </c>
      <c r="B60" s="3262" t="s">
        <v>1521</v>
      </c>
      <c r="C60" s="2020"/>
      <c r="D60" s="1855" t="s">
        <v>2530</v>
      </c>
      <c r="E60" s="1281" t="s">
        <v>70</v>
      </c>
      <c r="F60" s="3271" t="s">
        <v>4985</v>
      </c>
      <c r="G60" s="3297"/>
      <c r="H60" s="3297"/>
      <c r="I60" s="3297"/>
      <c r="J60" s="3297"/>
      <c r="K60" s="3297"/>
      <c r="L60" s="3542"/>
      <c r="M60" s="1317"/>
      <c r="N60" s="1702">
        <f>M60/100000</f>
        <v>0</v>
      </c>
      <c r="O60" s="1317"/>
      <c r="P60" s="3267">
        <f>N60*O60</f>
        <v>0</v>
      </c>
      <c r="Q60" s="3290"/>
      <c r="R60" s="1953">
        <f>'Ab3. ASHA'!Q99</f>
        <v>0</v>
      </c>
      <c r="S60" s="3269">
        <f>'Ab3. ASHA'!R99</f>
        <v>0</v>
      </c>
    </row>
    <row r="61" spans="1:19">
      <c r="A61" s="3262">
        <v>3</v>
      </c>
      <c r="B61" s="3262" t="s">
        <v>2528</v>
      </c>
      <c r="C61" s="2020"/>
      <c r="D61" s="1855" t="s">
        <v>2531</v>
      </c>
      <c r="E61" s="1281" t="s">
        <v>70</v>
      </c>
      <c r="F61" s="3271" t="s">
        <v>4985</v>
      </c>
      <c r="G61" s="3297"/>
      <c r="H61" s="3297"/>
      <c r="I61" s="3297"/>
      <c r="J61" s="3297"/>
      <c r="K61" s="3297"/>
      <c r="L61" s="3542"/>
      <c r="M61" s="1317"/>
      <c r="N61" s="1702">
        <f>M61/100000</f>
        <v>0</v>
      </c>
      <c r="O61" s="1317"/>
      <c r="P61" s="3267">
        <f>N61*O61</f>
        <v>0</v>
      </c>
      <c r="Q61" s="3290"/>
      <c r="R61" s="1953">
        <f>'Ab3. ASHA'!Q100</f>
        <v>0</v>
      </c>
      <c r="S61" s="3269">
        <f>'Ab3. ASHA'!R100</f>
        <v>0</v>
      </c>
    </row>
    <row r="62" spans="1:19">
      <c r="A62" s="3262">
        <v>4</v>
      </c>
      <c r="B62" s="3262" t="s">
        <v>2529</v>
      </c>
      <c r="C62" s="2020"/>
      <c r="D62" s="1855" t="s">
        <v>2862</v>
      </c>
      <c r="E62" s="1281" t="s">
        <v>70</v>
      </c>
      <c r="F62" s="3271" t="s">
        <v>4985</v>
      </c>
      <c r="G62" s="3297"/>
      <c r="H62" s="3297"/>
      <c r="I62" s="3297"/>
      <c r="J62" s="3297"/>
      <c r="K62" s="3297"/>
      <c r="L62" s="3542"/>
      <c r="M62" s="1317"/>
      <c r="N62" s="1702">
        <f>M62/100000</f>
        <v>0</v>
      </c>
      <c r="O62" s="1317"/>
      <c r="P62" s="3267">
        <f>N62*O62</f>
        <v>0</v>
      </c>
      <c r="Q62" s="3290"/>
      <c r="R62" s="1953">
        <f>'Ab3. ASHA'!Q101</f>
        <v>0</v>
      </c>
      <c r="S62" s="3269">
        <f>'Ab3. ASHA'!R101</f>
        <v>0</v>
      </c>
    </row>
    <row r="63" spans="1:19" ht="39.75" customHeight="1">
      <c r="A63" s="3262">
        <v>5</v>
      </c>
      <c r="B63" s="3262" t="s">
        <v>2861</v>
      </c>
      <c r="C63" s="2020"/>
      <c r="D63" s="1855" t="s">
        <v>1310</v>
      </c>
      <c r="E63" s="1281" t="s">
        <v>70</v>
      </c>
      <c r="F63" s="3271" t="s">
        <v>4985</v>
      </c>
      <c r="G63" s="3297"/>
      <c r="H63" s="3297"/>
      <c r="I63" s="3297"/>
      <c r="J63" s="3297"/>
      <c r="K63" s="3297"/>
      <c r="L63" s="3542"/>
      <c r="M63" s="1317"/>
      <c r="N63" s="1702">
        <f>M63/100000</f>
        <v>0</v>
      </c>
      <c r="O63" s="1317"/>
      <c r="P63" s="3267">
        <f>N63*O63</f>
        <v>0</v>
      </c>
      <c r="Q63" s="3290"/>
      <c r="R63" s="1953">
        <f>'Ab3. ASHA'!Q102</f>
        <v>0</v>
      </c>
      <c r="S63" s="3269">
        <f>'Ab3. ASHA'!R102</f>
        <v>0</v>
      </c>
    </row>
    <row r="64" spans="1:19" ht="33">
      <c r="A64" s="3277" t="s">
        <v>4354</v>
      </c>
      <c r="B64" s="1991">
        <v>12.8</v>
      </c>
      <c r="C64" s="1671"/>
      <c r="D64" s="1671" t="s">
        <v>2657</v>
      </c>
      <c r="E64" s="3260"/>
      <c r="F64" s="3547"/>
      <c r="G64" s="2448"/>
      <c r="H64" s="2448"/>
      <c r="I64" s="2448"/>
      <c r="J64" s="2448"/>
      <c r="K64" s="2448"/>
      <c r="L64" s="3540"/>
      <c r="M64" s="2448"/>
      <c r="N64" s="2436"/>
      <c r="O64" s="2448"/>
      <c r="P64" s="2436">
        <f>SUM(P65:P66)</f>
        <v>6</v>
      </c>
      <c r="Q64" s="3278"/>
      <c r="R64" s="3127"/>
      <c r="S64" s="2287">
        <f>SUM(S65:S66)</f>
        <v>0</v>
      </c>
    </row>
    <row r="65" spans="1:19" ht="33">
      <c r="A65" s="3262">
        <v>1</v>
      </c>
      <c r="B65" s="3262" t="s">
        <v>1522</v>
      </c>
      <c r="C65" s="1855" t="s">
        <v>1373</v>
      </c>
      <c r="D65" s="1855" t="s">
        <v>1523</v>
      </c>
      <c r="E65" s="1281" t="s">
        <v>70</v>
      </c>
      <c r="F65" s="3271" t="s">
        <v>3306</v>
      </c>
      <c r="G65" s="3297"/>
      <c r="H65" s="3297"/>
      <c r="I65" s="3297"/>
      <c r="J65" s="3297"/>
      <c r="K65" s="3297"/>
      <c r="L65" s="3622" t="s">
        <v>6536</v>
      </c>
      <c r="M65" s="3266">
        <v>600000</v>
      </c>
      <c r="N65" s="1702">
        <f>M65/100000</f>
        <v>6</v>
      </c>
      <c r="O65" s="3266">
        <v>1</v>
      </c>
      <c r="P65" s="3267">
        <f>N65*O65</f>
        <v>6</v>
      </c>
      <c r="Q65" s="3273" t="s">
        <v>6537</v>
      </c>
      <c r="R65" s="1953">
        <f>'Abs5. Blood services &amp; Disorder'!Q27</f>
        <v>0</v>
      </c>
      <c r="S65" s="3269">
        <f>'Abs5. Blood services &amp; Disorder'!R27</f>
        <v>0</v>
      </c>
    </row>
    <row r="66" spans="1:19">
      <c r="A66" s="3262">
        <v>2</v>
      </c>
      <c r="B66" s="3262" t="s">
        <v>1524</v>
      </c>
      <c r="C66" s="2020"/>
      <c r="D66" s="1855" t="s">
        <v>1310</v>
      </c>
      <c r="E66" s="1281" t="s">
        <v>70</v>
      </c>
      <c r="F66" s="3271" t="s">
        <v>3306</v>
      </c>
      <c r="G66" s="3297"/>
      <c r="H66" s="3297"/>
      <c r="I66" s="3297"/>
      <c r="J66" s="3297"/>
      <c r="K66" s="3297"/>
      <c r="L66" s="3624"/>
      <c r="M66" s="1317"/>
      <c r="N66" s="1702">
        <f>M66/100000</f>
        <v>0</v>
      </c>
      <c r="O66" s="1317"/>
      <c r="P66" s="3267">
        <f>N66*O66</f>
        <v>0</v>
      </c>
      <c r="Q66" s="3289"/>
      <c r="R66" s="1953">
        <f>'Abs5. Blood services &amp; Disorder'!Q28</f>
        <v>0</v>
      </c>
      <c r="S66" s="3269">
        <f>'Abs5. Blood services &amp; Disorder'!R28</f>
        <v>0</v>
      </c>
    </row>
    <row r="67" spans="1:19">
      <c r="A67" s="3277" t="s">
        <v>4355</v>
      </c>
      <c r="B67" s="1991">
        <v>12.9</v>
      </c>
      <c r="C67" s="1671"/>
      <c r="D67" s="1671" t="s">
        <v>1525</v>
      </c>
      <c r="E67" s="3260"/>
      <c r="F67" s="3547"/>
      <c r="G67" s="2448"/>
      <c r="H67" s="2448"/>
      <c r="I67" s="2448"/>
      <c r="J67" s="2448"/>
      <c r="K67" s="2448"/>
      <c r="L67" s="3625"/>
      <c r="M67" s="2448"/>
      <c r="N67" s="2436"/>
      <c r="O67" s="2448"/>
      <c r="P67" s="2436">
        <f>SUM(P68:P71)</f>
        <v>15.120000000000001</v>
      </c>
      <c r="Q67" s="3278"/>
      <c r="R67" s="3127"/>
      <c r="S67" s="2287">
        <f>SUM(S68:S71)</f>
        <v>0</v>
      </c>
    </row>
    <row r="68" spans="1:19">
      <c r="A68" s="3262">
        <v>1</v>
      </c>
      <c r="B68" s="3262" t="s">
        <v>1526</v>
      </c>
      <c r="C68" s="1855" t="s">
        <v>1527</v>
      </c>
      <c r="D68" s="1855" t="s">
        <v>1528</v>
      </c>
      <c r="E68" s="1281" t="s">
        <v>70</v>
      </c>
      <c r="F68" s="3271" t="s">
        <v>2935</v>
      </c>
      <c r="G68" s="2401"/>
      <c r="H68" s="1347"/>
      <c r="I68" s="3282"/>
      <c r="J68" s="3282"/>
      <c r="K68" s="3304"/>
      <c r="L68" s="2401"/>
      <c r="M68" s="1317"/>
      <c r="N68" s="1702">
        <f t="shared" ref="N68:N75" si="6">M68/100000</f>
        <v>0</v>
      </c>
      <c r="O68" s="1317"/>
      <c r="P68" s="3267">
        <f t="shared" ref="P68:P75" si="7">N68*O68</f>
        <v>0</v>
      </c>
      <c r="Q68" s="2297"/>
      <c r="R68" s="1953">
        <f>'Ab4. HMIS-MCTS'!Q14</f>
        <v>0</v>
      </c>
      <c r="S68" s="3269">
        <f>'Ab4. HMIS-MCTS'!R14</f>
        <v>0</v>
      </c>
    </row>
    <row r="69" spans="1:19">
      <c r="A69" s="3262">
        <v>2</v>
      </c>
      <c r="B69" s="3262" t="s">
        <v>1529</v>
      </c>
      <c r="C69" s="1855" t="s">
        <v>1530</v>
      </c>
      <c r="D69" s="1855" t="s">
        <v>1531</v>
      </c>
      <c r="E69" s="1281" t="s">
        <v>70</v>
      </c>
      <c r="F69" s="3271" t="s">
        <v>2935</v>
      </c>
      <c r="G69" s="3237"/>
      <c r="H69" s="3232"/>
      <c r="I69" s="3282"/>
      <c r="J69" s="3282"/>
      <c r="K69" s="3232"/>
      <c r="L69" s="3306"/>
      <c r="M69" s="3266"/>
      <c r="N69" s="1702">
        <f t="shared" si="6"/>
        <v>0</v>
      </c>
      <c r="O69" s="3266"/>
      <c r="P69" s="3267">
        <f t="shared" si="7"/>
        <v>0</v>
      </c>
      <c r="Q69" s="3279"/>
      <c r="R69" s="1953">
        <f>'Ab4. HMIS-MCTS'!Q15</f>
        <v>0</v>
      </c>
      <c r="S69" s="3269">
        <f>'Ab4. HMIS-MCTS'!R15</f>
        <v>0</v>
      </c>
    </row>
    <row r="70" spans="1:19" ht="33">
      <c r="A70" s="3262">
        <v>3</v>
      </c>
      <c r="B70" s="3262" t="s">
        <v>1532</v>
      </c>
      <c r="C70" s="1855" t="s">
        <v>1533</v>
      </c>
      <c r="D70" s="1855" t="s">
        <v>1534</v>
      </c>
      <c r="E70" s="1281" t="s">
        <v>70</v>
      </c>
      <c r="F70" s="3271" t="s">
        <v>2935</v>
      </c>
      <c r="G70" s="2401"/>
      <c r="H70" s="1347"/>
      <c r="I70" s="3282"/>
      <c r="J70" s="3282"/>
      <c r="K70" s="3304"/>
      <c r="L70" s="3306" t="s">
        <v>6538</v>
      </c>
      <c r="M70" s="3305">
        <v>1.5</v>
      </c>
      <c r="N70" s="1702">
        <f t="shared" si="6"/>
        <v>1.5E-5</v>
      </c>
      <c r="O70" s="3306">
        <v>1008000</v>
      </c>
      <c r="P70" s="3267">
        <f t="shared" si="7"/>
        <v>15.120000000000001</v>
      </c>
      <c r="Q70" s="3283" t="s">
        <v>6605</v>
      </c>
      <c r="R70" s="1953">
        <f>'Ab4. HMIS-MCTS'!Q16</f>
        <v>0</v>
      </c>
      <c r="S70" s="3269">
        <f>'Ab4. HMIS-MCTS'!R16</f>
        <v>0</v>
      </c>
    </row>
    <row r="71" spans="1:19">
      <c r="A71" s="3262">
        <v>4</v>
      </c>
      <c r="B71" s="3262" t="s">
        <v>1535</v>
      </c>
      <c r="C71" s="2020"/>
      <c r="D71" s="1855" t="s">
        <v>1310</v>
      </c>
      <c r="E71" s="1281" t="s">
        <v>70</v>
      </c>
      <c r="F71" s="3271" t="s">
        <v>2935</v>
      </c>
      <c r="G71" s="3297"/>
      <c r="H71" s="3297"/>
      <c r="I71" s="3297"/>
      <c r="J71" s="3297"/>
      <c r="K71" s="3297"/>
      <c r="L71" s="3626"/>
      <c r="M71" s="1317"/>
      <c r="N71" s="1702">
        <f t="shared" si="6"/>
        <v>0</v>
      </c>
      <c r="O71" s="1317"/>
      <c r="P71" s="3267">
        <f t="shared" si="7"/>
        <v>0</v>
      </c>
      <c r="Q71" s="3290"/>
      <c r="R71" s="1953">
        <f>'Ab4. HMIS-MCTS'!Q17</f>
        <v>0</v>
      </c>
      <c r="S71" s="3269">
        <f>'Ab4. HMIS-MCTS'!R17</f>
        <v>0</v>
      </c>
    </row>
    <row r="72" spans="1:19" ht="63">
      <c r="A72" s="3277" t="s">
        <v>4356</v>
      </c>
      <c r="B72" s="1309" t="s">
        <v>1571</v>
      </c>
      <c r="C72" s="2512"/>
      <c r="D72" s="2905" t="s">
        <v>3885</v>
      </c>
      <c r="E72" s="1281" t="s">
        <v>70</v>
      </c>
      <c r="F72" s="3548" t="s">
        <v>4357</v>
      </c>
      <c r="G72" s="3291"/>
      <c r="H72" s="3291"/>
      <c r="I72" s="3291"/>
      <c r="J72" s="3291"/>
      <c r="K72" s="3291"/>
      <c r="L72" s="3627"/>
      <c r="M72" s="3266">
        <v>4000</v>
      </c>
      <c r="N72" s="1702">
        <f t="shared" si="6"/>
        <v>0.04</v>
      </c>
      <c r="O72" s="3266">
        <v>3987</v>
      </c>
      <c r="P72" s="3267">
        <f t="shared" si="7"/>
        <v>159.47999999999999</v>
      </c>
      <c r="Q72" s="3307" t="s">
        <v>6919</v>
      </c>
      <c r="R72" s="3308">
        <f>'Abs6. CPHC'!Q31</f>
        <v>0</v>
      </c>
      <c r="S72" s="2295">
        <f>'Abs6. CPHC'!R31</f>
        <v>0</v>
      </c>
    </row>
    <row r="73" spans="1:19">
      <c r="A73" s="3277" t="s">
        <v>4664</v>
      </c>
      <c r="B73" s="3262" t="s">
        <v>2532</v>
      </c>
      <c r="C73" s="1855" t="s">
        <v>1572</v>
      </c>
      <c r="D73" s="1855" t="s">
        <v>3898</v>
      </c>
      <c r="E73" s="1281" t="s">
        <v>70</v>
      </c>
      <c r="F73" s="3271" t="s">
        <v>70</v>
      </c>
      <c r="G73" s="3297"/>
      <c r="H73" s="3297"/>
      <c r="I73" s="3297"/>
      <c r="J73" s="3297"/>
      <c r="K73" s="3297"/>
      <c r="L73" s="3626"/>
      <c r="M73" s="1317"/>
      <c r="N73" s="1702">
        <f t="shared" si="6"/>
        <v>0</v>
      </c>
      <c r="O73" s="1317"/>
      <c r="P73" s="3267">
        <f t="shared" si="7"/>
        <v>0</v>
      </c>
      <c r="Q73" s="3290"/>
      <c r="R73" s="1955"/>
      <c r="S73" s="3302"/>
    </row>
    <row r="74" spans="1:19" ht="33">
      <c r="A74" s="3277" t="s">
        <v>4665</v>
      </c>
      <c r="B74" s="3262" t="s">
        <v>4019</v>
      </c>
      <c r="C74" s="3287"/>
      <c r="D74" s="3309" t="s">
        <v>4020</v>
      </c>
      <c r="E74" s="1281" t="s">
        <v>70</v>
      </c>
      <c r="F74" s="1523" t="s">
        <v>3900</v>
      </c>
      <c r="G74" s="3264"/>
      <c r="H74" s="3264"/>
      <c r="I74" s="3264"/>
      <c r="J74" s="3264"/>
      <c r="K74" s="3264"/>
      <c r="L74" s="3628"/>
      <c r="M74" s="1317"/>
      <c r="N74" s="1702">
        <f t="shared" si="6"/>
        <v>0</v>
      </c>
      <c r="O74" s="1317"/>
      <c r="P74" s="3267">
        <f t="shared" si="7"/>
        <v>0</v>
      </c>
      <c r="Q74" s="3290"/>
      <c r="R74" s="1955"/>
      <c r="S74" s="3302"/>
    </row>
    <row r="75" spans="1:19">
      <c r="A75" s="3277" t="s">
        <v>4666</v>
      </c>
      <c r="B75" s="3262" t="s">
        <v>4405</v>
      </c>
      <c r="C75" s="3287"/>
      <c r="D75" s="3262" t="s">
        <v>1310</v>
      </c>
      <c r="E75" s="1281" t="s">
        <v>70</v>
      </c>
      <c r="F75" s="3271"/>
      <c r="G75" s="3264"/>
      <c r="H75" s="3264"/>
      <c r="I75" s="3264"/>
      <c r="J75" s="3264"/>
      <c r="K75" s="3264"/>
      <c r="L75" s="3626"/>
      <c r="M75" s="1317"/>
      <c r="N75" s="1702">
        <f t="shared" si="6"/>
        <v>0</v>
      </c>
      <c r="O75" s="1317"/>
      <c r="P75" s="1840">
        <f t="shared" si="7"/>
        <v>0</v>
      </c>
      <c r="Q75" s="3290"/>
      <c r="R75" s="1955"/>
      <c r="S75" s="3302"/>
    </row>
    <row r="76" spans="1:19" s="3258" customFormat="1">
      <c r="A76" s="4471" t="s">
        <v>5191</v>
      </c>
      <c r="B76" s="4471"/>
      <c r="C76" s="4471"/>
      <c r="D76" s="4471"/>
      <c r="E76" s="3120"/>
      <c r="F76" s="3546"/>
      <c r="G76" s="3144"/>
      <c r="H76" s="3144"/>
      <c r="I76" s="3144"/>
      <c r="J76" s="3144"/>
      <c r="K76" s="3144"/>
      <c r="L76" s="3256"/>
      <c r="M76" s="3144"/>
      <c r="N76" s="3121"/>
      <c r="O76" s="3144"/>
      <c r="P76" s="3122"/>
      <c r="Q76" s="3145"/>
      <c r="R76" s="3146"/>
      <c r="S76" s="2323"/>
    </row>
    <row r="77" spans="1:19">
      <c r="A77" s="3277" t="s">
        <v>4350</v>
      </c>
      <c r="B77" s="1991">
        <v>12.11</v>
      </c>
      <c r="C77" s="1671"/>
      <c r="D77" s="1671" t="s">
        <v>1541</v>
      </c>
      <c r="E77" s="3260"/>
      <c r="F77" s="3547"/>
      <c r="G77" s="2448"/>
      <c r="H77" s="2448"/>
      <c r="I77" s="2448"/>
      <c r="J77" s="2448"/>
      <c r="K77" s="2448"/>
      <c r="L77" s="3625"/>
      <c r="M77" s="2448"/>
      <c r="N77" s="2436"/>
      <c r="O77" s="2448"/>
      <c r="P77" s="2436">
        <f>SUM(P78:P81)</f>
        <v>43.999839999999999</v>
      </c>
      <c r="Q77" s="3278"/>
      <c r="R77" s="3127"/>
      <c r="S77" s="2287">
        <f>SUM(S78:S81)</f>
        <v>0</v>
      </c>
    </row>
    <row r="78" spans="1:19" ht="49.5">
      <c r="A78" s="3262">
        <v>1</v>
      </c>
      <c r="B78" s="3262" t="s">
        <v>1542</v>
      </c>
      <c r="C78" s="3310" t="s">
        <v>1543</v>
      </c>
      <c r="D78" s="3310" t="s">
        <v>1544</v>
      </c>
      <c r="E78" s="1537" t="s">
        <v>4358</v>
      </c>
      <c r="F78" s="3311" t="s">
        <v>4973</v>
      </c>
      <c r="G78" s="3297"/>
      <c r="H78" s="3297"/>
      <c r="I78" s="3297"/>
      <c r="J78" s="3297"/>
      <c r="K78" s="3297"/>
      <c r="L78" s="3622" t="s">
        <v>6539</v>
      </c>
      <c r="M78" s="3266">
        <v>4000000</v>
      </c>
      <c r="N78" s="1702">
        <f>M78/100000</f>
        <v>40</v>
      </c>
      <c r="O78" s="3266">
        <v>1</v>
      </c>
      <c r="P78" s="3267">
        <f>N78*O78</f>
        <v>40</v>
      </c>
      <c r="Q78" s="3265" t="s">
        <v>6539</v>
      </c>
      <c r="R78" s="1953">
        <f>'Abs9. NVBDCP'!Q99</f>
        <v>0</v>
      </c>
      <c r="S78" s="3269">
        <f>'Abs9. NVBDCP'!Q99</f>
        <v>0</v>
      </c>
    </row>
    <row r="79" spans="1:19" ht="33">
      <c r="A79" s="3262">
        <v>2</v>
      </c>
      <c r="B79" s="3262" t="s">
        <v>1545</v>
      </c>
      <c r="C79" s="3310" t="s">
        <v>1546</v>
      </c>
      <c r="D79" s="3310" t="s">
        <v>1547</v>
      </c>
      <c r="E79" s="1537" t="s">
        <v>4358</v>
      </c>
      <c r="F79" s="3311" t="s">
        <v>1548</v>
      </c>
      <c r="G79" s="3297"/>
      <c r="H79" s="3297"/>
      <c r="I79" s="3297"/>
      <c r="J79" s="3297"/>
      <c r="K79" s="3297"/>
      <c r="L79" s="3623"/>
      <c r="M79" s="3266"/>
      <c r="N79" s="1702">
        <f>M79/100000</f>
        <v>0</v>
      </c>
      <c r="O79" s="3266"/>
      <c r="P79" s="3267">
        <f>N79*O79</f>
        <v>0</v>
      </c>
      <c r="Q79" s="3285"/>
      <c r="R79" s="1953">
        <f>'Abs9. NVBDCP'!Q100</f>
        <v>0</v>
      </c>
      <c r="S79" s="3269">
        <f>'Abs9. NVBDCP'!Q100</f>
        <v>0</v>
      </c>
    </row>
    <row r="80" spans="1:19" s="3315" customFormat="1" ht="33">
      <c r="A80" s="3262">
        <v>3</v>
      </c>
      <c r="B80" s="3287" t="s">
        <v>1549</v>
      </c>
      <c r="C80" s="3312"/>
      <c r="D80" s="3312" t="s">
        <v>4445</v>
      </c>
      <c r="E80" s="1537" t="s">
        <v>4358</v>
      </c>
      <c r="F80" s="3313" t="s">
        <v>4976</v>
      </c>
      <c r="G80" s="3314"/>
      <c r="H80" s="3314"/>
      <c r="I80" s="3314"/>
      <c r="J80" s="3314"/>
      <c r="K80" s="3314"/>
      <c r="L80" s="3623" t="s">
        <v>6111</v>
      </c>
      <c r="M80" s="3266">
        <v>10256</v>
      </c>
      <c r="N80" s="1702">
        <f>M80/100000</f>
        <v>0.10256</v>
      </c>
      <c r="O80" s="3266">
        <v>39</v>
      </c>
      <c r="P80" s="1840">
        <f>N80*O80</f>
        <v>3.9998399999999998</v>
      </c>
      <c r="Q80" s="3283" t="s">
        <v>6540</v>
      </c>
      <c r="R80" s="1953">
        <f>'Abs9. NVBDCP'!Q101</f>
        <v>0</v>
      </c>
      <c r="S80" s="3269">
        <f>'Abs9. NVBDCP'!Q101</f>
        <v>0</v>
      </c>
    </row>
    <row r="81" spans="1:19" ht="33">
      <c r="A81" s="3262">
        <v>4</v>
      </c>
      <c r="B81" s="3262" t="s">
        <v>4444</v>
      </c>
      <c r="C81" s="3312"/>
      <c r="D81" s="3310" t="s">
        <v>1310</v>
      </c>
      <c r="E81" s="1537" t="s">
        <v>4358</v>
      </c>
      <c r="F81" s="3311" t="s">
        <v>1548</v>
      </c>
      <c r="G81" s="3297"/>
      <c r="H81" s="3297"/>
      <c r="I81" s="3297"/>
      <c r="J81" s="3297"/>
      <c r="K81" s="3297"/>
      <c r="L81" s="3626"/>
      <c r="M81" s="1317"/>
      <c r="N81" s="1702">
        <f>M81/100000</f>
        <v>0</v>
      </c>
      <c r="O81" s="1317"/>
      <c r="P81" s="3267">
        <f>N81*O81</f>
        <v>0</v>
      </c>
      <c r="Q81" s="3290"/>
      <c r="R81" s="1953">
        <f>'Abs9. NVBDCP'!Q102</f>
        <v>0</v>
      </c>
      <c r="S81" s="3269">
        <f>'Abs9. NVBDCP'!Q102</f>
        <v>0</v>
      </c>
    </row>
    <row r="82" spans="1:19">
      <c r="A82" s="3277" t="s">
        <v>4351</v>
      </c>
      <c r="B82" s="1991">
        <v>12.12</v>
      </c>
      <c r="C82" s="1671"/>
      <c r="D82" s="1671" t="s">
        <v>1550</v>
      </c>
      <c r="E82" s="3260"/>
      <c r="F82" s="3547"/>
      <c r="G82" s="2448"/>
      <c r="H82" s="2448"/>
      <c r="I82" s="2448"/>
      <c r="J82" s="2448"/>
      <c r="K82" s="2448"/>
      <c r="L82" s="3625"/>
      <c r="M82" s="2448"/>
      <c r="N82" s="2436"/>
      <c r="O82" s="2448"/>
      <c r="P82" s="2436">
        <f>P83</f>
        <v>7.6</v>
      </c>
      <c r="Q82" s="3278"/>
      <c r="R82" s="3127"/>
      <c r="S82" s="2287">
        <f>S83</f>
        <v>0</v>
      </c>
    </row>
    <row r="83" spans="1:19">
      <c r="A83" s="3262">
        <v>1</v>
      </c>
      <c r="B83" s="3262" t="s">
        <v>1551</v>
      </c>
      <c r="C83" s="3316" t="s">
        <v>1552</v>
      </c>
      <c r="D83" s="3293" t="s">
        <v>1553</v>
      </c>
      <c r="E83" s="1537" t="s">
        <v>4358</v>
      </c>
      <c r="F83" s="3271" t="s">
        <v>146</v>
      </c>
      <c r="G83" s="1949"/>
      <c r="H83" s="1949"/>
      <c r="I83" s="2401"/>
      <c r="J83" s="2401"/>
      <c r="K83" s="1949"/>
      <c r="L83" s="3629">
        <v>1</v>
      </c>
      <c r="M83" s="3272">
        <v>760000</v>
      </c>
      <c r="N83" s="1702">
        <f>M83/100000</f>
        <v>7.6</v>
      </c>
      <c r="O83" s="1317">
        <v>1</v>
      </c>
      <c r="P83" s="1702">
        <f>N83*O83</f>
        <v>7.6</v>
      </c>
      <c r="Q83" s="3273" t="s">
        <v>6541</v>
      </c>
      <c r="R83" s="1953">
        <f>'Abs10. NLEP'!Q32</f>
        <v>0</v>
      </c>
      <c r="S83" s="3269">
        <f>'Abs10. NLEP'!R32</f>
        <v>0</v>
      </c>
    </row>
    <row r="84" spans="1:19">
      <c r="A84" s="3277" t="s">
        <v>4354</v>
      </c>
      <c r="B84" s="1991">
        <v>12.13</v>
      </c>
      <c r="C84" s="1671"/>
      <c r="D84" s="1671" t="s">
        <v>4887</v>
      </c>
      <c r="E84" s="3260"/>
      <c r="F84" s="3547"/>
      <c r="G84" s="2448"/>
      <c r="H84" s="2448"/>
      <c r="I84" s="2448"/>
      <c r="J84" s="2448"/>
      <c r="K84" s="2448"/>
      <c r="L84" s="3625"/>
      <c r="M84" s="2448"/>
      <c r="N84" s="2436"/>
      <c r="O84" s="2448"/>
      <c r="P84" s="2436">
        <f>SUM(P85:P86)</f>
        <v>46.68</v>
      </c>
      <c r="Q84" s="3278"/>
      <c r="R84" s="3127"/>
      <c r="S84" s="2287">
        <f>SUM(S85:S86)</f>
        <v>0</v>
      </c>
    </row>
    <row r="85" spans="1:19" ht="31.5">
      <c r="A85" s="3262">
        <v>1</v>
      </c>
      <c r="B85" s="3262" t="s">
        <v>1554</v>
      </c>
      <c r="C85" s="3310" t="s">
        <v>1409</v>
      </c>
      <c r="D85" s="3310" t="s">
        <v>1555</v>
      </c>
      <c r="E85" s="1537" t="s">
        <v>4358</v>
      </c>
      <c r="F85" s="3271" t="s">
        <v>4674</v>
      </c>
      <c r="G85" s="3297"/>
      <c r="H85" s="3297"/>
      <c r="I85" s="3282"/>
      <c r="J85" s="3282"/>
      <c r="K85" s="3297"/>
      <c r="L85" s="3630" t="s">
        <v>6542</v>
      </c>
      <c r="M85" s="3266">
        <v>367000</v>
      </c>
      <c r="N85" s="1702">
        <f t="shared" ref="N85:N90" si="8">M85/100000</f>
        <v>3.67</v>
      </c>
      <c r="O85" s="3266">
        <v>1</v>
      </c>
      <c r="P85" s="3267">
        <f t="shared" ref="P85:P90" si="9">N85*O85</f>
        <v>3.67</v>
      </c>
      <c r="Q85" s="3273" t="s">
        <v>6543</v>
      </c>
      <c r="R85" s="1953">
        <f>'Abs11. NTEP'!Q45</f>
        <v>0</v>
      </c>
      <c r="S85" s="3269">
        <f>'Abs11. NTEP'!R45</f>
        <v>0</v>
      </c>
    </row>
    <row r="86" spans="1:19" ht="47.25">
      <c r="A86" s="3262">
        <v>2</v>
      </c>
      <c r="B86" s="3262" t="s">
        <v>1556</v>
      </c>
      <c r="C86" s="3310" t="s">
        <v>1557</v>
      </c>
      <c r="D86" s="3310" t="s">
        <v>29</v>
      </c>
      <c r="E86" s="1537" t="s">
        <v>4358</v>
      </c>
      <c r="F86" s="3271" t="s">
        <v>4674</v>
      </c>
      <c r="G86" s="3297"/>
      <c r="H86" s="3297"/>
      <c r="I86" s="3282"/>
      <c r="J86" s="3282"/>
      <c r="K86" s="3297"/>
      <c r="L86" s="3630" t="s">
        <v>6542</v>
      </c>
      <c r="M86" s="3266">
        <v>4301000</v>
      </c>
      <c r="N86" s="1702">
        <f t="shared" si="8"/>
        <v>43.01</v>
      </c>
      <c r="O86" s="3266">
        <v>1</v>
      </c>
      <c r="P86" s="3267">
        <f t="shared" si="9"/>
        <v>43.01</v>
      </c>
      <c r="Q86" s="3273" t="s">
        <v>6544</v>
      </c>
      <c r="R86" s="1953">
        <f>'Abs11. NTEP'!Q46</f>
        <v>0</v>
      </c>
      <c r="S86" s="3269">
        <f>'Abs11. NTEP'!R46</f>
        <v>0</v>
      </c>
    </row>
    <row r="87" spans="1:19" s="3315" customFormat="1" ht="50.25" customHeight="1">
      <c r="A87" s="3277" t="s">
        <v>4355</v>
      </c>
      <c r="B87" s="3287" t="s">
        <v>4133</v>
      </c>
      <c r="C87" s="3287"/>
      <c r="D87" s="3317" t="s">
        <v>4406</v>
      </c>
      <c r="E87" s="1537" t="s">
        <v>4358</v>
      </c>
      <c r="F87" s="3318" t="s">
        <v>3316</v>
      </c>
      <c r="G87" s="3319"/>
      <c r="H87" s="3319"/>
      <c r="I87" s="3320">
        <v>3</v>
      </c>
      <c r="J87" s="3319"/>
      <c r="K87" s="3319"/>
      <c r="L87" s="3320" t="s">
        <v>5823</v>
      </c>
      <c r="M87" s="1317">
        <v>500000</v>
      </c>
      <c r="N87" s="1702">
        <f t="shared" si="8"/>
        <v>5</v>
      </c>
      <c r="O87" s="1317">
        <v>1</v>
      </c>
      <c r="P87" s="1840">
        <f t="shared" si="9"/>
        <v>5</v>
      </c>
      <c r="Q87" s="3321" t="s">
        <v>5817</v>
      </c>
      <c r="R87" s="1953">
        <f>'Abs12. NVHCP'!Q35</f>
        <v>0</v>
      </c>
      <c r="S87" s="3269">
        <f>'Abs12. NVHCP'!R35</f>
        <v>0</v>
      </c>
    </row>
    <row r="88" spans="1:19" s="4072" customFormat="1" ht="34.5" customHeight="1">
      <c r="A88" s="4062" t="s">
        <v>4356</v>
      </c>
      <c r="B88" s="4063"/>
      <c r="C88" s="4063"/>
      <c r="D88" s="4064" t="s">
        <v>5204</v>
      </c>
      <c r="E88" s="3861" t="s">
        <v>4358</v>
      </c>
      <c r="F88" s="4065" t="s">
        <v>293</v>
      </c>
      <c r="G88" s="4066"/>
      <c r="H88" s="4066"/>
      <c r="I88" s="4066"/>
      <c r="J88" s="4066"/>
      <c r="K88" s="4066"/>
      <c r="L88" s="4067" t="s">
        <v>6480</v>
      </c>
      <c r="M88" s="3739">
        <v>38</v>
      </c>
      <c r="N88" s="3808">
        <f t="shared" si="8"/>
        <v>3.8000000000000002E-4</v>
      </c>
      <c r="O88" s="3739">
        <v>10000</v>
      </c>
      <c r="P88" s="4068">
        <f t="shared" si="9"/>
        <v>3.8000000000000003</v>
      </c>
      <c r="Q88" s="4069" t="s">
        <v>6606</v>
      </c>
      <c r="R88" s="4070">
        <f>'Abs8. IDSP'!Q28</f>
        <v>0</v>
      </c>
      <c r="S88" s="4071">
        <f>'Abs8. IDSP'!R28</f>
        <v>0</v>
      </c>
    </row>
    <row r="89" spans="1:19" ht="33">
      <c r="A89" s="3277" t="s">
        <v>4664</v>
      </c>
      <c r="B89" s="3262" t="s">
        <v>2533</v>
      </c>
      <c r="C89" s="3287"/>
      <c r="D89" s="3293" t="s">
        <v>5192</v>
      </c>
      <c r="E89" s="1537" t="s">
        <v>4358</v>
      </c>
      <c r="F89" s="3271" t="s">
        <v>3986</v>
      </c>
      <c r="G89" s="3264"/>
      <c r="H89" s="3264"/>
      <c r="I89" s="3264"/>
      <c r="J89" s="3264"/>
      <c r="K89" s="3264"/>
      <c r="L89" s="3626"/>
      <c r="M89" s="1317"/>
      <c r="N89" s="1702">
        <f t="shared" si="8"/>
        <v>0</v>
      </c>
      <c r="O89" s="1317"/>
      <c r="P89" s="3267">
        <f t="shared" si="9"/>
        <v>0</v>
      </c>
      <c r="Q89" s="3290"/>
      <c r="R89" s="1953">
        <f>'Abs13. NRCP'!Q14</f>
        <v>0</v>
      </c>
      <c r="S89" s="1954">
        <f>'Abs13. NRCP'!R14</f>
        <v>0</v>
      </c>
    </row>
    <row r="90" spans="1:19">
      <c r="A90" s="3277" t="s">
        <v>4665</v>
      </c>
      <c r="B90" s="3262"/>
      <c r="C90" s="3287"/>
      <c r="D90" s="3293" t="s">
        <v>5193</v>
      </c>
      <c r="E90" s="1537" t="s">
        <v>4358</v>
      </c>
      <c r="F90" s="3271" t="s">
        <v>4544</v>
      </c>
      <c r="G90" s="3264"/>
      <c r="H90" s="3264"/>
      <c r="I90" s="3264"/>
      <c r="J90" s="3264"/>
      <c r="K90" s="3264"/>
      <c r="L90" s="3626"/>
      <c r="M90" s="1317"/>
      <c r="N90" s="1702">
        <f t="shared" si="8"/>
        <v>0</v>
      </c>
      <c r="O90" s="1317"/>
      <c r="P90" s="3267">
        <f t="shared" si="9"/>
        <v>0</v>
      </c>
      <c r="Q90" s="3290"/>
      <c r="R90" s="1953">
        <f>'Abs14. PPCL'!Q14</f>
        <v>0</v>
      </c>
      <c r="S90" s="3322">
        <f>'Abs14. PPCL'!R14</f>
        <v>0</v>
      </c>
    </row>
    <row r="91" spans="1:19" s="3258" customFormat="1">
      <c r="A91" s="4471" t="s">
        <v>5191</v>
      </c>
      <c r="B91" s="4471"/>
      <c r="C91" s="4471"/>
      <c r="D91" s="4471"/>
      <c r="E91" s="3120"/>
      <c r="F91" s="3546"/>
      <c r="G91" s="3144"/>
      <c r="H91" s="3144"/>
      <c r="I91" s="3144"/>
      <c r="J91" s="3144"/>
      <c r="K91" s="3144"/>
      <c r="L91" s="3256"/>
      <c r="M91" s="3144"/>
      <c r="N91" s="3121"/>
      <c r="O91" s="3144"/>
      <c r="P91" s="3122"/>
      <c r="Q91" s="3145"/>
      <c r="R91" s="3146"/>
      <c r="S91" s="2323"/>
    </row>
    <row r="92" spans="1:19" s="3327" customFormat="1">
      <c r="A92" s="3277" t="s">
        <v>4350</v>
      </c>
      <c r="B92" s="3323"/>
      <c r="C92" s="3323"/>
      <c r="D92" s="3293" t="s">
        <v>5194</v>
      </c>
      <c r="E92" s="2412" t="s">
        <v>85</v>
      </c>
      <c r="F92" s="3550" t="s">
        <v>86</v>
      </c>
      <c r="G92" s="3324"/>
      <c r="H92" s="3324"/>
      <c r="I92" s="3324"/>
      <c r="J92" s="3324"/>
      <c r="K92" s="3324"/>
      <c r="L92" s="3631"/>
      <c r="M92" s="1317"/>
      <c r="N92" s="1702">
        <f>M92/100000</f>
        <v>0</v>
      </c>
      <c r="O92" s="1317"/>
      <c r="P92" s="3267">
        <f>N92*O92</f>
        <v>0</v>
      </c>
      <c r="Q92" s="3325"/>
      <c r="R92" s="3308">
        <f>'Abs15. NPCB'!Q31</f>
        <v>0</v>
      </c>
      <c r="S92" s="3326">
        <f>'Abs15. NPCB'!R31</f>
        <v>0</v>
      </c>
    </row>
    <row r="93" spans="1:19" s="3327" customFormat="1">
      <c r="A93" s="3277" t="s">
        <v>4351</v>
      </c>
      <c r="B93" s="3323"/>
      <c r="C93" s="3323"/>
      <c r="D93" s="3293" t="s">
        <v>5195</v>
      </c>
      <c r="E93" s="2412" t="s">
        <v>85</v>
      </c>
      <c r="F93" s="3550" t="s">
        <v>150</v>
      </c>
      <c r="G93" s="3324"/>
      <c r="H93" s="3324"/>
      <c r="I93" s="3324"/>
      <c r="J93" s="3324"/>
      <c r="K93" s="3324"/>
      <c r="L93" s="3631"/>
      <c r="M93" s="1317"/>
      <c r="N93" s="1702">
        <f>M93/100000</f>
        <v>0</v>
      </c>
      <c r="O93" s="1317"/>
      <c r="P93" s="3267">
        <f>N93*O93</f>
        <v>0</v>
      </c>
      <c r="Q93" s="3325"/>
      <c r="R93" s="3308">
        <f>'Abs16. NMHP'!Q26</f>
        <v>0</v>
      </c>
      <c r="S93" s="3326">
        <f>'Abs16. NMHP'!R26</f>
        <v>0</v>
      </c>
    </row>
    <row r="94" spans="1:19" s="3327" customFormat="1">
      <c r="A94" s="3277" t="s">
        <v>4354</v>
      </c>
      <c r="B94" s="3323"/>
      <c r="C94" s="3323"/>
      <c r="D94" s="3293" t="s">
        <v>5196</v>
      </c>
      <c r="E94" s="2412" t="s">
        <v>85</v>
      </c>
      <c r="F94" s="3550" t="s">
        <v>399</v>
      </c>
      <c r="G94" s="3324"/>
      <c r="H94" s="3324"/>
      <c r="I94" s="3324"/>
      <c r="J94" s="3324"/>
      <c r="K94" s="3324"/>
      <c r="L94" s="3631"/>
      <c r="M94" s="1317"/>
      <c r="N94" s="1702">
        <f>M94/100000</f>
        <v>0</v>
      </c>
      <c r="O94" s="1317"/>
      <c r="P94" s="3267">
        <f>N94*O94</f>
        <v>0</v>
      </c>
      <c r="Q94" s="3325"/>
      <c r="R94" s="3308">
        <f>'Abs17. NPHCE'!Q31</f>
        <v>0</v>
      </c>
      <c r="S94" s="2311">
        <f>'Abs17. NPHCE'!R31</f>
        <v>0</v>
      </c>
    </row>
    <row r="95" spans="1:19">
      <c r="A95" s="3277" t="s">
        <v>4355</v>
      </c>
      <c r="B95" s="1991">
        <v>12.14</v>
      </c>
      <c r="C95" s="1671"/>
      <c r="D95" s="1671" t="s">
        <v>1558</v>
      </c>
      <c r="E95" s="3260"/>
      <c r="F95" s="3547"/>
      <c r="G95" s="2448"/>
      <c r="H95" s="2448"/>
      <c r="I95" s="2448"/>
      <c r="J95" s="2448"/>
      <c r="K95" s="2448"/>
      <c r="L95" s="3625"/>
      <c r="M95" s="2448"/>
      <c r="N95" s="2436"/>
      <c r="O95" s="2448"/>
      <c r="P95" s="2436">
        <f>SUM(P96:P97)</f>
        <v>5</v>
      </c>
      <c r="Q95" s="3278"/>
      <c r="R95" s="3127"/>
      <c r="S95" s="2287">
        <f>SUM(S96:S97)</f>
        <v>0</v>
      </c>
    </row>
    <row r="96" spans="1:19">
      <c r="A96" s="3262">
        <v>1</v>
      </c>
      <c r="B96" s="3262" t="s">
        <v>1559</v>
      </c>
      <c r="C96" s="1855" t="s">
        <v>1560</v>
      </c>
      <c r="D96" s="1855" t="s">
        <v>1561</v>
      </c>
      <c r="E96" s="2412" t="s">
        <v>85</v>
      </c>
      <c r="F96" s="3271" t="s">
        <v>152</v>
      </c>
      <c r="G96" s="3297"/>
      <c r="H96" s="3297"/>
      <c r="I96" s="3282"/>
      <c r="J96" s="3282"/>
      <c r="K96" s="3297"/>
      <c r="L96" s="3632" t="s">
        <v>6480</v>
      </c>
      <c r="M96" s="3266">
        <v>500000</v>
      </c>
      <c r="N96" s="1702">
        <f>M96/100000</f>
        <v>5</v>
      </c>
      <c r="O96" s="1317">
        <v>1</v>
      </c>
      <c r="P96" s="3267">
        <f>N96*O96</f>
        <v>5</v>
      </c>
      <c r="Q96" s="3328" t="s">
        <v>6545</v>
      </c>
      <c r="R96" s="1953">
        <f>'Abs18. NTCP'!Q26</f>
        <v>0</v>
      </c>
      <c r="S96" s="3269">
        <f>'Abs18. NTCP'!R26</f>
        <v>0</v>
      </c>
    </row>
    <row r="97" spans="1:19">
      <c r="A97" s="3262">
        <v>2</v>
      </c>
      <c r="B97" s="3262" t="s">
        <v>1562</v>
      </c>
      <c r="C97" s="2020"/>
      <c r="D97" s="1855" t="s">
        <v>1310</v>
      </c>
      <c r="E97" s="2412" t="s">
        <v>85</v>
      </c>
      <c r="F97" s="3271" t="s">
        <v>152</v>
      </c>
      <c r="G97" s="3297"/>
      <c r="H97" s="3297"/>
      <c r="I97" s="3297"/>
      <c r="J97" s="3297"/>
      <c r="K97" s="3297"/>
      <c r="L97" s="3626"/>
      <c r="M97" s="1317"/>
      <c r="N97" s="1702">
        <f>M97/100000</f>
        <v>0</v>
      </c>
      <c r="O97" s="1317"/>
      <c r="P97" s="3267">
        <f>N97*O97</f>
        <v>0</v>
      </c>
      <c r="Q97" s="3290"/>
      <c r="R97" s="1953">
        <f>'Abs18. NTCP'!Q27</f>
        <v>0</v>
      </c>
      <c r="S97" s="3269">
        <f>'Abs18. NTCP'!R27</f>
        <v>0</v>
      </c>
    </row>
    <row r="98" spans="1:19">
      <c r="A98" s="3277" t="s">
        <v>4356</v>
      </c>
      <c r="B98" s="1991">
        <v>12.15</v>
      </c>
      <c r="C98" s="1671"/>
      <c r="D98" s="1671" t="s">
        <v>1563</v>
      </c>
      <c r="E98" s="3260"/>
      <c r="F98" s="3547"/>
      <c r="G98" s="2448"/>
      <c r="H98" s="2448"/>
      <c r="I98" s="2448"/>
      <c r="J98" s="2448"/>
      <c r="K98" s="2448"/>
      <c r="L98" s="3625"/>
      <c r="M98" s="2448"/>
      <c r="N98" s="2436"/>
      <c r="O98" s="2448"/>
      <c r="P98" s="2436">
        <f>SUM(P99:P102)</f>
        <v>254.02106000000001</v>
      </c>
      <c r="Q98" s="3278"/>
      <c r="R98" s="3127"/>
      <c r="S98" s="2287">
        <f>SUM(S99:S102)</f>
        <v>0</v>
      </c>
    </row>
    <row r="99" spans="1:19" ht="31.5">
      <c r="A99" s="3262">
        <v>1</v>
      </c>
      <c r="B99" s="3262" t="s">
        <v>1564</v>
      </c>
      <c r="C99" s="3316" t="s">
        <v>1565</v>
      </c>
      <c r="D99" s="3310" t="s">
        <v>1566</v>
      </c>
      <c r="E99" s="2412" t="s">
        <v>85</v>
      </c>
      <c r="F99" s="3271" t="s">
        <v>415</v>
      </c>
      <c r="G99" s="3297"/>
      <c r="H99" s="3297"/>
      <c r="I99" s="3297"/>
      <c r="J99" s="3297"/>
      <c r="K99" s="3297"/>
      <c r="L99" s="3623">
        <v>578</v>
      </c>
      <c r="M99" s="3266">
        <v>2500</v>
      </c>
      <c r="N99" s="1702">
        <f t="shared" ref="N99:N109" si="10">M99/100000</f>
        <v>2.5000000000000001E-2</v>
      </c>
      <c r="O99" s="3266">
        <v>578</v>
      </c>
      <c r="P99" s="3267">
        <f t="shared" ref="P99:P109" si="11">N99*O99</f>
        <v>14.450000000000001</v>
      </c>
      <c r="Q99" s="3273" t="s">
        <v>6547</v>
      </c>
      <c r="R99" s="1953">
        <f>'Abs19. NPCDCS'!Q52</f>
        <v>0</v>
      </c>
      <c r="S99" s="3269">
        <f>'Abs19. NPCDCS'!R52</f>
        <v>0</v>
      </c>
    </row>
    <row r="100" spans="1:19">
      <c r="A100" s="3262">
        <v>2</v>
      </c>
      <c r="B100" s="3262" t="s">
        <v>1567</v>
      </c>
      <c r="C100" s="3316" t="s">
        <v>1568</v>
      </c>
      <c r="D100" s="3310" t="s">
        <v>1569</v>
      </c>
      <c r="E100" s="2412" t="s">
        <v>85</v>
      </c>
      <c r="F100" s="3271" t="s">
        <v>415</v>
      </c>
      <c r="G100" s="3297"/>
      <c r="H100" s="3297"/>
      <c r="I100" s="3297"/>
      <c r="J100" s="3297"/>
      <c r="K100" s="3297"/>
      <c r="L100" s="3623" t="s">
        <v>6546</v>
      </c>
      <c r="M100" s="3266">
        <v>2</v>
      </c>
      <c r="N100" s="1702">
        <f t="shared" si="10"/>
        <v>2.0000000000000002E-5</v>
      </c>
      <c r="O100" s="3266">
        <v>2356553</v>
      </c>
      <c r="P100" s="3267">
        <f t="shared" si="11"/>
        <v>47.131060000000005</v>
      </c>
      <c r="Q100" s="3273" t="s">
        <v>6548</v>
      </c>
      <c r="R100" s="1953">
        <f>'Abs19. NPCDCS'!Q53</f>
        <v>0</v>
      </c>
      <c r="S100" s="3269">
        <f>'Abs19. NPCDCS'!R53</f>
        <v>0</v>
      </c>
    </row>
    <row r="101" spans="1:19" ht="94.5">
      <c r="A101" s="3262">
        <v>3</v>
      </c>
      <c r="B101" s="3262" t="s">
        <v>1570</v>
      </c>
      <c r="C101" s="3329"/>
      <c r="D101" s="3330" t="s">
        <v>2544</v>
      </c>
      <c r="E101" s="2412" t="s">
        <v>85</v>
      </c>
      <c r="F101" s="3271" t="s">
        <v>415</v>
      </c>
      <c r="G101" s="3297"/>
      <c r="H101" s="3297"/>
      <c r="I101" s="3297"/>
      <c r="J101" s="3297"/>
      <c r="K101" s="3297"/>
      <c r="L101" s="3633">
        <v>2874</v>
      </c>
      <c r="M101" s="3266">
        <v>6000</v>
      </c>
      <c r="N101" s="1702">
        <f t="shared" si="10"/>
        <v>0.06</v>
      </c>
      <c r="O101" s="3266">
        <v>2874</v>
      </c>
      <c r="P101" s="3267">
        <f t="shared" si="11"/>
        <v>172.44</v>
      </c>
      <c r="Q101" s="3331" t="s">
        <v>6549</v>
      </c>
      <c r="R101" s="1953">
        <f>'Abs19. NPCDCS'!Q54</f>
        <v>0</v>
      </c>
      <c r="S101" s="3269">
        <f>'Abs19. NPCDCS'!R54</f>
        <v>0</v>
      </c>
    </row>
    <row r="102" spans="1:19" ht="94.5">
      <c r="A102" s="3262">
        <v>4</v>
      </c>
      <c r="B102" s="3262" t="s">
        <v>2864</v>
      </c>
      <c r="C102" s="3329"/>
      <c r="D102" s="3310" t="s">
        <v>1310</v>
      </c>
      <c r="E102" s="2412" t="s">
        <v>85</v>
      </c>
      <c r="F102" s="3271" t="s">
        <v>415</v>
      </c>
      <c r="G102" s="3297"/>
      <c r="H102" s="3297"/>
      <c r="I102" s="3297"/>
      <c r="J102" s="3297"/>
      <c r="K102" s="3297"/>
      <c r="L102" s="3623">
        <v>5</v>
      </c>
      <c r="M102" s="3266">
        <v>400000</v>
      </c>
      <c r="N102" s="1702">
        <f t="shared" si="10"/>
        <v>4</v>
      </c>
      <c r="O102" s="1317">
        <v>5</v>
      </c>
      <c r="P102" s="3267">
        <f t="shared" si="11"/>
        <v>20</v>
      </c>
      <c r="Q102" s="3273" t="s">
        <v>6550</v>
      </c>
      <c r="R102" s="1953">
        <f>'Abs19. NPCDCS'!Q55</f>
        <v>0</v>
      </c>
      <c r="S102" s="3269">
        <f>'Abs19. NPCDCS'!R55</f>
        <v>0</v>
      </c>
    </row>
    <row r="103" spans="1:19" s="3327" customFormat="1">
      <c r="A103" s="3277" t="s">
        <v>4664</v>
      </c>
      <c r="B103" s="3323"/>
      <c r="C103" s="3323"/>
      <c r="D103" s="3293" t="s">
        <v>5197</v>
      </c>
      <c r="E103" s="2412" t="s">
        <v>85</v>
      </c>
      <c r="F103" s="3550" t="s">
        <v>4915</v>
      </c>
      <c r="G103" s="3324"/>
      <c r="H103" s="3324"/>
      <c r="I103" s="3324"/>
      <c r="J103" s="3324"/>
      <c r="K103" s="3324"/>
      <c r="L103" s="3631"/>
      <c r="M103" s="1317"/>
      <c r="N103" s="1702">
        <f t="shared" si="10"/>
        <v>0</v>
      </c>
      <c r="O103" s="1317"/>
      <c r="P103" s="3267">
        <f t="shared" si="11"/>
        <v>0</v>
      </c>
      <c r="Q103" s="3325"/>
      <c r="R103" s="3308">
        <f>'Abs20. PMNDP'!Q21</f>
        <v>0</v>
      </c>
      <c r="S103" s="2311">
        <f>'Abs20. PMNDP'!R21</f>
        <v>0</v>
      </c>
    </row>
    <row r="104" spans="1:19">
      <c r="A104" s="3277" t="s">
        <v>4665</v>
      </c>
      <c r="B104" s="3262" t="s">
        <v>3995</v>
      </c>
      <c r="C104" s="3287"/>
      <c r="D104" s="3293" t="s">
        <v>4134</v>
      </c>
      <c r="E104" s="2412" t="s">
        <v>85</v>
      </c>
      <c r="F104" s="3271" t="s">
        <v>4124</v>
      </c>
      <c r="G104" s="3264"/>
      <c r="H104" s="3264"/>
      <c r="I104" s="3264"/>
      <c r="J104" s="3264"/>
      <c r="K104" s="3264"/>
      <c r="L104" s="3626"/>
      <c r="M104" s="1317"/>
      <c r="N104" s="1702">
        <f t="shared" si="10"/>
        <v>0</v>
      </c>
      <c r="O104" s="1317"/>
      <c r="P104" s="3267">
        <f t="shared" si="11"/>
        <v>0</v>
      </c>
      <c r="Q104" s="3290"/>
      <c r="R104" s="1953">
        <f>'Abs21. NPCCHH'!Q18</f>
        <v>0</v>
      </c>
      <c r="S104" s="1954">
        <f>'Abs21. NPCCHH'!R18</f>
        <v>0</v>
      </c>
    </row>
    <row r="105" spans="1:19" s="3327" customFormat="1">
      <c r="A105" s="3277" t="s">
        <v>4666</v>
      </c>
      <c r="B105" s="3323"/>
      <c r="C105" s="3323"/>
      <c r="D105" s="3293" t="s">
        <v>5200</v>
      </c>
      <c r="E105" s="2412" t="s">
        <v>85</v>
      </c>
      <c r="F105" s="3550" t="s">
        <v>1020</v>
      </c>
      <c r="G105" s="3324"/>
      <c r="H105" s="3324"/>
      <c r="I105" s="3324"/>
      <c r="J105" s="3324"/>
      <c r="K105" s="3324"/>
      <c r="L105" s="3631"/>
      <c r="M105" s="1317"/>
      <c r="N105" s="1702">
        <f t="shared" si="10"/>
        <v>0</v>
      </c>
      <c r="O105" s="1317"/>
      <c r="P105" s="3267">
        <f t="shared" si="11"/>
        <v>0</v>
      </c>
      <c r="Q105" s="3325"/>
      <c r="R105" s="3308">
        <f>'Abs22. NPPCD'!Q18</f>
        <v>0</v>
      </c>
      <c r="S105" s="2295">
        <f>'Abs22. NPPCD'!R18</f>
        <v>0</v>
      </c>
    </row>
    <row r="106" spans="1:19" s="3327" customFormat="1">
      <c r="A106" s="3277" t="s">
        <v>4774</v>
      </c>
      <c r="B106" s="3323"/>
      <c r="C106" s="3323"/>
      <c r="D106" s="3293" t="s">
        <v>5202</v>
      </c>
      <c r="E106" s="2412" t="s">
        <v>85</v>
      </c>
      <c r="F106" s="3550" t="s">
        <v>1034</v>
      </c>
      <c r="G106" s="3324"/>
      <c r="H106" s="3324"/>
      <c r="I106" s="3324"/>
      <c r="J106" s="3324"/>
      <c r="K106" s="3324"/>
      <c r="L106" s="3631"/>
      <c r="M106" s="1317"/>
      <c r="N106" s="1702">
        <f t="shared" si="10"/>
        <v>0</v>
      </c>
      <c r="O106" s="1317"/>
      <c r="P106" s="3267">
        <f t="shared" si="11"/>
        <v>0</v>
      </c>
      <c r="Q106" s="3325"/>
      <c r="R106" s="3308">
        <f>'Abs23. NPPCF'!Q18</f>
        <v>0</v>
      </c>
      <c r="S106" s="2385">
        <f>'Abs23. NPPCF'!R18</f>
        <v>0</v>
      </c>
    </row>
    <row r="107" spans="1:19" s="3327" customFormat="1">
      <c r="A107" s="4062" t="s">
        <v>4917</v>
      </c>
      <c r="B107" s="3323"/>
      <c r="C107" s="3323"/>
      <c r="D107" s="3293" t="s">
        <v>5201</v>
      </c>
      <c r="E107" s="2412" t="s">
        <v>85</v>
      </c>
      <c r="F107" s="3550" t="s">
        <v>312</v>
      </c>
      <c r="G107" s="3324"/>
      <c r="H107" s="3324"/>
      <c r="I107" s="3324"/>
      <c r="J107" s="3324"/>
      <c r="K107" s="3324"/>
      <c r="L107" s="3631"/>
      <c r="M107" s="1317"/>
      <c r="N107" s="1702">
        <f t="shared" si="10"/>
        <v>0</v>
      </c>
      <c r="O107" s="1317"/>
      <c r="P107" s="3267">
        <f t="shared" si="11"/>
        <v>0</v>
      </c>
      <c r="Q107" s="3325"/>
      <c r="R107" s="3308">
        <f>'Abs24. NOHP'!Q15</f>
        <v>0</v>
      </c>
      <c r="S107" s="2311">
        <f>'Abs24. NOHP'!R15</f>
        <v>0</v>
      </c>
    </row>
    <row r="108" spans="1:19" s="3327" customFormat="1">
      <c r="A108" s="3277" t="s">
        <v>4918</v>
      </c>
      <c r="B108" s="3323"/>
      <c r="C108" s="3323"/>
      <c r="D108" s="3293" t="s">
        <v>5199</v>
      </c>
      <c r="E108" s="2412" t="s">
        <v>85</v>
      </c>
      <c r="F108" s="3550" t="s">
        <v>314</v>
      </c>
      <c r="G108" s="3324"/>
      <c r="H108" s="3324"/>
      <c r="I108" s="3324"/>
      <c r="J108" s="3324"/>
      <c r="K108" s="3324"/>
      <c r="L108" s="3631"/>
      <c r="M108" s="1317"/>
      <c r="N108" s="1702">
        <f t="shared" si="10"/>
        <v>0</v>
      </c>
      <c r="O108" s="1317"/>
      <c r="P108" s="3267">
        <f t="shared" si="11"/>
        <v>0</v>
      </c>
      <c r="Q108" s="3325"/>
      <c r="R108" s="3308">
        <f>'Abs25. NPPC'!Q21</f>
        <v>0</v>
      </c>
      <c r="S108" s="3332">
        <f>'Abs25. NPPC'!R21</f>
        <v>0</v>
      </c>
    </row>
    <row r="109" spans="1:19" s="3327" customFormat="1">
      <c r="A109" s="3277" t="s">
        <v>4919</v>
      </c>
      <c r="B109" s="3323"/>
      <c r="C109" s="3323"/>
      <c r="D109" s="3293" t="s">
        <v>5198</v>
      </c>
      <c r="E109" s="2412" t="s">
        <v>85</v>
      </c>
      <c r="F109" s="3550" t="s">
        <v>4708</v>
      </c>
      <c r="G109" s="3324"/>
      <c r="H109" s="3324"/>
      <c r="I109" s="3324"/>
      <c r="J109" s="3324"/>
      <c r="K109" s="3324"/>
      <c r="L109" s="3631"/>
      <c r="M109" s="1317"/>
      <c r="N109" s="1702">
        <f t="shared" si="10"/>
        <v>0</v>
      </c>
      <c r="O109" s="1317"/>
      <c r="P109" s="3267">
        <f t="shared" si="11"/>
        <v>0</v>
      </c>
      <c r="Q109" s="3325"/>
      <c r="R109" s="3308">
        <f>'Abs26. Burns &amp; Injury'!Q12</f>
        <v>0</v>
      </c>
      <c r="S109" s="2295">
        <f>'Abs26. Burns &amp; Injury'!R12</f>
        <v>0</v>
      </c>
    </row>
  </sheetData>
  <sheetProtection sheet="1" formatCells="0" formatColumns="0" formatRows="0" autoFilter="0"/>
  <autoFilter ref="A4:BD109">
    <filterColumn colId="1" showButton="0"/>
    <filterColumn colId="5"/>
  </autoFilter>
  <mergeCells count="13">
    <mergeCell ref="A5:D5"/>
    <mergeCell ref="A54:D54"/>
    <mergeCell ref="A76:D76"/>
    <mergeCell ref="A91:D91"/>
    <mergeCell ref="A1:D1"/>
    <mergeCell ref="A3:A4"/>
    <mergeCell ref="B3:C4"/>
    <mergeCell ref="L3:Q3"/>
    <mergeCell ref="R3:S3"/>
    <mergeCell ref="G3:K3"/>
    <mergeCell ref="D3:D4"/>
    <mergeCell ref="E3:E4"/>
    <mergeCell ref="F3:F4"/>
  </mergeCells>
  <phoneticPr fontId="27" type="noConversion"/>
  <pageMargins left="0.7" right="0.16" top="0.39" bottom="0.16" header="0.3" footer="0.3"/>
  <pageSetup paperSize="5" scale="70"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sheetPr codeName="Sheet9"/>
  <dimension ref="A1:BA35"/>
  <sheetViews>
    <sheetView zoomScale="80" zoomScaleNormal="80" workbookViewId="0">
      <pane xSplit="5" ySplit="7" topLeftCell="K38" activePane="bottomRight" state="frozen"/>
      <selection activeCell="Q172" sqref="A1:BE179"/>
      <selection pane="topRight" activeCell="Q172" sqref="A1:BE179"/>
      <selection pane="bottomLeft" activeCell="Q172" sqref="A1:BE179"/>
      <selection pane="bottomRight" activeCell="P22" sqref="P22"/>
    </sheetView>
  </sheetViews>
  <sheetFormatPr defaultColWidth="9.140625" defaultRowHeight="16.5"/>
  <cols>
    <col min="1" max="1" width="9" style="2205" bestFit="1" customWidth="1"/>
    <col min="2" max="2" width="10.5703125" style="2135" customWidth="1"/>
    <col min="3" max="3" width="45.5703125" style="1507" customWidth="1"/>
    <col min="4" max="4" width="8.140625" style="2136" customWidth="1"/>
    <col min="5" max="5" width="18.140625" style="2136" customWidth="1"/>
    <col min="6" max="6" width="13.140625" style="2133" hidden="1" customWidth="1"/>
    <col min="7" max="7" width="24.85546875" style="2133" hidden="1" customWidth="1"/>
    <col min="8" max="8" width="12.5703125" style="2133" hidden="1" customWidth="1"/>
    <col min="9" max="9" width="15.28515625" style="2133" hidden="1" customWidth="1"/>
    <col min="10" max="10" width="15.85546875" style="2133" hidden="1" customWidth="1"/>
    <col min="11" max="11" width="13.42578125" style="2133" bestFit="1" customWidth="1"/>
    <col min="12" max="12" width="14.42578125" style="2133" bestFit="1" customWidth="1"/>
    <col min="13" max="13" width="11.140625" style="2418" customWidth="1"/>
    <col min="14" max="14" width="10" style="2133" customWidth="1"/>
    <col min="15" max="15" width="14.85546875" style="2418" bestFit="1" customWidth="1"/>
    <col min="16" max="16" width="80.5703125" style="2205" customWidth="1"/>
    <col min="17" max="17" width="32.140625" style="2205" hidden="1" customWidth="1"/>
    <col min="18" max="18" width="15.85546875" style="2418" hidden="1" customWidth="1"/>
    <col min="19" max="19" width="6.140625" style="2133" hidden="1" customWidth="1"/>
    <col min="20" max="20" width="3.7109375" style="2133" hidden="1" customWidth="1"/>
    <col min="21" max="21" width="6.28515625" style="2133" hidden="1" customWidth="1"/>
    <col min="22" max="22" width="4" style="2133" hidden="1" customWidth="1"/>
    <col min="23" max="23" width="6.42578125" style="2133" hidden="1" customWidth="1"/>
    <col min="24" max="24" width="4.7109375" style="2133" hidden="1" customWidth="1"/>
    <col min="25" max="25" width="5.85546875" style="2133" hidden="1" customWidth="1"/>
    <col min="26" max="26" width="7.140625" style="2133" hidden="1" customWidth="1"/>
    <col min="27" max="27" width="3.85546875" style="2133" hidden="1" customWidth="1"/>
    <col min="28" max="28" width="8.28515625" style="2133" hidden="1" customWidth="1"/>
    <col min="29" max="29" width="4.28515625" style="2133" hidden="1" customWidth="1"/>
    <col min="30" max="30" width="3.85546875" style="2133" hidden="1" customWidth="1"/>
    <col min="31" max="31" width="7.28515625" style="2133" hidden="1" customWidth="1"/>
    <col min="32" max="32" width="3.42578125" style="2133" hidden="1" customWidth="1"/>
    <col min="33" max="34" width="7.140625" style="2133" hidden="1" customWidth="1"/>
    <col min="35" max="35" width="4.7109375" style="2133" hidden="1" customWidth="1"/>
    <col min="36" max="36" width="8.140625" style="2133" hidden="1" customWidth="1"/>
    <col min="37" max="37" width="5.140625" style="2133" hidden="1" customWidth="1"/>
    <col min="38" max="38" width="5.42578125" style="2133" hidden="1" customWidth="1"/>
    <col min="39" max="39" width="7" style="2133" hidden="1" customWidth="1"/>
    <col min="40" max="40" width="5.5703125" style="2133" hidden="1" customWidth="1"/>
    <col min="41" max="41" width="5" style="2133" hidden="1" customWidth="1"/>
    <col min="42" max="42" width="5.5703125" style="2133" hidden="1" customWidth="1"/>
    <col min="43" max="43" width="6.42578125" style="2133" hidden="1" customWidth="1"/>
    <col min="44" max="44" width="6.7109375" style="2133" hidden="1" customWidth="1"/>
    <col min="45" max="45" width="5.42578125" style="2133" hidden="1" customWidth="1"/>
    <col min="46" max="46" width="7.7109375" style="2133" hidden="1" customWidth="1"/>
    <col min="47" max="47" width="7.42578125" style="2133" hidden="1" customWidth="1"/>
    <col min="48" max="48" width="8.140625" style="2133" hidden="1" customWidth="1"/>
    <col min="49" max="49" width="6.140625" style="2133" hidden="1" customWidth="1"/>
    <col min="50" max="50" width="5.5703125" style="2133" hidden="1" customWidth="1"/>
    <col min="51" max="51" width="6.42578125" style="2133" hidden="1" customWidth="1"/>
    <col min="52" max="52" width="6.85546875" style="2133" hidden="1" customWidth="1"/>
    <col min="53" max="53" width="7.7109375" style="2133" hidden="1" customWidth="1"/>
    <col min="54" max="16384" width="9.140625" style="2133"/>
  </cols>
  <sheetData>
    <row r="1" spans="1:53">
      <c r="A1" s="4485" t="s">
        <v>1240</v>
      </c>
      <c r="B1" s="4485"/>
      <c r="C1" s="4485"/>
      <c r="D1" s="2479"/>
      <c r="E1" s="4391" t="s">
        <v>4709</v>
      </c>
      <c r="F1" s="4427" t="s">
        <v>4707</v>
      </c>
      <c r="G1" s="4428"/>
      <c r="H1" s="4428"/>
      <c r="I1" s="4428"/>
      <c r="J1" s="4428"/>
      <c r="K1" s="4428"/>
      <c r="L1" s="4428"/>
      <c r="M1" s="4486"/>
      <c r="N1" s="4429"/>
      <c r="O1" s="4487" t="s">
        <v>70</v>
      </c>
      <c r="P1" s="4431"/>
      <c r="Q1" s="4431"/>
      <c r="R1" s="4488"/>
      <c r="S1" s="4431"/>
      <c r="T1" s="4431"/>
      <c r="U1" s="4431"/>
      <c r="V1" s="4431"/>
      <c r="W1" s="4431"/>
      <c r="X1" s="4431"/>
      <c r="Y1" s="4431"/>
      <c r="Z1" s="4431"/>
      <c r="AA1" s="4431"/>
      <c r="AB1" s="4431"/>
      <c r="AC1" s="4431"/>
      <c r="AD1" s="4431"/>
      <c r="AE1" s="4431"/>
      <c r="AF1" s="4431"/>
      <c r="AG1" s="4431"/>
      <c r="AH1" s="4431"/>
      <c r="AI1" s="4416" t="s">
        <v>4358</v>
      </c>
      <c r="AJ1" s="4417"/>
      <c r="AK1" s="4417"/>
      <c r="AL1" s="4417"/>
      <c r="AM1" s="4417"/>
      <c r="AN1" s="4417"/>
      <c r="AO1" s="4418"/>
      <c r="AP1" s="4419" t="s">
        <v>85</v>
      </c>
      <c r="AQ1" s="4420"/>
      <c r="AR1" s="4420"/>
      <c r="AS1" s="4420"/>
      <c r="AT1" s="4420"/>
      <c r="AU1" s="4420"/>
      <c r="AV1" s="4420"/>
      <c r="AW1" s="4420"/>
      <c r="AX1" s="4420"/>
      <c r="AY1" s="4420"/>
      <c r="AZ1" s="4420"/>
      <c r="BA1" s="4421"/>
    </row>
    <row r="2" spans="1:53" s="2135" customFormat="1" ht="49.5">
      <c r="A2" s="4365" t="str">
        <f>HYPERLINK("#Index!A4", "Index Pg")</f>
        <v>Index Pg</v>
      </c>
      <c r="B2" s="2134" t="str">
        <f>HYPERLINK("#'Summary of Abstracts'!A2", "Summary of Abst.")</f>
        <v>Summary of Abst.</v>
      </c>
      <c r="C2" s="1278"/>
      <c r="E2" s="4391"/>
      <c r="F2" s="1279" t="s">
        <v>118</v>
      </c>
      <c r="G2" s="1279" t="s">
        <v>131</v>
      </c>
      <c r="H2" s="1279" t="s">
        <v>91</v>
      </c>
      <c r="I2" s="1279" t="s">
        <v>4705</v>
      </c>
      <c r="J2" s="1279" t="s">
        <v>96</v>
      </c>
      <c r="K2" s="1352" t="s">
        <v>4064</v>
      </c>
      <c r="L2" s="1280" t="s">
        <v>4706</v>
      </c>
      <c r="M2" s="1280" t="s">
        <v>4710</v>
      </c>
      <c r="N2" s="1280" t="s">
        <v>208</v>
      </c>
      <c r="O2" s="1282" t="s">
        <v>4357</v>
      </c>
      <c r="P2" s="1282" t="s">
        <v>3848</v>
      </c>
      <c r="Q2" s="1282" t="s">
        <v>4719</v>
      </c>
      <c r="R2" s="1282" t="s">
        <v>4716</v>
      </c>
      <c r="S2" s="1282" t="s">
        <v>4717</v>
      </c>
      <c r="T2" s="1282" t="s">
        <v>4718</v>
      </c>
      <c r="U2" s="1282" t="s">
        <v>4720</v>
      </c>
      <c r="V2" s="1282" t="s">
        <v>4695</v>
      </c>
      <c r="W2" s="1282" t="s">
        <v>4721</v>
      </c>
      <c r="X2" s="1282" t="s">
        <v>33</v>
      </c>
      <c r="Y2" s="1282" t="s">
        <v>4722</v>
      </c>
      <c r="Z2" s="1282" t="s">
        <v>4723</v>
      </c>
      <c r="AA2" s="1282" t="s">
        <v>4713</v>
      </c>
      <c r="AB2" s="1282" t="s">
        <v>742</v>
      </c>
      <c r="AC2" s="1282" t="s">
        <v>4714</v>
      </c>
      <c r="AD2" s="1282" t="s">
        <v>4715</v>
      </c>
      <c r="AE2" s="1282" t="s">
        <v>2379</v>
      </c>
      <c r="AF2" s="1282" t="s">
        <v>4724</v>
      </c>
      <c r="AG2" s="1282" t="s">
        <v>3847</v>
      </c>
      <c r="AH2" s="1282" t="s">
        <v>307</v>
      </c>
      <c r="AI2" s="1283" t="s">
        <v>293</v>
      </c>
      <c r="AJ2" s="1283" t="s">
        <v>114</v>
      </c>
      <c r="AK2" s="1283" t="s">
        <v>146</v>
      </c>
      <c r="AL2" s="1283" t="s">
        <v>4674</v>
      </c>
      <c r="AM2" s="1283" t="s">
        <v>3316</v>
      </c>
      <c r="AN2" s="1283" t="s">
        <v>3986</v>
      </c>
      <c r="AO2" s="1283" t="s">
        <v>4544</v>
      </c>
      <c r="AP2" s="1284" t="s">
        <v>86</v>
      </c>
      <c r="AQ2" s="1284" t="s">
        <v>150</v>
      </c>
      <c r="AR2" s="1284" t="s">
        <v>399</v>
      </c>
      <c r="AS2" s="1284" t="s">
        <v>152</v>
      </c>
      <c r="AT2" s="1284" t="s">
        <v>415</v>
      </c>
      <c r="AU2" s="1284" t="s">
        <v>4598</v>
      </c>
      <c r="AV2" s="1284" t="s">
        <v>4124</v>
      </c>
      <c r="AW2" s="1284" t="s">
        <v>312</v>
      </c>
      <c r="AX2" s="1284" t="s">
        <v>314</v>
      </c>
      <c r="AY2" s="1284" t="s">
        <v>1034</v>
      </c>
      <c r="AZ2" s="1284" t="s">
        <v>1020</v>
      </c>
      <c r="BA2" s="1284" t="s">
        <v>4708</v>
      </c>
    </row>
    <row r="3" spans="1:53" s="2481" customFormat="1">
      <c r="A3" s="4366"/>
      <c r="B3" s="2480" t="str">
        <f>HYPERLINK("#'Budget Summary I'!A1:AL1", "Budget Summary I")</f>
        <v>Budget Summary I</v>
      </c>
      <c r="C3" s="1286" t="s">
        <v>4599</v>
      </c>
      <c r="E3" s="2482">
        <f>R7</f>
        <v>0</v>
      </c>
      <c r="F3" s="1338"/>
      <c r="G3" s="1338"/>
      <c r="H3" s="1338"/>
      <c r="I3" s="1338"/>
      <c r="J3" s="1338"/>
      <c r="K3" s="1508"/>
      <c r="L3" s="1338">
        <f>R34</f>
        <v>0</v>
      </c>
      <c r="M3" s="1338"/>
      <c r="N3" s="1508"/>
      <c r="O3" s="1508"/>
      <c r="P3" s="1508"/>
      <c r="Q3" s="1508"/>
      <c r="R3" s="1508"/>
      <c r="S3" s="1508"/>
      <c r="T3" s="1508"/>
      <c r="U3" s="1508">
        <f>R10+R11+R12+R13+R14+R15+R16+R17+R18+R19+R20+R22+R23+R25+R26+R27+R28+R29+R30+R31</f>
        <v>0</v>
      </c>
      <c r="V3" s="1508"/>
      <c r="W3" s="1508"/>
      <c r="X3" s="1508"/>
      <c r="Y3" s="1508"/>
      <c r="Z3" s="1508"/>
      <c r="AA3" s="1508"/>
      <c r="AB3" s="1508"/>
      <c r="AC3" s="1508"/>
      <c r="AD3" s="1508"/>
      <c r="AE3" s="1508"/>
      <c r="AF3" s="1508"/>
      <c r="AG3" s="1508"/>
      <c r="AH3" s="1508">
        <f>R33+R35</f>
        <v>0</v>
      </c>
      <c r="AI3" s="1508"/>
      <c r="AJ3" s="1508"/>
      <c r="AK3" s="1508"/>
      <c r="AL3" s="1508"/>
      <c r="AM3" s="1508"/>
      <c r="AN3" s="1508"/>
      <c r="AO3" s="1508"/>
      <c r="AP3" s="1508"/>
      <c r="AQ3" s="1508"/>
      <c r="AR3" s="1508"/>
      <c r="AS3" s="1508"/>
      <c r="AT3" s="1508"/>
      <c r="AU3" s="1508"/>
      <c r="AV3" s="1508"/>
      <c r="AW3" s="1508"/>
      <c r="AX3" s="1508"/>
      <c r="AY3" s="1508"/>
      <c r="AZ3" s="1508"/>
      <c r="BA3" s="1508"/>
    </row>
    <row r="4" spans="1:53" s="2481" customFormat="1">
      <c r="A4" s="4367"/>
      <c r="B4" s="2480" t="str">
        <f>HYPERLINK("#'Budget Summary II'!A3:B5", "Budget Summary II")</f>
        <v>Budget Summary II</v>
      </c>
      <c r="C4" s="1286" t="s">
        <v>4600</v>
      </c>
      <c r="E4" s="2482">
        <f>O7</f>
        <v>2241.01566</v>
      </c>
      <c r="F4" s="1338"/>
      <c r="G4" s="1338"/>
      <c r="H4" s="1338"/>
      <c r="I4" s="1338"/>
      <c r="J4" s="1338"/>
      <c r="K4" s="1508"/>
      <c r="L4" s="1338">
        <f>O34</f>
        <v>5.8739999999999997</v>
      </c>
      <c r="M4" s="1338"/>
      <c r="N4" s="1508"/>
      <c r="O4" s="1508"/>
      <c r="P4" s="1508"/>
      <c r="Q4" s="1508"/>
      <c r="R4" s="1508"/>
      <c r="S4" s="1508"/>
      <c r="T4" s="1508"/>
      <c r="U4" s="1508">
        <f>O10+O11+O12+O13+O14+O15+O16+O17+O18+O19+O20+O22+O23+O25+O26+O27+O28+O29+O30+O31</f>
        <v>1467.3675000000001</v>
      </c>
      <c r="V4" s="1508"/>
      <c r="W4" s="1508"/>
      <c r="X4" s="1508"/>
      <c r="Y4" s="1508"/>
      <c r="Z4" s="1508"/>
      <c r="AA4" s="1508"/>
      <c r="AB4" s="1508"/>
      <c r="AC4" s="1508"/>
      <c r="AD4" s="1508"/>
      <c r="AE4" s="1508"/>
      <c r="AF4" s="1508"/>
      <c r="AG4" s="1508"/>
      <c r="AH4" s="1508">
        <f>O33+O35</f>
        <v>767.77416000000005</v>
      </c>
      <c r="AI4" s="1508"/>
      <c r="AJ4" s="1508"/>
      <c r="AK4" s="1508"/>
      <c r="AL4" s="1508"/>
      <c r="AM4" s="1508"/>
      <c r="AN4" s="1508"/>
      <c r="AO4" s="1508"/>
      <c r="AP4" s="1508"/>
      <c r="AQ4" s="1508"/>
      <c r="AR4" s="1508"/>
      <c r="AS4" s="1508"/>
      <c r="AT4" s="1508"/>
      <c r="AU4" s="1508"/>
      <c r="AV4" s="1508"/>
      <c r="AW4" s="1508"/>
      <c r="AX4" s="1508"/>
      <c r="AY4" s="1508"/>
      <c r="AZ4" s="1508"/>
      <c r="BA4" s="1508"/>
    </row>
    <row r="5" spans="1:53" s="2483" customFormat="1">
      <c r="A5" s="4343" t="s">
        <v>53</v>
      </c>
      <c r="B5" s="4343" t="s">
        <v>54</v>
      </c>
      <c r="C5" s="4343" t="s">
        <v>55</v>
      </c>
      <c r="D5" s="4343" t="s">
        <v>56</v>
      </c>
      <c r="E5" s="4343" t="s">
        <v>57</v>
      </c>
      <c r="F5" s="4339" t="s">
        <v>4620</v>
      </c>
      <c r="G5" s="4339"/>
      <c r="H5" s="4339"/>
      <c r="I5" s="4339"/>
      <c r="J5" s="4339"/>
      <c r="K5" s="4340" t="s">
        <v>4631</v>
      </c>
      <c r="L5" s="4380"/>
      <c r="M5" s="4483"/>
      <c r="N5" s="4380"/>
      <c r="O5" s="4483"/>
      <c r="P5" s="4381"/>
      <c r="Q5" s="4422" t="s">
        <v>4661</v>
      </c>
      <c r="R5" s="4484"/>
    </row>
    <row r="6" spans="1:53" s="2136" customFormat="1" ht="66">
      <c r="A6" s="4343"/>
      <c r="B6" s="4343"/>
      <c r="C6" s="4343"/>
      <c r="D6" s="4343"/>
      <c r="E6" s="4343"/>
      <c r="F6" s="1288" t="s">
        <v>4621</v>
      </c>
      <c r="G6" s="1288" t="s">
        <v>4629</v>
      </c>
      <c r="H6" s="1288" t="s">
        <v>4622</v>
      </c>
      <c r="I6" s="1288" t="s">
        <v>4630</v>
      </c>
      <c r="J6" s="1288" t="s">
        <v>2534</v>
      </c>
      <c r="K6" s="1289" t="s">
        <v>58</v>
      </c>
      <c r="L6" s="1289" t="s">
        <v>59</v>
      </c>
      <c r="M6" s="1290" t="s">
        <v>60</v>
      </c>
      <c r="N6" s="1289" t="s">
        <v>61</v>
      </c>
      <c r="O6" s="1290" t="s">
        <v>62</v>
      </c>
      <c r="P6" s="1289" t="s">
        <v>5564</v>
      </c>
      <c r="Q6" s="1291" t="s">
        <v>2536</v>
      </c>
      <c r="R6" s="1292" t="s">
        <v>4662</v>
      </c>
    </row>
    <row r="7" spans="1:53">
      <c r="A7" s="1513">
        <v>13</v>
      </c>
      <c r="B7" s="1513"/>
      <c r="C7" s="1513" t="s">
        <v>30</v>
      </c>
      <c r="D7" s="1515"/>
      <c r="E7" s="1515"/>
      <c r="F7" s="1513"/>
      <c r="G7" s="1513"/>
      <c r="H7" s="1513"/>
      <c r="I7" s="1513"/>
      <c r="J7" s="1513"/>
      <c r="K7" s="1513"/>
      <c r="L7" s="1513"/>
      <c r="M7" s="2137"/>
      <c r="N7" s="1513"/>
      <c r="O7" s="2137">
        <f>O8+O21+O32</f>
        <v>2241.01566</v>
      </c>
      <c r="P7" s="1513"/>
      <c r="Q7" s="1513"/>
      <c r="R7" s="2137">
        <f>R8+R21+R32</f>
        <v>0</v>
      </c>
    </row>
    <row r="8" spans="1:53">
      <c r="A8" s="2468">
        <v>13.1</v>
      </c>
      <c r="B8" s="1671"/>
      <c r="C8" s="1671" t="s">
        <v>30</v>
      </c>
      <c r="D8" s="2469"/>
      <c r="E8" s="2469"/>
      <c r="F8" s="2284"/>
      <c r="G8" s="2284"/>
      <c r="H8" s="2284"/>
      <c r="I8" s="2284"/>
      <c r="J8" s="2284"/>
      <c r="K8" s="2284"/>
      <c r="L8" s="2284"/>
      <c r="M8" s="2147"/>
      <c r="N8" s="1884"/>
      <c r="O8" s="2149">
        <f>O9+SUM(O16:O20)</f>
        <v>233.5575</v>
      </c>
      <c r="P8" s="2484"/>
      <c r="Q8" s="2484"/>
      <c r="R8" s="2149">
        <f>R9+SUM(R16:R20)</f>
        <v>0</v>
      </c>
    </row>
    <row r="9" spans="1:53" s="2187" customFormat="1" ht="33">
      <c r="A9" s="2298" t="s">
        <v>1241</v>
      </c>
      <c r="B9" s="2485" t="s">
        <v>1242</v>
      </c>
      <c r="C9" s="2485" t="s">
        <v>1243</v>
      </c>
      <c r="D9" s="2300" t="s">
        <v>70</v>
      </c>
      <c r="E9" s="2300" t="s">
        <v>3900</v>
      </c>
      <c r="F9" s="2486"/>
      <c r="G9" s="2300"/>
      <c r="H9" s="2487"/>
      <c r="I9" s="2487"/>
      <c r="J9" s="2486"/>
      <c r="K9" s="2488"/>
      <c r="L9" s="2486"/>
      <c r="M9" s="2489"/>
      <c r="N9" s="2488"/>
      <c r="O9" s="2490">
        <f>SUM(O10:O15)</f>
        <v>14.457500000000001</v>
      </c>
      <c r="P9" s="1334"/>
      <c r="Q9" s="2298"/>
      <c r="R9" s="2490">
        <f>SUM(R10:R15)</f>
        <v>0</v>
      </c>
    </row>
    <row r="10" spans="1:53">
      <c r="A10" s="2199" t="s">
        <v>4026</v>
      </c>
      <c r="B10" s="2020"/>
      <c r="C10" s="1855" t="s">
        <v>4021</v>
      </c>
      <c r="D10" s="1281" t="s">
        <v>70</v>
      </c>
      <c r="E10" s="2164" t="s">
        <v>3900</v>
      </c>
      <c r="F10" s="2378"/>
      <c r="G10" s="2491"/>
      <c r="H10" s="2492"/>
      <c r="I10" s="2492"/>
      <c r="J10" s="2378"/>
      <c r="K10" s="1558"/>
      <c r="L10" s="1317"/>
      <c r="M10" s="1702">
        <f t="shared" ref="M10:M20" si="0">L10/100000</f>
        <v>0</v>
      </c>
      <c r="N10" s="1317"/>
      <c r="O10" s="1702">
        <f t="shared" ref="O10:O15" si="1">M10*N10</f>
        <v>0</v>
      </c>
      <c r="P10" s="1347"/>
      <c r="Q10" s="2493"/>
      <c r="R10" s="2494"/>
    </row>
    <row r="11" spans="1:53">
      <c r="A11" s="2199" t="s">
        <v>4027</v>
      </c>
      <c r="B11" s="2020"/>
      <c r="C11" s="1855" t="s">
        <v>4022</v>
      </c>
      <c r="D11" s="1281" t="s">
        <v>70</v>
      </c>
      <c r="E11" s="2164" t="s">
        <v>3900</v>
      </c>
      <c r="F11" s="2378"/>
      <c r="G11" s="2491"/>
      <c r="H11" s="2492"/>
      <c r="I11" s="2492"/>
      <c r="J11" s="2378"/>
      <c r="K11" s="1558"/>
      <c r="L11" s="1317"/>
      <c r="M11" s="1702">
        <f t="shared" si="0"/>
        <v>0</v>
      </c>
      <c r="N11" s="1317"/>
      <c r="O11" s="1702">
        <f t="shared" si="1"/>
        <v>0</v>
      </c>
      <c r="P11" s="1347"/>
      <c r="Q11" s="2493"/>
      <c r="R11" s="2494"/>
    </row>
    <row r="12" spans="1:53">
      <c r="A12" s="2199" t="s">
        <v>4028</v>
      </c>
      <c r="B12" s="2020"/>
      <c r="C12" s="1855" t="s">
        <v>4023</v>
      </c>
      <c r="D12" s="1281" t="s">
        <v>70</v>
      </c>
      <c r="E12" s="2164" t="s">
        <v>3900</v>
      </c>
      <c r="F12" s="2378"/>
      <c r="G12" s="2491"/>
      <c r="H12" s="2492"/>
      <c r="I12" s="2492"/>
      <c r="J12" s="2378"/>
      <c r="K12" s="1558"/>
      <c r="L12" s="1317">
        <v>2000</v>
      </c>
      <c r="M12" s="1702">
        <f t="shared" si="0"/>
        <v>0.02</v>
      </c>
      <c r="N12" s="1317">
        <v>161</v>
      </c>
      <c r="O12" s="1702">
        <f t="shared" si="1"/>
        <v>3.22</v>
      </c>
      <c r="P12" s="1347" t="s">
        <v>6167</v>
      </c>
      <c r="Q12" s="2493"/>
      <c r="R12" s="2494"/>
    </row>
    <row r="13" spans="1:53" ht="33">
      <c r="A13" s="2199" t="s">
        <v>4029</v>
      </c>
      <c r="B13" s="2020"/>
      <c r="C13" s="1855" t="s">
        <v>4024</v>
      </c>
      <c r="D13" s="1281" t="s">
        <v>70</v>
      </c>
      <c r="E13" s="2164" t="s">
        <v>3900</v>
      </c>
      <c r="F13" s="2378"/>
      <c r="G13" s="2491"/>
      <c r="H13" s="2492"/>
      <c r="I13" s="2492"/>
      <c r="J13" s="2378"/>
      <c r="K13" s="1558"/>
      <c r="L13" s="1317"/>
      <c r="M13" s="1702">
        <f t="shared" si="0"/>
        <v>0</v>
      </c>
      <c r="N13" s="1317"/>
      <c r="O13" s="1702">
        <f t="shared" si="1"/>
        <v>0</v>
      </c>
      <c r="P13" s="1347"/>
      <c r="Q13" s="2493"/>
      <c r="R13" s="2494"/>
    </row>
    <row r="14" spans="1:53" ht="140.25" customHeight="1">
      <c r="A14" s="2199" t="s">
        <v>4030</v>
      </c>
      <c r="B14" s="2020"/>
      <c r="C14" s="1855" t="s">
        <v>4025</v>
      </c>
      <c r="D14" s="1281" t="s">
        <v>70</v>
      </c>
      <c r="E14" s="2164" t="s">
        <v>3900</v>
      </c>
      <c r="F14" s="2378"/>
      <c r="G14" s="2491"/>
      <c r="H14" s="2492"/>
      <c r="I14" s="2492"/>
      <c r="J14" s="2378"/>
      <c r="K14" s="1558">
        <v>1</v>
      </c>
      <c r="L14" s="1317">
        <v>1123750</v>
      </c>
      <c r="M14" s="1702">
        <f t="shared" si="0"/>
        <v>11.237500000000001</v>
      </c>
      <c r="N14" s="1317">
        <v>1</v>
      </c>
      <c r="O14" s="1702">
        <f t="shared" si="1"/>
        <v>11.237500000000001</v>
      </c>
      <c r="P14" s="1347" t="s">
        <v>6168</v>
      </c>
      <c r="Q14" s="2493"/>
      <c r="R14" s="2494"/>
    </row>
    <row r="15" spans="1:53">
      <c r="A15" s="2199" t="s">
        <v>4031</v>
      </c>
      <c r="B15" s="2020"/>
      <c r="C15" s="1855" t="s">
        <v>1310</v>
      </c>
      <c r="D15" s="1281" t="s">
        <v>70</v>
      </c>
      <c r="E15" s="2164" t="s">
        <v>3900</v>
      </c>
      <c r="F15" s="2378"/>
      <c r="G15" s="2491"/>
      <c r="H15" s="2492"/>
      <c r="I15" s="2492"/>
      <c r="J15" s="2378"/>
      <c r="K15" s="1558"/>
      <c r="L15" s="1317"/>
      <c r="M15" s="1702">
        <f t="shared" si="0"/>
        <v>0</v>
      </c>
      <c r="N15" s="1317"/>
      <c r="O15" s="1702">
        <f t="shared" si="1"/>
        <v>0</v>
      </c>
      <c r="P15" s="1347"/>
      <c r="Q15" s="2493"/>
      <c r="R15" s="2494"/>
    </row>
    <row r="16" spans="1:53" ht="33">
      <c r="A16" s="2199" t="s">
        <v>1244</v>
      </c>
      <c r="B16" s="1855" t="s">
        <v>1245</v>
      </c>
      <c r="C16" s="1855" t="s">
        <v>4032</v>
      </c>
      <c r="D16" s="1281" t="s">
        <v>70</v>
      </c>
      <c r="E16" s="2164" t="s">
        <v>3900</v>
      </c>
      <c r="F16" s="2378"/>
      <c r="G16" s="2491"/>
      <c r="H16" s="2492"/>
      <c r="I16" s="2492"/>
      <c r="J16" s="2378"/>
      <c r="K16" s="1558"/>
      <c r="L16" s="1317">
        <v>5860000</v>
      </c>
      <c r="M16" s="1702">
        <f t="shared" si="0"/>
        <v>58.6</v>
      </c>
      <c r="N16" s="1317">
        <v>1</v>
      </c>
      <c r="O16" s="1702">
        <f>M16*N16</f>
        <v>58.6</v>
      </c>
      <c r="P16" s="1729" t="s">
        <v>6721</v>
      </c>
      <c r="Q16" s="2493"/>
      <c r="R16" s="2494"/>
    </row>
    <row r="17" spans="1:18" ht="108" customHeight="1">
      <c r="A17" s="2199" t="s">
        <v>1246</v>
      </c>
      <c r="B17" s="2020"/>
      <c r="C17" s="1855" t="s">
        <v>4033</v>
      </c>
      <c r="D17" s="1281" t="s">
        <v>70</v>
      </c>
      <c r="E17" s="2164" t="s">
        <v>3900</v>
      </c>
      <c r="F17" s="2378"/>
      <c r="G17" s="2491"/>
      <c r="H17" s="2492"/>
      <c r="I17" s="2492"/>
      <c r="J17" s="2378"/>
      <c r="K17" s="1558"/>
      <c r="L17" s="1317">
        <v>155800</v>
      </c>
      <c r="M17" s="1702">
        <f t="shared" si="0"/>
        <v>1.5580000000000001</v>
      </c>
      <c r="N17" s="1317">
        <v>50</v>
      </c>
      <c r="O17" s="1702">
        <f>M17*N17</f>
        <v>77.900000000000006</v>
      </c>
      <c r="P17" s="1729" t="s">
        <v>6722</v>
      </c>
      <c r="Q17" s="2493"/>
      <c r="R17" s="2494"/>
    </row>
    <row r="18" spans="1:18" ht="49.5">
      <c r="A18" s="2199" t="s">
        <v>2658</v>
      </c>
      <c r="B18" s="2020"/>
      <c r="C18" s="1855" t="s">
        <v>4034</v>
      </c>
      <c r="D18" s="1281" t="s">
        <v>70</v>
      </c>
      <c r="E18" s="2164" t="s">
        <v>3900</v>
      </c>
      <c r="F18" s="2378"/>
      <c r="G18" s="2491"/>
      <c r="H18" s="2492"/>
      <c r="I18" s="2492"/>
      <c r="J18" s="2378"/>
      <c r="K18" s="2504" t="s">
        <v>6239</v>
      </c>
      <c r="L18" s="1714">
        <v>3500000</v>
      </c>
      <c r="M18" s="1746">
        <f t="shared" si="0"/>
        <v>35</v>
      </c>
      <c r="N18" s="1714">
        <v>1</v>
      </c>
      <c r="O18" s="1746">
        <f>M18*N18</f>
        <v>35</v>
      </c>
      <c r="P18" s="2423" t="s">
        <v>6240</v>
      </c>
      <c r="Q18" s="2493"/>
      <c r="R18" s="2494"/>
    </row>
    <row r="19" spans="1:18" s="3778" customFormat="1" ht="99">
      <c r="A19" s="3779" t="s">
        <v>4036</v>
      </c>
      <c r="B19" s="3801" t="s">
        <v>1154</v>
      </c>
      <c r="C19" s="3801" t="s">
        <v>4035</v>
      </c>
      <c r="D19" s="3813" t="s">
        <v>70</v>
      </c>
      <c r="E19" s="3782" t="s">
        <v>3900</v>
      </c>
      <c r="F19" s="3814"/>
      <c r="G19" s="3815"/>
      <c r="H19" s="3816"/>
      <c r="I19" s="3816"/>
      <c r="J19" s="3814"/>
      <c r="K19" s="3814"/>
      <c r="L19" s="3739">
        <f>1360000+3400000</f>
        <v>4760000</v>
      </c>
      <c r="M19" s="3808">
        <f t="shared" si="0"/>
        <v>47.6</v>
      </c>
      <c r="N19" s="3739">
        <v>1</v>
      </c>
      <c r="O19" s="3808">
        <f>M19*N19</f>
        <v>47.6</v>
      </c>
      <c r="P19" s="3817" t="s">
        <v>6816</v>
      </c>
      <c r="Q19" s="3818"/>
      <c r="R19" s="3819"/>
    </row>
    <row r="20" spans="1:18">
      <c r="A20" s="2199" t="s">
        <v>4037</v>
      </c>
      <c r="B20" s="2020"/>
      <c r="C20" s="1855" t="s">
        <v>1310</v>
      </c>
      <c r="D20" s="1281" t="s">
        <v>70</v>
      </c>
      <c r="E20" s="2164" t="s">
        <v>3900</v>
      </c>
      <c r="F20" s="2378"/>
      <c r="G20" s="2491"/>
      <c r="H20" s="2492"/>
      <c r="I20" s="2492"/>
      <c r="J20" s="2378"/>
      <c r="K20" s="1558"/>
      <c r="L20" s="1317"/>
      <c r="M20" s="1702">
        <f t="shared" si="0"/>
        <v>0</v>
      </c>
      <c r="N20" s="1317"/>
      <c r="O20" s="1702">
        <f>M20*N20</f>
        <v>0</v>
      </c>
      <c r="P20" s="2265"/>
      <c r="Q20" s="2493"/>
      <c r="R20" s="2494"/>
    </row>
    <row r="21" spans="1:18">
      <c r="A21" s="2468">
        <v>13.2</v>
      </c>
      <c r="B21" s="1671"/>
      <c r="C21" s="1671" t="s">
        <v>31</v>
      </c>
      <c r="D21" s="2469"/>
      <c r="E21" s="2469"/>
      <c r="F21" s="2470"/>
      <c r="G21" s="2470"/>
      <c r="H21" s="2470"/>
      <c r="I21" s="2470"/>
      <c r="J21" s="2470"/>
      <c r="K21" s="2470"/>
      <c r="L21" s="2470"/>
      <c r="M21" s="2147"/>
      <c r="N21" s="1937"/>
      <c r="O21" s="2149">
        <f>SUM(O22:O24)+SUM(O29:O31)</f>
        <v>1233.81</v>
      </c>
      <c r="P21" s="2495"/>
      <c r="Q21" s="2484"/>
      <c r="R21" s="2149">
        <f>SUM(R22:R24)+SUM(R29:R31)</f>
        <v>0</v>
      </c>
    </row>
    <row r="22" spans="1:18" ht="342" customHeight="1">
      <c r="A22" s="2199" t="s">
        <v>1247</v>
      </c>
      <c r="B22" s="1855" t="s">
        <v>1248</v>
      </c>
      <c r="C22" s="1855" t="s">
        <v>1249</v>
      </c>
      <c r="D22" s="1281" t="s">
        <v>70</v>
      </c>
      <c r="E22" s="2164" t="s">
        <v>3900</v>
      </c>
      <c r="F22" s="2378"/>
      <c r="G22" s="2491"/>
      <c r="H22" s="2492"/>
      <c r="I22" s="2492"/>
      <c r="J22" s="2378"/>
      <c r="K22" s="1558" t="s">
        <v>6169</v>
      </c>
      <c r="L22" s="1317">
        <v>15381000</v>
      </c>
      <c r="M22" s="1702">
        <f>L22/100000</f>
        <v>153.81</v>
      </c>
      <c r="N22" s="1317">
        <v>1</v>
      </c>
      <c r="O22" s="1702">
        <f t="shared" ref="O22:O31" si="2">M22*N22</f>
        <v>153.81</v>
      </c>
      <c r="P22" s="2508" t="s">
        <v>6427</v>
      </c>
      <c r="Q22" s="2493"/>
      <c r="R22" s="2494"/>
    </row>
    <row r="23" spans="1:18" ht="224.25" customHeight="1">
      <c r="A23" s="2199" t="s">
        <v>1250</v>
      </c>
      <c r="B23" s="1855" t="s">
        <v>1251</v>
      </c>
      <c r="C23" s="1855" t="s">
        <v>1252</v>
      </c>
      <c r="D23" s="1281" t="s">
        <v>70</v>
      </c>
      <c r="E23" s="2164" t="s">
        <v>3900</v>
      </c>
      <c r="F23" s="2378"/>
      <c r="G23" s="2491"/>
      <c r="H23" s="2492"/>
      <c r="I23" s="2492"/>
      <c r="J23" s="2378"/>
      <c r="K23" s="1558" t="s">
        <v>6170</v>
      </c>
      <c r="L23" s="1317">
        <v>27200000</v>
      </c>
      <c r="M23" s="1702">
        <f>L23/100000</f>
        <v>272</v>
      </c>
      <c r="N23" s="1317">
        <v>1</v>
      </c>
      <c r="O23" s="1702">
        <f t="shared" si="2"/>
        <v>272</v>
      </c>
      <c r="P23" s="1729" t="s">
        <v>6428</v>
      </c>
      <c r="Q23" s="2493"/>
      <c r="R23" s="2494"/>
    </row>
    <row r="24" spans="1:18" s="2187" customFormat="1">
      <c r="A24" s="2298" t="s">
        <v>1253</v>
      </c>
      <c r="B24" s="2485" t="s">
        <v>1254</v>
      </c>
      <c r="C24" s="2496" t="s">
        <v>1255</v>
      </c>
      <c r="D24" s="2300" t="s">
        <v>70</v>
      </c>
      <c r="E24" s="2300" t="s">
        <v>3900</v>
      </c>
      <c r="F24" s="2497"/>
      <c r="G24" s="2498"/>
      <c r="H24" s="2499"/>
      <c r="I24" s="2499"/>
      <c r="J24" s="2497"/>
      <c r="K24" s="2497"/>
      <c r="L24" s="2497"/>
      <c r="M24" s="2489"/>
      <c r="N24" s="2500"/>
      <c r="O24" s="2489">
        <f>SUM(O25:O28)</f>
        <v>600</v>
      </c>
      <c r="P24" s="2501"/>
      <c r="Q24" s="2298"/>
      <c r="R24" s="2489">
        <f>SUM(R25:R28)</f>
        <v>0</v>
      </c>
    </row>
    <row r="25" spans="1:18" ht="33">
      <c r="A25" s="2199" t="s">
        <v>4038</v>
      </c>
      <c r="B25" s="2020"/>
      <c r="C25" s="2354" t="s">
        <v>4042</v>
      </c>
      <c r="D25" s="1281" t="s">
        <v>70</v>
      </c>
      <c r="E25" s="2164" t="s">
        <v>3900</v>
      </c>
      <c r="F25" s="2378"/>
      <c r="G25" s="2491"/>
      <c r="H25" s="2492"/>
      <c r="I25" s="2492"/>
      <c r="J25" s="2378"/>
      <c r="K25" s="2378"/>
      <c r="L25" s="1317">
        <v>60000000</v>
      </c>
      <c r="M25" s="1702">
        <f t="shared" ref="M25:M31" si="3">L25/100000</f>
        <v>600</v>
      </c>
      <c r="N25" s="1317">
        <v>1</v>
      </c>
      <c r="O25" s="1702">
        <f>M25*N25</f>
        <v>600</v>
      </c>
      <c r="P25" s="1729" t="s">
        <v>5930</v>
      </c>
      <c r="Q25" s="2493"/>
      <c r="R25" s="2494"/>
    </row>
    <row r="26" spans="1:18">
      <c r="A26" s="2199" t="s">
        <v>4039</v>
      </c>
      <c r="B26" s="2020"/>
      <c r="C26" s="2354" t="s">
        <v>4043</v>
      </c>
      <c r="D26" s="1281" t="s">
        <v>70</v>
      </c>
      <c r="E26" s="2164" t="s">
        <v>3900</v>
      </c>
      <c r="F26" s="2378"/>
      <c r="G26" s="2491"/>
      <c r="H26" s="2492"/>
      <c r="I26" s="2492"/>
      <c r="J26" s="2378"/>
      <c r="K26" s="2378"/>
      <c r="L26" s="1317"/>
      <c r="M26" s="1702">
        <f t="shared" si="3"/>
        <v>0</v>
      </c>
      <c r="N26" s="1317"/>
      <c r="O26" s="1702">
        <f>M26*N26</f>
        <v>0</v>
      </c>
      <c r="P26" s="1729"/>
      <c r="Q26" s="2493"/>
      <c r="R26" s="2494"/>
    </row>
    <row r="27" spans="1:18">
      <c r="A27" s="2199" t="s">
        <v>4040</v>
      </c>
      <c r="B27" s="2020"/>
      <c r="C27" s="2354" t="s">
        <v>4113</v>
      </c>
      <c r="D27" s="1281" t="s">
        <v>70</v>
      </c>
      <c r="E27" s="2164" t="s">
        <v>3900</v>
      </c>
      <c r="F27" s="2378"/>
      <c r="G27" s="2491"/>
      <c r="H27" s="2492"/>
      <c r="I27" s="2492"/>
      <c r="J27" s="2378"/>
      <c r="K27" s="2378"/>
      <c r="L27" s="1317"/>
      <c r="M27" s="1702">
        <f t="shared" si="3"/>
        <v>0</v>
      </c>
      <c r="N27" s="1317"/>
      <c r="O27" s="1702">
        <f>M27*N27</f>
        <v>0</v>
      </c>
      <c r="P27" s="1729"/>
      <c r="Q27" s="2493"/>
      <c r="R27" s="2494"/>
    </row>
    <row r="28" spans="1:18">
      <c r="A28" s="2199" t="s">
        <v>4041</v>
      </c>
      <c r="B28" s="2020"/>
      <c r="C28" s="2033" t="s">
        <v>1310</v>
      </c>
      <c r="D28" s="1281" t="s">
        <v>70</v>
      </c>
      <c r="E28" s="2164" t="s">
        <v>3900</v>
      </c>
      <c r="F28" s="2378"/>
      <c r="G28" s="2491"/>
      <c r="H28" s="2492"/>
      <c r="I28" s="2492"/>
      <c r="J28" s="2378"/>
      <c r="K28" s="2378"/>
      <c r="L28" s="1317"/>
      <c r="M28" s="1702">
        <f t="shared" si="3"/>
        <v>0</v>
      </c>
      <c r="N28" s="1317"/>
      <c r="O28" s="1702">
        <f>M28*N28</f>
        <v>0</v>
      </c>
      <c r="P28" s="1729"/>
      <c r="Q28" s="2493"/>
      <c r="R28" s="2494"/>
    </row>
    <row r="29" spans="1:18" ht="33">
      <c r="A29" s="2199" t="s">
        <v>1256</v>
      </c>
      <c r="B29" s="1855" t="s">
        <v>1257</v>
      </c>
      <c r="C29" s="2033" t="s">
        <v>1258</v>
      </c>
      <c r="D29" s="1281" t="s">
        <v>70</v>
      </c>
      <c r="E29" s="2164" t="s">
        <v>3900</v>
      </c>
      <c r="F29" s="2378"/>
      <c r="G29" s="2491"/>
      <c r="H29" s="2492"/>
      <c r="I29" s="2492"/>
      <c r="J29" s="2378"/>
      <c r="K29" s="2378" t="s">
        <v>6171</v>
      </c>
      <c r="L29" s="1317">
        <v>500000</v>
      </c>
      <c r="M29" s="1702">
        <f t="shared" si="3"/>
        <v>5</v>
      </c>
      <c r="N29" s="1317">
        <v>2</v>
      </c>
      <c r="O29" s="1702">
        <f t="shared" si="2"/>
        <v>10</v>
      </c>
      <c r="P29" s="1729" t="s">
        <v>6172</v>
      </c>
      <c r="Q29" s="2493"/>
      <c r="R29" s="2494"/>
    </row>
    <row r="30" spans="1:18" s="3778" customFormat="1" ht="50.25" customHeight="1">
      <c r="A30" s="3779" t="s">
        <v>1259</v>
      </c>
      <c r="B30" s="3801" t="s">
        <v>1260</v>
      </c>
      <c r="C30" s="3939" t="s">
        <v>1261</v>
      </c>
      <c r="D30" s="3813" t="s">
        <v>70</v>
      </c>
      <c r="E30" s="3782" t="s">
        <v>3900</v>
      </c>
      <c r="F30" s="3814"/>
      <c r="G30" s="3815"/>
      <c r="H30" s="3816"/>
      <c r="I30" s="3816"/>
      <c r="J30" s="3814"/>
      <c r="K30" s="3940"/>
      <c r="L30" s="3739">
        <v>19800000</v>
      </c>
      <c r="M30" s="3808">
        <f t="shared" si="3"/>
        <v>198</v>
      </c>
      <c r="N30" s="3739">
        <v>1</v>
      </c>
      <c r="O30" s="3808">
        <f t="shared" si="2"/>
        <v>198</v>
      </c>
      <c r="P30" s="3737" t="s">
        <v>6854</v>
      </c>
      <c r="Q30" s="3818"/>
      <c r="R30" s="3819"/>
    </row>
    <row r="31" spans="1:18">
      <c r="A31" s="2199" t="s">
        <v>2659</v>
      </c>
      <c r="B31" s="2020"/>
      <c r="C31" s="2033" t="s">
        <v>1310</v>
      </c>
      <c r="D31" s="1281" t="s">
        <v>70</v>
      </c>
      <c r="E31" s="2164" t="s">
        <v>3900</v>
      </c>
      <c r="F31" s="2378"/>
      <c r="G31" s="2491"/>
      <c r="H31" s="2492"/>
      <c r="I31" s="2492"/>
      <c r="J31" s="2378"/>
      <c r="K31" s="2378"/>
      <c r="L31" s="1317"/>
      <c r="M31" s="1702">
        <f t="shared" si="3"/>
        <v>0</v>
      </c>
      <c r="N31" s="1317"/>
      <c r="O31" s="1702">
        <f t="shared" si="2"/>
        <v>0</v>
      </c>
      <c r="P31" s="1729"/>
      <c r="Q31" s="2493"/>
      <c r="R31" s="2494"/>
    </row>
    <row r="32" spans="1:18" s="2204" customFormat="1">
      <c r="A32" s="2468">
        <v>13.3</v>
      </c>
      <c r="B32" s="1671"/>
      <c r="C32" s="1671" t="s">
        <v>2550</v>
      </c>
      <c r="D32" s="2469"/>
      <c r="E32" s="2469"/>
      <c r="F32" s="2470"/>
      <c r="G32" s="2470"/>
      <c r="H32" s="2470"/>
      <c r="I32" s="2470"/>
      <c r="J32" s="2470"/>
      <c r="K32" s="2470"/>
      <c r="L32" s="2470"/>
      <c r="M32" s="2147"/>
      <c r="N32" s="1937"/>
      <c r="O32" s="2149">
        <f>SUM(O33:O35)</f>
        <v>773.64816000000008</v>
      </c>
      <c r="P32" s="2495"/>
      <c r="Q32" s="2484"/>
      <c r="R32" s="2149">
        <f>SUM(R33:R35)</f>
        <v>0</v>
      </c>
    </row>
    <row r="33" spans="1:18" s="2204" customFormat="1" ht="339" customHeight="1">
      <c r="A33" s="2163" t="s">
        <v>1262</v>
      </c>
      <c r="B33" s="2033" t="s">
        <v>3915</v>
      </c>
      <c r="C33" s="2502" t="s">
        <v>2333</v>
      </c>
      <c r="D33" s="1281" t="s">
        <v>70</v>
      </c>
      <c r="E33" s="2164" t="s">
        <v>3914</v>
      </c>
      <c r="F33" s="2378"/>
      <c r="G33" s="2378"/>
      <c r="H33" s="2378"/>
      <c r="I33" s="2378"/>
      <c r="J33" s="2378"/>
      <c r="K33" s="1558" t="s">
        <v>6792</v>
      </c>
      <c r="L33" s="1317">
        <v>6398118</v>
      </c>
      <c r="M33" s="1702">
        <f>L33/100000</f>
        <v>63.981180000000002</v>
      </c>
      <c r="N33" s="1317">
        <v>12</v>
      </c>
      <c r="O33" s="1702">
        <f>M33*N33</f>
        <v>767.77416000000005</v>
      </c>
      <c r="P33" s="2508" t="s">
        <v>6793</v>
      </c>
      <c r="Q33" s="2493"/>
      <c r="R33" s="2494"/>
    </row>
    <row r="34" spans="1:18" s="2506" customFormat="1" ht="165">
      <c r="A34" s="2163" t="s">
        <v>3913</v>
      </c>
      <c r="B34" s="2459"/>
      <c r="C34" s="2459" t="s">
        <v>4524</v>
      </c>
      <c r="D34" s="2503" t="s">
        <v>90</v>
      </c>
      <c r="E34" s="2306" t="s">
        <v>205</v>
      </c>
      <c r="F34" s="2504"/>
      <c r="G34" s="2504"/>
      <c r="H34" s="2504"/>
      <c r="I34" s="2504"/>
      <c r="J34" s="2504"/>
      <c r="K34" s="2504" t="s">
        <v>5895</v>
      </c>
      <c r="L34" s="1317">
        <v>587400</v>
      </c>
      <c r="M34" s="1702">
        <f>L34/100000</f>
        <v>5.8739999999999997</v>
      </c>
      <c r="N34" s="1317">
        <v>1</v>
      </c>
      <c r="O34" s="1746">
        <f>M34*N34</f>
        <v>5.8739999999999997</v>
      </c>
      <c r="P34" s="2423" t="s">
        <v>5896</v>
      </c>
      <c r="Q34" s="2163">
        <f>'Ab1. RMNCH+A'!Q424</f>
        <v>0</v>
      </c>
      <c r="R34" s="2505">
        <f>'Ab1. RMNCH+A'!R424</f>
        <v>0</v>
      </c>
    </row>
    <row r="35" spans="1:18">
      <c r="A35" s="2163" t="s">
        <v>4523</v>
      </c>
      <c r="B35" s="2507"/>
      <c r="C35" s="2033" t="s">
        <v>4147</v>
      </c>
      <c r="D35" s="1281" t="s">
        <v>70</v>
      </c>
      <c r="E35" s="2164" t="s">
        <v>70</v>
      </c>
      <c r="F35" s="2378"/>
      <c r="G35" s="2378"/>
      <c r="H35" s="2378"/>
      <c r="I35" s="2378"/>
      <c r="J35" s="2378"/>
      <c r="K35" s="2378"/>
      <c r="L35" s="1317"/>
      <c r="M35" s="1702">
        <f>L35/100000</f>
        <v>0</v>
      </c>
      <c r="N35" s="1317"/>
      <c r="O35" s="1702">
        <f>M35*N35</f>
        <v>0</v>
      </c>
      <c r="P35" s="1729"/>
      <c r="Q35" s="2493"/>
      <c r="R35" s="2494"/>
    </row>
  </sheetData>
  <sheetProtection sheet="1" formatCells="0" formatColumns="0" formatRows="0" autoFilter="0"/>
  <autoFilter ref="A6:R35"/>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honeticPr fontId="27" type="noConversion"/>
  <pageMargins left="0.7" right="0.3" top="0.31" bottom="0.28999999999999998" header="0.3" footer="0.3"/>
  <pageSetup paperSize="5" scale="70" orientation="landscape" horizontalDpi="0" verticalDpi="0" r:id="rId1"/>
</worksheet>
</file>

<file path=xl/worksheets/sheet27.xml><?xml version="1.0" encoding="utf-8"?>
<worksheet xmlns="http://schemas.openxmlformats.org/spreadsheetml/2006/main" xmlns:r="http://schemas.openxmlformats.org/officeDocument/2006/relationships">
  <sheetPr codeName="Sheet10"/>
  <dimension ref="A1:BA43"/>
  <sheetViews>
    <sheetView zoomScale="80" zoomScaleNormal="80" workbookViewId="0">
      <pane xSplit="5" ySplit="7" topLeftCell="K23" activePane="bottomRight" state="frozen"/>
      <selection activeCell="Q172" sqref="A1:BE179"/>
      <selection pane="topRight" activeCell="Q172" sqref="A1:BE179"/>
      <selection pane="bottomLeft" activeCell="Q172" sqref="A1:BE179"/>
      <selection pane="bottomRight" activeCell="C23" activeCellId="1" sqref="A23 C23"/>
    </sheetView>
  </sheetViews>
  <sheetFormatPr defaultColWidth="9.140625" defaultRowHeight="16.5"/>
  <cols>
    <col min="1" max="1" width="10.140625" style="2205" bestFit="1" customWidth="1"/>
    <col min="2" max="2" width="12.28515625" style="2133" customWidth="1"/>
    <col min="3" max="3" width="45.7109375" style="2133" customWidth="1"/>
    <col min="4" max="4" width="9.7109375" style="2136" customWidth="1"/>
    <col min="5" max="5" width="18" style="2136" customWidth="1"/>
    <col min="6" max="6" width="14.42578125" style="2133" hidden="1" customWidth="1"/>
    <col min="7" max="7" width="20.85546875" style="2133" hidden="1" customWidth="1"/>
    <col min="8" max="8" width="14.42578125" style="2133" hidden="1" customWidth="1"/>
    <col min="9" max="9" width="14" style="2133" hidden="1" customWidth="1"/>
    <col min="10" max="10" width="14.85546875" style="2133" hidden="1" customWidth="1"/>
    <col min="11" max="11" width="9.85546875" style="2133" customWidth="1"/>
    <col min="12" max="12" width="9" style="2133" customWidth="1"/>
    <col min="13" max="13" width="9" style="2418" customWidth="1"/>
    <col min="14" max="14" width="7.85546875" style="2133" customWidth="1"/>
    <col min="15" max="15" width="12.140625" style="2418" customWidth="1"/>
    <col min="16" max="16" width="95.85546875" style="2205" customWidth="1"/>
    <col min="17" max="17" width="41.42578125" style="2205" hidden="1" customWidth="1"/>
    <col min="18" max="18" width="16.5703125" style="2418" hidden="1" customWidth="1"/>
    <col min="19" max="53" width="0" style="2133" hidden="1" customWidth="1"/>
    <col min="54" max="16384" width="9.140625" style="2133"/>
  </cols>
  <sheetData>
    <row r="1" spans="1:53" ht="14.45" customHeight="1">
      <c r="A1" s="4424" t="s">
        <v>1263</v>
      </c>
      <c r="B1" s="4425"/>
      <c r="C1" s="4426"/>
      <c r="D1" s="2509"/>
      <c r="E1" s="4391" t="s">
        <v>4709</v>
      </c>
      <c r="F1" s="4427" t="s">
        <v>4707</v>
      </c>
      <c r="G1" s="4428"/>
      <c r="H1" s="4428"/>
      <c r="I1" s="4428"/>
      <c r="J1" s="4428"/>
      <c r="K1" s="4428"/>
      <c r="L1" s="4428"/>
      <c r="M1" s="4428"/>
      <c r="N1" s="4429"/>
      <c r="O1" s="4430" t="s">
        <v>70</v>
      </c>
      <c r="P1" s="4431"/>
      <c r="Q1" s="4431"/>
      <c r="R1" s="4431"/>
      <c r="S1" s="4431"/>
      <c r="T1" s="4431"/>
      <c r="U1" s="4431"/>
      <c r="V1" s="4431"/>
      <c r="W1" s="4431"/>
      <c r="X1" s="4431"/>
      <c r="Y1" s="4431"/>
      <c r="Z1" s="4431"/>
      <c r="AA1" s="4431"/>
      <c r="AB1" s="4431"/>
      <c r="AC1" s="4431"/>
      <c r="AD1" s="4431"/>
      <c r="AE1" s="4431"/>
      <c r="AF1" s="4431"/>
      <c r="AG1" s="4431"/>
      <c r="AH1" s="4431"/>
      <c r="AI1" s="4416" t="s">
        <v>4358</v>
      </c>
      <c r="AJ1" s="4417"/>
      <c r="AK1" s="4417"/>
      <c r="AL1" s="4417"/>
      <c r="AM1" s="4417"/>
      <c r="AN1" s="4417"/>
      <c r="AO1" s="4418"/>
      <c r="AP1" s="4419" t="s">
        <v>85</v>
      </c>
      <c r="AQ1" s="4420"/>
      <c r="AR1" s="4420"/>
      <c r="AS1" s="4420"/>
      <c r="AT1" s="4420"/>
      <c r="AU1" s="4420"/>
      <c r="AV1" s="4420"/>
      <c r="AW1" s="4420"/>
      <c r="AX1" s="4420"/>
      <c r="AY1" s="4420"/>
      <c r="AZ1" s="4420"/>
      <c r="BA1" s="4421"/>
    </row>
    <row r="2" spans="1:53" s="2135" customFormat="1" ht="66">
      <c r="A2" s="4365" t="str">
        <f>HYPERLINK("#Index!A4", "Index Pg")</f>
        <v>Index Pg</v>
      </c>
      <c r="B2" s="2134" t="str">
        <f>HYPERLINK("#'Summary of Abstracts'!A2", "Summary of Abst.")</f>
        <v>Summary of Abst.</v>
      </c>
      <c r="C2" s="1278"/>
      <c r="D2" s="2510"/>
      <c r="E2" s="4391"/>
      <c r="F2" s="1321" t="s">
        <v>118</v>
      </c>
      <c r="G2" s="1321" t="s">
        <v>131</v>
      </c>
      <c r="H2" s="1321" t="s">
        <v>91</v>
      </c>
      <c r="I2" s="1321" t="s">
        <v>4705</v>
      </c>
      <c r="J2" s="1321" t="s">
        <v>96</v>
      </c>
      <c r="K2" s="1310" t="s">
        <v>4064</v>
      </c>
      <c r="L2" s="1353" t="s">
        <v>4706</v>
      </c>
      <c r="M2" s="1353" t="s">
        <v>4710</v>
      </c>
      <c r="N2" s="1353" t="s">
        <v>208</v>
      </c>
      <c r="O2" s="1282" t="s">
        <v>4357</v>
      </c>
      <c r="P2" s="1282" t="s">
        <v>3848</v>
      </c>
      <c r="Q2" s="1282" t="s">
        <v>4719</v>
      </c>
      <c r="R2" s="1282" t="s">
        <v>4716</v>
      </c>
      <c r="S2" s="1282" t="s">
        <v>4717</v>
      </c>
      <c r="T2" s="1282" t="s">
        <v>4718</v>
      </c>
      <c r="U2" s="1282" t="s">
        <v>4720</v>
      </c>
      <c r="V2" s="1282" t="s">
        <v>4695</v>
      </c>
      <c r="W2" s="1282" t="s">
        <v>4721</v>
      </c>
      <c r="X2" s="1282" t="s">
        <v>33</v>
      </c>
      <c r="Y2" s="1282" t="s">
        <v>4722</v>
      </c>
      <c r="Z2" s="1282" t="s">
        <v>4723</v>
      </c>
      <c r="AA2" s="1282" t="s">
        <v>4713</v>
      </c>
      <c r="AB2" s="1282" t="s">
        <v>742</v>
      </c>
      <c r="AC2" s="1282" t="s">
        <v>4714</v>
      </c>
      <c r="AD2" s="1282" t="s">
        <v>4715</v>
      </c>
      <c r="AE2" s="1282" t="s">
        <v>2379</v>
      </c>
      <c r="AF2" s="1282" t="s">
        <v>4724</v>
      </c>
      <c r="AG2" s="1282" t="s">
        <v>3847</v>
      </c>
      <c r="AH2" s="1282" t="s">
        <v>307</v>
      </c>
      <c r="AI2" s="1283" t="s">
        <v>293</v>
      </c>
      <c r="AJ2" s="1283" t="s">
        <v>114</v>
      </c>
      <c r="AK2" s="1283" t="s">
        <v>146</v>
      </c>
      <c r="AL2" s="1283" t="s">
        <v>4674</v>
      </c>
      <c r="AM2" s="1283" t="s">
        <v>3316</v>
      </c>
      <c r="AN2" s="1283" t="s">
        <v>3986</v>
      </c>
      <c r="AO2" s="1283" t="s">
        <v>4544</v>
      </c>
      <c r="AP2" s="1284" t="s">
        <v>86</v>
      </c>
      <c r="AQ2" s="1284" t="s">
        <v>150</v>
      </c>
      <c r="AR2" s="1284" t="s">
        <v>399</v>
      </c>
      <c r="AS2" s="1284" t="s">
        <v>152</v>
      </c>
      <c r="AT2" s="1284" t="s">
        <v>415</v>
      </c>
      <c r="AU2" s="1284" t="s">
        <v>4598</v>
      </c>
      <c r="AV2" s="1284" t="s">
        <v>4124</v>
      </c>
      <c r="AW2" s="1284" t="s">
        <v>312</v>
      </c>
      <c r="AX2" s="1284" t="s">
        <v>314</v>
      </c>
      <c r="AY2" s="1284" t="s">
        <v>1034</v>
      </c>
      <c r="AZ2" s="1284" t="s">
        <v>1020</v>
      </c>
      <c r="BA2" s="1284" t="s">
        <v>4708</v>
      </c>
    </row>
    <row r="3" spans="1:53" s="2135" customFormat="1">
      <c r="A3" s="4366"/>
      <c r="B3" s="1287" t="str">
        <f>HYPERLINK("#'Budget Summary I'!A1:AL1", "Budget Summary I")</f>
        <v>Budget Summary I</v>
      </c>
      <c r="C3" s="1873" t="s">
        <v>4599</v>
      </c>
      <c r="D3" s="2511"/>
      <c r="E3" s="1872">
        <f>R7</f>
        <v>0</v>
      </c>
      <c r="F3" s="1338"/>
      <c r="G3" s="1338"/>
      <c r="H3" s="1338">
        <f>R19</f>
        <v>0</v>
      </c>
      <c r="I3" s="1338"/>
      <c r="J3" s="1338"/>
      <c r="K3" s="1508"/>
      <c r="L3" s="1338">
        <f>R21+R22+R23+R24+R25+R26</f>
        <v>0</v>
      </c>
      <c r="M3" s="1338"/>
      <c r="N3" s="1508"/>
      <c r="O3" s="1508"/>
      <c r="P3" s="1508"/>
      <c r="Q3" s="1508"/>
      <c r="R3" s="1508"/>
      <c r="S3" s="1508"/>
      <c r="T3" s="1508"/>
      <c r="U3" s="1508"/>
      <c r="V3" s="1508"/>
      <c r="W3" s="1508"/>
      <c r="X3" s="1508"/>
      <c r="Y3" s="1508"/>
      <c r="Z3" s="1508"/>
      <c r="AA3" s="1508">
        <f>R10+R11+R12+R13+R14</f>
        <v>0</v>
      </c>
      <c r="AB3" s="1508"/>
      <c r="AC3" s="1508"/>
      <c r="AD3" s="1508"/>
      <c r="AE3" s="1508">
        <f>R18</f>
        <v>0</v>
      </c>
      <c r="AF3" s="1508"/>
      <c r="AG3" s="1508"/>
      <c r="AH3" s="1508">
        <f>R15+R17+R32</f>
        <v>0</v>
      </c>
      <c r="AI3" s="1508"/>
      <c r="AJ3" s="1508">
        <f>R27</f>
        <v>0</v>
      </c>
      <c r="AK3" s="1508"/>
      <c r="AL3" s="1508">
        <f>R29+R30+R28</f>
        <v>0</v>
      </c>
      <c r="AM3" s="1508">
        <f>R31</f>
        <v>0</v>
      </c>
      <c r="AN3" s="1508"/>
      <c r="AO3" s="1508"/>
      <c r="AP3" s="1508"/>
      <c r="AQ3" s="1508"/>
      <c r="AR3" s="1508"/>
      <c r="AS3" s="1508"/>
      <c r="AT3" s="1508"/>
      <c r="AU3" s="1508"/>
      <c r="AV3" s="1508"/>
      <c r="AW3" s="1508"/>
      <c r="AX3" s="1508"/>
      <c r="AY3" s="1508"/>
      <c r="AZ3" s="1508"/>
      <c r="BA3" s="1508"/>
    </row>
    <row r="4" spans="1:53" s="2135" customFormat="1">
      <c r="A4" s="4367"/>
      <c r="B4" s="1287" t="str">
        <f>HYPERLINK("#'Budget Summary II'!A3:B5", "Budget Summary II")</f>
        <v>Budget Summary II</v>
      </c>
      <c r="C4" s="1873" t="s">
        <v>4600</v>
      </c>
      <c r="D4" s="2511"/>
      <c r="E4" s="1872">
        <f>O7</f>
        <v>4862.9865710200002</v>
      </c>
      <c r="F4" s="1338"/>
      <c r="G4" s="1338"/>
      <c r="H4" s="1338">
        <f>O19</f>
        <v>39.499980000000001</v>
      </c>
      <c r="I4" s="1338"/>
      <c r="J4" s="1338"/>
      <c r="K4" s="1508"/>
      <c r="L4" s="1338">
        <f>O21+O22+O23+O24+O25+O26</f>
        <v>3004.81862972</v>
      </c>
      <c r="M4" s="1338"/>
      <c r="N4" s="1508"/>
      <c r="O4" s="1508"/>
      <c r="P4" s="1508"/>
      <c r="Q4" s="1508"/>
      <c r="R4" s="1508"/>
      <c r="S4" s="1508"/>
      <c r="T4" s="1508"/>
      <c r="U4" s="1508"/>
      <c r="V4" s="1508"/>
      <c r="W4" s="1508"/>
      <c r="X4" s="1508"/>
      <c r="Y4" s="1508"/>
      <c r="Z4" s="1508"/>
      <c r="AA4" s="1508">
        <f>O10+O11+O12+O13+O14</f>
        <v>0</v>
      </c>
      <c r="AB4" s="1508"/>
      <c r="AC4" s="1508"/>
      <c r="AD4" s="1508"/>
      <c r="AE4" s="1508">
        <f>O18</f>
        <v>151.13999999999999</v>
      </c>
      <c r="AF4" s="1508"/>
      <c r="AG4" s="1508"/>
      <c r="AH4" s="1508">
        <f>O15+O17+O32</f>
        <v>1625.8139613000001</v>
      </c>
      <c r="AI4" s="1508"/>
      <c r="AJ4" s="1508">
        <f>O27</f>
        <v>0</v>
      </c>
      <c r="AK4" s="1508"/>
      <c r="AL4" s="1508">
        <f>O29+O30+O28</f>
        <v>36.64</v>
      </c>
      <c r="AM4" s="1508">
        <f>O31</f>
        <v>5.0739999999999998</v>
      </c>
      <c r="AN4" s="1508"/>
      <c r="AO4" s="1508"/>
      <c r="AP4" s="1508"/>
      <c r="AQ4" s="1508"/>
      <c r="AR4" s="1508"/>
      <c r="AS4" s="1508"/>
      <c r="AT4" s="1508"/>
      <c r="AU4" s="1508"/>
      <c r="AV4" s="1508"/>
      <c r="AW4" s="1508"/>
      <c r="AX4" s="1508"/>
      <c r="AY4" s="1508"/>
      <c r="AZ4" s="1508"/>
      <c r="BA4" s="1508"/>
    </row>
    <row r="5" spans="1:53" s="2483" customFormat="1" ht="12.75" customHeight="1">
      <c r="A5" s="4343" t="s">
        <v>53</v>
      </c>
      <c r="B5" s="4343" t="s">
        <v>54</v>
      </c>
      <c r="C5" s="4343" t="s">
        <v>55</v>
      </c>
      <c r="D5" s="4343" t="s">
        <v>56</v>
      </c>
      <c r="E5" s="4343" t="s">
        <v>57</v>
      </c>
      <c r="F5" s="4339" t="s">
        <v>4620</v>
      </c>
      <c r="G5" s="4339"/>
      <c r="H5" s="4339"/>
      <c r="I5" s="4339"/>
      <c r="J5" s="4339"/>
      <c r="K5" s="4340" t="s">
        <v>4631</v>
      </c>
      <c r="L5" s="4380"/>
      <c r="M5" s="4380"/>
      <c r="N5" s="4380"/>
      <c r="O5" s="4380"/>
      <c r="P5" s="4381"/>
      <c r="Q5" s="4422" t="s">
        <v>4661</v>
      </c>
      <c r="R5" s="4423"/>
    </row>
    <row r="6" spans="1:53" s="2136" customFormat="1" ht="66">
      <c r="A6" s="4343"/>
      <c r="B6" s="4343"/>
      <c r="C6" s="4343"/>
      <c r="D6" s="4343"/>
      <c r="E6" s="4343"/>
      <c r="F6" s="1288" t="s">
        <v>4621</v>
      </c>
      <c r="G6" s="1288" t="s">
        <v>4629</v>
      </c>
      <c r="H6" s="1288" t="s">
        <v>4622</v>
      </c>
      <c r="I6" s="1288" t="s">
        <v>4630</v>
      </c>
      <c r="J6" s="1288" t="s">
        <v>2534</v>
      </c>
      <c r="K6" s="1289" t="s">
        <v>58</v>
      </c>
      <c r="L6" s="1289" t="s">
        <v>59</v>
      </c>
      <c r="M6" s="1290" t="s">
        <v>60</v>
      </c>
      <c r="N6" s="1289" t="s">
        <v>61</v>
      </c>
      <c r="O6" s="1290" t="s">
        <v>62</v>
      </c>
      <c r="P6" s="1289" t="s">
        <v>5564</v>
      </c>
      <c r="Q6" s="1291" t="s">
        <v>2536</v>
      </c>
      <c r="R6" s="1292" t="s">
        <v>4662</v>
      </c>
    </row>
    <row r="7" spans="1:53">
      <c r="A7" s="1513">
        <v>14</v>
      </c>
      <c r="B7" s="1514"/>
      <c r="C7" s="1513" t="s">
        <v>1264</v>
      </c>
      <c r="D7" s="1515"/>
      <c r="E7" s="1515"/>
      <c r="F7" s="1513"/>
      <c r="G7" s="1513"/>
      <c r="H7" s="1513"/>
      <c r="I7" s="1513"/>
      <c r="J7" s="1513"/>
      <c r="K7" s="1513"/>
      <c r="L7" s="1513"/>
      <c r="M7" s="1294"/>
      <c r="N7" s="1513"/>
      <c r="O7" s="1294">
        <f>O8+O16</f>
        <v>4862.9865710200002</v>
      </c>
      <c r="P7" s="1513"/>
      <c r="Q7" s="1513"/>
      <c r="R7" s="1294">
        <f>R8+R16</f>
        <v>0</v>
      </c>
    </row>
    <row r="8" spans="1:53">
      <c r="A8" s="2468">
        <v>14.1</v>
      </c>
      <c r="B8" s="2434" t="s">
        <v>1265</v>
      </c>
      <c r="C8" s="1671" t="s">
        <v>1266</v>
      </c>
      <c r="D8" s="2469"/>
      <c r="E8" s="2469"/>
      <c r="F8" s="2284"/>
      <c r="G8" s="2284"/>
      <c r="H8" s="2284"/>
      <c r="I8" s="2284"/>
      <c r="J8" s="2284"/>
      <c r="K8" s="2284"/>
      <c r="L8" s="2284"/>
      <c r="M8" s="1883"/>
      <c r="N8" s="1884"/>
      <c r="O8" s="1301">
        <f>O9+O15</f>
        <v>0</v>
      </c>
      <c r="P8" s="2484"/>
      <c r="Q8" s="2484"/>
      <c r="R8" s="1301">
        <f>R9+R15</f>
        <v>0</v>
      </c>
    </row>
    <row r="9" spans="1:53">
      <c r="A9" s="1765" t="s">
        <v>1267</v>
      </c>
      <c r="B9" s="2020" t="s">
        <v>1268</v>
      </c>
      <c r="C9" s="2512" t="s">
        <v>41</v>
      </c>
      <c r="D9" s="1741"/>
      <c r="E9" s="1741"/>
      <c r="F9" s="1760"/>
      <c r="G9" s="1760"/>
      <c r="H9" s="1760"/>
      <c r="I9" s="1760"/>
      <c r="J9" s="1760"/>
      <c r="K9" s="1760"/>
      <c r="L9" s="1760"/>
      <c r="M9" s="1746"/>
      <c r="N9" s="2513"/>
      <c r="O9" s="1339">
        <f>SUM(O10:O14)</f>
        <v>0</v>
      </c>
      <c r="P9" s="2423"/>
      <c r="Q9" s="1522"/>
      <c r="R9" s="1339">
        <f>SUM(R10:R14)</f>
        <v>0</v>
      </c>
    </row>
    <row r="10" spans="1:53">
      <c r="A10" s="2163" t="s">
        <v>2865</v>
      </c>
      <c r="B10" s="1855" t="s">
        <v>1269</v>
      </c>
      <c r="C10" s="1855" t="s">
        <v>2660</v>
      </c>
      <c r="D10" s="1281" t="s">
        <v>70</v>
      </c>
      <c r="E10" s="2164" t="s">
        <v>3888</v>
      </c>
      <c r="F10" s="2378"/>
      <c r="G10" s="2378"/>
      <c r="H10" s="2378"/>
      <c r="I10" s="2378"/>
      <c r="J10" s="2378"/>
      <c r="K10" s="2378"/>
      <c r="L10" s="1317"/>
      <c r="M10" s="1702">
        <f t="shared" ref="M10:M15" si="0">L10/100000</f>
        <v>0</v>
      </c>
      <c r="N10" s="1317"/>
      <c r="O10" s="1702">
        <f t="shared" ref="O10:O15" si="1">M10*N10</f>
        <v>0</v>
      </c>
      <c r="P10" s="2514"/>
      <c r="Q10" s="2515"/>
      <c r="R10" s="2494"/>
    </row>
    <row r="11" spans="1:53">
      <c r="A11" s="2163" t="s">
        <v>2866</v>
      </c>
      <c r="B11" s="1855" t="s">
        <v>2360</v>
      </c>
      <c r="C11" s="1855" t="s">
        <v>4888</v>
      </c>
      <c r="D11" s="1281" t="s">
        <v>70</v>
      </c>
      <c r="E11" s="2164" t="s">
        <v>5107</v>
      </c>
      <c r="F11" s="1558"/>
      <c r="G11" s="1558"/>
      <c r="H11" s="1558"/>
      <c r="I11" s="1558"/>
      <c r="J11" s="1558"/>
      <c r="K11" s="2378"/>
      <c r="L11" s="1317"/>
      <c r="M11" s="1702">
        <f t="shared" si="0"/>
        <v>0</v>
      </c>
      <c r="N11" s="1317"/>
      <c r="O11" s="1702">
        <f t="shared" si="1"/>
        <v>0</v>
      </c>
      <c r="P11" s="1729"/>
      <c r="Q11" s="2516">
        <f>'Abs11. NTEP'!Q48</f>
        <v>0</v>
      </c>
      <c r="R11" s="1951">
        <f>'Abs11. NTEP'!R48</f>
        <v>0</v>
      </c>
    </row>
    <row r="12" spans="1:53">
      <c r="A12" s="2163" t="s">
        <v>2867</v>
      </c>
      <c r="B12" s="2020"/>
      <c r="C12" s="1855" t="s">
        <v>1310</v>
      </c>
      <c r="D12" s="1281" t="s">
        <v>70</v>
      </c>
      <c r="E12" s="2164" t="s">
        <v>3888</v>
      </c>
      <c r="F12" s="1558"/>
      <c r="G12" s="1558"/>
      <c r="H12" s="1558"/>
      <c r="I12" s="1558"/>
      <c r="J12" s="1558"/>
      <c r="K12" s="2378"/>
      <c r="L12" s="1317"/>
      <c r="M12" s="1702">
        <f t="shared" si="0"/>
        <v>0</v>
      </c>
      <c r="N12" s="1317"/>
      <c r="O12" s="2517">
        <f t="shared" si="1"/>
        <v>0</v>
      </c>
      <c r="P12" s="2518"/>
      <c r="Q12" s="2519"/>
      <c r="R12" s="2494"/>
    </row>
    <row r="13" spans="1:53">
      <c r="A13" s="2163" t="s">
        <v>3830</v>
      </c>
      <c r="B13" s="2020"/>
      <c r="C13" s="2512" t="s">
        <v>716</v>
      </c>
      <c r="D13" s="1281" t="s">
        <v>70</v>
      </c>
      <c r="E13" s="2164" t="s">
        <v>3888</v>
      </c>
      <c r="F13" s="1558"/>
      <c r="G13" s="1558"/>
      <c r="H13" s="1558"/>
      <c r="I13" s="1558"/>
      <c r="J13" s="1558"/>
      <c r="K13" s="2378"/>
      <c r="L13" s="1317"/>
      <c r="M13" s="1702">
        <f t="shared" si="0"/>
        <v>0</v>
      </c>
      <c r="N13" s="1317"/>
      <c r="O13" s="2517">
        <f t="shared" si="1"/>
        <v>0</v>
      </c>
      <c r="P13" s="2518"/>
      <c r="Q13" s="2519"/>
      <c r="R13" s="2494"/>
    </row>
    <row r="14" spans="1:53" ht="33">
      <c r="A14" s="2163" t="s">
        <v>3831</v>
      </c>
      <c r="B14" s="2020"/>
      <c r="C14" s="2512" t="s">
        <v>718</v>
      </c>
      <c r="D14" s="1281" t="s">
        <v>70</v>
      </c>
      <c r="E14" s="2164" t="s">
        <v>3888</v>
      </c>
      <c r="F14" s="1558"/>
      <c r="G14" s="1558"/>
      <c r="H14" s="1558"/>
      <c r="I14" s="1558"/>
      <c r="J14" s="1558"/>
      <c r="K14" s="2378"/>
      <c r="L14" s="1317"/>
      <c r="M14" s="1702">
        <f t="shared" si="0"/>
        <v>0</v>
      </c>
      <c r="N14" s="1317"/>
      <c r="O14" s="2517">
        <f t="shared" si="1"/>
        <v>0</v>
      </c>
      <c r="P14" s="2518"/>
      <c r="Q14" s="2519"/>
      <c r="R14" s="2494"/>
    </row>
    <row r="15" spans="1:53" s="2135" customFormat="1" ht="33">
      <c r="A15" s="1765" t="s">
        <v>1270</v>
      </c>
      <c r="B15" s="1765"/>
      <c r="C15" s="1765" t="s">
        <v>2661</v>
      </c>
      <c r="D15" s="1281" t="s">
        <v>70</v>
      </c>
      <c r="E15" s="1741" t="s">
        <v>70</v>
      </c>
      <c r="F15" s="2520"/>
      <c r="G15" s="2520"/>
      <c r="H15" s="2520"/>
      <c r="I15" s="2520"/>
      <c r="J15" s="2520"/>
      <c r="K15" s="2520"/>
      <c r="L15" s="1714"/>
      <c r="M15" s="1746">
        <f t="shared" si="0"/>
        <v>0</v>
      </c>
      <c r="N15" s="1714"/>
      <c r="O15" s="1746">
        <f t="shared" si="1"/>
        <v>0</v>
      </c>
      <c r="P15" s="2520"/>
      <c r="Q15" s="2521"/>
      <c r="R15" s="1339"/>
    </row>
    <row r="16" spans="1:53">
      <c r="A16" s="2468">
        <v>14.2</v>
      </c>
      <c r="B16" s="2434"/>
      <c r="C16" s="1671" t="s">
        <v>2662</v>
      </c>
      <c r="D16" s="2469"/>
      <c r="E16" s="2469"/>
      <c r="F16" s="2470"/>
      <c r="G16" s="2470"/>
      <c r="H16" s="2470"/>
      <c r="I16" s="2470"/>
      <c r="J16" s="2470"/>
      <c r="K16" s="2470"/>
      <c r="L16" s="2470"/>
      <c r="M16" s="1883"/>
      <c r="N16" s="1937"/>
      <c r="O16" s="1301">
        <f>SUM(O17:O20)+SUM(O23:O32)</f>
        <v>4862.9865710200002</v>
      </c>
      <c r="P16" s="2495"/>
      <c r="Q16" s="2522"/>
      <c r="R16" s="1301">
        <f>SUM(R17:R20)+SUM(R23:R32)</f>
        <v>0</v>
      </c>
    </row>
    <row r="17" spans="1:18" ht="257.25" customHeight="1">
      <c r="A17" s="1522" t="s">
        <v>1272</v>
      </c>
      <c r="B17" s="1855" t="s">
        <v>1271</v>
      </c>
      <c r="C17" s="1855" t="s">
        <v>2663</v>
      </c>
      <c r="D17" s="1281" t="s">
        <v>70</v>
      </c>
      <c r="E17" s="2164" t="s">
        <v>70</v>
      </c>
      <c r="F17" s="1558"/>
      <c r="G17" s="1558"/>
      <c r="H17" s="1558"/>
      <c r="I17" s="1558"/>
      <c r="J17" s="1558"/>
      <c r="K17" s="1760" t="s">
        <v>6335</v>
      </c>
      <c r="L17" s="1714">
        <v>1840.03</v>
      </c>
      <c r="M17" s="1746">
        <f>L17/100000</f>
        <v>1.8400300000000001E-2</v>
      </c>
      <c r="N17" s="1714">
        <v>11871</v>
      </c>
      <c r="O17" s="1746">
        <f>M17*N17</f>
        <v>218.4299613</v>
      </c>
      <c r="P17" s="2423" t="s">
        <v>6336</v>
      </c>
      <c r="Q17" s="2519"/>
      <c r="R17" s="2523"/>
    </row>
    <row r="18" spans="1:18" s="2551" customFormat="1" ht="231">
      <c r="A18" s="1587" t="s">
        <v>1275</v>
      </c>
      <c r="B18" s="2544" t="s">
        <v>1273</v>
      </c>
      <c r="C18" s="2545" t="s">
        <v>1274</v>
      </c>
      <c r="D18" s="1360" t="s">
        <v>70</v>
      </c>
      <c r="E18" s="2546" t="s">
        <v>5590</v>
      </c>
      <c r="F18" s="2547" t="s">
        <v>6269</v>
      </c>
      <c r="G18" s="2548" t="s">
        <v>6270</v>
      </c>
      <c r="H18" s="2548">
        <v>189.09</v>
      </c>
      <c r="I18" s="2548">
        <v>162</v>
      </c>
      <c r="J18" s="2548"/>
      <c r="K18" s="2620" t="s">
        <v>6271</v>
      </c>
      <c r="L18" s="2820">
        <f>13357000+1757000</f>
        <v>15114000</v>
      </c>
      <c r="M18" s="2597">
        <f>L18/100000</f>
        <v>151.13999999999999</v>
      </c>
      <c r="N18" s="2820">
        <v>1</v>
      </c>
      <c r="O18" s="2597">
        <f t="shared" ref="O18:O32" si="2">M18*N18</f>
        <v>151.13999999999999</v>
      </c>
      <c r="P18" s="1755" t="s">
        <v>6703</v>
      </c>
      <c r="Q18" s="2549">
        <f>'Ab4. HMIS-MCTS'!Q19</f>
        <v>0</v>
      </c>
      <c r="R18" s="2550">
        <f>'Ab4. HMIS-MCTS'!R19</f>
        <v>0</v>
      </c>
    </row>
    <row r="19" spans="1:18" s="3778" customFormat="1" ht="75" customHeight="1">
      <c r="A19" s="3826" t="s">
        <v>1278</v>
      </c>
      <c r="B19" s="3801"/>
      <c r="C19" s="3827" t="s">
        <v>2491</v>
      </c>
      <c r="D19" s="3782" t="s">
        <v>90</v>
      </c>
      <c r="E19" s="3782" t="s">
        <v>91</v>
      </c>
      <c r="F19" s="3814"/>
      <c r="G19" s="3814"/>
      <c r="H19" s="3816"/>
      <c r="I19" s="3816"/>
      <c r="J19" s="3814"/>
      <c r="K19" s="3814" t="s">
        <v>5972</v>
      </c>
      <c r="L19" s="3739">
        <v>101282</v>
      </c>
      <c r="M19" s="3808">
        <f>L19/100000</f>
        <v>1.0128200000000001</v>
      </c>
      <c r="N19" s="3739">
        <v>39</v>
      </c>
      <c r="O19" s="3808">
        <f t="shared" si="2"/>
        <v>39.499980000000001</v>
      </c>
      <c r="P19" s="3737" t="s">
        <v>6821</v>
      </c>
      <c r="Q19" s="3828">
        <f>'Ab1. RMNCH+A'!Q284</f>
        <v>0</v>
      </c>
      <c r="R19" s="3829">
        <f>'Ab1. RMNCH+A'!R284</f>
        <v>0</v>
      </c>
    </row>
    <row r="20" spans="1:18" s="2187" customFormat="1">
      <c r="A20" s="2525" t="s">
        <v>1281</v>
      </c>
      <c r="B20" s="2485"/>
      <c r="C20" s="2486" t="s">
        <v>4137</v>
      </c>
      <c r="D20" s="2300"/>
      <c r="E20" s="2300"/>
      <c r="F20" s="2497"/>
      <c r="G20" s="2497"/>
      <c r="H20" s="2499"/>
      <c r="I20" s="2499"/>
      <c r="J20" s="2497"/>
      <c r="K20" s="2497"/>
      <c r="L20" s="2497"/>
      <c r="M20" s="1324"/>
      <c r="N20" s="2500"/>
      <c r="O20" s="1324">
        <f>O21+O22</f>
        <v>824.73</v>
      </c>
      <c r="P20" s="2501"/>
      <c r="Q20" s="2526"/>
      <c r="R20" s="1324">
        <f>R21+R22</f>
        <v>0</v>
      </c>
    </row>
    <row r="21" spans="1:18" ht="49.5">
      <c r="A21" s="1522" t="s">
        <v>4136</v>
      </c>
      <c r="B21" s="1855" t="s">
        <v>1276</v>
      </c>
      <c r="C21" s="1855" t="s">
        <v>1277</v>
      </c>
      <c r="D21" s="2503" t="s">
        <v>90</v>
      </c>
      <c r="E21" s="2164" t="s">
        <v>205</v>
      </c>
      <c r="F21" s="2378">
        <v>27830</v>
      </c>
      <c r="G21" s="2378"/>
      <c r="H21" s="2492">
        <v>667.92</v>
      </c>
      <c r="I21" s="2492"/>
      <c r="J21" s="2378"/>
      <c r="K21" s="2378" t="s">
        <v>5871</v>
      </c>
      <c r="L21" s="1317">
        <v>200</v>
      </c>
      <c r="M21" s="1702">
        <f t="shared" ref="M21:M27" si="3">L21/100000</f>
        <v>2E-3</v>
      </c>
      <c r="N21" s="1558">
        <f>27112*12</f>
        <v>325344</v>
      </c>
      <c r="O21" s="1702">
        <f t="shared" si="2"/>
        <v>650.68799999999999</v>
      </c>
      <c r="P21" s="2443" t="s">
        <v>6731</v>
      </c>
      <c r="Q21" s="2516">
        <f>'Ab1. RMNCH+A'!Q426</f>
        <v>0</v>
      </c>
      <c r="R21" s="2524">
        <f>'Ab1. RMNCH+A'!R426</f>
        <v>0</v>
      </c>
    </row>
    <row r="22" spans="1:18" ht="49.5">
      <c r="A22" s="1522" t="s">
        <v>4138</v>
      </c>
      <c r="B22" s="2020"/>
      <c r="C22" s="1855" t="s">
        <v>4139</v>
      </c>
      <c r="D22" s="2503" t="s">
        <v>90</v>
      </c>
      <c r="E22" s="2164" t="s">
        <v>205</v>
      </c>
      <c r="F22" s="2378">
        <v>3295</v>
      </c>
      <c r="G22" s="2378"/>
      <c r="H22" s="2492">
        <v>177.93</v>
      </c>
      <c r="I22" s="2492"/>
      <c r="J22" s="2378"/>
      <c r="K22" s="2378" t="s">
        <v>5871</v>
      </c>
      <c r="L22" s="1317">
        <v>450</v>
      </c>
      <c r="M22" s="1702">
        <f t="shared" si="3"/>
        <v>4.4999999999999997E-3</v>
      </c>
      <c r="N22" s="1558">
        <f>3223*12</f>
        <v>38676</v>
      </c>
      <c r="O22" s="1702">
        <f>M22*N22</f>
        <v>174.04199999999997</v>
      </c>
      <c r="P22" s="2443" t="s">
        <v>6732</v>
      </c>
      <c r="Q22" s="2516">
        <f>'Ab1. RMNCH+A'!Q427</f>
        <v>0</v>
      </c>
      <c r="R22" s="2524">
        <f>'Ab1. RMNCH+A'!R427</f>
        <v>0</v>
      </c>
    </row>
    <row r="23" spans="1:18" s="3778" customFormat="1" ht="137.25" customHeight="1">
      <c r="A23" s="3826" t="s">
        <v>1284</v>
      </c>
      <c r="B23" s="3801" t="s">
        <v>1279</v>
      </c>
      <c r="C23" s="3801" t="s">
        <v>1280</v>
      </c>
      <c r="D23" s="3782" t="s">
        <v>90</v>
      </c>
      <c r="E23" s="3782" t="s">
        <v>205</v>
      </c>
      <c r="F23" s="3814">
        <v>86157</v>
      </c>
      <c r="G23" s="3814"/>
      <c r="H23" s="3816">
        <v>930.5</v>
      </c>
      <c r="I23" s="3816"/>
      <c r="J23" s="3814"/>
      <c r="K23" s="3814" t="s">
        <v>5871</v>
      </c>
      <c r="L23" s="3739">
        <v>90</v>
      </c>
      <c r="M23" s="3808">
        <f t="shared" si="3"/>
        <v>8.9999999999999998E-4</v>
      </c>
      <c r="N23" s="3940">
        <v>1569672</v>
      </c>
      <c r="O23" s="3808">
        <f t="shared" si="2"/>
        <v>1412.7048</v>
      </c>
      <c r="P23" s="4083" t="s">
        <v>6928</v>
      </c>
      <c r="Q23" s="3828">
        <f>'Ab1. RMNCH+A'!Q428</f>
        <v>0</v>
      </c>
      <c r="R23" s="3829">
        <f>'Ab1. RMNCH+A'!R428</f>
        <v>0</v>
      </c>
    </row>
    <row r="24" spans="1:18" s="3965" customFormat="1" ht="258" customHeight="1">
      <c r="A24" s="3854" t="s">
        <v>1287</v>
      </c>
      <c r="B24" s="4079" t="s">
        <v>1282</v>
      </c>
      <c r="C24" s="4079" t="s">
        <v>1283</v>
      </c>
      <c r="D24" s="3966" t="s">
        <v>90</v>
      </c>
      <c r="E24" s="3966" t="s">
        <v>205</v>
      </c>
      <c r="F24" s="2548">
        <v>533</v>
      </c>
      <c r="G24" s="2548"/>
      <c r="H24" s="4080">
        <v>76</v>
      </c>
      <c r="I24" s="4080"/>
      <c r="J24" s="2548"/>
      <c r="K24" s="2548" t="s">
        <v>5872</v>
      </c>
      <c r="L24" s="3757">
        <v>15260000</v>
      </c>
      <c r="M24" s="3903">
        <f t="shared" si="3"/>
        <v>152.6</v>
      </c>
      <c r="N24" s="3757">
        <v>1</v>
      </c>
      <c r="O24" s="3903">
        <f t="shared" si="2"/>
        <v>152.6</v>
      </c>
      <c r="P24" s="3941" t="s">
        <v>6927</v>
      </c>
      <c r="Q24" s="4081">
        <f>'Ab1. RMNCH+A'!Q429</f>
        <v>0</v>
      </c>
      <c r="R24" s="4082">
        <f>'Ab1. RMNCH+A'!R429</f>
        <v>0</v>
      </c>
    </row>
    <row r="25" spans="1:18" ht="409.5">
      <c r="A25" s="1522" t="s">
        <v>1289</v>
      </c>
      <c r="B25" s="1855" t="s">
        <v>1285</v>
      </c>
      <c r="C25" s="1855" t="s">
        <v>1286</v>
      </c>
      <c r="D25" s="2503" t="s">
        <v>90</v>
      </c>
      <c r="E25" s="2164" t="s">
        <v>205</v>
      </c>
      <c r="F25" s="2378">
        <v>2131</v>
      </c>
      <c r="G25" s="2378"/>
      <c r="H25" s="2492">
        <v>19.3</v>
      </c>
      <c r="I25" s="2492"/>
      <c r="J25" s="2378"/>
      <c r="K25" s="2378" t="s">
        <v>5873</v>
      </c>
      <c r="L25" s="1317">
        <v>17907.352900000002</v>
      </c>
      <c r="M25" s="1702">
        <f t="shared" si="3"/>
        <v>0.17907352900000001</v>
      </c>
      <c r="N25" s="1317">
        <v>680</v>
      </c>
      <c r="O25" s="1702">
        <f t="shared" si="2"/>
        <v>121.76999972</v>
      </c>
      <c r="P25" s="2527" t="s">
        <v>5874</v>
      </c>
      <c r="Q25" s="2516">
        <f>'Ab1. RMNCH+A'!Q430</f>
        <v>0</v>
      </c>
      <c r="R25" s="2524">
        <f>'Ab1. RMNCH+A'!R430</f>
        <v>0</v>
      </c>
    </row>
    <row r="26" spans="1:18" ht="66">
      <c r="A26" s="1522" t="s">
        <v>1291</v>
      </c>
      <c r="B26" s="1855" t="s">
        <v>1288</v>
      </c>
      <c r="C26" s="1855" t="s">
        <v>4148</v>
      </c>
      <c r="D26" s="2503" t="s">
        <v>90</v>
      </c>
      <c r="E26" s="2164" t="s">
        <v>205</v>
      </c>
      <c r="F26" s="2378">
        <v>1</v>
      </c>
      <c r="G26" s="2378"/>
      <c r="H26" s="2492">
        <v>383.39</v>
      </c>
      <c r="I26" s="2492"/>
      <c r="J26" s="2528"/>
      <c r="K26" s="2378" t="s">
        <v>5893</v>
      </c>
      <c r="L26" s="2378">
        <v>49301383</v>
      </c>
      <c r="M26" s="1702">
        <f t="shared" si="3"/>
        <v>493.01382999999998</v>
      </c>
      <c r="N26" s="1317">
        <v>1</v>
      </c>
      <c r="O26" s="1702">
        <f t="shared" si="2"/>
        <v>493.01382999999998</v>
      </c>
      <c r="P26" s="2527" t="s">
        <v>5894</v>
      </c>
      <c r="Q26" s="2516">
        <f>'Ab1. RMNCH+A'!Q431</f>
        <v>0</v>
      </c>
      <c r="R26" s="2524">
        <f>'Ab1. RMNCH+A'!R431</f>
        <v>0</v>
      </c>
    </row>
    <row r="27" spans="1:18">
      <c r="A27" s="1522" t="s">
        <v>1294</v>
      </c>
      <c r="B27" s="1855" t="s">
        <v>1290</v>
      </c>
      <c r="C27" s="1855" t="s">
        <v>2617</v>
      </c>
      <c r="D27" s="1537" t="s">
        <v>4358</v>
      </c>
      <c r="E27" s="1523" t="s">
        <v>1548</v>
      </c>
      <c r="F27" s="2378"/>
      <c r="G27" s="2378"/>
      <c r="H27" s="2378"/>
      <c r="I27" s="2378"/>
      <c r="J27" s="2378"/>
      <c r="K27" s="2378"/>
      <c r="L27" s="1317"/>
      <c r="M27" s="1702">
        <f t="shared" si="3"/>
        <v>0</v>
      </c>
      <c r="N27" s="1317"/>
      <c r="O27" s="1702">
        <f t="shared" si="2"/>
        <v>0</v>
      </c>
      <c r="P27" s="2514"/>
      <c r="Q27" s="2516">
        <f>'Abs9. NVBDCP'!Q104</f>
        <v>0</v>
      </c>
      <c r="R27" s="1951">
        <f>'Abs9. NVBDCP'!R104</f>
        <v>0</v>
      </c>
    </row>
    <row r="28" spans="1:18">
      <c r="A28" s="1522" t="s">
        <v>2356</v>
      </c>
      <c r="B28" s="2020" t="s">
        <v>1292</v>
      </c>
      <c r="C28" s="2020" t="s">
        <v>1293</v>
      </c>
      <c r="D28" s="1537" t="s">
        <v>4358</v>
      </c>
      <c r="E28" s="2068" t="s">
        <v>4674</v>
      </c>
      <c r="F28" s="2529"/>
      <c r="G28" s="2529"/>
      <c r="H28" s="2530"/>
      <c r="I28" s="2530"/>
      <c r="J28" s="2529"/>
      <c r="K28" s="2531"/>
      <c r="L28" s="2531"/>
      <c r="M28" s="2532"/>
      <c r="N28" s="2533"/>
      <c r="O28" s="2532"/>
      <c r="P28" s="2534" t="s">
        <v>4465</v>
      </c>
      <c r="Q28" s="2535"/>
      <c r="R28" s="2532"/>
    </row>
    <row r="29" spans="1:18">
      <c r="A29" s="1522" t="s">
        <v>2490</v>
      </c>
      <c r="B29" s="1855" t="s">
        <v>1295</v>
      </c>
      <c r="C29" s="1855" t="s">
        <v>3901</v>
      </c>
      <c r="D29" s="1537" t="s">
        <v>4358</v>
      </c>
      <c r="E29" s="2536" t="s">
        <v>4674</v>
      </c>
      <c r="F29" s="2537"/>
      <c r="G29" s="2537"/>
      <c r="H29" s="2492"/>
      <c r="I29" s="2492"/>
      <c r="J29" s="2537"/>
      <c r="K29" s="2529"/>
      <c r="L29" s="1714"/>
      <c r="M29" s="1746">
        <f>L29/100000</f>
        <v>0</v>
      </c>
      <c r="N29" s="1714"/>
      <c r="O29" s="1746">
        <f t="shared" si="2"/>
        <v>0</v>
      </c>
      <c r="P29" s="2982"/>
      <c r="Q29" s="2539">
        <f>'Abs11. NTEP'!Q49</f>
        <v>0</v>
      </c>
      <c r="R29" s="1702">
        <f>'Abs11. NTEP'!R49</f>
        <v>0</v>
      </c>
    </row>
    <row r="30" spans="1:18" ht="27" customHeight="1">
      <c r="A30" s="1522" t="s">
        <v>2664</v>
      </c>
      <c r="B30" s="2502" t="s">
        <v>2286</v>
      </c>
      <c r="C30" s="2502" t="s">
        <v>2357</v>
      </c>
      <c r="D30" s="1537" t="s">
        <v>4358</v>
      </c>
      <c r="E30" s="2536" t="s">
        <v>4674</v>
      </c>
      <c r="F30" s="1558"/>
      <c r="G30" s="1558"/>
      <c r="H30" s="2540">
        <v>21.76</v>
      </c>
      <c r="I30" s="2540">
        <v>0</v>
      </c>
      <c r="J30" s="2393"/>
      <c r="K30" s="2529" t="s">
        <v>6050</v>
      </c>
      <c r="L30" s="1714">
        <v>3664000</v>
      </c>
      <c r="M30" s="1746">
        <f>L30/100000</f>
        <v>36.64</v>
      </c>
      <c r="N30" s="1714">
        <v>1</v>
      </c>
      <c r="O30" s="1746">
        <f t="shared" si="2"/>
        <v>36.64</v>
      </c>
      <c r="P30" s="3337" t="s">
        <v>6051</v>
      </c>
      <c r="Q30" s="2539">
        <f>'Abs11. NTEP'!Q50</f>
        <v>0</v>
      </c>
      <c r="R30" s="1702">
        <f>'Abs11. NTEP'!R50</f>
        <v>0</v>
      </c>
    </row>
    <row r="31" spans="1:18" s="2135" customFormat="1" ht="36" customHeight="1">
      <c r="A31" s="1522" t="s">
        <v>2665</v>
      </c>
      <c r="B31" s="2507"/>
      <c r="C31" s="2507" t="s">
        <v>4410</v>
      </c>
      <c r="D31" s="1537" t="s">
        <v>4358</v>
      </c>
      <c r="E31" s="2068" t="s">
        <v>3316</v>
      </c>
      <c r="F31" s="1760"/>
      <c r="G31" s="1760"/>
      <c r="H31" s="2530">
        <v>5</v>
      </c>
      <c r="I31" s="2530"/>
      <c r="J31" s="1760"/>
      <c r="K31" s="2529" t="s">
        <v>5832</v>
      </c>
      <c r="L31" s="1317">
        <v>507400</v>
      </c>
      <c r="M31" s="1702">
        <f>L31/100000</f>
        <v>5.0739999999999998</v>
      </c>
      <c r="N31" s="1317">
        <v>1</v>
      </c>
      <c r="O31" s="1746">
        <f t="shared" si="2"/>
        <v>5.0739999999999998</v>
      </c>
      <c r="P31" s="2423" t="s">
        <v>5818</v>
      </c>
      <c r="Q31" s="2541">
        <f>'Abs12. NVHCP'!Q37</f>
        <v>0</v>
      </c>
      <c r="R31" s="2542">
        <f>'Abs12. NVHCP'!R37</f>
        <v>0</v>
      </c>
    </row>
    <row r="32" spans="1:18" s="3778" customFormat="1" ht="186" customHeight="1">
      <c r="A32" s="3826" t="s">
        <v>4409</v>
      </c>
      <c r="B32" s="3827"/>
      <c r="C32" s="3827" t="s">
        <v>1310</v>
      </c>
      <c r="D32" s="3813" t="s">
        <v>70</v>
      </c>
      <c r="E32" s="3782" t="s">
        <v>70</v>
      </c>
      <c r="F32" s="3814"/>
      <c r="G32" s="3814"/>
      <c r="H32" s="3814"/>
      <c r="I32" s="3814"/>
      <c r="J32" s="3814"/>
      <c r="K32" s="3940" t="s">
        <v>5875</v>
      </c>
      <c r="L32" s="3739">
        <v>1200</v>
      </c>
      <c r="M32" s="3808">
        <f>L32/100000</f>
        <v>1.2E-2</v>
      </c>
      <c r="N32" s="3739">
        <v>117282</v>
      </c>
      <c r="O32" s="3808">
        <f t="shared" si="2"/>
        <v>1407.384</v>
      </c>
      <c r="P32" s="3941" t="s">
        <v>6855</v>
      </c>
      <c r="Q32" s="3942"/>
      <c r="R32" s="3819"/>
    </row>
    <row r="33" spans="14:14">
      <c r="N33" s="2543"/>
    </row>
    <row r="34" spans="14:14">
      <c r="N34" s="2543"/>
    </row>
    <row r="35" spans="14:14">
      <c r="N35" s="2543"/>
    </row>
    <row r="36" spans="14:14">
      <c r="N36" s="2543"/>
    </row>
    <row r="37" spans="14:14">
      <c r="N37" s="2543"/>
    </row>
    <row r="38" spans="14:14">
      <c r="N38" s="2543"/>
    </row>
    <row r="39" spans="14:14">
      <c r="N39" s="2543"/>
    </row>
    <row r="40" spans="14:14">
      <c r="N40" s="2543"/>
    </row>
    <row r="41" spans="14:14">
      <c r="N41" s="2543"/>
    </row>
    <row r="42" spans="14:14">
      <c r="N42" s="2543"/>
    </row>
    <row r="43" spans="14:14">
      <c r="N43" s="2543"/>
    </row>
  </sheetData>
  <sheetProtection sheet="1" formatCells="0" formatColumns="0" formatRows="0" autoFilter="0"/>
  <autoFilter ref="A6:R32"/>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honeticPr fontId="27" type="noConversion"/>
  <pageMargins left="0.7" right="0.21" top="0.26" bottom="0.31" header="0.3" footer="0.3"/>
  <pageSetup paperSize="5" scale="70" orientation="landscape" horizontalDpi="4294967295" verticalDpi="4294967295" r:id="rId1"/>
</worksheet>
</file>

<file path=xl/worksheets/sheet28.xml><?xml version="1.0" encoding="utf-8"?>
<worksheet xmlns="http://schemas.openxmlformats.org/spreadsheetml/2006/main" xmlns:r="http://schemas.openxmlformats.org/officeDocument/2006/relationships">
  <sheetPr codeName="Sheet44"/>
  <dimension ref="A1:BD53"/>
  <sheetViews>
    <sheetView zoomScale="80" zoomScaleNormal="80" workbookViewId="0">
      <pane xSplit="5" ySplit="7" topLeftCell="K8" activePane="bottomRight" state="frozen"/>
      <selection activeCell="Q172" sqref="A1:BE179"/>
      <selection pane="topRight" activeCell="Q172" sqref="A1:BE179"/>
      <selection pane="bottomLeft" activeCell="Q172" sqref="A1:BE179"/>
      <selection pane="bottomRight" activeCell="A49" sqref="A49"/>
    </sheetView>
  </sheetViews>
  <sheetFormatPr defaultColWidth="12.42578125" defaultRowHeight="16.5"/>
  <cols>
    <col min="1" max="1" width="12.140625" style="2656" customWidth="1"/>
    <col min="2" max="2" width="10.42578125" style="2557" customWidth="1"/>
    <col min="3" max="3" width="48" style="2557" customWidth="1"/>
    <col min="4" max="4" width="7.85546875" style="2568" customWidth="1"/>
    <col min="5" max="5" width="10.7109375" style="2568" customWidth="1"/>
    <col min="6" max="6" width="11.5703125" style="2557" hidden="1" customWidth="1"/>
    <col min="7" max="7" width="22.140625" style="2557" hidden="1" customWidth="1"/>
    <col min="8" max="10" width="11.5703125" style="2557" hidden="1" customWidth="1"/>
    <col min="11" max="11" width="11.28515625" style="2557" customWidth="1"/>
    <col min="12" max="12" width="19.28515625" style="2557" customWidth="1"/>
    <col min="13" max="13" width="12.140625" style="2657" bestFit="1" customWidth="1"/>
    <col min="14" max="14" width="10.5703125" style="2557" bestFit="1" customWidth="1"/>
    <col min="15" max="15" width="15.42578125" style="2657" customWidth="1"/>
    <col min="16" max="16" width="60" style="2656" customWidth="1"/>
    <col min="17" max="17" width="37.7109375" style="2656" hidden="1" customWidth="1"/>
    <col min="18" max="18" width="12.140625" style="2657" hidden="1" customWidth="1"/>
    <col min="19" max="19" width="18.85546875" style="2557" hidden="1" customWidth="1"/>
    <col min="20" max="56" width="0" style="2557" hidden="1" customWidth="1"/>
    <col min="57" max="16384" width="12.42578125" style="2557"/>
  </cols>
  <sheetData>
    <row r="1" spans="1:56" ht="14.45" customHeight="1">
      <c r="A1" s="4495" t="s">
        <v>1305</v>
      </c>
      <c r="B1" s="4496"/>
      <c r="C1" s="4497"/>
      <c r="D1" s="2556"/>
      <c r="E1" s="4311" t="s">
        <v>4709</v>
      </c>
      <c r="F1" s="4498" t="s">
        <v>4707</v>
      </c>
      <c r="G1" s="4499"/>
      <c r="H1" s="4499"/>
      <c r="I1" s="4499"/>
      <c r="J1" s="4499"/>
      <c r="K1" s="4499"/>
      <c r="L1" s="4499"/>
      <c r="M1" s="4500"/>
      <c r="N1" s="4501"/>
      <c r="O1" s="4502" t="s">
        <v>70</v>
      </c>
      <c r="P1" s="4304"/>
      <c r="Q1" s="4304"/>
      <c r="R1" s="4503"/>
      <c r="S1" s="4304"/>
      <c r="T1" s="4304"/>
      <c r="U1" s="4304"/>
      <c r="V1" s="4304"/>
      <c r="W1" s="4304"/>
      <c r="X1" s="4304"/>
      <c r="Y1" s="4304"/>
      <c r="Z1" s="4304"/>
      <c r="AA1" s="4304"/>
      <c r="AB1" s="4304"/>
      <c r="AC1" s="4304"/>
      <c r="AD1" s="4304"/>
      <c r="AE1" s="4304"/>
      <c r="AF1" s="4304"/>
      <c r="AG1" s="4304"/>
      <c r="AH1" s="4304"/>
      <c r="AI1" s="4504" t="s">
        <v>4358</v>
      </c>
      <c r="AJ1" s="4505"/>
      <c r="AK1" s="4505"/>
      <c r="AL1" s="4505"/>
      <c r="AM1" s="4505"/>
      <c r="AN1" s="4505"/>
      <c r="AO1" s="4506"/>
      <c r="AP1" s="4507" t="s">
        <v>85</v>
      </c>
      <c r="AQ1" s="4508"/>
      <c r="AR1" s="4508"/>
      <c r="AS1" s="4508"/>
      <c r="AT1" s="4508"/>
      <c r="AU1" s="4508"/>
      <c r="AV1" s="4508"/>
      <c r="AW1" s="4508"/>
      <c r="AX1" s="4508"/>
      <c r="AY1" s="4508"/>
      <c r="AZ1" s="4508"/>
      <c r="BA1" s="4509"/>
      <c r="BB1" s="4510" t="s">
        <v>5104</v>
      </c>
      <c r="BC1" s="4511" t="s">
        <v>5105</v>
      </c>
      <c r="BD1" s="4512" t="s">
        <v>5170</v>
      </c>
    </row>
    <row r="2" spans="1:56" s="2561" customFormat="1" ht="33">
      <c r="A2" s="4295" t="str">
        <f>HYPERLINK("#Index!A4", "Index Pg")</f>
        <v>Index Pg</v>
      </c>
      <c r="B2" s="2558" t="str">
        <f>HYPERLINK("#'Summary of Abstracts'!A2", "Summary of Abst.")</f>
        <v>Summary of Abst.</v>
      </c>
      <c r="C2" s="1356"/>
      <c r="D2" s="2559"/>
      <c r="E2" s="4311"/>
      <c r="F2" s="1561" t="s">
        <v>118</v>
      </c>
      <c r="G2" s="1561" t="s">
        <v>131</v>
      </c>
      <c r="H2" s="1561" t="s">
        <v>91</v>
      </c>
      <c r="I2" s="1561" t="s">
        <v>4705</v>
      </c>
      <c r="J2" s="1561" t="s">
        <v>96</v>
      </c>
      <c r="K2" s="2560" t="s">
        <v>4064</v>
      </c>
      <c r="L2" s="1562" t="s">
        <v>4706</v>
      </c>
      <c r="M2" s="1562" t="s">
        <v>4710</v>
      </c>
      <c r="N2" s="1562" t="s">
        <v>208</v>
      </c>
      <c r="O2" s="1361" t="s">
        <v>4357</v>
      </c>
      <c r="P2" s="1361" t="s">
        <v>3848</v>
      </c>
      <c r="Q2" s="1361" t="s">
        <v>4719</v>
      </c>
      <c r="R2" s="1361" t="s">
        <v>4716</v>
      </c>
      <c r="S2" s="1361" t="s">
        <v>4717</v>
      </c>
      <c r="T2" s="1361" t="s">
        <v>4718</v>
      </c>
      <c r="U2" s="1361" t="s">
        <v>4720</v>
      </c>
      <c r="V2" s="1361" t="s">
        <v>4695</v>
      </c>
      <c r="W2" s="1361" t="s">
        <v>4721</v>
      </c>
      <c r="X2" s="1361" t="s">
        <v>33</v>
      </c>
      <c r="Y2" s="1361" t="s">
        <v>4722</v>
      </c>
      <c r="Z2" s="1361" t="s">
        <v>4723</v>
      </c>
      <c r="AA2" s="1361" t="s">
        <v>4713</v>
      </c>
      <c r="AB2" s="1361" t="s">
        <v>742</v>
      </c>
      <c r="AC2" s="1361" t="s">
        <v>4714</v>
      </c>
      <c r="AD2" s="1361" t="s">
        <v>4715</v>
      </c>
      <c r="AE2" s="1361" t="s">
        <v>2379</v>
      </c>
      <c r="AF2" s="1361" t="s">
        <v>4724</v>
      </c>
      <c r="AG2" s="1361" t="s">
        <v>3847</v>
      </c>
      <c r="AH2" s="1361" t="s">
        <v>307</v>
      </c>
      <c r="AI2" s="1362" t="s">
        <v>293</v>
      </c>
      <c r="AJ2" s="1362" t="s">
        <v>114</v>
      </c>
      <c r="AK2" s="1362" t="s">
        <v>146</v>
      </c>
      <c r="AL2" s="1362" t="s">
        <v>4674</v>
      </c>
      <c r="AM2" s="1362" t="s">
        <v>3316</v>
      </c>
      <c r="AN2" s="1362" t="s">
        <v>3986</v>
      </c>
      <c r="AO2" s="1362" t="s">
        <v>4544</v>
      </c>
      <c r="AP2" s="1363" t="s">
        <v>86</v>
      </c>
      <c r="AQ2" s="1363" t="s">
        <v>150</v>
      </c>
      <c r="AR2" s="1363" t="s">
        <v>399</v>
      </c>
      <c r="AS2" s="1363" t="s">
        <v>152</v>
      </c>
      <c r="AT2" s="1363" t="s">
        <v>415</v>
      </c>
      <c r="AU2" s="1363" t="s">
        <v>4598</v>
      </c>
      <c r="AV2" s="1363" t="s">
        <v>4124</v>
      </c>
      <c r="AW2" s="1363" t="s">
        <v>312</v>
      </c>
      <c r="AX2" s="1363" t="s">
        <v>314</v>
      </c>
      <c r="AY2" s="1363" t="s">
        <v>1034</v>
      </c>
      <c r="AZ2" s="1363" t="s">
        <v>1020</v>
      </c>
      <c r="BA2" s="1363" t="s">
        <v>4708</v>
      </c>
      <c r="BB2" s="4510"/>
      <c r="BC2" s="4511"/>
      <c r="BD2" s="4512"/>
    </row>
    <row r="3" spans="1:56" s="2566" customFormat="1">
      <c r="A3" s="4296"/>
      <c r="B3" s="2562" t="str">
        <f>HYPERLINK("#'Budget Summary I'!A1:AL1", "Budget Summary I")</f>
        <v>Budget Summary I</v>
      </c>
      <c r="C3" s="2563" t="s">
        <v>4599</v>
      </c>
      <c r="D3" s="1564"/>
      <c r="E3" s="2564">
        <f>R7</f>
        <v>0</v>
      </c>
      <c r="F3" s="1484"/>
      <c r="G3" s="1484"/>
      <c r="H3" s="1484">
        <f>R9+R10</f>
        <v>0</v>
      </c>
      <c r="I3" s="1484"/>
      <c r="J3" s="1484"/>
      <c r="K3" s="1565"/>
      <c r="L3" s="1484"/>
      <c r="M3" s="1484"/>
      <c r="N3" s="1565"/>
      <c r="O3" s="1565">
        <f>R17</f>
        <v>0</v>
      </c>
      <c r="P3" s="1565"/>
      <c r="Q3" s="1565"/>
      <c r="R3" s="1565"/>
      <c r="S3" s="1565"/>
      <c r="T3" s="1565"/>
      <c r="U3" s="1565"/>
      <c r="V3" s="1565"/>
      <c r="W3" s="1565"/>
      <c r="X3" s="1565"/>
      <c r="Y3" s="1565"/>
      <c r="Z3" s="1565"/>
      <c r="AA3" s="1565"/>
      <c r="AB3" s="1565"/>
      <c r="AC3" s="1565"/>
      <c r="AD3" s="1565"/>
      <c r="AE3" s="1565"/>
      <c r="AF3" s="1565"/>
      <c r="AG3" s="1565"/>
      <c r="AH3" s="1565">
        <f>R13+R14+R15+R16+R18</f>
        <v>0</v>
      </c>
      <c r="AI3" s="1565"/>
      <c r="AJ3" s="1565">
        <f>R21+R22</f>
        <v>0</v>
      </c>
      <c r="AK3" s="1565">
        <f>R24+R25</f>
        <v>0</v>
      </c>
      <c r="AL3" s="1565">
        <f>R27+R28+R29+R30</f>
        <v>0</v>
      </c>
      <c r="AM3" s="1565">
        <f>R32</f>
        <v>0</v>
      </c>
      <c r="AN3" s="1565"/>
      <c r="AO3" s="1565"/>
      <c r="AP3" s="1565">
        <f>R36+R38+R39+R40+R41+R42+R45</f>
        <v>0</v>
      </c>
      <c r="AQ3" s="1565">
        <f>R46</f>
        <v>0</v>
      </c>
      <c r="AR3" s="1565"/>
      <c r="AS3" s="1565"/>
      <c r="AT3" s="1565">
        <f>R48+R49+R50+R51</f>
        <v>0</v>
      </c>
      <c r="AU3" s="1565">
        <f>R52</f>
        <v>0</v>
      </c>
      <c r="AV3" s="1565"/>
      <c r="AW3" s="1565"/>
      <c r="AX3" s="1565"/>
      <c r="AY3" s="1565"/>
      <c r="AZ3" s="1565">
        <f>R35</f>
        <v>0</v>
      </c>
      <c r="BA3" s="1565"/>
      <c r="BB3" s="2565">
        <f>R11</f>
        <v>0</v>
      </c>
      <c r="BC3" s="2565">
        <f>R33</f>
        <v>0</v>
      </c>
      <c r="BD3" s="2565">
        <f>R53</f>
        <v>0</v>
      </c>
    </row>
    <row r="4" spans="1:56" s="2566" customFormat="1">
      <c r="A4" s="4297"/>
      <c r="B4" s="2562" t="str">
        <f>HYPERLINK("#'Budget Summary II'!A3:B5", "Budget Summary II")</f>
        <v>Budget Summary II</v>
      </c>
      <c r="C4" s="2563" t="s">
        <v>4600</v>
      </c>
      <c r="D4" s="1564"/>
      <c r="E4" s="2564">
        <f>O7</f>
        <v>9461.0301780000009</v>
      </c>
      <c r="F4" s="1484"/>
      <c r="G4" s="1484"/>
      <c r="H4" s="1484">
        <f>O9+O10</f>
        <v>2.5</v>
      </c>
      <c r="I4" s="1484"/>
      <c r="J4" s="1484"/>
      <c r="K4" s="1565"/>
      <c r="L4" s="1484"/>
      <c r="M4" s="1484"/>
      <c r="N4" s="1565"/>
      <c r="O4" s="1565">
        <f>O17</f>
        <v>3671.4</v>
      </c>
      <c r="P4" s="1565"/>
      <c r="Q4" s="1565"/>
      <c r="R4" s="1565"/>
      <c r="S4" s="1565"/>
      <c r="T4" s="1565"/>
      <c r="U4" s="1565"/>
      <c r="V4" s="1565"/>
      <c r="W4" s="1565"/>
      <c r="X4" s="1565"/>
      <c r="Y4" s="1565"/>
      <c r="Z4" s="1565"/>
      <c r="AA4" s="1565"/>
      <c r="AB4" s="1565"/>
      <c r="AC4" s="1565"/>
      <c r="AD4" s="1565"/>
      <c r="AE4" s="1565"/>
      <c r="AF4" s="1565"/>
      <c r="AG4" s="1565"/>
      <c r="AH4" s="1565">
        <f>O13+O14+O15+O16+O18</f>
        <v>0</v>
      </c>
      <c r="AI4" s="1565"/>
      <c r="AJ4" s="1565">
        <f>O21+O22</f>
        <v>8.6301799999999993</v>
      </c>
      <c r="AK4" s="1565">
        <f>O24+O25</f>
        <v>0</v>
      </c>
      <c r="AL4" s="1565">
        <f>O27+O28+O29+O30</f>
        <v>2756.9</v>
      </c>
      <c r="AM4" s="1565">
        <f>O32</f>
        <v>0</v>
      </c>
      <c r="AN4" s="1565"/>
      <c r="AO4" s="1565"/>
      <c r="AP4" s="1565">
        <f>O36+O38+O39+O40+O41+O42+O45</f>
        <v>3000</v>
      </c>
      <c r="AQ4" s="1565">
        <f>O46</f>
        <v>0</v>
      </c>
      <c r="AR4" s="1565"/>
      <c r="AS4" s="1565"/>
      <c r="AT4" s="1565">
        <f>O48+O49+O50+O51</f>
        <v>21.599998000000003</v>
      </c>
      <c r="AU4" s="1565">
        <f>O52</f>
        <v>0</v>
      </c>
      <c r="AV4" s="1565"/>
      <c r="AW4" s="1565"/>
      <c r="AX4" s="1565"/>
      <c r="AY4" s="1565"/>
      <c r="AZ4" s="1565">
        <f>O35</f>
        <v>0</v>
      </c>
      <c r="BA4" s="1565"/>
      <c r="BB4" s="2565">
        <f>O11</f>
        <v>0</v>
      </c>
      <c r="BC4" s="2565">
        <f>O33</f>
        <v>0</v>
      </c>
      <c r="BD4" s="2565">
        <f>O53</f>
        <v>0</v>
      </c>
    </row>
    <row r="5" spans="1:56" s="2567" customFormat="1" ht="12.75" customHeight="1">
      <c r="A5" s="4293" t="s">
        <v>53</v>
      </c>
      <c r="B5" s="4293" t="s">
        <v>54</v>
      </c>
      <c r="C5" s="4293" t="s">
        <v>55</v>
      </c>
      <c r="D5" s="4293" t="s">
        <v>56</v>
      </c>
      <c r="E5" s="4293" t="s">
        <v>57</v>
      </c>
      <c r="F5" s="4310" t="s">
        <v>4620</v>
      </c>
      <c r="G5" s="4310"/>
      <c r="H5" s="4310"/>
      <c r="I5" s="4310"/>
      <c r="J5" s="4310"/>
      <c r="K5" s="4489" t="s">
        <v>4631</v>
      </c>
      <c r="L5" s="4490"/>
      <c r="M5" s="4491"/>
      <c r="N5" s="4490"/>
      <c r="O5" s="4491"/>
      <c r="P5" s="4492"/>
      <c r="Q5" s="4493" t="s">
        <v>4661</v>
      </c>
      <c r="R5" s="4494"/>
    </row>
    <row r="6" spans="1:56" s="2568" customFormat="1" ht="66">
      <c r="A6" s="4293"/>
      <c r="B6" s="4293"/>
      <c r="C6" s="4293"/>
      <c r="D6" s="4293"/>
      <c r="E6" s="4293"/>
      <c r="F6" s="1372" t="s">
        <v>4621</v>
      </c>
      <c r="G6" s="1372" t="s">
        <v>4629</v>
      </c>
      <c r="H6" s="1372" t="s">
        <v>4622</v>
      </c>
      <c r="I6" s="1372" t="s">
        <v>4630</v>
      </c>
      <c r="J6" s="1372" t="s">
        <v>2534</v>
      </c>
      <c r="K6" s="1373" t="s">
        <v>58</v>
      </c>
      <c r="L6" s="1373" t="s">
        <v>59</v>
      </c>
      <c r="M6" s="1374" t="s">
        <v>60</v>
      </c>
      <c r="N6" s="1373" t="s">
        <v>61</v>
      </c>
      <c r="O6" s="1374" t="s">
        <v>62</v>
      </c>
      <c r="P6" s="1373" t="s">
        <v>5564</v>
      </c>
      <c r="Q6" s="1375" t="s">
        <v>2536</v>
      </c>
      <c r="R6" s="1376" t="s">
        <v>4662</v>
      </c>
    </row>
    <row r="7" spans="1:56">
      <c r="A7" s="2569">
        <v>15</v>
      </c>
      <c r="B7" s="2570"/>
      <c r="C7" s="2569" t="s">
        <v>33</v>
      </c>
      <c r="D7" s="2571"/>
      <c r="E7" s="2572"/>
      <c r="F7" s="2570"/>
      <c r="G7" s="2570"/>
      <c r="H7" s="2570"/>
      <c r="I7" s="2570"/>
      <c r="J7" s="2570"/>
      <c r="K7" s="2569"/>
      <c r="L7" s="2569"/>
      <c r="M7" s="1383"/>
      <c r="N7" s="2569"/>
      <c r="O7" s="1383">
        <f>O8+O12+O19+O34</f>
        <v>9461.0301780000009</v>
      </c>
      <c r="P7" s="2569"/>
      <c r="Q7" s="2569"/>
      <c r="R7" s="1383">
        <f>R8+R12+R19+R34</f>
        <v>0</v>
      </c>
    </row>
    <row r="8" spans="1:56" s="2561" customFormat="1">
      <c r="A8" s="2573">
        <v>15.1</v>
      </c>
      <c r="B8" s="2574"/>
      <c r="C8" s="2575" t="s">
        <v>5109</v>
      </c>
      <c r="D8" s="2576"/>
      <c r="E8" s="2577"/>
      <c r="F8" s="2574"/>
      <c r="G8" s="2574"/>
      <c r="H8" s="2574"/>
      <c r="I8" s="2574"/>
      <c r="J8" s="2574"/>
      <c r="K8" s="2575"/>
      <c r="L8" s="2575"/>
      <c r="M8" s="1396"/>
      <c r="N8" s="2575"/>
      <c r="O8" s="1396">
        <f>O9+O10+O11</f>
        <v>2.5</v>
      </c>
      <c r="P8" s="2575"/>
      <c r="Q8" s="2575"/>
      <c r="R8" s="1396">
        <f>R9+R10+R11</f>
        <v>0</v>
      </c>
    </row>
    <row r="9" spans="1:56" ht="66">
      <c r="A9" s="2578" t="s">
        <v>1306</v>
      </c>
      <c r="B9" s="1407" t="s">
        <v>1307</v>
      </c>
      <c r="C9" s="1407" t="s">
        <v>1308</v>
      </c>
      <c r="D9" s="2579" t="s">
        <v>1309</v>
      </c>
      <c r="E9" s="2580" t="s">
        <v>91</v>
      </c>
      <c r="F9" s="2581"/>
      <c r="G9" s="2581"/>
      <c r="H9" s="2581"/>
      <c r="I9" s="2581"/>
      <c r="J9" s="2581"/>
      <c r="K9" s="3340" t="s">
        <v>6010</v>
      </c>
      <c r="L9" s="2820">
        <v>5000</v>
      </c>
      <c r="M9" s="2597">
        <f>L9/100000</f>
        <v>0.05</v>
      </c>
      <c r="N9" s="2820">
        <v>50</v>
      </c>
      <c r="O9" s="2597">
        <f>M9*N9</f>
        <v>2.5</v>
      </c>
      <c r="P9" s="3341" t="s">
        <v>6391</v>
      </c>
      <c r="Q9" s="2582">
        <f>'Ab1. RMNCH+A'!Q286</f>
        <v>0</v>
      </c>
      <c r="R9" s="2552">
        <f>'Ab1. RMNCH+A'!R286</f>
        <v>0</v>
      </c>
    </row>
    <row r="10" spans="1:56">
      <c r="A10" s="2578" t="s">
        <v>2551</v>
      </c>
      <c r="B10" s="1419"/>
      <c r="C10" s="1407" t="s">
        <v>1310</v>
      </c>
      <c r="D10" s="2579" t="s">
        <v>1309</v>
      </c>
      <c r="E10" s="2580" t="s">
        <v>91</v>
      </c>
      <c r="F10" s="2581"/>
      <c r="G10" s="2581"/>
      <c r="H10" s="2581"/>
      <c r="I10" s="2581"/>
      <c r="J10" s="2581"/>
      <c r="K10" s="2583"/>
      <c r="L10" s="1418"/>
      <c r="M10" s="2465">
        <f>L10/100000</f>
        <v>0</v>
      </c>
      <c r="N10" s="1418"/>
      <c r="O10" s="2465">
        <f>M10*N10</f>
        <v>0</v>
      </c>
      <c r="P10" s="2584"/>
      <c r="Q10" s="2582">
        <f>'Ab1. RMNCH+A'!Q287</f>
        <v>0</v>
      </c>
      <c r="R10" s="2552">
        <f>'Ab1. RMNCH+A'!R287</f>
        <v>0</v>
      </c>
    </row>
    <row r="11" spans="1:56">
      <c r="A11" s="2578" t="s">
        <v>5122</v>
      </c>
      <c r="B11" s="1419"/>
      <c r="C11" s="1407" t="s">
        <v>5120</v>
      </c>
      <c r="D11" s="2579" t="s">
        <v>1309</v>
      </c>
      <c r="E11" s="2580" t="s">
        <v>3846</v>
      </c>
      <c r="F11" s="2581"/>
      <c r="G11" s="2581"/>
      <c r="H11" s="2581"/>
      <c r="I11" s="2581"/>
      <c r="J11" s="2581"/>
      <c r="K11" s="2583"/>
      <c r="L11" s="1418"/>
      <c r="M11" s="2465">
        <f>L11/100000</f>
        <v>0</v>
      </c>
      <c r="N11" s="1418"/>
      <c r="O11" s="2465">
        <f>M11*N11</f>
        <v>0</v>
      </c>
      <c r="P11" s="2584"/>
      <c r="Q11" s="2582">
        <f>'Ab1. RMNCH+A'!Q445</f>
        <v>0</v>
      </c>
      <c r="R11" s="2552">
        <f>'Ab1. RMNCH+A'!R445</f>
        <v>0</v>
      </c>
    </row>
    <row r="12" spans="1:56" s="2561" customFormat="1">
      <c r="A12" s="2573">
        <v>15.2</v>
      </c>
      <c r="B12" s="2574"/>
      <c r="C12" s="2575" t="s">
        <v>5108</v>
      </c>
      <c r="D12" s="2576"/>
      <c r="E12" s="2577"/>
      <c r="F12" s="2585"/>
      <c r="G12" s="2585"/>
      <c r="H12" s="2585"/>
      <c r="I12" s="2585"/>
      <c r="J12" s="2585"/>
      <c r="K12" s="2586"/>
      <c r="L12" s="2586"/>
      <c r="M12" s="1396"/>
      <c r="N12" s="2586"/>
      <c r="O12" s="1396">
        <f>SUM(O13:O18)</f>
        <v>3671.4</v>
      </c>
      <c r="P12" s="2586"/>
      <c r="Q12" s="2575"/>
      <c r="R12" s="1396">
        <f>SUM(R13:R18)</f>
        <v>0</v>
      </c>
    </row>
    <row r="13" spans="1:56" ht="33">
      <c r="A13" s="2578" t="s">
        <v>1311</v>
      </c>
      <c r="B13" s="1407" t="s">
        <v>5110</v>
      </c>
      <c r="C13" s="1407" t="s">
        <v>1335</v>
      </c>
      <c r="D13" s="1360" t="s">
        <v>70</v>
      </c>
      <c r="E13" s="2580" t="s">
        <v>70</v>
      </c>
      <c r="F13" s="2581"/>
      <c r="G13" s="2581"/>
      <c r="H13" s="2581"/>
      <c r="I13" s="2581"/>
      <c r="J13" s="2581"/>
      <c r="K13" s="2583"/>
      <c r="L13" s="1418"/>
      <c r="M13" s="2465">
        <f t="shared" ref="M13:M18" si="0">L13/100000</f>
        <v>0</v>
      </c>
      <c r="N13" s="1418"/>
      <c r="O13" s="2465">
        <f t="shared" ref="O13:O18" si="1">M13*N13</f>
        <v>0</v>
      </c>
      <c r="P13" s="2584"/>
      <c r="Q13" s="2587"/>
      <c r="R13" s="2588"/>
    </row>
    <row r="14" spans="1:56" ht="33">
      <c r="A14" s="2578" t="s">
        <v>5115</v>
      </c>
      <c r="B14" s="1407" t="s">
        <v>5111</v>
      </c>
      <c r="C14" s="1407" t="s">
        <v>1336</v>
      </c>
      <c r="D14" s="1360" t="s">
        <v>70</v>
      </c>
      <c r="E14" s="2580" t="s">
        <v>70</v>
      </c>
      <c r="F14" s="2589"/>
      <c r="G14" s="2589"/>
      <c r="H14" s="2590"/>
      <c r="I14" s="2591"/>
      <c r="J14" s="2589"/>
      <c r="K14" s="2592"/>
      <c r="L14" s="1418"/>
      <c r="M14" s="2465">
        <f t="shared" si="0"/>
        <v>0</v>
      </c>
      <c r="N14" s="1418"/>
      <c r="O14" s="2465">
        <f t="shared" si="1"/>
        <v>0</v>
      </c>
      <c r="P14" s="2593"/>
      <c r="Q14" s="2587"/>
      <c r="R14" s="2588"/>
    </row>
    <row r="15" spans="1:56" ht="33">
      <c r="A15" s="2578" t="s">
        <v>5116</v>
      </c>
      <c r="B15" s="1407" t="s">
        <v>5112</v>
      </c>
      <c r="C15" s="1407" t="s">
        <v>1337</v>
      </c>
      <c r="D15" s="1360" t="s">
        <v>70</v>
      </c>
      <c r="E15" s="2580" t="s">
        <v>70</v>
      </c>
      <c r="F15" s="2581"/>
      <c r="G15" s="2581"/>
      <c r="H15" s="2581"/>
      <c r="I15" s="2581"/>
      <c r="J15" s="2581"/>
      <c r="K15" s="2583"/>
      <c r="L15" s="1418"/>
      <c r="M15" s="2465">
        <f t="shared" si="0"/>
        <v>0</v>
      </c>
      <c r="N15" s="1418"/>
      <c r="O15" s="2465">
        <f t="shared" si="1"/>
        <v>0</v>
      </c>
      <c r="P15" s="2584"/>
      <c r="Q15" s="2587"/>
      <c r="R15" s="2588"/>
    </row>
    <row r="16" spans="1:56" ht="33">
      <c r="A16" s="2578" t="s">
        <v>5117</v>
      </c>
      <c r="B16" s="2544" t="s">
        <v>5113</v>
      </c>
      <c r="C16" s="2544" t="s">
        <v>1340</v>
      </c>
      <c r="D16" s="1360" t="s">
        <v>70</v>
      </c>
      <c r="E16" s="2580" t="s">
        <v>70</v>
      </c>
      <c r="F16" s="2581"/>
      <c r="G16" s="2581"/>
      <c r="H16" s="2581"/>
      <c r="I16" s="2581"/>
      <c r="J16" s="2581"/>
      <c r="K16" s="2583"/>
      <c r="L16" s="1418"/>
      <c r="M16" s="2465">
        <f t="shared" si="0"/>
        <v>0</v>
      </c>
      <c r="N16" s="1418"/>
      <c r="O16" s="2465">
        <f t="shared" si="1"/>
        <v>0</v>
      </c>
      <c r="P16" s="2584"/>
      <c r="Q16" s="2587"/>
      <c r="R16" s="2588"/>
    </row>
    <row r="17" spans="1:18" ht="146.25" customHeight="1">
      <c r="A17" s="2578" t="s">
        <v>5118</v>
      </c>
      <c r="B17" s="2594" t="s">
        <v>5114</v>
      </c>
      <c r="C17" s="2544" t="s">
        <v>3886</v>
      </c>
      <c r="D17" s="1360" t="s">
        <v>70</v>
      </c>
      <c r="E17" s="2580" t="s">
        <v>4357</v>
      </c>
      <c r="F17" s="2581"/>
      <c r="G17" s="2581"/>
      <c r="H17" s="2581"/>
      <c r="I17" s="2581"/>
      <c r="J17" s="2581"/>
      <c r="K17" s="2583" t="s">
        <v>5903</v>
      </c>
      <c r="L17" s="1418">
        <v>367140000</v>
      </c>
      <c r="M17" s="2465">
        <f t="shared" si="0"/>
        <v>3671.4</v>
      </c>
      <c r="N17" s="1418">
        <v>1</v>
      </c>
      <c r="O17" s="2465">
        <f t="shared" si="1"/>
        <v>3671.4</v>
      </c>
      <c r="P17" s="3341" t="s">
        <v>6392</v>
      </c>
      <c r="Q17" s="2582">
        <f>'Abs6. CPHC'!Q33</f>
        <v>0</v>
      </c>
      <c r="R17" s="2595">
        <f>'Abs6. CPHC'!R33</f>
        <v>0</v>
      </c>
    </row>
    <row r="18" spans="1:18">
      <c r="A18" s="2578" t="s">
        <v>5119</v>
      </c>
      <c r="B18" s="2596" t="s">
        <v>2420</v>
      </c>
      <c r="C18" s="1407" t="s">
        <v>5121</v>
      </c>
      <c r="D18" s="1360" t="s">
        <v>70</v>
      </c>
      <c r="E18" s="2580" t="s">
        <v>70</v>
      </c>
      <c r="F18" s="2581"/>
      <c r="G18" s="2581"/>
      <c r="H18" s="2581"/>
      <c r="I18" s="2581"/>
      <c r="J18" s="2581"/>
      <c r="K18" s="2583"/>
      <c r="L18" s="1418"/>
      <c r="M18" s="2465">
        <f t="shared" si="0"/>
        <v>0</v>
      </c>
      <c r="N18" s="1418"/>
      <c r="O18" s="2597">
        <f t="shared" si="1"/>
        <v>0</v>
      </c>
      <c r="P18" s="2598"/>
      <c r="Q18" s="2587"/>
      <c r="R18" s="2588"/>
    </row>
    <row r="19" spans="1:18" s="2561" customFormat="1">
      <c r="A19" s="2573">
        <v>15.3</v>
      </c>
      <c r="B19" s="2574"/>
      <c r="C19" s="2575" t="s">
        <v>5123</v>
      </c>
      <c r="D19" s="2576"/>
      <c r="E19" s="2577"/>
      <c r="F19" s="2585"/>
      <c r="G19" s="2585"/>
      <c r="H19" s="2585"/>
      <c r="I19" s="2585"/>
      <c r="J19" s="2585"/>
      <c r="K19" s="2586"/>
      <c r="L19" s="2586"/>
      <c r="M19" s="1396"/>
      <c r="N19" s="2586"/>
      <c r="O19" s="1396">
        <f>O20+O23+O26+O31+O33</f>
        <v>2765.5301800000002</v>
      </c>
      <c r="P19" s="2586"/>
      <c r="Q19" s="2575"/>
      <c r="R19" s="1396">
        <f>R20+R23+R26+R31+R33</f>
        <v>0</v>
      </c>
    </row>
    <row r="20" spans="1:18">
      <c r="A20" s="2599" t="s">
        <v>1313</v>
      </c>
      <c r="B20" s="2600">
        <v>15.3</v>
      </c>
      <c r="C20" s="2601" t="s">
        <v>1312</v>
      </c>
      <c r="D20" s="2602"/>
      <c r="E20" s="2603"/>
      <c r="F20" s="2604"/>
      <c r="G20" s="2604"/>
      <c r="H20" s="2604"/>
      <c r="I20" s="2604"/>
      <c r="J20" s="2604"/>
      <c r="K20" s="2605"/>
      <c r="L20" s="2605"/>
      <c r="M20" s="2606"/>
      <c r="N20" s="2607"/>
      <c r="O20" s="2608">
        <f>SUM(O21:O22)</f>
        <v>8.6301799999999993</v>
      </c>
      <c r="P20" s="2609"/>
      <c r="Q20" s="2610"/>
      <c r="R20" s="2608">
        <f>SUM(R21:R22)</f>
        <v>0</v>
      </c>
    </row>
    <row r="21" spans="1:18" ht="66">
      <c r="A21" s="2578" t="s">
        <v>5126</v>
      </c>
      <c r="B21" s="2611" t="s">
        <v>5124</v>
      </c>
      <c r="C21" s="2611" t="s">
        <v>1314</v>
      </c>
      <c r="D21" s="1616" t="s">
        <v>4358</v>
      </c>
      <c r="E21" s="2612" t="s">
        <v>4976</v>
      </c>
      <c r="F21" s="2613"/>
      <c r="G21" s="2613"/>
      <c r="H21" s="2613"/>
      <c r="I21" s="2613"/>
      <c r="J21" s="2613"/>
      <c r="K21" s="2583" t="s">
        <v>6111</v>
      </c>
      <c r="L21" s="1418">
        <v>11132</v>
      </c>
      <c r="M21" s="2465">
        <f>L21/100000</f>
        <v>0.11132</v>
      </c>
      <c r="N21" s="1418">
        <v>38</v>
      </c>
      <c r="O21" s="2465">
        <f>M21*N21</f>
        <v>4.2301599999999997</v>
      </c>
      <c r="P21" s="1455" t="s">
        <v>6142</v>
      </c>
      <c r="Q21" s="2582">
        <f>'Abs9. NVBDCP'!Q106</f>
        <v>0</v>
      </c>
      <c r="R21" s="2595">
        <f>'Abs9. NVBDCP'!R106</f>
        <v>0</v>
      </c>
    </row>
    <row r="22" spans="1:18" ht="82.5">
      <c r="A22" s="2578" t="s">
        <v>5127</v>
      </c>
      <c r="B22" s="2611" t="s">
        <v>5125</v>
      </c>
      <c r="C22" s="2611" t="s">
        <v>1317</v>
      </c>
      <c r="D22" s="1616" t="s">
        <v>4358</v>
      </c>
      <c r="E22" s="2612" t="s">
        <v>1318</v>
      </c>
      <c r="F22" s="2613"/>
      <c r="G22" s="2613"/>
      <c r="H22" s="2613"/>
      <c r="I22" s="2613"/>
      <c r="J22" s="2613"/>
      <c r="K22" s="2583" t="s">
        <v>6111</v>
      </c>
      <c r="L22" s="1418">
        <v>11579</v>
      </c>
      <c r="M22" s="2465">
        <f>L22/100000</f>
        <v>0.11579</v>
      </c>
      <c r="N22" s="1418">
        <v>38</v>
      </c>
      <c r="O22" s="2465">
        <f>M22*N22</f>
        <v>4.4000200000000005</v>
      </c>
      <c r="P22" s="1455" t="s">
        <v>6143</v>
      </c>
      <c r="Q22" s="2582">
        <f>'Abs9. NVBDCP'!Q107</f>
        <v>0</v>
      </c>
      <c r="R22" s="2595">
        <f>'Abs9. NVBDCP'!R107</f>
        <v>0</v>
      </c>
    </row>
    <row r="23" spans="1:18">
      <c r="A23" s="2599" t="s">
        <v>1316</v>
      </c>
      <c r="B23" s="2599">
        <v>15.4</v>
      </c>
      <c r="C23" s="2601" t="s">
        <v>1319</v>
      </c>
      <c r="D23" s="2602"/>
      <c r="E23" s="2603"/>
      <c r="F23" s="2604"/>
      <c r="G23" s="2604"/>
      <c r="H23" s="2604"/>
      <c r="I23" s="2604"/>
      <c r="J23" s="2604"/>
      <c r="K23" s="2605"/>
      <c r="L23" s="2605"/>
      <c r="M23" s="2606"/>
      <c r="N23" s="2607"/>
      <c r="O23" s="2608">
        <f>SUM(O24:O25)</f>
        <v>0</v>
      </c>
      <c r="P23" s="2609"/>
      <c r="Q23" s="2610"/>
      <c r="R23" s="2608">
        <f>SUM(R24:R25)</f>
        <v>0</v>
      </c>
    </row>
    <row r="24" spans="1:18">
      <c r="A24" s="2578" t="s">
        <v>5130</v>
      </c>
      <c r="B24" s="2582" t="s">
        <v>5128</v>
      </c>
      <c r="C24" s="2611" t="s">
        <v>1321</v>
      </c>
      <c r="D24" s="1616" t="s">
        <v>4358</v>
      </c>
      <c r="E24" s="2612" t="s">
        <v>146</v>
      </c>
      <c r="F24" s="2613"/>
      <c r="G24" s="2613"/>
      <c r="H24" s="2613"/>
      <c r="I24" s="2613"/>
      <c r="J24" s="2613"/>
      <c r="K24" s="2583"/>
      <c r="L24" s="1418"/>
      <c r="M24" s="2465">
        <f>L24/100000</f>
        <v>0</v>
      </c>
      <c r="N24" s="1418"/>
      <c r="O24" s="2465">
        <f>M24*N24</f>
        <v>0</v>
      </c>
      <c r="P24" s="2584"/>
      <c r="Q24" s="2582">
        <f>'Abs10. NLEP'!Q34</f>
        <v>0</v>
      </c>
      <c r="R24" s="2595">
        <f>'Abs10. NLEP'!R34</f>
        <v>0</v>
      </c>
    </row>
    <row r="25" spans="1:18">
      <c r="A25" s="2578" t="s">
        <v>5131</v>
      </c>
      <c r="B25" s="2578" t="s">
        <v>1322</v>
      </c>
      <c r="C25" s="1407" t="s">
        <v>1310</v>
      </c>
      <c r="D25" s="1616" t="s">
        <v>4358</v>
      </c>
      <c r="E25" s="2612" t="s">
        <v>146</v>
      </c>
      <c r="F25" s="2613"/>
      <c r="G25" s="2613"/>
      <c r="H25" s="2613"/>
      <c r="I25" s="2613"/>
      <c r="J25" s="2613"/>
      <c r="K25" s="2583"/>
      <c r="L25" s="1418"/>
      <c r="M25" s="2465">
        <f>L25/100000</f>
        <v>0</v>
      </c>
      <c r="N25" s="1418"/>
      <c r="O25" s="2465">
        <f>M25*N25</f>
        <v>0</v>
      </c>
      <c r="P25" s="2584"/>
      <c r="Q25" s="2582">
        <f>'Abs10. NLEP'!Q35</f>
        <v>0</v>
      </c>
      <c r="R25" s="2595">
        <f>'Abs10. NLEP'!R35</f>
        <v>0</v>
      </c>
    </row>
    <row r="26" spans="1:18">
      <c r="A26" s="2599" t="s">
        <v>5134</v>
      </c>
      <c r="B26" s="2599">
        <v>15.5</v>
      </c>
      <c r="C26" s="2601" t="s">
        <v>4889</v>
      </c>
      <c r="D26" s="2602"/>
      <c r="E26" s="2603"/>
      <c r="F26" s="2604"/>
      <c r="G26" s="2604"/>
      <c r="H26" s="2604"/>
      <c r="I26" s="2604"/>
      <c r="J26" s="2604"/>
      <c r="K26" s="2605"/>
      <c r="L26" s="2605"/>
      <c r="M26" s="2606"/>
      <c r="N26" s="2607"/>
      <c r="O26" s="2608">
        <f>SUM(O27:O30)</f>
        <v>2756.9</v>
      </c>
      <c r="P26" s="2609"/>
      <c r="Q26" s="2610"/>
      <c r="R26" s="2608">
        <f>SUM(R27:R30)</f>
        <v>0</v>
      </c>
    </row>
    <row r="27" spans="1:18" s="2561" customFormat="1" ht="33">
      <c r="A27" s="2578" t="s">
        <v>5135</v>
      </c>
      <c r="B27" s="2578" t="s">
        <v>3902</v>
      </c>
      <c r="C27" s="2614" t="s">
        <v>5593</v>
      </c>
      <c r="D27" s="1616" t="s">
        <v>4358</v>
      </c>
      <c r="E27" s="2615" t="s">
        <v>4674</v>
      </c>
      <c r="F27" s="2616"/>
      <c r="G27" s="2616"/>
      <c r="H27" s="2617"/>
      <c r="I27" s="2617">
        <v>17.600000000000001</v>
      </c>
      <c r="J27" s="2618">
        <v>43.41</v>
      </c>
      <c r="K27" s="2627"/>
      <c r="L27" s="1444">
        <f>400000+60000*6+1000000</f>
        <v>1760000</v>
      </c>
      <c r="M27" s="2597">
        <f>L27/100000</f>
        <v>17.600000000000001</v>
      </c>
      <c r="N27" s="2820">
        <v>1</v>
      </c>
      <c r="O27" s="2597">
        <f>M27*N27</f>
        <v>17.600000000000001</v>
      </c>
      <c r="P27" s="3338" t="s">
        <v>6052</v>
      </c>
      <c r="Q27" s="2578">
        <f>'Abs11. NTEP'!Q52</f>
        <v>0</v>
      </c>
      <c r="R27" s="2619">
        <f>'Abs11. NTEP'!R52</f>
        <v>0</v>
      </c>
    </row>
    <row r="28" spans="1:18" s="2561" customFormat="1" ht="181.5" customHeight="1">
      <c r="A28" s="2578" t="s">
        <v>5136</v>
      </c>
      <c r="B28" s="2614" t="s">
        <v>5132</v>
      </c>
      <c r="C28" s="2614" t="s">
        <v>2354</v>
      </c>
      <c r="D28" s="1616" t="s">
        <v>4358</v>
      </c>
      <c r="E28" s="2615" t="s">
        <v>4674</v>
      </c>
      <c r="F28" s="2620"/>
      <c r="G28" s="2620"/>
      <c r="H28" s="2621"/>
      <c r="I28" s="2621">
        <v>1500</v>
      </c>
      <c r="J28" s="2621">
        <v>0</v>
      </c>
      <c r="K28" s="3340"/>
      <c r="L28" s="1444">
        <v>2500</v>
      </c>
      <c r="M28" s="2597">
        <f>L28/100000</f>
        <v>2.5000000000000001E-2</v>
      </c>
      <c r="N28" s="2820">
        <v>97400</v>
      </c>
      <c r="O28" s="2597">
        <f>M28*N28</f>
        <v>2435</v>
      </c>
      <c r="P28" s="3339" t="s">
        <v>6393</v>
      </c>
      <c r="Q28" s="2578">
        <f>'Abs11. NTEP'!Q53</f>
        <v>0</v>
      </c>
      <c r="R28" s="2619">
        <f>'Abs11. NTEP'!R53</f>
        <v>0</v>
      </c>
    </row>
    <row r="29" spans="1:18" s="2561" customFormat="1" ht="33">
      <c r="A29" s="2578" t="s">
        <v>5137</v>
      </c>
      <c r="B29" s="2614" t="s">
        <v>5133</v>
      </c>
      <c r="C29" s="2622" t="s">
        <v>4059</v>
      </c>
      <c r="D29" s="1616" t="s">
        <v>4358</v>
      </c>
      <c r="E29" s="2615" t="s">
        <v>4674</v>
      </c>
      <c r="F29" s="2620"/>
      <c r="G29" s="2620"/>
      <c r="H29" s="2621"/>
      <c r="I29" s="2621">
        <v>0</v>
      </c>
      <c r="J29" s="2621">
        <v>0</v>
      </c>
      <c r="K29" s="3340"/>
      <c r="L29" s="1444">
        <f>(500+500)</f>
        <v>1000</v>
      </c>
      <c r="M29" s="2597">
        <f>L29/100000</f>
        <v>0.01</v>
      </c>
      <c r="N29" s="2820">
        <v>30000</v>
      </c>
      <c r="O29" s="2597">
        <f>M29*N29</f>
        <v>300</v>
      </c>
      <c r="P29" s="3341" t="s">
        <v>6053</v>
      </c>
      <c r="Q29" s="2578">
        <f>'Abs11. NTEP'!Q54</f>
        <v>0</v>
      </c>
      <c r="R29" s="2619">
        <f>'Abs11. NTEP'!R54</f>
        <v>0</v>
      </c>
    </row>
    <row r="30" spans="1:18" s="2561" customFormat="1" ht="82.5">
      <c r="A30" s="2578" t="s">
        <v>5138</v>
      </c>
      <c r="B30" s="2614" t="s">
        <v>4521</v>
      </c>
      <c r="C30" s="2623" t="s">
        <v>4522</v>
      </c>
      <c r="D30" s="1616" t="s">
        <v>4358</v>
      </c>
      <c r="E30" s="2615" t="s">
        <v>4674</v>
      </c>
      <c r="F30" s="2620"/>
      <c r="G30" s="2620"/>
      <c r="H30" s="2621"/>
      <c r="I30" s="2621">
        <v>4.3</v>
      </c>
      <c r="J30" s="2621">
        <v>0</v>
      </c>
      <c r="K30" s="3340"/>
      <c r="L30" s="1444">
        <f>25000*2+38*2*5000</f>
        <v>430000</v>
      </c>
      <c r="M30" s="2597">
        <f>L30/100000</f>
        <v>4.3</v>
      </c>
      <c r="N30" s="2820">
        <v>1</v>
      </c>
      <c r="O30" s="2597">
        <f>M30*N30</f>
        <v>4.3</v>
      </c>
      <c r="P30" s="3341" t="s">
        <v>6054</v>
      </c>
      <c r="Q30" s="2578">
        <f>'Abs11. NTEP'!Q55</f>
        <v>0</v>
      </c>
      <c r="R30" s="2619">
        <f>'Abs11. NTEP'!R55</f>
        <v>0</v>
      </c>
    </row>
    <row r="31" spans="1:18">
      <c r="A31" s="2599" t="s">
        <v>5139</v>
      </c>
      <c r="B31" s="2599"/>
      <c r="C31" s="2601" t="s">
        <v>5140</v>
      </c>
      <c r="D31" s="2602"/>
      <c r="E31" s="2603"/>
      <c r="F31" s="2604"/>
      <c r="G31" s="2604"/>
      <c r="H31" s="2604"/>
      <c r="I31" s="2604"/>
      <c r="J31" s="2604"/>
      <c r="K31" s="2605"/>
      <c r="L31" s="2605"/>
      <c r="M31" s="2606"/>
      <c r="N31" s="2607"/>
      <c r="O31" s="2608">
        <f>O32</f>
        <v>0</v>
      </c>
      <c r="P31" s="2609"/>
      <c r="Q31" s="2610"/>
      <c r="R31" s="2608">
        <f>R32</f>
        <v>0</v>
      </c>
    </row>
    <row r="32" spans="1:18" s="2561" customFormat="1">
      <c r="A32" s="2578" t="s">
        <v>5141</v>
      </c>
      <c r="B32" s="2624" t="s">
        <v>4407</v>
      </c>
      <c r="C32" s="2596" t="s">
        <v>4408</v>
      </c>
      <c r="D32" s="1616" t="s">
        <v>4358</v>
      </c>
      <c r="E32" s="2625" t="s">
        <v>3316</v>
      </c>
      <c r="F32" s="2626"/>
      <c r="G32" s="2626"/>
      <c r="H32" s="2626"/>
      <c r="I32" s="2626"/>
      <c r="J32" s="2626"/>
      <c r="K32" s="2627"/>
      <c r="L32" s="1418"/>
      <c r="M32" s="2465">
        <f>L32/100000</f>
        <v>0</v>
      </c>
      <c r="N32" s="1418"/>
      <c r="O32" s="2597">
        <f>M32*N32</f>
        <v>0</v>
      </c>
      <c r="P32" s="2628"/>
      <c r="Q32" s="2578">
        <f>'Abs12. NVHCP'!Q39</f>
        <v>0</v>
      </c>
      <c r="R32" s="2550">
        <f>'Abs12. NVHCP'!R39</f>
        <v>0</v>
      </c>
    </row>
    <row r="33" spans="1:18">
      <c r="A33" s="2629" t="s">
        <v>5142</v>
      </c>
      <c r="B33" s="2596"/>
      <c r="C33" s="1451" t="s">
        <v>5143</v>
      </c>
      <c r="D33" s="1616" t="s">
        <v>4358</v>
      </c>
      <c r="E33" s="2580" t="s">
        <v>5105</v>
      </c>
      <c r="F33" s="2581"/>
      <c r="G33" s="2581"/>
      <c r="H33" s="2581"/>
      <c r="I33" s="2581"/>
      <c r="J33" s="2581"/>
      <c r="K33" s="2583"/>
      <c r="L33" s="1418"/>
      <c r="M33" s="2465">
        <f>L33/100000</f>
        <v>0</v>
      </c>
      <c r="N33" s="1418"/>
      <c r="O33" s="2597">
        <f>M33*N33</f>
        <v>0</v>
      </c>
      <c r="P33" s="2598"/>
      <c r="Q33" s="2587"/>
      <c r="R33" s="2588"/>
    </row>
    <row r="34" spans="1:18" s="2561" customFormat="1">
      <c r="A34" s="2573">
        <v>15.4</v>
      </c>
      <c r="B34" s="2574"/>
      <c r="C34" s="2575" t="s">
        <v>5157</v>
      </c>
      <c r="D34" s="2576"/>
      <c r="E34" s="2577"/>
      <c r="F34" s="2585"/>
      <c r="G34" s="2585"/>
      <c r="H34" s="2585"/>
      <c r="I34" s="2585"/>
      <c r="J34" s="2585"/>
      <c r="K34" s="2586"/>
      <c r="L34" s="2586"/>
      <c r="M34" s="1396"/>
      <c r="N34" s="2586"/>
      <c r="O34" s="1396">
        <f>SUM(O35:O37)+SUM(O46:O47)+SUM(O52:O53)</f>
        <v>3021.5999980000001</v>
      </c>
      <c r="P34" s="2586"/>
      <c r="Q34" s="2575"/>
      <c r="R34" s="1396">
        <f>SUM(R35:R37)+SUM(R46:R47)+SUM(R52:R53)</f>
        <v>0</v>
      </c>
    </row>
    <row r="35" spans="1:18" ht="33">
      <c r="A35" s="2578" t="s">
        <v>1320</v>
      </c>
      <c r="B35" s="1474" t="s">
        <v>5145</v>
      </c>
      <c r="C35" s="1474" t="s">
        <v>5144</v>
      </c>
      <c r="D35" s="1365" t="s">
        <v>85</v>
      </c>
      <c r="E35" s="2580" t="s">
        <v>1020</v>
      </c>
      <c r="F35" s="2581"/>
      <c r="G35" s="2581"/>
      <c r="H35" s="2581"/>
      <c r="I35" s="2581"/>
      <c r="J35" s="2581"/>
      <c r="K35" s="2583"/>
      <c r="L35" s="1418"/>
      <c r="M35" s="2465">
        <f>L35/100000</f>
        <v>0</v>
      </c>
      <c r="N35" s="1418"/>
      <c r="O35" s="2465">
        <f>M35*N35</f>
        <v>0</v>
      </c>
      <c r="P35" s="2584"/>
      <c r="Q35" s="2582">
        <f>'Abs22. NPPCD'!Q21</f>
        <v>0</v>
      </c>
      <c r="R35" s="2595">
        <f>'Abs22. NPPCD'!R21</f>
        <v>0</v>
      </c>
    </row>
    <row r="36" spans="1:18" ht="33">
      <c r="A36" s="2578" t="s">
        <v>1322</v>
      </c>
      <c r="B36" s="2611" t="s">
        <v>5147</v>
      </c>
      <c r="C36" s="2611" t="s">
        <v>4471</v>
      </c>
      <c r="D36" s="2630" t="s">
        <v>85</v>
      </c>
      <c r="E36" s="2580" t="s">
        <v>86</v>
      </c>
      <c r="F36" s="2581"/>
      <c r="G36" s="2581"/>
      <c r="H36" s="2581"/>
      <c r="I36" s="2581"/>
      <c r="J36" s="2581"/>
      <c r="K36" s="2631" t="s">
        <v>5916</v>
      </c>
      <c r="L36" s="1418">
        <v>2000</v>
      </c>
      <c r="M36" s="2465">
        <f>L36/100000</f>
        <v>0.02</v>
      </c>
      <c r="N36" s="1418">
        <v>150000</v>
      </c>
      <c r="O36" s="2465">
        <f>M36*N36</f>
        <v>3000</v>
      </c>
      <c r="P36" s="2598" t="s">
        <v>5917</v>
      </c>
      <c r="Q36" s="2582">
        <f>'Abs15. NPCB'!Q33</f>
        <v>0</v>
      </c>
      <c r="R36" s="2595">
        <f>'Abs15. NPCB'!R33</f>
        <v>0</v>
      </c>
    </row>
    <row r="37" spans="1:18">
      <c r="A37" s="2629" t="s">
        <v>5158</v>
      </c>
      <c r="B37" s="2632" t="s">
        <v>5148</v>
      </c>
      <c r="C37" s="2633" t="s">
        <v>5146</v>
      </c>
      <c r="D37" s="2634"/>
      <c r="E37" s="2635"/>
      <c r="F37" s="2636"/>
      <c r="G37" s="2636"/>
      <c r="H37" s="2636"/>
      <c r="I37" s="2636"/>
      <c r="J37" s="2636"/>
      <c r="K37" s="2637"/>
      <c r="L37" s="2637"/>
      <c r="M37" s="1485"/>
      <c r="N37" s="2638"/>
      <c r="O37" s="1485">
        <f>SUM(O38:O45)</f>
        <v>0</v>
      </c>
      <c r="P37" s="2639"/>
      <c r="Q37" s="2629"/>
      <c r="R37" s="1485">
        <f>SUM(R38:R45)</f>
        <v>0</v>
      </c>
    </row>
    <row r="38" spans="1:18">
      <c r="A38" s="2640" t="s">
        <v>5129</v>
      </c>
      <c r="B38" s="2641" t="s">
        <v>1323</v>
      </c>
      <c r="C38" s="2611" t="s">
        <v>4472</v>
      </c>
      <c r="D38" s="2630" t="s">
        <v>85</v>
      </c>
      <c r="E38" s="2580" t="s">
        <v>86</v>
      </c>
      <c r="F38" s="2581"/>
      <c r="G38" s="2581"/>
      <c r="H38" s="2581"/>
      <c r="I38" s="2581"/>
      <c r="J38" s="2581"/>
      <c r="K38" s="2631"/>
      <c r="L38" s="1418"/>
      <c r="M38" s="2465">
        <f>L38/100000</f>
        <v>0</v>
      </c>
      <c r="N38" s="1418"/>
      <c r="O38" s="2465">
        <f>M38*N38</f>
        <v>0</v>
      </c>
      <c r="P38" s="2598"/>
      <c r="Q38" s="2582">
        <f>'Abs15. NPCB'!Q34</f>
        <v>0</v>
      </c>
      <c r="R38" s="2595">
        <f>'Abs15. NPCB'!R34</f>
        <v>0</v>
      </c>
    </row>
    <row r="39" spans="1:18">
      <c r="A39" s="2640" t="s">
        <v>5159</v>
      </c>
      <c r="B39" s="2641" t="s">
        <v>1324</v>
      </c>
      <c r="C39" s="2611" t="s">
        <v>4473</v>
      </c>
      <c r="D39" s="2630" t="s">
        <v>85</v>
      </c>
      <c r="E39" s="2580" t="s">
        <v>86</v>
      </c>
      <c r="F39" s="2581"/>
      <c r="G39" s="2581"/>
      <c r="H39" s="2581"/>
      <c r="I39" s="2581"/>
      <c r="J39" s="2581"/>
      <c r="K39" s="2583"/>
      <c r="L39" s="1418"/>
      <c r="M39" s="2465">
        <f>L39/100000</f>
        <v>0</v>
      </c>
      <c r="N39" s="1418"/>
      <c r="O39" s="2465">
        <f>M39*N39</f>
        <v>0</v>
      </c>
      <c r="P39" s="2598"/>
      <c r="Q39" s="2582">
        <f>'Abs15. NPCB'!Q35</f>
        <v>0</v>
      </c>
      <c r="R39" s="2595">
        <f>'Abs15. NPCB'!R35</f>
        <v>0</v>
      </c>
    </row>
    <row r="40" spans="1:18">
      <c r="A40" s="2640" t="s">
        <v>5592</v>
      </c>
      <c r="B40" s="2641" t="s">
        <v>1325</v>
      </c>
      <c r="C40" s="2611" t="s">
        <v>4474</v>
      </c>
      <c r="D40" s="2630" t="s">
        <v>85</v>
      </c>
      <c r="E40" s="2580" t="s">
        <v>86</v>
      </c>
      <c r="F40" s="2581"/>
      <c r="G40" s="2581"/>
      <c r="H40" s="2581"/>
      <c r="I40" s="2581"/>
      <c r="J40" s="2581"/>
      <c r="K40" s="2631"/>
      <c r="L40" s="1418"/>
      <c r="M40" s="2465">
        <f>L40/100000</f>
        <v>0</v>
      </c>
      <c r="N40" s="1418"/>
      <c r="O40" s="2465">
        <f>M40*N40</f>
        <v>0</v>
      </c>
      <c r="P40" s="2598"/>
      <c r="Q40" s="2582">
        <f>'Abs15. NPCB'!Q36</f>
        <v>0</v>
      </c>
      <c r="R40" s="2595">
        <f>'Abs15. NPCB'!R36</f>
        <v>0</v>
      </c>
    </row>
    <row r="41" spans="1:18">
      <c r="A41" s="2640" t="s">
        <v>5160</v>
      </c>
      <c r="B41" s="2641" t="s">
        <v>1326</v>
      </c>
      <c r="C41" s="2611" t="s">
        <v>4475</v>
      </c>
      <c r="D41" s="2630" t="s">
        <v>85</v>
      </c>
      <c r="E41" s="2580" t="s">
        <v>86</v>
      </c>
      <c r="F41" s="2581"/>
      <c r="G41" s="2581"/>
      <c r="H41" s="2581"/>
      <c r="I41" s="2581"/>
      <c r="J41" s="2581"/>
      <c r="K41" s="2631"/>
      <c r="L41" s="1418"/>
      <c r="M41" s="2465">
        <f>L41/100000</f>
        <v>0</v>
      </c>
      <c r="N41" s="1418"/>
      <c r="O41" s="2465">
        <f>M41*N41</f>
        <v>0</v>
      </c>
      <c r="P41" s="2598"/>
      <c r="Q41" s="2582">
        <f>'Abs15. NPCB'!Q37</f>
        <v>0</v>
      </c>
      <c r="R41" s="2595">
        <f>'Abs15. NPCB'!R37</f>
        <v>0</v>
      </c>
    </row>
    <row r="42" spans="1:18">
      <c r="A42" s="2640" t="s">
        <v>5161</v>
      </c>
      <c r="B42" s="2641" t="s">
        <v>1327</v>
      </c>
      <c r="C42" s="2611" t="s">
        <v>4476</v>
      </c>
      <c r="D42" s="2630" t="s">
        <v>85</v>
      </c>
      <c r="E42" s="2580" t="s">
        <v>86</v>
      </c>
      <c r="F42" s="2581"/>
      <c r="G42" s="2581"/>
      <c r="H42" s="2581"/>
      <c r="I42" s="2581"/>
      <c r="J42" s="2581"/>
      <c r="K42" s="2631"/>
      <c r="L42" s="1418"/>
      <c r="M42" s="2465">
        <f>L42/100000</f>
        <v>0</v>
      </c>
      <c r="N42" s="1418"/>
      <c r="O42" s="2465">
        <f>M42*N42</f>
        <v>0</v>
      </c>
      <c r="P42" s="2584"/>
      <c r="Q42" s="2582">
        <f>'Abs15. NPCB'!Q38</f>
        <v>0</v>
      </c>
      <c r="R42" s="2595">
        <f>'Abs15. NPCB'!R38</f>
        <v>0</v>
      </c>
    </row>
    <row r="43" spans="1:18">
      <c r="A43" s="2642"/>
      <c r="B43" s="2611" t="s">
        <v>5149</v>
      </c>
      <c r="C43" s="2643" t="s">
        <v>4466</v>
      </c>
      <c r="D43" s="2644" t="s">
        <v>85</v>
      </c>
      <c r="E43" s="2645" t="s">
        <v>86</v>
      </c>
      <c r="F43" s="2646"/>
      <c r="G43" s="2646"/>
      <c r="H43" s="2646"/>
      <c r="I43" s="2646"/>
      <c r="J43" s="2646"/>
      <c r="K43" s="2647"/>
      <c r="L43" s="2648"/>
      <c r="M43" s="2649"/>
      <c r="N43" s="2647"/>
      <c r="O43" s="2649"/>
      <c r="P43" s="2650" t="s">
        <v>4465</v>
      </c>
      <c r="Q43" s="2642"/>
      <c r="R43" s="2651"/>
    </row>
    <row r="44" spans="1:18" ht="33">
      <c r="A44" s="2642"/>
      <c r="B44" s="2582" t="s">
        <v>5150</v>
      </c>
      <c r="C44" s="2643" t="s">
        <v>3903</v>
      </c>
      <c r="D44" s="2644" t="s">
        <v>85</v>
      </c>
      <c r="E44" s="2645" t="s">
        <v>86</v>
      </c>
      <c r="F44" s="2646"/>
      <c r="G44" s="2646"/>
      <c r="H44" s="2646"/>
      <c r="I44" s="2646"/>
      <c r="J44" s="2646"/>
      <c r="K44" s="2647"/>
      <c r="L44" s="2648"/>
      <c r="M44" s="2649"/>
      <c r="N44" s="2647"/>
      <c r="O44" s="2649"/>
      <c r="P44" s="2650" t="s">
        <v>4465</v>
      </c>
      <c r="Q44" s="2642"/>
      <c r="R44" s="2651"/>
    </row>
    <row r="45" spans="1:18">
      <c r="A45" s="2578" t="s">
        <v>5162</v>
      </c>
      <c r="B45" s="2578" t="s">
        <v>1328</v>
      </c>
      <c r="C45" s="2611" t="s">
        <v>1310</v>
      </c>
      <c r="D45" s="2630" t="s">
        <v>85</v>
      </c>
      <c r="E45" s="2580" t="s">
        <v>86</v>
      </c>
      <c r="F45" s="2581"/>
      <c r="G45" s="2581"/>
      <c r="H45" s="2581"/>
      <c r="I45" s="2581"/>
      <c r="J45" s="2581"/>
      <c r="K45" s="2583"/>
      <c r="L45" s="1418"/>
      <c r="M45" s="2465">
        <f>L45/100000</f>
        <v>0</v>
      </c>
      <c r="N45" s="1418"/>
      <c r="O45" s="2465">
        <f>M45*N45</f>
        <v>0</v>
      </c>
      <c r="P45" s="2584"/>
      <c r="Q45" s="2582">
        <f>'Abs15. NPCB'!Q39</f>
        <v>0</v>
      </c>
      <c r="R45" s="2595">
        <f>'Abs15. NPCB'!R39</f>
        <v>0</v>
      </c>
    </row>
    <row r="46" spans="1:18">
      <c r="A46" s="2578" t="s">
        <v>5163</v>
      </c>
      <c r="B46" s="1419" t="s">
        <v>1329</v>
      </c>
      <c r="C46" s="2611" t="s">
        <v>5151</v>
      </c>
      <c r="D46" s="2630" t="s">
        <v>85</v>
      </c>
      <c r="E46" s="2612" t="s">
        <v>150</v>
      </c>
      <c r="F46" s="2613"/>
      <c r="G46" s="2613"/>
      <c r="H46" s="2613"/>
      <c r="I46" s="2613"/>
      <c r="J46" s="2613"/>
      <c r="K46" s="2583"/>
      <c r="L46" s="1418"/>
      <c r="M46" s="2465">
        <f>L46/100000</f>
        <v>0</v>
      </c>
      <c r="N46" s="1418"/>
      <c r="O46" s="2465">
        <f>M46*N46</f>
        <v>0</v>
      </c>
      <c r="P46" s="2584"/>
      <c r="Q46" s="2582">
        <f>'Abs16. NMHP'!Q28</f>
        <v>0</v>
      </c>
      <c r="R46" s="2595">
        <f>'Abs16. NMHP'!R28</f>
        <v>0</v>
      </c>
    </row>
    <row r="47" spans="1:18">
      <c r="A47" s="2629" t="s">
        <v>5164</v>
      </c>
      <c r="B47" s="1450" t="s">
        <v>5152</v>
      </c>
      <c r="C47" s="1450" t="s">
        <v>1330</v>
      </c>
      <c r="D47" s="2634"/>
      <c r="E47" s="2635"/>
      <c r="F47" s="2636"/>
      <c r="G47" s="2636"/>
      <c r="H47" s="2636"/>
      <c r="I47" s="2636"/>
      <c r="J47" s="2636"/>
      <c r="K47" s="2637"/>
      <c r="L47" s="2637"/>
      <c r="M47" s="2652"/>
      <c r="N47" s="2653"/>
      <c r="O47" s="2652">
        <f>SUM(O48:O51)</f>
        <v>21.599998000000003</v>
      </c>
      <c r="P47" s="2639"/>
      <c r="Q47" s="2629"/>
      <c r="R47" s="2652">
        <f>SUM(R48:R51)</f>
        <v>0</v>
      </c>
    </row>
    <row r="48" spans="1:18">
      <c r="A48" s="2578" t="s">
        <v>5165</v>
      </c>
      <c r="B48" s="2582" t="s">
        <v>5153</v>
      </c>
      <c r="C48" s="2611" t="s">
        <v>1331</v>
      </c>
      <c r="D48" s="2630" t="s">
        <v>85</v>
      </c>
      <c r="E48" s="2580" t="s">
        <v>415</v>
      </c>
      <c r="F48" s="2581"/>
      <c r="G48" s="2581"/>
      <c r="H48" s="2581"/>
      <c r="I48" s="2581"/>
      <c r="J48" s="2581"/>
      <c r="K48" s="2583"/>
      <c r="L48" s="1418"/>
      <c r="M48" s="2465">
        <f t="shared" ref="M48:M53" si="2">L48/100000</f>
        <v>0</v>
      </c>
      <c r="N48" s="1418"/>
      <c r="O48" s="2465">
        <f t="shared" ref="O48:O53" si="3">M48*N48</f>
        <v>0</v>
      </c>
      <c r="P48" s="2584"/>
      <c r="Q48" s="2582">
        <f>'Abs19. NPCDCS'!Q57</f>
        <v>0</v>
      </c>
      <c r="R48" s="2595">
        <f>'Abs19. NPCDCS'!R57</f>
        <v>0</v>
      </c>
    </row>
    <row r="49" spans="1:18" s="3906" customFormat="1" ht="294" customHeight="1">
      <c r="A49" s="3897" t="s">
        <v>5166</v>
      </c>
      <c r="B49" s="3897" t="s">
        <v>5154</v>
      </c>
      <c r="C49" s="3898" t="s">
        <v>1332</v>
      </c>
      <c r="D49" s="3899" t="s">
        <v>85</v>
      </c>
      <c r="E49" s="3900" t="s">
        <v>415</v>
      </c>
      <c r="F49" s="3901"/>
      <c r="G49" s="3901"/>
      <c r="H49" s="3901"/>
      <c r="I49" s="3901"/>
      <c r="J49" s="3901"/>
      <c r="K49" s="3902" t="s">
        <v>6758</v>
      </c>
      <c r="L49" s="3757">
        <v>154285.70000000001</v>
      </c>
      <c r="M49" s="3903">
        <f t="shared" si="2"/>
        <v>1.5428570000000001</v>
      </c>
      <c r="N49" s="3757">
        <v>14</v>
      </c>
      <c r="O49" s="3903">
        <f t="shared" si="3"/>
        <v>21.599998000000003</v>
      </c>
      <c r="P49" s="3904" t="s">
        <v>6921</v>
      </c>
      <c r="Q49" s="3897">
        <f>'Abs19. NPCDCS'!Q58</f>
        <v>0</v>
      </c>
      <c r="R49" s="3905">
        <f>'Abs19. NPCDCS'!R58</f>
        <v>0</v>
      </c>
    </row>
    <row r="50" spans="1:18">
      <c r="A50" s="2578" t="s">
        <v>5167</v>
      </c>
      <c r="B50" s="2582" t="s">
        <v>5155</v>
      </c>
      <c r="C50" s="2611" t="s">
        <v>1333</v>
      </c>
      <c r="D50" s="2630" t="s">
        <v>85</v>
      </c>
      <c r="E50" s="2580" t="s">
        <v>415</v>
      </c>
      <c r="F50" s="2581"/>
      <c r="G50" s="2581"/>
      <c r="H50" s="2581"/>
      <c r="I50" s="2581"/>
      <c r="J50" s="2581"/>
      <c r="K50" s="2583"/>
      <c r="L50" s="1418"/>
      <c r="M50" s="2465">
        <f t="shared" si="2"/>
        <v>0</v>
      </c>
      <c r="N50" s="1418"/>
      <c r="O50" s="2465">
        <f t="shared" si="3"/>
        <v>0</v>
      </c>
      <c r="P50" s="2584"/>
      <c r="Q50" s="2582">
        <f>'Abs19. NPCDCS'!Q59</f>
        <v>0</v>
      </c>
      <c r="R50" s="2595">
        <f>'Abs19. NPCDCS'!R59</f>
        <v>0</v>
      </c>
    </row>
    <row r="51" spans="1:18">
      <c r="A51" s="2578" t="s">
        <v>5168</v>
      </c>
      <c r="B51" s="2578" t="s">
        <v>1334</v>
      </c>
      <c r="C51" s="2611" t="s">
        <v>1310</v>
      </c>
      <c r="D51" s="2630" t="s">
        <v>85</v>
      </c>
      <c r="E51" s="2580" t="s">
        <v>415</v>
      </c>
      <c r="F51" s="2581"/>
      <c r="G51" s="2581"/>
      <c r="H51" s="2581"/>
      <c r="I51" s="2581"/>
      <c r="J51" s="2581"/>
      <c r="K51" s="2583"/>
      <c r="L51" s="1418"/>
      <c r="M51" s="2465">
        <f t="shared" si="2"/>
        <v>0</v>
      </c>
      <c r="N51" s="1418"/>
      <c r="O51" s="2465">
        <f t="shared" si="3"/>
        <v>0</v>
      </c>
      <c r="P51" s="2584"/>
      <c r="Q51" s="2582">
        <f>'Abs19. NPCDCS'!Q60</f>
        <v>0</v>
      </c>
      <c r="R51" s="2595">
        <f>'Abs19. NPCDCS'!R60</f>
        <v>0</v>
      </c>
    </row>
    <row r="52" spans="1:18" ht="99.75" customHeight="1">
      <c r="A52" s="2578" t="s">
        <v>5169</v>
      </c>
      <c r="B52" s="1407" t="s">
        <v>5156</v>
      </c>
      <c r="C52" s="1407" t="s">
        <v>1339</v>
      </c>
      <c r="D52" s="1365" t="s">
        <v>85</v>
      </c>
      <c r="E52" s="2580" t="s">
        <v>4915</v>
      </c>
      <c r="F52" s="2581"/>
      <c r="G52" s="2581"/>
      <c r="H52" s="2581"/>
      <c r="I52" s="2581"/>
      <c r="J52" s="2581"/>
      <c r="K52" s="2583"/>
      <c r="L52" s="1418"/>
      <c r="M52" s="2465">
        <f t="shared" si="2"/>
        <v>0</v>
      </c>
      <c r="N52" s="1418"/>
      <c r="O52" s="2465">
        <f t="shared" si="3"/>
        <v>0</v>
      </c>
      <c r="P52" s="2598"/>
      <c r="Q52" s="2578">
        <f>'Abs20. PMNDP'!Q23</f>
        <v>0</v>
      </c>
      <c r="R52" s="2619">
        <f>'Abs20. PMNDP'!R23</f>
        <v>0</v>
      </c>
    </row>
    <row r="53" spans="1:18">
      <c r="A53" s="2578" t="s">
        <v>5711</v>
      </c>
      <c r="B53" s="1419"/>
      <c r="C53" s="1407" t="s">
        <v>5171</v>
      </c>
      <c r="D53" s="1365" t="s">
        <v>85</v>
      </c>
      <c r="E53" s="2580" t="s">
        <v>5170</v>
      </c>
      <c r="F53" s="2581"/>
      <c r="G53" s="2581"/>
      <c r="H53" s="2581"/>
      <c r="I53" s="2581"/>
      <c r="J53" s="2581"/>
      <c r="K53" s="2583"/>
      <c r="L53" s="1418"/>
      <c r="M53" s="2465">
        <f t="shared" si="2"/>
        <v>0</v>
      </c>
      <c r="N53" s="1418"/>
      <c r="O53" s="2465">
        <f t="shared" si="3"/>
        <v>0</v>
      </c>
      <c r="P53" s="2584"/>
      <c r="Q53" s="2654"/>
      <c r="R53" s="2655"/>
    </row>
  </sheetData>
  <sheetProtection sheet="1" formatCells="0" formatColumns="0" formatRows="0" autoFilter="0"/>
  <autoFilter ref="A6:R65"/>
  <mergeCells count="18">
    <mergeCell ref="AI1:AO1"/>
    <mergeCell ref="AP1:BA1"/>
    <mergeCell ref="BB1:BB2"/>
    <mergeCell ref="BC1:BC2"/>
    <mergeCell ref="BD1:BD2"/>
    <mergeCell ref="K5:P5"/>
    <mergeCell ref="Q5:R5"/>
    <mergeCell ref="A1:C1"/>
    <mergeCell ref="F5:J5"/>
    <mergeCell ref="A5:A6"/>
    <mergeCell ref="B5:B6"/>
    <mergeCell ref="C5:C6"/>
    <mergeCell ref="D5:D6"/>
    <mergeCell ref="E5:E6"/>
    <mergeCell ref="E1:E2"/>
    <mergeCell ref="F1:N1"/>
    <mergeCell ref="A2:A4"/>
    <mergeCell ref="O1:AH1"/>
  </mergeCells>
  <phoneticPr fontId="27" type="noConversion"/>
  <pageMargins left="0.7" right="0.7" top="0.53" bottom="0.49" header="0.3" footer="0.3"/>
  <pageSetup paperSize="5" scale="75" orientation="landscape" r:id="rId1"/>
</worksheet>
</file>

<file path=xl/worksheets/sheet29.xml><?xml version="1.0" encoding="utf-8"?>
<worksheet xmlns="http://schemas.openxmlformats.org/spreadsheetml/2006/main" xmlns:r="http://schemas.openxmlformats.org/officeDocument/2006/relationships">
  <sheetPr codeName="Sheet45"/>
  <dimension ref="A1:BD142"/>
  <sheetViews>
    <sheetView zoomScale="80" zoomScaleNormal="80" workbookViewId="0">
      <pane xSplit="3" ySplit="7" topLeftCell="D73" activePane="bottomRight" state="frozen"/>
      <selection activeCell="Q172" sqref="A1:BE179"/>
      <selection pane="topRight" activeCell="Q172" sqref="A1:BE179"/>
      <selection pane="bottomLeft" activeCell="Q172" sqref="A1:BE179"/>
      <selection pane="bottomRight" activeCell="M80" sqref="M80:M90"/>
    </sheetView>
  </sheetViews>
  <sheetFormatPr defaultColWidth="9.140625" defaultRowHeight="16.5"/>
  <cols>
    <col min="1" max="1" width="14" style="2722" customWidth="1"/>
    <col min="2" max="2" width="21.85546875" style="2661" customWidth="1"/>
    <col min="3" max="3" width="42.140625" style="2659" customWidth="1"/>
    <col min="4" max="4" width="19.7109375" style="2659" customWidth="1"/>
    <col min="5" max="5" width="20.28515625" style="2723" hidden="1" customWidth="1"/>
    <col min="6" max="6" width="24.85546875" style="2723" hidden="1" customWidth="1"/>
    <col min="7" max="7" width="16.42578125" style="2723" hidden="1" customWidth="1"/>
    <col min="8" max="8" width="17.85546875" style="2723" hidden="1" customWidth="1"/>
    <col min="9" max="9" width="15.5703125" style="2723" hidden="1" customWidth="1"/>
    <col min="10" max="10" width="16.5703125" style="2723" customWidth="1"/>
    <col min="11" max="11" width="17.7109375" style="2659" customWidth="1"/>
    <col min="12" max="12" width="10.5703125" style="2659" customWidth="1"/>
    <col min="13" max="13" width="15.5703125" style="2724" customWidth="1"/>
    <col min="14" max="14" width="15" style="2659" customWidth="1"/>
    <col min="15" max="15" width="45" style="2725" customWidth="1"/>
    <col min="16" max="16" width="50.5703125" style="2726" hidden="1" customWidth="1"/>
    <col min="17" max="17" width="11.140625" style="2724" hidden="1" customWidth="1"/>
    <col min="18" max="33" width="0" style="2659" hidden="1" customWidth="1"/>
    <col min="34" max="34" width="21.85546875" style="2659" hidden="1" customWidth="1"/>
    <col min="35" max="56" width="0" style="2659" hidden="1" customWidth="1"/>
    <col min="57" max="16384" width="9.140625" style="2659"/>
  </cols>
  <sheetData>
    <row r="1" spans="1:56">
      <c r="A1" s="4535" t="s">
        <v>2153</v>
      </c>
      <c r="B1" s="4536"/>
      <c r="C1" s="4537"/>
      <c r="D1" s="2658"/>
      <c r="E1" s="4391" t="s">
        <v>4709</v>
      </c>
      <c r="F1" s="4427" t="s">
        <v>4707</v>
      </c>
      <c r="G1" s="4428"/>
      <c r="H1" s="4428"/>
      <c r="I1" s="4428"/>
      <c r="J1" s="4428"/>
      <c r="K1" s="4428"/>
      <c r="L1" s="4428"/>
      <c r="M1" s="4428"/>
      <c r="N1" s="4429"/>
      <c r="O1" s="4430" t="s">
        <v>70</v>
      </c>
      <c r="P1" s="4431"/>
      <c r="Q1" s="4431"/>
      <c r="R1" s="4431"/>
      <c r="S1" s="4431"/>
      <c r="T1" s="4431"/>
      <c r="U1" s="4431"/>
      <c r="V1" s="4431"/>
      <c r="W1" s="4431"/>
      <c r="X1" s="4431"/>
      <c r="Y1" s="4431"/>
      <c r="Z1" s="4431"/>
      <c r="AA1" s="4431"/>
      <c r="AB1" s="4431"/>
      <c r="AC1" s="4431"/>
      <c r="AD1" s="4431"/>
      <c r="AE1" s="4431"/>
      <c r="AF1" s="4431"/>
      <c r="AG1" s="4431"/>
      <c r="AH1" s="4431"/>
      <c r="AI1" s="4416" t="s">
        <v>4358</v>
      </c>
      <c r="AJ1" s="4417"/>
      <c r="AK1" s="4417"/>
      <c r="AL1" s="4417"/>
      <c r="AM1" s="4417"/>
      <c r="AN1" s="4417"/>
      <c r="AO1" s="4418"/>
      <c r="AP1" s="4560" t="s">
        <v>85</v>
      </c>
      <c r="AQ1" s="4560"/>
      <c r="AR1" s="4560"/>
      <c r="AS1" s="4560"/>
      <c r="AT1" s="4560"/>
      <c r="AU1" s="4560"/>
      <c r="AV1" s="4560"/>
      <c r="AW1" s="4560"/>
      <c r="AX1" s="4560"/>
      <c r="AY1" s="4560"/>
      <c r="AZ1" s="4560"/>
      <c r="BA1" s="4560"/>
      <c r="BB1" s="4557" t="s">
        <v>5104</v>
      </c>
      <c r="BC1" s="4558" t="s">
        <v>5105</v>
      </c>
      <c r="BD1" s="4559" t="s">
        <v>5170</v>
      </c>
    </row>
    <row r="2" spans="1:56" s="2661" customFormat="1" ht="33">
      <c r="A2" s="4365" t="str">
        <f>HYPERLINK("#Index!A4", "Index Pg")</f>
        <v>Index Pg</v>
      </c>
      <c r="B2" s="2134" t="str">
        <f>HYPERLINK("#'Summary of Abstracts'!A2", "Summary of Abst.")</f>
        <v>Summary of Abst.</v>
      </c>
      <c r="C2" s="1278"/>
      <c r="D2" s="2660"/>
      <c r="E2" s="4391"/>
      <c r="F2" s="1279" t="s">
        <v>118</v>
      </c>
      <c r="G2" s="1279" t="s">
        <v>131</v>
      </c>
      <c r="H2" s="1279" t="s">
        <v>91</v>
      </c>
      <c r="I2" s="1279" t="s">
        <v>4705</v>
      </c>
      <c r="J2" s="1279" t="s">
        <v>96</v>
      </c>
      <c r="K2" s="1352" t="s">
        <v>4064</v>
      </c>
      <c r="L2" s="1280" t="s">
        <v>4706</v>
      </c>
      <c r="M2" s="1279" t="s">
        <v>4710</v>
      </c>
      <c r="N2" s="1280" t="s">
        <v>208</v>
      </c>
      <c r="O2" s="1281" t="s">
        <v>4357</v>
      </c>
      <c r="P2" s="1282" t="s">
        <v>3848</v>
      </c>
      <c r="Q2" s="1282" t="s">
        <v>4719</v>
      </c>
      <c r="R2" s="1282" t="s">
        <v>4716</v>
      </c>
      <c r="S2" s="1282" t="s">
        <v>4717</v>
      </c>
      <c r="T2" s="1282" t="s">
        <v>4718</v>
      </c>
      <c r="U2" s="1282" t="s">
        <v>4720</v>
      </c>
      <c r="V2" s="1282" t="s">
        <v>4695</v>
      </c>
      <c r="W2" s="1282" t="s">
        <v>4721</v>
      </c>
      <c r="X2" s="1282" t="s">
        <v>33</v>
      </c>
      <c r="Y2" s="1282" t="s">
        <v>4722</v>
      </c>
      <c r="Z2" s="1282" t="s">
        <v>4723</v>
      </c>
      <c r="AA2" s="1282" t="s">
        <v>4713</v>
      </c>
      <c r="AB2" s="1282" t="s">
        <v>742</v>
      </c>
      <c r="AC2" s="1282" t="s">
        <v>4714</v>
      </c>
      <c r="AD2" s="1282" t="s">
        <v>4715</v>
      </c>
      <c r="AE2" s="1282" t="s">
        <v>2379</v>
      </c>
      <c r="AF2" s="1282" t="s">
        <v>4724</v>
      </c>
      <c r="AG2" s="1282" t="s">
        <v>3847</v>
      </c>
      <c r="AH2" s="1282" t="s">
        <v>5187</v>
      </c>
      <c r="AI2" s="1283" t="s">
        <v>293</v>
      </c>
      <c r="AJ2" s="1283" t="s">
        <v>114</v>
      </c>
      <c r="AK2" s="1283" t="s">
        <v>146</v>
      </c>
      <c r="AL2" s="1283" t="s">
        <v>4674</v>
      </c>
      <c r="AM2" s="1283" t="s">
        <v>3316</v>
      </c>
      <c r="AN2" s="1283" t="s">
        <v>3986</v>
      </c>
      <c r="AO2" s="1283" t="s">
        <v>4544</v>
      </c>
      <c r="AP2" s="1284" t="s">
        <v>86</v>
      </c>
      <c r="AQ2" s="1284" t="s">
        <v>150</v>
      </c>
      <c r="AR2" s="1284" t="s">
        <v>399</v>
      </c>
      <c r="AS2" s="1284" t="s">
        <v>152</v>
      </c>
      <c r="AT2" s="1284" t="s">
        <v>415</v>
      </c>
      <c r="AU2" s="1284" t="s">
        <v>4598</v>
      </c>
      <c r="AV2" s="1284" t="s">
        <v>4124</v>
      </c>
      <c r="AW2" s="1284" t="s">
        <v>312</v>
      </c>
      <c r="AX2" s="1284" t="s">
        <v>314</v>
      </c>
      <c r="AY2" s="1284" t="s">
        <v>1034</v>
      </c>
      <c r="AZ2" s="1284" t="s">
        <v>1020</v>
      </c>
      <c r="BA2" s="1284" t="s">
        <v>4708</v>
      </c>
      <c r="BB2" s="4557"/>
      <c r="BC2" s="4558"/>
      <c r="BD2" s="4559"/>
    </row>
    <row r="3" spans="1:56" s="2661" customFormat="1">
      <c r="A3" s="4366"/>
      <c r="B3" s="1287" t="str">
        <f>HYPERLINK("#'Budget Summary I'!A1:AL1", "Budget Summary I")</f>
        <v>Budget Summary I</v>
      </c>
      <c r="C3" s="1286" t="s">
        <v>4599</v>
      </c>
      <c r="D3" s="2660"/>
      <c r="E3" s="1872">
        <f>Q7</f>
        <v>0</v>
      </c>
      <c r="F3" s="1338"/>
      <c r="G3" s="1338"/>
      <c r="H3" s="1338"/>
      <c r="I3" s="1338"/>
      <c r="J3" s="1338"/>
      <c r="K3" s="1508">
        <f>Q13</f>
        <v>0</v>
      </c>
      <c r="L3" s="1338"/>
      <c r="M3" s="1338"/>
      <c r="N3" s="1508"/>
      <c r="O3" s="1508"/>
      <c r="P3" s="1508"/>
      <c r="Q3" s="1508"/>
      <c r="R3" s="1508"/>
      <c r="S3" s="1508"/>
      <c r="T3" s="1508"/>
      <c r="U3" s="1508"/>
      <c r="V3" s="1508"/>
      <c r="W3" s="1508"/>
      <c r="X3" s="1508"/>
      <c r="Y3" s="1508"/>
      <c r="Z3" s="1508"/>
      <c r="AA3" s="1508"/>
      <c r="AB3" s="1508"/>
      <c r="AC3" s="1508">
        <f>Q25+Q30+Q68+Q105+Q140+Q141+Q10</f>
        <v>0</v>
      </c>
      <c r="AD3" s="1508"/>
      <c r="AE3" s="1508">
        <f>Q17</f>
        <v>0</v>
      </c>
      <c r="AF3" s="1508"/>
      <c r="AG3" s="1508"/>
      <c r="AH3" s="1508">
        <f>Q26</f>
        <v>0</v>
      </c>
      <c r="AI3" s="1508"/>
      <c r="AJ3" s="1508"/>
      <c r="AK3" s="1508"/>
      <c r="AL3" s="1508"/>
      <c r="AM3" s="1508"/>
      <c r="AN3" s="1508"/>
      <c r="AO3" s="1508"/>
      <c r="AP3" s="1508"/>
      <c r="AQ3" s="1508"/>
      <c r="AR3" s="1508"/>
      <c r="AS3" s="1508"/>
      <c r="AT3" s="1508"/>
      <c r="AU3" s="1508"/>
      <c r="AV3" s="1508"/>
      <c r="AW3" s="1508"/>
      <c r="AX3" s="1508"/>
      <c r="AY3" s="1508"/>
      <c r="AZ3" s="1508"/>
      <c r="BA3" s="1508"/>
      <c r="BB3" s="2553">
        <f>Q9</f>
        <v>0</v>
      </c>
      <c r="BC3" s="2553">
        <f>Q11+Q43+Q80+Q117</f>
        <v>0</v>
      </c>
      <c r="BD3" s="2553">
        <f>Q12+Q55+Q92+Q129</f>
        <v>0</v>
      </c>
    </row>
    <row r="4" spans="1:56" s="2661" customFormat="1">
      <c r="A4" s="4367"/>
      <c r="B4" s="1287" t="str">
        <f>HYPERLINK("#'Budget Summary II'!A3:B5", "Budget Summary II")</f>
        <v>Budget Summary II</v>
      </c>
      <c r="C4" s="1286" t="s">
        <v>4600</v>
      </c>
      <c r="D4" s="2660"/>
      <c r="E4" s="1872">
        <f>N7</f>
        <v>33912.039045590005</v>
      </c>
      <c r="F4" s="1338"/>
      <c r="G4" s="1338"/>
      <c r="H4" s="1338"/>
      <c r="I4" s="1338"/>
      <c r="J4" s="1338"/>
      <c r="K4" s="1508">
        <f>N13</f>
        <v>877.4</v>
      </c>
      <c r="L4" s="1338"/>
      <c r="M4" s="1338"/>
      <c r="N4" s="1508"/>
      <c r="O4" s="1508"/>
      <c r="P4" s="1508"/>
      <c r="Q4" s="1508"/>
      <c r="R4" s="1508"/>
      <c r="S4" s="1508"/>
      <c r="T4" s="1508"/>
      <c r="U4" s="1508"/>
      <c r="V4" s="1508"/>
      <c r="W4" s="1508"/>
      <c r="X4" s="1508"/>
      <c r="Y4" s="1508"/>
      <c r="Z4" s="1508"/>
      <c r="AA4" s="1508"/>
      <c r="AB4" s="1508"/>
      <c r="AC4" s="1508">
        <f>N25+N30+N68+N105+N140+N141+N10</f>
        <v>21337.704000000002</v>
      </c>
      <c r="AD4" s="1508"/>
      <c r="AE4" s="1508">
        <f>N17</f>
        <v>3029.9084000000003</v>
      </c>
      <c r="AF4" s="1508"/>
      <c r="AG4" s="1508"/>
      <c r="AH4" s="1508">
        <f>N26</f>
        <v>0</v>
      </c>
      <c r="AI4" s="1508"/>
      <c r="AJ4" s="1508"/>
      <c r="AK4" s="1508"/>
      <c r="AL4" s="1508"/>
      <c r="AM4" s="1508"/>
      <c r="AN4" s="1508"/>
      <c r="AO4" s="1508"/>
      <c r="AP4" s="1508"/>
      <c r="AQ4" s="1508"/>
      <c r="AR4" s="1508"/>
      <c r="AS4" s="1508"/>
      <c r="AT4" s="1508"/>
      <c r="AU4" s="1508"/>
      <c r="AV4" s="1508"/>
      <c r="AW4" s="1508"/>
      <c r="AX4" s="1508"/>
      <c r="AY4" s="1508"/>
      <c r="AZ4" s="1508"/>
      <c r="BA4" s="1508"/>
      <c r="BB4" s="2553">
        <f>N9</f>
        <v>1395.64698559</v>
      </c>
      <c r="BC4" s="2553">
        <f>N11+N43+N80+N117</f>
        <v>6336.1563499999993</v>
      </c>
      <c r="BD4" s="2553">
        <f>N12+N55+N92+N129</f>
        <v>704.38997999999992</v>
      </c>
    </row>
    <row r="5" spans="1:56" s="2662" customFormat="1">
      <c r="A5" s="4343" t="s">
        <v>53</v>
      </c>
      <c r="B5" s="4343" t="s">
        <v>54</v>
      </c>
      <c r="C5" s="4343" t="s">
        <v>55</v>
      </c>
      <c r="D5" s="4343" t="s">
        <v>4670</v>
      </c>
      <c r="E5" s="4339" t="s">
        <v>4620</v>
      </c>
      <c r="F5" s="4339"/>
      <c r="G5" s="4339"/>
      <c r="H5" s="4339"/>
      <c r="I5" s="4339"/>
      <c r="J5" s="4340" t="s">
        <v>4631</v>
      </c>
      <c r="K5" s="4380"/>
      <c r="L5" s="4380"/>
      <c r="M5" s="4380"/>
      <c r="N5" s="4380"/>
      <c r="O5" s="4381"/>
      <c r="P5" s="4422" t="s">
        <v>4661</v>
      </c>
      <c r="Q5" s="4423"/>
    </row>
    <row r="6" spans="1:56" s="2663" customFormat="1" ht="66">
      <c r="A6" s="4343"/>
      <c r="B6" s="4343"/>
      <c r="C6" s="4343"/>
      <c r="D6" s="4343"/>
      <c r="E6" s="1288" t="s">
        <v>4621</v>
      </c>
      <c r="F6" s="1288" t="s">
        <v>4629</v>
      </c>
      <c r="G6" s="1288" t="s">
        <v>4622</v>
      </c>
      <c r="H6" s="1288" t="s">
        <v>4630</v>
      </c>
      <c r="I6" s="1288" t="s">
        <v>2534</v>
      </c>
      <c r="J6" s="1289" t="s">
        <v>58</v>
      </c>
      <c r="K6" s="1289" t="s">
        <v>59</v>
      </c>
      <c r="L6" s="1987" t="s">
        <v>60</v>
      </c>
      <c r="M6" s="1289" t="s">
        <v>61</v>
      </c>
      <c r="N6" s="1987" t="s">
        <v>62</v>
      </c>
      <c r="O6" s="1289" t="s">
        <v>5564</v>
      </c>
      <c r="P6" s="1291" t="s">
        <v>2536</v>
      </c>
      <c r="Q6" s="1988" t="s">
        <v>4662</v>
      </c>
    </row>
    <row r="7" spans="1:56" s="2666" customFormat="1">
      <c r="A7" s="2554">
        <v>16</v>
      </c>
      <c r="B7" s="2555"/>
      <c r="C7" s="2554" t="s">
        <v>34</v>
      </c>
      <c r="D7" s="2554"/>
      <c r="E7" s="2555"/>
      <c r="F7" s="2555"/>
      <c r="G7" s="2555"/>
      <c r="H7" s="2555"/>
      <c r="I7" s="2555"/>
      <c r="J7" s="2555"/>
      <c r="K7" s="2554"/>
      <c r="L7" s="2664"/>
      <c r="M7" s="2554"/>
      <c r="N7" s="2664">
        <f>SUM(N8+N13+N17+N23)</f>
        <v>33912.039045590005</v>
      </c>
      <c r="O7" s="2665"/>
      <c r="P7" s="2554"/>
      <c r="Q7" s="2664">
        <f>SUM(Q8+Q13+Q17+Q23)</f>
        <v>0</v>
      </c>
    </row>
    <row r="8" spans="1:56" ht="33">
      <c r="A8" s="2667">
        <v>16.100000000000001</v>
      </c>
      <c r="B8" s="2667"/>
      <c r="C8" s="2668" t="s">
        <v>3684</v>
      </c>
      <c r="D8" s="2667"/>
      <c r="E8" s="2667"/>
      <c r="F8" s="2667"/>
      <c r="G8" s="2667"/>
      <c r="H8" s="2667"/>
      <c r="I8" s="2667"/>
      <c r="J8" s="2667"/>
      <c r="K8" s="2667"/>
      <c r="L8" s="2669"/>
      <c r="M8" s="2670"/>
      <c r="N8" s="2669">
        <f>SUM(N9:N12)</f>
        <v>7128.2703155899999</v>
      </c>
      <c r="O8" s="2671"/>
      <c r="P8" s="2667"/>
      <c r="Q8" s="2669">
        <f>'16-A. PM sub Annex'!T5</f>
        <v>0</v>
      </c>
    </row>
    <row r="9" spans="1:56" ht="33">
      <c r="A9" s="2672" t="s">
        <v>3367</v>
      </c>
      <c r="B9" s="2672"/>
      <c r="C9" s="2673" t="s">
        <v>5172</v>
      </c>
      <c r="D9" s="4539" t="s">
        <v>5176</v>
      </c>
      <c r="E9" s="2674"/>
      <c r="F9" s="2674"/>
      <c r="G9" s="2674"/>
      <c r="H9" s="2674"/>
      <c r="I9" s="2674"/>
      <c r="J9" s="2674"/>
      <c r="K9" s="2674"/>
      <c r="L9" s="2675"/>
      <c r="M9" s="2676"/>
      <c r="N9" s="2675">
        <f>'16-A. PM sub Annex'!G2</f>
        <v>1395.64698559</v>
      </c>
      <c r="O9" s="2537"/>
      <c r="P9" s="2674"/>
      <c r="Q9" s="2677"/>
    </row>
    <row r="10" spans="1:56">
      <c r="A10" s="2672" t="s">
        <v>3374</v>
      </c>
      <c r="B10" s="2672"/>
      <c r="C10" s="2673" t="s">
        <v>5173</v>
      </c>
      <c r="D10" s="4540"/>
      <c r="E10" s="2674"/>
      <c r="F10" s="2674"/>
      <c r="G10" s="2674"/>
      <c r="H10" s="2674"/>
      <c r="I10" s="2674"/>
      <c r="J10" s="2674"/>
      <c r="K10" s="2674"/>
      <c r="L10" s="2675"/>
      <c r="M10" s="2676"/>
      <c r="N10" s="2675">
        <f>'16-A. PM sub Annex'!H2</f>
        <v>3848.5970000000002</v>
      </c>
      <c r="O10" s="2537"/>
      <c r="P10" s="2674"/>
      <c r="Q10" s="2677"/>
    </row>
    <row r="11" spans="1:56">
      <c r="A11" s="2672" t="s">
        <v>3375</v>
      </c>
      <c r="B11" s="2672"/>
      <c r="C11" s="2673" t="s">
        <v>5174</v>
      </c>
      <c r="D11" s="4540"/>
      <c r="E11" s="2674"/>
      <c r="F11" s="2674"/>
      <c r="G11" s="2674"/>
      <c r="H11" s="2674"/>
      <c r="I11" s="2674"/>
      <c r="J11" s="2674"/>
      <c r="K11" s="2674"/>
      <c r="L11" s="2675"/>
      <c r="M11" s="2676"/>
      <c r="N11" s="2675">
        <f>'16-A. PM sub Annex'!I2</f>
        <v>1634.1063499999998</v>
      </c>
      <c r="O11" s="2537"/>
      <c r="P11" s="2674"/>
      <c r="Q11" s="2677"/>
    </row>
    <row r="12" spans="1:56">
      <c r="A12" s="2672" t="s">
        <v>3377</v>
      </c>
      <c r="B12" s="2672"/>
      <c r="C12" s="2673" t="s">
        <v>5175</v>
      </c>
      <c r="D12" s="4541"/>
      <c r="E12" s="2674"/>
      <c r="F12" s="2674"/>
      <c r="G12" s="2674"/>
      <c r="H12" s="2674"/>
      <c r="I12" s="2674"/>
      <c r="J12" s="2674"/>
      <c r="K12" s="2674"/>
      <c r="L12" s="2675"/>
      <c r="M12" s="2676"/>
      <c r="N12" s="2675">
        <f>'16-A. PM sub Annex'!J2</f>
        <v>249.91997999999998</v>
      </c>
      <c r="O12" s="2537"/>
      <c r="P12" s="2674"/>
      <c r="Q12" s="2677"/>
    </row>
    <row r="13" spans="1:56">
      <c r="A13" s="2667">
        <v>16.2</v>
      </c>
      <c r="B13" s="2667"/>
      <c r="C13" s="2667" t="s">
        <v>2907</v>
      </c>
      <c r="D13" s="2667"/>
      <c r="E13" s="2678"/>
      <c r="F13" s="2678"/>
      <c r="G13" s="2678"/>
      <c r="H13" s="2678"/>
      <c r="I13" s="2678"/>
      <c r="J13" s="2678"/>
      <c r="K13" s="2678"/>
      <c r="L13" s="2669"/>
      <c r="M13" s="2679"/>
      <c r="N13" s="2669">
        <f>SUM(N14:N16)</f>
        <v>877.4</v>
      </c>
      <c r="O13" s="2537"/>
      <c r="P13" s="2667"/>
      <c r="Q13" s="2669">
        <f>SUM(Q14:Q16)</f>
        <v>0</v>
      </c>
    </row>
    <row r="14" spans="1:56">
      <c r="A14" s="2680" t="s">
        <v>3389</v>
      </c>
      <c r="B14" s="2681" t="s">
        <v>2326</v>
      </c>
      <c r="C14" s="2680" t="s">
        <v>4114</v>
      </c>
      <c r="D14" s="2682"/>
      <c r="E14" s="2683"/>
      <c r="F14" s="2683"/>
      <c r="G14" s="2683"/>
      <c r="H14" s="2683"/>
      <c r="I14" s="2683"/>
      <c r="J14" s="2683"/>
      <c r="K14" s="1317"/>
      <c r="L14" s="1857">
        <f>K14/100000</f>
        <v>0</v>
      </c>
      <c r="M14" s="1317"/>
      <c r="N14" s="2684">
        <f>L14*M14</f>
        <v>0</v>
      </c>
      <c r="O14" s="2537"/>
      <c r="P14" s="2680">
        <f>'Ab1. RMNCH+A'!Q391</f>
        <v>0</v>
      </c>
      <c r="Q14" s="2524">
        <f>'Ab1. RMNCH+A'!R391</f>
        <v>0</v>
      </c>
    </row>
    <row r="15" spans="1:56">
      <c r="A15" s="2680" t="s">
        <v>3433</v>
      </c>
      <c r="B15" s="2681" t="s">
        <v>2220</v>
      </c>
      <c r="C15" s="2680" t="s">
        <v>2908</v>
      </c>
      <c r="D15" s="2682"/>
      <c r="E15" s="2683"/>
      <c r="F15" s="2683"/>
      <c r="G15" s="2683"/>
      <c r="H15" s="2683"/>
      <c r="I15" s="2683"/>
      <c r="J15" s="2683"/>
      <c r="K15" s="1317"/>
      <c r="L15" s="1857">
        <f>K15/100000</f>
        <v>0</v>
      </c>
      <c r="M15" s="1317"/>
      <c r="N15" s="2684">
        <f>L15*M15</f>
        <v>0</v>
      </c>
      <c r="O15" s="2537"/>
      <c r="P15" s="2680">
        <f>'Ab1. RMNCH+A'!Q392</f>
        <v>0</v>
      </c>
      <c r="Q15" s="2524">
        <f>'Ab1. RMNCH+A'!R392</f>
        <v>0</v>
      </c>
    </row>
    <row r="16" spans="1:56" s="2661" customFormat="1" ht="107.25" customHeight="1">
      <c r="A16" s="2672" t="s">
        <v>3685</v>
      </c>
      <c r="B16" s="2672" t="s">
        <v>2327</v>
      </c>
      <c r="C16" s="1831" t="s">
        <v>3686</v>
      </c>
      <c r="D16" s="2685"/>
      <c r="E16" s="2686"/>
      <c r="F16" s="2686"/>
      <c r="G16" s="2686"/>
      <c r="H16" s="2686"/>
      <c r="I16" s="2686"/>
      <c r="J16" s="2686"/>
      <c r="K16" s="2687">
        <v>2140000</v>
      </c>
      <c r="L16" s="2688">
        <f>K16/100000</f>
        <v>21.4</v>
      </c>
      <c r="M16" s="2687">
        <v>41</v>
      </c>
      <c r="N16" s="2675">
        <f>L16*M16</f>
        <v>877.4</v>
      </c>
      <c r="O16" s="2537" t="s">
        <v>5907</v>
      </c>
      <c r="P16" s="2672">
        <f>'Ab1. RMNCH+A'!Q393</f>
        <v>0</v>
      </c>
      <c r="Q16" s="2505">
        <f>'Ab1. RMNCH+A'!R393</f>
        <v>0</v>
      </c>
    </row>
    <row r="17" spans="1:17">
      <c r="A17" s="2667">
        <v>16.3</v>
      </c>
      <c r="B17" s="2667"/>
      <c r="C17" s="2667" t="s">
        <v>2909</v>
      </c>
      <c r="D17" s="2667"/>
      <c r="E17" s="2678"/>
      <c r="F17" s="2678"/>
      <c r="G17" s="2678"/>
      <c r="H17" s="2678"/>
      <c r="I17" s="2678"/>
      <c r="J17" s="2678"/>
      <c r="K17" s="2678"/>
      <c r="L17" s="2669"/>
      <c r="M17" s="2678"/>
      <c r="N17" s="2669">
        <f>SUM(N18:N22)</f>
        <v>3029.9084000000003</v>
      </c>
      <c r="O17" s="2537"/>
      <c r="P17" s="2667"/>
      <c r="Q17" s="2669">
        <f>SUM(Q18:Q22)</f>
        <v>0</v>
      </c>
    </row>
    <row r="18" spans="1:17" ht="270.75" customHeight="1">
      <c r="A18" s="2680" t="s">
        <v>3464</v>
      </c>
      <c r="B18" s="2689" t="s">
        <v>2910</v>
      </c>
      <c r="C18" s="2680" t="s">
        <v>4115</v>
      </c>
      <c r="D18" s="2682"/>
      <c r="E18" s="2683"/>
      <c r="F18" s="2683"/>
      <c r="G18" s="2683"/>
      <c r="H18" s="2683"/>
      <c r="I18" s="2683"/>
      <c r="J18" s="2690" t="s">
        <v>5822</v>
      </c>
      <c r="K18" s="1317">
        <v>245412</v>
      </c>
      <c r="L18" s="1857">
        <f>K18/100000</f>
        <v>2.4541200000000001</v>
      </c>
      <c r="M18" s="1317">
        <v>1070</v>
      </c>
      <c r="N18" s="2684">
        <f>L18*M18</f>
        <v>2625.9084000000003</v>
      </c>
      <c r="O18" s="2537" t="s">
        <v>6608</v>
      </c>
      <c r="P18" s="2691">
        <f>'Ab4. HMIS-MCTS'!Q21</f>
        <v>0</v>
      </c>
      <c r="Q18" s="2542">
        <f>'Ab4. HMIS-MCTS'!R21</f>
        <v>0</v>
      </c>
    </row>
    <row r="19" spans="1:17">
      <c r="A19" s="2680" t="s">
        <v>3503</v>
      </c>
      <c r="B19" s="2689" t="s">
        <v>2911</v>
      </c>
      <c r="C19" s="2680" t="s">
        <v>2912</v>
      </c>
      <c r="D19" s="2682"/>
      <c r="E19" s="2683"/>
      <c r="F19" s="2683"/>
      <c r="G19" s="2683"/>
      <c r="H19" s="2692"/>
      <c r="I19" s="2692"/>
      <c r="J19" s="2683"/>
      <c r="K19" s="1317"/>
      <c r="L19" s="1857">
        <f>K19/100000</f>
        <v>0</v>
      </c>
      <c r="M19" s="1317"/>
      <c r="N19" s="2684">
        <f>L19*M19</f>
        <v>0</v>
      </c>
      <c r="O19" s="2537"/>
      <c r="P19" s="2691">
        <f>'Ab4. HMIS-MCTS'!Q22</f>
        <v>0</v>
      </c>
      <c r="Q19" s="2542">
        <f>'Ab4. HMIS-MCTS'!R22</f>
        <v>0</v>
      </c>
    </row>
    <row r="20" spans="1:17" ht="301.5" customHeight="1">
      <c r="A20" s="2680" t="s">
        <v>3509</v>
      </c>
      <c r="B20" s="2689" t="s">
        <v>2913</v>
      </c>
      <c r="C20" s="2689" t="s">
        <v>2914</v>
      </c>
      <c r="D20" s="2682"/>
      <c r="E20" s="2683"/>
      <c r="F20" s="2683"/>
      <c r="G20" s="2693">
        <v>2.82</v>
      </c>
      <c r="H20" s="2694">
        <v>2.1</v>
      </c>
      <c r="I20" s="2694"/>
      <c r="J20" s="2695" t="s">
        <v>6272</v>
      </c>
      <c r="K20" s="1714">
        <v>355000</v>
      </c>
      <c r="L20" s="2688">
        <f>K20/100000</f>
        <v>3.55</v>
      </c>
      <c r="M20" s="1714">
        <v>12</v>
      </c>
      <c r="N20" s="2675">
        <f>L20*M20</f>
        <v>42.599999999999994</v>
      </c>
      <c r="O20" s="3644" t="s">
        <v>6394</v>
      </c>
      <c r="P20" s="2691">
        <f>'Ab4. HMIS-MCTS'!Q23</f>
        <v>0</v>
      </c>
      <c r="Q20" s="2542">
        <f>'Ab4. HMIS-MCTS'!R23</f>
        <v>0</v>
      </c>
    </row>
    <row r="21" spans="1:17" ht="363">
      <c r="A21" s="2680" t="s">
        <v>3542</v>
      </c>
      <c r="B21" s="2689" t="s">
        <v>2915</v>
      </c>
      <c r="C21" s="2689" t="s">
        <v>2916</v>
      </c>
      <c r="D21" s="2682"/>
      <c r="E21" s="2683"/>
      <c r="F21" s="2683"/>
      <c r="G21" s="2683"/>
      <c r="H21" s="2683"/>
      <c r="I21" s="2683"/>
      <c r="J21" s="2683">
        <v>556</v>
      </c>
      <c r="K21" s="1317">
        <v>65000</v>
      </c>
      <c r="L21" s="1857">
        <f>K21/100000</f>
        <v>0.65</v>
      </c>
      <c r="M21" s="1317">
        <v>556</v>
      </c>
      <c r="N21" s="2684">
        <f>L21*M21</f>
        <v>361.40000000000003</v>
      </c>
      <c r="O21" s="2537" t="s">
        <v>6620</v>
      </c>
      <c r="P21" s="2691">
        <f>'Ab4. HMIS-MCTS'!Q24</f>
        <v>0</v>
      </c>
      <c r="Q21" s="2542">
        <f>'Ab4. HMIS-MCTS'!R24</f>
        <v>0</v>
      </c>
    </row>
    <row r="22" spans="1:17">
      <c r="A22" s="2680" t="s">
        <v>3554</v>
      </c>
      <c r="B22" s="2689" t="s">
        <v>2917</v>
      </c>
      <c r="C22" s="2680" t="s">
        <v>2918</v>
      </c>
      <c r="D22" s="2682"/>
      <c r="E22" s="2683"/>
      <c r="F22" s="2683"/>
      <c r="G22" s="2683"/>
      <c r="H22" s="2683"/>
      <c r="I22" s="2683"/>
      <c r="J22" s="2683"/>
      <c r="K22" s="1317"/>
      <c r="L22" s="1857">
        <f>K22/100000</f>
        <v>0</v>
      </c>
      <c r="M22" s="1317"/>
      <c r="N22" s="2684">
        <f>L22*M22</f>
        <v>0</v>
      </c>
      <c r="O22" s="2537"/>
      <c r="P22" s="2691">
        <f>'Ab4. HMIS-MCTS'!Q25</f>
        <v>0</v>
      </c>
      <c r="Q22" s="2542">
        <f>'Ab4. HMIS-MCTS'!R25</f>
        <v>0</v>
      </c>
    </row>
    <row r="23" spans="1:17" s="2696" customFormat="1">
      <c r="A23" s="2667">
        <v>16.399999999999999</v>
      </c>
      <c r="B23" s="2667"/>
      <c r="C23" s="2667" t="s">
        <v>2919</v>
      </c>
      <c r="D23" s="2667"/>
      <c r="E23" s="2678"/>
      <c r="F23" s="2678"/>
      <c r="G23" s="2678"/>
      <c r="H23" s="2678"/>
      <c r="I23" s="2678"/>
      <c r="J23" s="2678"/>
      <c r="K23" s="2678"/>
      <c r="L23" s="2669"/>
      <c r="M23" s="2678"/>
      <c r="N23" s="2669">
        <f>N24+N66+N103+N140+N141+N142</f>
        <v>22876.460330000002</v>
      </c>
      <c r="O23" s="2537"/>
      <c r="P23" s="2667"/>
      <c r="Q23" s="2669">
        <f>Q24+Q66+Q103+Q140+Q141+Q142</f>
        <v>0</v>
      </c>
    </row>
    <row r="24" spans="1:17" s="2696" customFormat="1">
      <c r="A24" s="2697" t="s">
        <v>3558</v>
      </c>
      <c r="B24" s="2698"/>
      <c r="C24" s="2698" t="s">
        <v>2920</v>
      </c>
      <c r="D24" s="2698"/>
      <c r="E24" s="2699"/>
      <c r="F24" s="2699"/>
      <c r="G24" s="2699"/>
      <c r="H24" s="2699"/>
      <c r="I24" s="2699"/>
      <c r="J24" s="2699"/>
      <c r="K24" s="2699"/>
      <c r="L24" s="2700"/>
      <c r="M24" s="2699"/>
      <c r="N24" s="2700">
        <f>N25+N26+N29+N42+N54</f>
        <v>1366.53</v>
      </c>
      <c r="O24" s="2537"/>
      <c r="P24" s="2697"/>
      <c r="Q24" s="2700">
        <f>Q25+Q26+Q29+Q42+Q54</f>
        <v>0</v>
      </c>
    </row>
    <row r="25" spans="1:17" s="2696" customFormat="1" ht="33">
      <c r="A25" s="1309" t="s">
        <v>3560</v>
      </c>
      <c r="B25" s="1855" t="s">
        <v>2392</v>
      </c>
      <c r="C25" s="1855" t="s">
        <v>2144</v>
      </c>
      <c r="D25" s="2689" t="s">
        <v>4669</v>
      </c>
      <c r="E25" s="2690"/>
      <c r="F25" s="2690"/>
      <c r="G25" s="2690"/>
      <c r="H25" s="2690"/>
      <c r="I25" s="2690"/>
      <c r="J25" s="3617" t="s">
        <v>6778</v>
      </c>
      <c r="K25" s="3616">
        <v>49245000</v>
      </c>
      <c r="L25" s="1857">
        <f>K25/100000</f>
        <v>492.45</v>
      </c>
      <c r="M25" s="1317">
        <v>1</v>
      </c>
      <c r="N25" s="2684">
        <f>L25*M25</f>
        <v>492.45</v>
      </c>
      <c r="O25" s="2537" t="s">
        <v>6780</v>
      </c>
      <c r="P25" s="2701"/>
      <c r="Q25" s="2702"/>
    </row>
    <row r="26" spans="1:17" s="2696" customFormat="1">
      <c r="A26" s="2299" t="s">
        <v>3562</v>
      </c>
      <c r="B26" s="2485" t="s">
        <v>2145</v>
      </c>
      <c r="C26" s="2485" t="s">
        <v>3904</v>
      </c>
      <c r="D26" s="2703"/>
      <c r="E26" s="2704"/>
      <c r="F26" s="2704"/>
      <c r="G26" s="2704"/>
      <c r="H26" s="2704"/>
      <c r="I26" s="2704"/>
      <c r="J26" s="2704"/>
      <c r="K26" s="2704"/>
      <c r="L26" s="2705"/>
      <c r="M26" s="2706"/>
      <c r="N26" s="2705">
        <f>N27+N28</f>
        <v>0</v>
      </c>
      <c r="O26" s="2537"/>
      <c r="P26" s="2707"/>
      <c r="Q26" s="2705">
        <f>Q27+Q28</f>
        <v>0</v>
      </c>
    </row>
    <row r="27" spans="1:17" s="2696" customFormat="1">
      <c r="A27" s="1309" t="s">
        <v>3905</v>
      </c>
      <c r="B27" s="2020"/>
      <c r="C27" s="1855" t="s">
        <v>2146</v>
      </c>
      <c r="D27" s="2708"/>
      <c r="E27" s="2709"/>
      <c r="F27" s="2709"/>
      <c r="G27" s="2690"/>
      <c r="H27" s="2690"/>
      <c r="I27" s="2690"/>
      <c r="J27" s="2690"/>
      <c r="K27" s="1317"/>
      <c r="L27" s="1857">
        <f>K27/100000</f>
        <v>0</v>
      </c>
      <c r="M27" s="1317"/>
      <c r="N27" s="2684">
        <f>L27*M27</f>
        <v>0</v>
      </c>
      <c r="O27" s="2537"/>
      <c r="P27" s="2701"/>
      <c r="Q27" s="2702"/>
    </row>
    <row r="28" spans="1:17" s="2696" customFormat="1">
      <c r="A28" s="1309" t="s">
        <v>3906</v>
      </c>
      <c r="B28" s="2020"/>
      <c r="C28" s="1855" t="s">
        <v>2334</v>
      </c>
      <c r="D28" s="2708"/>
      <c r="E28" s="2709"/>
      <c r="F28" s="2709"/>
      <c r="G28" s="2690"/>
      <c r="H28" s="2690"/>
      <c r="I28" s="2690"/>
      <c r="J28" s="2690"/>
      <c r="K28" s="1317"/>
      <c r="L28" s="1857">
        <f>K28/100000</f>
        <v>0</v>
      </c>
      <c r="M28" s="1317"/>
      <c r="N28" s="2684">
        <f>L28*M28</f>
        <v>0</v>
      </c>
      <c r="O28" s="2537"/>
      <c r="P28" s="2701"/>
      <c r="Q28" s="2702"/>
    </row>
    <row r="29" spans="1:17" s="2696" customFormat="1">
      <c r="A29" s="2710" t="s">
        <v>3564</v>
      </c>
      <c r="B29" s="2711"/>
      <c r="C29" s="2711" t="s">
        <v>2921</v>
      </c>
      <c r="D29" s="2711"/>
      <c r="E29" s="2712"/>
      <c r="F29" s="2712"/>
      <c r="G29" s="2712"/>
      <c r="H29" s="2712"/>
      <c r="I29" s="2712"/>
      <c r="J29" s="2712"/>
      <c r="K29" s="2712"/>
      <c r="L29" s="2713"/>
      <c r="M29" s="2712"/>
      <c r="N29" s="2713">
        <f>SUM(N30:N41)</f>
        <v>721.28</v>
      </c>
      <c r="O29" s="2537"/>
      <c r="P29" s="2710"/>
      <c r="Q29" s="2713">
        <f>SUM(Q30:Q41)</f>
        <v>0</v>
      </c>
    </row>
    <row r="30" spans="1:17" s="4121" customFormat="1">
      <c r="A30" s="4122" t="s">
        <v>3687</v>
      </c>
      <c r="B30" s="3801"/>
      <c r="C30" s="3801" t="s">
        <v>2135</v>
      </c>
      <c r="D30" s="4538" t="s">
        <v>3908</v>
      </c>
      <c r="E30" s="4123"/>
      <c r="F30" s="4123"/>
      <c r="G30" s="4523"/>
      <c r="H30" s="4523"/>
      <c r="I30" s="4523"/>
      <c r="J30" s="2906" t="s">
        <v>6778</v>
      </c>
      <c r="K30" s="2906">
        <v>72128000</v>
      </c>
      <c r="L30" s="3801">
        <f>K30/100000</f>
        <v>721.28</v>
      </c>
      <c r="M30" s="4526">
        <v>1</v>
      </c>
      <c r="N30" s="4532">
        <f>L30*M30</f>
        <v>721.28</v>
      </c>
      <c r="O30" s="2906" t="s">
        <v>6780</v>
      </c>
      <c r="P30" s="4124"/>
      <c r="Q30" s="4554"/>
    </row>
    <row r="31" spans="1:17" s="4121" customFormat="1">
      <c r="A31" s="4122" t="s">
        <v>3688</v>
      </c>
      <c r="B31" s="3801"/>
      <c r="C31" s="3801" t="s">
        <v>2922</v>
      </c>
      <c r="D31" s="4538"/>
      <c r="E31" s="4123"/>
      <c r="F31" s="4123"/>
      <c r="G31" s="4524"/>
      <c r="H31" s="4524"/>
      <c r="I31" s="4524"/>
      <c r="J31" s="2906"/>
      <c r="K31" s="2906"/>
      <c r="L31" s="3801"/>
      <c r="M31" s="4527"/>
      <c r="N31" s="4533"/>
      <c r="O31" s="2906" t="s">
        <v>6780</v>
      </c>
      <c r="P31" s="4124"/>
      <c r="Q31" s="4555"/>
    </row>
    <row r="32" spans="1:17" s="4121" customFormat="1">
      <c r="A32" s="4122" t="s">
        <v>3689</v>
      </c>
      <c r="B32" s="3801"/>
      <c r="C32" s="4125" t="s">
        <v>2137</v>
      </c>
      <c r="D32" s="4538"/>
      <c r="E32" s="4123"/>
      <c r="F32" s="4123"/>
      <c r="G32" s="4524"/>
      <c r="H32" s="4524"/>
      <c r="I32" s="4524"/>
      <c r="J32" s="2906"/>
      <c r="K32" s="2906"/>
      <c r="L32" s="3801"/>
      <c r="M32" s="4527"/>
      <c r="N32" s="4533"/>
      <c r="O32" s="2906" t="s">
        <v>6780</v>
      </c>
      <c r="P32" s="4124"/>
      <c r="Q32" s="4555"/>
    </row>
    <row r="33" spans="1:17" s="4121" customFormat="1">
      <c r="A33" s="4122" t="s">
        <v>3690</v>
      </c>
      <c r="B33" s="3801"/>
      <c r="C33" s="3801" t="s">
        <v>2138</v>
      </c>
      <c r="D33" s="4538"/>
      <c r="E33" s="4123"/>
      <c r="F33" s="4123"/>
      <c r="G33" s="4524"/>
      <c r="H33" s="4524"/>
      <c r="I33" s="4524"/>
      <c r="J33" s="2906"/>
      <c r="K33" s="2906"/>
      <c r="L33" s="3801"/>
      <c r="M33" s="4527"/>
      <c r="N33" s="4533"/>
      <c r="O33" s="2906" t="s">
        <v>6780</v>
      </c>
      <c r="P33" s="4124"/>
      <c r="Q33" s="4555"/>
    </row>
    <row r="34" spans="1:17" s="4121" customFormat="1">
      <c r="A34" s="4122" t="s">
        <v>3691</v>
      </c>
      <c r="B34" s="3801"/>
      <c r="C34" s="3801" t="s">
        <v>2139</v>
      </c>
      <c r="D34" s="4538"/>
      <c r="E34" s="4123"/>
      <c r="F34" s="4123"/>
      <c r="G34" s="4524"/>
      <c r="H34" s="4524"/>
      <c r="I34" s="4524"/>
      <c r="J34" s="2906"/>
      <c r="K34" s="2906"/>
      <c r="L34" s="3801"/>
      <c r="M34" s="4527"/>
      <c r="N34" s="4533"/>
      <c r="O34" s="2906" t="s">
        <v>6780</v>
      </c>
      <c r="P34" s="4124"/>
      <c r="Q34" s="4555"/>
    </row>
    <row r="35" spans="1:17" s="4121" customFormat="1">
      <c r="A35" s="4122" t="s">
        <v>3692</v>
      </c>
      <c r="B35" s="4125"/>
      <c r="C35" s="4125" t="s">
        <v>2140</v>
      </c>
      <c r="D35" s="4538"/>
      <c r="E35" s="4123"/>
      <c r="F35" s="4123"/>
      <c r="G35" s="4524"/>
      <c r="H35" s="4524"/>
      <c r="I35" s="4524"/>
      <c r="J35" s="2906"/>
      <c r="K35" s="2906"/>
      <c r="L35" s="3801"/>
      <c r="M35" s="4527"/>
      <c r="N35" s="4533"/>
      <c r="O35" s="2906" t="s">
        <v>6780</v>
      </c>
      <c r="P35" s="4124"/>
      <c r="Q35" s="4555"/>
    </row>
    <row r="36" spans="1:17" s="4121" customFormat="1">
      <c r="A36" s="4122" t="s">
        <v>3693</v>
      </c>
      <c r="B36" s="3801"/>
      <c r="C36" s="3801" t="s">
        <v>2142</v>
      </c>
      <c r="D36" s="4538"/>
      <c r="E36" s="4123"/>
      <c r="F36" s="4123"/>
      <c r="G36" s="4524"/>
      <c r="H36" s="4524"/>
      <c r="I36" s="4524"/>
      <c r="J36" s="2906"/>
      <c r="K36" s="2906"/>
      <c r="L36" s="3801"/>
      <c r="M36" s="4527"/>
      <c r="N36" s="4533"/>
      <c r="O36" s="2906" t="s">
        <v>6780</v>
      </c>
      <c r="P36" s="4124"/>
      <c r="Q36" s="4555"/>
    </row>
    <row r="37" spans="1:17" s="4121" customFormat="1">
      <c r="A37" s="4122" t="s">
        <v>3694</v>
      </c>
      <c r="B37" s="3801"/>
      <c r="C37" s="3801" t="s">
        <v>2143</v>
      </c>
      <c r="D37" s="4538"/>
      <c r="E37" s="4123"/>
      <c r="F37" s="4123"/>
      <c r="G37" s="4524"/>
      <c r="H37" s="4524"/>
      <c r="I37" s="4524"/>
      <c r="J37" s="2906"/>
      <c r="K37" s="2906"/>
      <c r="L37" s="3801"/>
      <c r="M37" s="4527"/>
      <c r="N37" s="4533"/>
      <c r="O37" s="2906" t="s">
        <v>6780</v>
      </c>
      <c r="P37" s="4124"/>
      <c r="Q37" s="4555"/>
    </row>
    <row r="38" spans="1:17" s="4121" customFormat="1" ht="33" customHeight="1">
      <c r="A38" s="4122" t="s">
        <v>3695</v>
      </c>
      <c r="B38" s="4125"/>
      <c r="C38" s="4125" t="s">
        <v>673</v>
      </c>
      <c r="D38" s="4538"/>
      <c r="E38" s="4123"/>
      <c r="F38" s="4123"/>
      <c r="G38" s="4524"/>
      <c r="H38" s="4524"/>
      <c r="I38" s="4524"/>
      <c r="J38" s="2906"/>
      <c r="K38" s="2906"/>
      <c r="L38" s="3801"/>
      <c r="M38" s="4527"/>
      <c r="N38" s="4533"/>
      <c r="O38" s="2906" t="s">
        <v>6780</v>
      </c>
      <c r="P38" s="4124"/>
      <c r="Q38" s="4555"/>
    </row>
    <row r="39" spans="1:17" s="4121" customFormat="1" ht="33" customHeight="1">
      <c r="A39" s="4122" t="s">
        <v>3696</v>
      </c>
      <c r="B39" s="3801"/>
      <c r="C39" s="3801" t="s">
        <v>2147</v>
      </c>
      <c r="D39" s="4538"/>
      <c r="E39" s="4123"/>
      <c r="F39" s="4123"/>
      <c r="G39" s="4524"/>
      <c r="H39" s="4524"/>
      <c r="I39" s="4524"/>
      <c r="J39" s="2906"/>
      <c r="K39" s="2906"/>
      <c r="L39" s="3801"/>
      <c r="M39" s="4527"/>
      <c r="N39" s="4533"/>
      <c r="O39" s="2906" t="s">
        <v>6780</v>
      </c>
      <c r="P39" s="4124"/>
      <c r="Q39" s="4555"/>
    </row>
    <row r="40" spans="1:17" s="4121" customFormat="1">
      <c r="A40" s="4122" t="s">
        <v>3697</v>
      </c>
      <c r="B40" s="3801"/>
      <c r="C40" s="3801" t="s">
        <v>2148</v>
      </c>
      <c r="D40" s="4538"/>
      <c r="E40" s="4123"/>
      <c r="F40" s="4123"/>
      <c r="G40" s="4524"/>
      <c r="H40" s="4524"/>
      <c r="I40" s="4524"/>
      <c r="J40" s="2906"/>
      <c r="K40" s="2906"/>
      <c r="L40" s="3801"/>
      <c r="M40" s="4527"/>
      <c r="N40" s="4533"/>
      <c r="O40" s="2906" t="s">
        <v>6780</v>
      </c>
      <c r="P40" s="4124"/>
      <c r="Q40" s="4555"/>
    </row>
    <row r="41" spans="1:17" s="4121" customFormat="1">
      <c r="A41" s="4122" t="s">
        <v>3698</v>
      </c>
      <c r="B41" s="3801"/>
      <c r="C41" s="3801" t="s">
        <v>622</v>
      </c>
      <c r="D41" s="4538"/>
      <c r="E41" s="4123"/>
      <c r="F41" s="4123"/>
      <c r="G41" s="4525"/>
      <c r="H41" s="4525"/>
      <c r="I41" s="4525"/>
      <c r="J41" s="2906"/>
      <c r="K41" s="2906"/>
      <c r="L41" s="3801"/>
      <c r="M41" s="4528"/>
      <c r="N41" s="4534"/>
      <c r="O41" s="2906" t="s">
        <v>6780</v>
      </c>
      <c r="P41" s="4124"/>
      <c r="Q41" s="4556"/>
    </row>
    <row r="42" spans="1:17" s="4121" customFormat="1">
      <c r="A42" s="4114" t="s">
        <v>3566</v>
      </c>
      <c r="B42" s="4115"/>
      <c r="C42" s="4115" t="s">
        <v>2923</v>
      </c>
      <c r="D42" s="4115"/>
      <c r="E42" s="4116"/>
      <c r="F42" s="4116"/>
      <c r="G42" s="4116"/>
      <c r="H42" s="4116"/>
      <c r="I42" s="4116"/>
      <c r="J42" s="2906"/>
      <c r="K42" s="2906"/>
      <c r="L42" s="3801"/>
      <c r="M42" s="4116"/>
      <c r="N42" s="4120">
        <f>SUM(N43:N53)</f>
        <v>125.72</v>
      </c>
      <c r="O42" s="2906"/>
      <c r="P42" s="4119"/>
      <c r="Q42" s="4120">
        <f>SUM(Q43:Q53)</f>
        <v>0</v>
      </c>
    </row>
    <row r="43" spans="1:17" s="4121" customFormat="1">
      <c r="A43" s="4122" t="s">
        <v>3699</v>
      </c>
      <c r="B43" s="3801"/>
      <c r="C43" s="3801" t="s">
        <v>2135</v>
      </c>
      <c r="D43" s="4538" t="s">
        <v>4890</v>
      </c>
      <c r="E43" s="4126"/>
      <c r="F43" s="4126"/>
      <c r="G43" s="4513"/>
      <c r="H43" s="4513"/>
      <c r="I43" s="4513"/>
      <c r="J43" s="2906" t="s">
        <v>6778</v>
      </c>
      <c r="K43" s="2906">
        <v>12572000</v>
      </c>
      <c r="L43" s="3801">
        <f>K43/100000</f>
        <v>125.72</v>
      </c>
      <c r="M43" s="4526">
        <v>1</v>
      </c>
      <c r="N43" s="4532">
        <f>L43*M43</f>
        <v>125.72</v>
      </c>
      <c r="O43" s="2906" t="s">
        <v>6780</v>
      </c>
      <c r="P43" s="4124"/>
      <c r="Q43" s="4545"/>
    </row>
    <row r="44" spans="1:17" s="4121" customFormat="1">
      <c r="A44" s="4122" t="s">
        <v>3700</v>
      </c>
      <c r="B44" s="3801"/>
      <c r="C44" s="3801" t="s">
        <v>2922</v>
      </c>
      <c r="D44" s="4538"/>
      <c r="E44" s="4126"/>
      <c r="F44" s="4126"/>
      <c r="G44" s="4514"/>
      <c r="H44" s="4514"/>
      <c r="I44" s="4514"/>
      <c r="J44" s="2906"/>
      <c r="K44" s="2906"/>
      <c r="L44" s="3801"/>
      <c r="M44" s="4527"/>
      <c r="N44" s="4533"/>
      <c r="O44" s="2906" t="s">
        <v>6780</v>
      </c>
      <c r="P44" s="4124"/>
      <c r="Q44" s="4546"/>
    </row>
    <row r="45" spans="1:17" s="4121" customFormat="1">
      <c r="A45" s="4122" t="s">
        <v>3701</v>
      </c>
      <c r="B45" s="3801"/>
      <c r="C45" s="3801" t="s">
        <v>2138</v>
      </c>
      <c r="D45" s="4538"/>
      <c r="E45" s="4126"/>
      <c r="F45" s="4126"/>
      <c r="G45" s="4514"/>
      <c r="H45" s="4514"/>
      <c r="I45" s="4514"/>
      <c r="J45" s="2906"/>
      <c r="K45" s="2906"/>
      <c r="L45" s="3801"/>
      <c r="M45" s="4527"/>
      <c r="N45" s="4533"/>
      <c r="O45" s="2906" t="s">
        <v>6780</v>
      </c>
      <c r="P45" s="4124"/>
      <c r="Q45" s="4546"/>
    </row>
    <row r="46" spans="1:17" s="4121" customFormat="1">
      <c r="A46" s="4122" t="s">
        <v>3702</v>
      </c>
      <c r="B46" s="3801"/>
      <c r="C46" s="3801" t="s">
        <v>2139</v>
      </c>
      <c r="D46" s="4538"/>
      <c r="E46" s="4126"/>
      <c r="F46" s="4126"/>
      <c r="G46" s="4514"/>
      <c r="H46" s="4514"/>
      <c r="I46" s="4514"/>
      <c r="J46" s="2906"/>
      <c r="K46" s="2906"/>
      <c r="L46" s="3801"/>
      <c r="M46" s="4527"/>
      <c r="N46" s="4533"/>
      <c r="O46" s="2906" t="s">
        <v>6780</v>
      </c>
      <c r="P46" s="4124"/>
      <c r="Q46" s="4546"/>
    </row>
    <row r="47" spans="1:17" s="4121" customFormat="1">
      <c r="A47" s="4122" t="s">
        <v>3703</v>
      </c>
      <c r="B47" s="3801"/>
      <c r="C47" s="4125" t="s">
        <v>2140</v>
      </c>
      <c r="D47" s="4538"/>
      <c r="E47" s="4126"/>
      <c r="F47" s="4126"/>
      <c r="G47" s="4514"/>
      <c r="H47" s="4514"/>
      <c r="I47" s="4514"/>
      <c r="J47" s="2906"/>
      <c r="K47" s="2906"/>
      <c r="L47" s="3801"/>
      <c r="M47" s="4527"/>
      <c r="N47" s="4533"/>
      <c r="O47" s="2906" t="s">
        <v>6780</v>
      </c>
      <c r="P47" s="4124"/>
      <c r="Q47" s="4546"/>
    </row>
    <row r="48" spans="1:17" s="4121" customFormat="1">
      <c r="A48" s="4122" t="s">
        <v>3704</v>
      </c>
      <c r="B48" s="3801"/>
      <c r="C48" s="3801" t="s">
        <v>2142</v>
      </c>
      <c r="D48" s="4538"/>
      <c r="E48" s="4127"/>
      <c r="F48" s="4127"/>
      <c r="G48" s="4514"/>
      <c r="H48" s="4514"/>
      <c r="I48" s="4514"/>
      <c r="J48" s="2906"/>
      <c r="K48" s="2906"/>
      <c r="L48" s="3801"/>
      <c r="M48" s="4527"/>
      <c r="N48" s="4533"/>
      <c r="O48" s="2906" t="s">
        <v>6780</v>
      </c>
      <c r="P48" s="4124"/>
      <c r="Q48" s="4546"/>
    </row>
    <row r="49" spans="1:17" s="4121" customFormat="1">
      <c r="A49" s="4122" t="s">
        <v>3705</v>
      </c>
      <c r="B49" s="3801"/>
      <c r="C49" s="3801" t="s">
        <v>2143</v>
      </c>
      <c r="D49" s="4538"/>
      <c r="E49" s="4126"/>
      <c r="F49" s="4126"/>
      <c r="G49" s="4514"/>
      <c r="H49" s="4514"/>
      <c r="I49" s="4514"/>
      <c r="J49" s="2906"/>
      <c r="K49" s="2906"/>
      <c r="L49" s="3801"/>
      <c r="M49" s="4527"/>
      <c r="N49" s="4533"/>
      <c r="O49" s="2906" t="s">
        <v>6780</v>
      </c>
      <c r="P49" s="4124"/>
      <c r="Q49" s="4546"/>
    </row>
    <row r="50" spans="1:17" s="4121" customFormat="1">
      <c r="A50" s="4122" t="s">
        <v>3706</v>
      </c>
      <c r="B50" s="3801"/>
      <c r="C50" s="4125" t="s">
        <v>673</v>
      </c>
      <c r="D50" s="4538"/>
      <c r="E50" s="4126"/>
      <c r="F50" s="4126"/>
      <c r="G50" s="4514"/>
      <c r="H50" s="4514"/>
      <c r="I50" s="4514"/>
      <c r="J50" s="2906"/>
      <c r="K50" s="2906"/>
      <c r="L50" s="3801"/>
      <c r="M50" s="4527"/>
      <c r="N50" s="4533"/>
      <c r="O50" s="2906" t="s">
        <v>6780</v>
      </c>
      <c r="P50" s="4124"/>
      <c r="Q50" s="4546"/>
    </row>
    <row r="51" spans="1:17" s="4121" customFormat="1">
      <c r="A51" s="4122" t="s">
        <v>3707</v>
      </c>
      <c r="B51" s="3801"/>
      <c r="C51" s="3801" t="s">
        <v>2147</v>
      </c>
      <c r="D51" s="4538"/>
      <c r="E51" s="4126"/>
      <c r="F51" s="4126"/>
      <c r="G51" s="4514"/>
      <c r="H51" s="4514"/>
      <c r="I51" s="4514"/>
      <c r="J51" s="2906"/>
      <c r="K51" s="2906"/>
      <c r="L51" s="3801"/>
      <c r="M51" s="4527"/>
      <c r="N51" s="4533"/>
      <c r="O51" s="2906" t="s">
        <v>6780</v>
      </c>
      <c r="P51" s="4124"/>
      <c r="Q51" s="4546"/>
    </row>
    <row r="52" spans="1:17" s="4121" customFormat="1">
      <c r="A52" s="4122" t="s">
        <v>3708</v>
      </c>
      <c r="B52" s="3801"/>
      <c r="C52" s="3801" t="s">
        <v>2148</v>
      </c>
      <c r="D52" s="4538"/>
      <c r="E52" s="4126"/>
      <c r="F52" s="4126"/>
      <c r="G52" s="4514"/>
      <c r="H52" s="4514"/>
      <c r="I52" s="4514"/>
      <c r="J52" s="2906"/>
      <c r="K52" s="2906"/>
      <c r="L52" s="3801"/>
      <c r="M52" s="4527"/>
      <c r="N52" s="4533"/>
      <c r="O52" s="2906" t="s">
        <v>6780</v>
      </c>
      <c r="P52" s="4124"/>
      <c r="Q52" s="4546"/>
    </row>
    <row r="53" spans="1:17" s="4121" customFormat="1">
      <c r="A53" s="4122" t="s">
        <v>3709</v>
      </c>
      <c r="B53" s="3801"/>
      <c r="C53" s="3801" t="s">
        <v>622</v>
      </c>
      <c r="D53" s="4538"/>
      <c r="E53" s="4126"/>
      <c r="F53" s="4126"/>
      <c r="G53" s="4515"/>
      <c r="H53" s="4515"/>
      <c r="I53" s="4515"/>
      <c r="J53" s="2906"/>
      <c r="K53" s="2906"/>
      <c r="L53" s="3801"/>
      <c r="M53" s="4528"/>
      <c r="N53" s="4534"/>
      <c r="O53" s="2906" t="s">
        <v>6780</v>
      </c>
      <c r="P53" s="4124"/>
      <c r="Q53" s="4547"/>
    </row>
    <row r="54" spans="1:17" s="4121" customFormat="1">
      <c r="A54" s="4114" t="s">
        <v>3568</v>
      </c>
      <c r="B54" s="4115"/>
      <c r="C54" s="4115" t="s">
        <v>2924</v>
      </c>
      <c r="D54" s="4115"/>
      <c r="E54" s="4116"/>
      <c r="F54" s="4116"/>
      <c r="G54" s="4116"/>
      <c r="H54" s="4116"/>
      <c r="I54" s="4116"/>
      <c r="J54" s="2906"/>
      <c r="K54" s="2906"/>
      <c r="L54" s="3801"/>
      <c r="M54" s="4116"/>
      <c r="N54" s="4120">
        <f>SUM(N55:N65)</f>
        <v>27.08</v>
      </c>
      <c r="O54" s="2906"/>
      <c r="P54" s="4114"/>
      <c r="Q54" s="4120">
        <f>SUM(Q55:Q65)</f>
        <v>0</v>
      </c>
    </row>
    <row r="55" spans="1:17" s="4121" customFormat="1">
      <c r="A55" s="4122" t="s">
        <v>3710</v>
      </c>
      <c r="B55" s="3801"/>
      <c r="C55" s="3801" t="s">
        <v>2135</v>
      </c>
      <c r="D55" s="4538" t="s">
        <v>3999</v>
      </c>
      <c r="E55" s="4126"/>
      <c r="F55" s="4126"/>
      <c r="G55" s="4513"/>
      <c r="H55" s="4513"/>
      <c r="I55" s="4513"/>
      <c r="J55" s="2906" t="s">
        <v>6778</v>
      </c>
      <c r="K55" s="2906">
        <v>2708000</v>
      </c>
      <c r="L55" s="3801">
        <f>K55/100000</f>
        <v>27.08</v>
      </c>
      <c r="M55" s="4526">
        <v>1</v>
      </c>
      <c r="N55" s="4532">
        <f>L55*M55</f>
        <v>27.08</v>
      </c>
      <c r="O55" s="2906" t="s">
        <v>6780</v>
      </c>
      <c r="P55" s="4128"/>
      <c r="Q55" s="4548"/>
    </row>
    <row r="56" spans="1:17" s="4121" customFormat="1">
      <c r="A56" s="4122" t="s">
        <v>3711</v>
      </c>
      <c r="B56" s="3801"/>
      <c r="C56" s="3801" t="s">
        <v>2922</v>
      </c>
      <c r="D56" s="4538"/>
      <c r="E56" s="4126"/>
      <c r="F56" s="4126"/>
      <c r="G56" s="4514"/>
      <c r="H56" s="4514"/>
      <c r="I56" s="4514"/>
      <c r="J56" s="2906"/>
      <c r="K56" s="2906"/>
      <c r="L56" s="3801"/>
      <c r="M56" s="4527"/>
      <c r="N56" s="4533"/>
      <c r="O56" s="2906" t="s">
        <v>6780</v>
      </c>
      <c r="P56" s="4128"/>
      <c r="Q56" s="4549"/>
    </row>
    <row r="57" spans="1:17" s="4121" customFormat="1">
      <c r="A57" s="4122" t="s">
        <v>3712</v>
      </c>
      <c r="B57" s="4129"/>
      <c r="C57" s="3801" t="s">
        <v>2138</v>
      </c>
      <c r="D57" s="4538"/>
      <c r="E57" s="4126"/>
      <c r="F57" s="4126"/>
      <c r="G57" s="4514"/>
      <c r="H57" s="4514"/>
      <c r="I57" s="4514"/>
      <c r="J57" s="2906"/>
      <c r="K57" s="2906"/>
      <c r="L57" s="3801"/>
      <c r="M57" s="4527"/>
      <c r="N57" s="4533"/>
      <c r="O57" s="2906" t="s">
        <v>6780</v>
      </c>
      <c r="P57" s="4128"/>
      <c r="Q57" s="4549"/>
    </row>
    <row r="58" spans="1:17" s="4121" customFormat="1">
      <c r="A58" s="4122" t="s">
        <v>3713</v>
      </c>
      <c r="B58" s="3801"/>
      <c r="C58" s="3801" t="s">
        <v>2139</v>
      </c>
      <c r="D58" s="4538"/>
      <c r="E58" s="4126"/>
      <c r="F58" s="4126"/>
      <c r="G58" s="4514"/>
      <c r="H58" s="4514"/>
      <c r="I58" s="4514"/>
      <c r="J58" s="2906"/>
      <c r="K58" s="2906"/>
      <c r="L58" s="3801"/>
      <c r="M58" s="4527"/>
      <c r="N58" s="4533"/>
      <c r="O58" s="2906" t="s">
        <v>6780</v>
      </c>
      <c r="P58" s="4128"/>
      <c r="Q58" s="4549"/>
    </row>
    <row r="59" spans="1:17" s="4121" customFormat="1">
      <c r="A59" s="4122" t="s">
        <v>3714</v>
      </c>
      <c r="B59" s="3801"/>
      <c r="C59" s="4125" t="s">
        <v>2140</v>
      </c>
      <c r="D59" s="4538"/>
      <c r="E59" s="4126"/>
      <c r="F59" s="4126"/>
      <c r="G59" s="4514"/>
      <c r="H59" s="4514"/>
      <c r="I59" s="4514"/>
      <c r="J59" s="2906"/>
      <c r="K59" s="2906"/>
      <c r="L59" s="3801"/>
      <c r="M59" s="4527"/>
      <c r="N59" s="4533"/>
      <c r="O59" s="2906" t="s">
        <v>6780</v>
      </c>
      <c r="P59" s="4128"/>
      <c r="Q59" s="4549"/>
    </row>
    <row r="60" spans="1:17" s="4121" customFormat="1">
      <c r="A60" s="4122" t="s">
        <v>3715</v>
      </c>
      <c r="B60" s="3801"/>
      <c r="C60" s="3801" t="s">
        <v>2142</v>
      </c>
      <c r="D60" s="4538"/>
      <c r="E60" s="4126"/>
      <c r="F60" s="4126"/>
      <c r="G60" s="4514"/>
      <c r="H60" s="4514"/>
      <c r="I60" s="4514"/>
      <c r="J60" s="2906"/>
      <c r="K60" s="2906"/>
      <c r="L60" s="3801"/>
      <c r="M60" s="4527"/>
      <c r="N60" s="4533"/>
      <c r="O60" s="2906" t="s">
        <v>6780</v>
      </c>
      <c r="P60" s="4128"/>
      <c r="Q60" s="4549"/>
    </row>
    <row r="61" spans="1:17" s="4121" customFormat="1">
      <c r="A61" s="4122" t="s">
        <v>3716</v>
      </c>
      <c r="B61" s="3801"/>
      <c r="C61" s="3801" t="s">
        <v>2143</v>
      </c>
      <c r="D61" s="4538"/>
      <c r="E61" s="4126"/>
      <c r="F61" s="4126"/>
      <c r="G61" s="4514"/>
      <c r="H61" s="4514"/>
      <c r="I61" s="4514"/>
      <c r="J61" s="2906"/>
      <c r="K61" s="2906"/>
      <c r="L61" s="3801"/>
      <c r="M61" s="4527"/>
      <c r="N61" s="4533"/>
      <c r="O61" s="2906" t="s">
        <v>6780</v>
      </c>
      <c r="P61" s="4128"/>
      <c r="Q61" s="4549"/>
    </row>
    <row r="62" spans="1:17" s="4121" customFormat="1">
      <c r="A62" s="4122" t="s">
        <v>3717</v>
      </c>
      <c r="B62" s="3801"/>
      <c r="C62" s="4125" t="s">
        <v>673</v>
      </c>
      <c r="D62" s="4538"/>
      <c r="E62" s="4126"/>
      <c r="F62" s="4126"/>
      <c r="G62" s="4514"/>
      <c r="H62" s="4514"/>
      <c r="I62" s="4514"/>
      <c r="J62" s="2906"/>
      <c r="K62" s="2906"/>
      <c r="L62" s="3801"/>
      <c r="M62" s="4527"/>
      <c r="N62" s="4533"/>
      <c r="O62" s="2906" t="s">
        <v>6780</v>
      </c>
      <c r="P62" s="4128"/>
      <c r="Q62" s="4549"/>
    </row>
    <row r="63" spans="1:17" s="4121" customFormat="1">
      <c r="A63" s="4122" t="s">
        <v>3718</v>
      </c>
      <c r="B63" s="3801"/>
      <c r="C63" s="3801" t="s">
        <v>2147</v>
      </c>
      <c r="D63" s="4538"/>
      <c r="E63" s="4126"/>
      <c r="F63" s="4126"/>
      <c r="G63" s="4514"/>
      <c r="H63" s="4514"/>
      <c r="I63" s="4514"/>
      <c r="J63" s="2906"/>
      <c r="K63" s="2906"/>
      <c r="L63" s="3801"/>
      <c r="M63" s="4527"/>
      <c r="N63" s="4533"/>
      <c r="O63" s="2906" t="s">
        <v>6780</v>
      </c>
      <c r="P63" s="4128"/>
      <c r="Q63" s="4549"/>
    </row>
    <row r="64" spans="1:17" s="4121" customFormat="1">
      <c r="A64" s="4122" t="s">
        <v>3719</v>
      </c>
      <c r="B64" s="3801"/>
      <c r="C64" s="3801" t="s">
        <v>2148</v>
      </c>
      <c r="D64" s="4538"/>
      <c r="E64" s="4126"/>
      <c r="F64" s="4126"/>
      <c r="G64" s="4514"/>
      <c r="H64" s="4514"/>
      <c r="I64" s="4514"/>
      <c r="J64" s="2906"/>
      <c r="K64" s="2906"/>
      <c r="L64" s="3801"/>
      <c r="M64" s="4527"/>
      <c r="N64" s="4533"/>
      <c r="O64" s="2906" t="s">
        <v>6780</v>
      </c>
      <c r="P64" s="4128"/>
      <c r="Q64" s="4549"/>
    </row>
    <row r="65" spans="1:17" s="4121" customFormat="1">
      <c r="A65" s="4122" t="s">
        <v>3720</v>
      </c>
      <c r="B65" s="3801"/>
      <c r="C65" s="3801" t="s">
        <v>622</v>
      </c>
      <c r="D65" s="4538"/>
      <c r="E65" s="4126"/>
      <c r="F65" s="4126"/>
      <c r="G65" s="4515"/>
      <c r="H65" s="4515"/>
      <c r="I65" s="4515"/>
      <c r="J65" s="2906"/>
      <c r="K65" s="2906"/>
      <c r="L65" s="3801"/>
      <c r="M65" s="4528"/>
      <c r="N65" s="4534"/>
      <c r="O65" s="2906" t="s">
        <v>6780</v>
      </c>
      <c r="P65" s="4128"/>
      <c r="Q65" s="4550"/>
    </row>
    <row r="66" spans="1:17" s="2696" customFormat="1">
      <c r="A66" s="2697" t="s">
        <v>3587</v>
      </c>
      <c r="B66" s="2698"/>
      <c r="C66" s="2698" t="s">
        <v>2925</v>
      </c>
      <c r="D66" s="2698"/>
      <c r="E66" s="2699"/>
      <c r="F66" s="2699"/>
      <c r="G66" s="2699"/>
      <c r="H66" s="2699"/>
      <c r="I66" s="2699"/>
      <c r="J66" s="2537"/>
      <c r="K66" s="2537"/>
      <c r="L66" s="1855"/>
      <c r="M66" s="2699"/>
      <c r="N66" s="2700">
        <f>N67+N79+N91</f>
        <v>4900.09</v>
      </c>
      <c r="O66" s="2537"/>
      <c r="P66" s="2717"/>
      <c r="Q66" s="2700">
        <f>Q67+Q79+Q91</f>
        <v>0</v>
      </c>
    </row>
    <row r="67" spans="1:17" s="2696" customFormat="1">
      <c r="A67" s="2710" t="s">
        <v>3589</v>
      </c>
      <c r="B67" s="2711"/>
      <c r="C67" s="2711" t="s">
        <v>2926</v>
      </c>
      <c r="D67" s="2711"/>
      <c r="E67" s="2712"/>
      <c r="F67" s="2712"/>
      <c r="G67" s="2712"/>
      <c r="H67" s="2712"/>
      <c r="I67" s="2712"/>
      <c r="J67" s="2537"/>
      <c r="K67" s="2537"/>
      <c r="L67" s="1855"/>
      <c r="M67" s="2712"/>
      <c r="N67" s="2713">
        <f>SUM(N68:N78)</f>
        <v>2784.27</v>
      </c>
      <c r="O67" s="2537"/>
      <c r="P67" s="2710"/>
      <c r="Q67" s="2713">
        <f>SUM(Q68:Q78)</f>
        <v>0</v>
      </c>
    </row>
    <row r="68" spans="1:17" s="2696" customFormat="1">
      <c r="A68" s="2680" t="s">
        <v>3721</v>
      </c>
      <c r="B68" s="2020"/>
      <c r="C68" s="1855" t="s">
        <v>2135</v>
      </c>
      <c r="D68" s="4522" t="s">
        <v>3907</v>
      </c>
      <c r="E68" s="2709"/>
      <c r="F68" s="2709"/>
      <c r="G68" s="4519"/>
      <c r="H68" s="4519"/>
      <c r="I68" s="4519"/>
      <c r="J68" s="2537" t="s">
        <v>6778</v>
      </c>
      <c r="K68" s="2537">
        <v>278427000</v>
      </c>
      <c r="L68" s="1855">
        <f>K68/100000</f>
        <v>2784.27</v>
      </c>
      <c r="M68" s="4441">
        <v>1</v>
      </c>
      <c r="N68" s="4529">
        <f>L68*M68</f>
        <v>2784.27</v>
      </c>
      <c r="O68" s="2537" t="s">
        <v>6780</v>
      </c>
      <c r="P68" s="2701"/>
      <c r="Q68" s="4551"/>
    </row>
    <row r="69" spans="1:17" s="2696" customFormat="1">
      <c r="A69" s="2680" t="s">
        <v>3722</v>
      </c>
      <c r="B69" s="2020"/>
      <c r="C69" s="1855" t="s">
        <v>2922</v>
      </c>
      <c r="D69" s="4522"/>
      <c r="E69" s="2709"/>
      <c r="F69" s="2709"/>
      <c r="G69" s="4520"/>
      <c r="H69" s="4520"/>
      <c r="I69" s="4520"/>
      <c r="J69" s="2537"/>
      <c r="K69" s="2537"/>
      <c r="L69" s="1855"/>
      <c r="M69" s="4442"/>
      <c r="N69" s="4530"/>
      <c r="O69" s="2537" t="s">
        <v>6780</v>
      </c>
      <c r="P69" s="2701"/>
      <c r="Q69" s="4552"/>
    </row>
    <row r="70" spans="1:17" s="2696" customFormat="1">
      <c r="A70" s="2680" t="s">
        <v>3723</v>
      </c>
      <c r="B70" s="2020"/>
      <c r="C70" s="1855" t="s">
        <v>2138</v>
      </c>
      <c r="D70" s="4522"/>
      <c r="E70" s="2709"/>
      <c r="F70" s="2709"/>
      <c r="G70" s="4520"/>
      <c r="H70" s="4520"/>
      <c r="I70" s="4520"/>
      <c r="J70" s="2537"/>
      <c r="K70" s="2537"/>
      <c r="L70" s="1855"/>
      <c r="M70" s="4442"/>
      <c r="N70" s="4530"/>
      <c r="O70" s="2537" t="s">
        <v>6780</v>
      </c>
      <c r="P70" s="2701"/>
      <c r="Q70" s="4552"/>
    </row>
    <row r="71" spans="1:17" s="2696" customFormat="1">
      <c r="A71" s="2680" t="s">
        <v>3724</v>
      </c>
      <c r="B71" s="2020"/>
      <c r="C71" s="1855" t="s">
        <v>2139</v>
      </c>
      <c r="D71" s="4522"/>
      <c r="E71" s="2690"/>
      <c r="F71" s="2690"/>
      <c r="G71" s="4520"/>
      <c r="H71" s="4520"/>
      <c r="I71" s="4520"/>
      <c r="J71" s="2537"/>
      <c r="K71" s="2537"/>
      <c r="L71" s="1855"/>
      <c r="M71" s="4442"/>
      <c r="N71" s="4530"/>
      <c r="O71" s="2537" t="s">
        <v>6780</v>
      </c>
      <c r="P71" s="2701"/>
      <c r="Q71" s="4552"/>
    </row>
    <row r="72" spans="1:17" s="2696" customFormat="1">
      <c r="A72" s="2680" t="s">
        <v>3725</v>
      </c>
      <c r="B72" s="2512"/>
      <c r="C72" s="2708" t="s">
        <v>2140</v>
      </c>
      <c r="D72" s="4522"/>
      <c r="E72" s="2690"/>
      <c r="F72" s="2690"/>
      <c r="G72" s="4520"/>
      <c r="H72" s="4520"/>
      <c r="I72" s="4520"/>
      <c r="J72" s="2537"/>
      <c r="K72" s="2537"/>
      <c r="L72" s="1855"/>
      <c r="M72" s="4442"/>
      <c r="N72" s="4530"/>
      <c r="O72" s="2537" t="s">
        <v>6780</v>
      </c>
      <c r="P72" s="2701"/>
      <c r="Q72" s="4552"/>
    </row>
    <row r="73" spans="1:17" s="2696" customFormat="1">
      <c r="A73" s="2680" t="s">
        <v>3726</v>
      </c>
      <c r="B73" s="2512"/>
      <c r="C73" s="1855" t="s">
        <v>2142</v>
      </c>
      <c r="D73" s="4522"/>
      <c r="E73" s="2690"/>
      <c r="F73" s="2690"/>
      <c r="G73" s="4520"/>
      <c r="H73" s="4520"/>
      <c r="I73" s="4520"/>
      <c r="J73" s="2537"/>
      <c r="K73" s="2537"/>
      <c r="L73" s="1855"/>
      <c r="M73" s="4442"/>
      <c r="N73" s="4530"/>
      <c r="O73" s="2537" t="s">
        <v>6780</v>
      </c>
      <c r="P73" s="2701"/>
      <c r="Q73" s="4552"/>
    </row>
    <row r="74" spans="1:17" s="2696" customFormat="1">
      <c r="A74" s="2680" t="s">
        <v>3727</v>
      </c>
      <c r="B74" s="2512"/>
      <c r="C74" s="1855" t="s">
        <v>2143</v>
      </c>
      <c r="D74" s="4522"/>
      <c r="E74" s="2690"/>
      <c r="F74" s="2690"/>
      <c r="G74" s="4520"/>
      <c r="H74" s="4520"/>
      <c r="I74" s="4520"/>
      <c r="J74" s="2537"/>
      <c r="K74" s="2537"/>
      <c r="L74" s="1855"/>
      <c r="M74" s="4442"/>
      <c r="N74" s="4530"/>
      <c r="O74" s="2537" t="s">
        <v>6780</v>
      </c>
      <c r="P74" s="2701"/>
      <c r="Q74" s="4552"/>
    </row>
    <row r="75" spans="1:17" s="2696" customFormat="1">
      <c r="A75" s="2680" t="s">
        <v>3728</v>
      </c>
      <c r="B75" s="2512"/>
      <c r="C75" s="2708" t="s">
        <v>673</v>
      </c>
      <c r="D75" s="4522"/>
      <c r="E75" s="2690"/>
      <c r="F75" s="2690"/>
      <c r="G75" s="4520"/>
      <c r="H75" s="4520"/>
      <c r="I75" s="4520"/>
      <c r="J75" s="2537"/>
      <c r="K75" s="2537"/>
      <c r="L75" s="1855"/>
      <c r="M75" s="4442"/>
      <c r="N75" s="4530"/>
      <c r="O75" s="2537" t="s">
        <v>6780</v>
      </c>
      <c r="P75" s="2701"/>
      <c r="Q75" s="4552"/>
    </row>
    <row r="76" spans="1:17" s="2696" customFormat="1">
      <c r="A76" s="2680" t="s">
        <v>3729</v>
      </c>
      <c r="B76" s="2512"/>
      <c r="C76" s="1855" t="s">
        <v>2147</v>
      </c>
      <c r="D76" s="4522"/>
      <c r="E76" s="2690"/>
      <c r="F76" s="2690"/>
      <c r="G76" s="4520"/>
      <c r="H76" s="4520"/>
      <c r="I76" s="4520"/>
      <c r="J76" s="2537"/>
      <c r="K76" s="2537"/>
      <c r="L76" s="1855"/>
      <c r="M76" s="4442"/>
      <c r="N76" s="4530"/>
      <c r="O76" s="2537" t="s">
        <v>6780</v>
      </c>
      <c r="P76" s="2701"/>
      <c r="Q76" s="4552"/>
    </row>
    <row r="77" spans="1:17" s="2696" customFormat="1">
      <c r="A77" s="2680" t="s">
        <v>3730</v>
      </c>
      <c r="B77" s="2512"/>
      <c r="C77" s="1855" t="s">
        <v>2148</v>
      </c>
      <c r="D77" s="4522"/>
      <c r="E77" s="2690"/>
      <c r="F77" s="2690"/>
      <c r="G77" s="4520"/>
      <c r="H77" s="4520"/>
      <c r="I77" s="4520"/>
      <c r="J77" s="2537"/>
      <c r="K77" s="2537"/>
      <c r="L77" s="1855"/>
      <c r="M77" s="4442"/>
      <c r="N77" s="4530"/>
      <c r="O77" s="2537" t="s">
        <v>6780</v>
      </c>
      <c r="P77" s="2701"/>
      <c r="Q77" s="4552"/>
    </row>
    <row r="78" spans="1:17" s="2696" customFormat="1">
      <c r="A78" s="2714" t="s">
        <v>3731</v>
      </c>
      <c r="B78" s="2512"/>
      <c r="C78" s="1855" t="s">
        <v>622</v>
      </c>
      <c r="D78" s="4522"/>
      <c r="E78" s="2690"/>
      <c r="F78" s="2690"/>
      <c r="G78" s="4521"/>
      <c r="H78" s="4521"/>
      <c r="I78" s="4521"/>
      <c r="J78" s="2537"/>
      <c r="K78" s="2537"/>
      <c r="L78" s="1855"/>
      <c r="M78" s="4443"/>
      <c r="N78" s="4531"/>
      <c r="O78" s="2537" t="s">
        <v>6780</v>
      </c>
      <c r="P78" s="2701"/>
      <c r="Q78" s="4553"/>
    </row>
    <row r="79" spans="1:17" s="2696" customFormat="1">
      <c r="A79" s="2710" t="s">
        <v>3591</v>
      </c>
      <c r="B79" s="2711"/>
      <c r="C79" s="2711" t="s">
        <v>2927</v>
      </c>
      <c r="D79" s="2711"/>
      <c r="E79" s="2712"/>
      <c r="F79" s="2712"/>
      <c r="G79" s="2712"/>
      <c r="H79" s="2712"/>
      <c r="I79" s="2712"/>
      <c r="J79" s="2537"/>
      <c r="K79" s="2537"/>
      <c r="L79" s="1855"/>
      <c r="M79" s="2712"/>
      <c r="N79" s="2713">
        <f>SUM(N80:N90)</f>
        <v>1688.43</v>
      </c>
      <c r="O79" s="2537"/>
      <c r="P79" s="2710"/>
      <c r="Q79" s="2713">
        <f>SUM(Q80:Q90)</f>
        <v>0</v>
      </c>
    </row>
    <row r="80" spans="1:17" s="2696" customFormat="1">
      <c r="A80" s="2680" t="s">
        <v>3732</v>
      </c>
      <c r="B80" s="2020"/>
      <c r="C80" s="1855" t="s">
        <v>2135</v>
      </c>
      <c r="D80" s="4522" t="s">
        <v>4891</v>
      </c>
      <c r="E80" s="2690"/>
      <c r="F80" s="2690"/>
      <c r="G80" s="4516"/>
      <c r="H80" s="4516"/>
      <c r="I80" s="4516"/>
      <c r="J80" s="2537" t="s">
        <v>6778</v>
      </c>
      <c r="K80" s="4451">
        <v>168843000</v>
      </c>
      <c r="L80" s="1855">
        <f>K80/100000</f>
        <v>1688.43</v>
      </c>
      <c r="M80" s="4441">
        <v>1</v>
      </c>
      <c r="N80" s="4529">
        <f>L80*M80</f>
        <v>1688.43</v>
      </c>
      <c r="O80" s="2537" t="s">
        <v>6780</v>
      </c>
      <c r="P80" s="2701"/>
      <c r="Q80" s="4542"/>
    </row>
    <row r="81" spans="1:17" s="2696" customFormat="1">
      <c r="A81" s="2680" t="s">
        <v>3733</v>
      </c>
      <c r="B81" s="2020"/>
      <c r="C81" s="1855" t="s">
        <v>2922</v>
      </c>
      <c r="D81" s="4522"/>
      <c r="E81" s="2690"/>
      <c r="F81" s="2690"/>
      <c r="G81" s="4517"/>
      <c r="H81" s="4517"/>
      <c r="I81" s="4517"/>
      <c r="J81" s="2537"/>
      <c r="K81" s="4452"/>
      <c r="L81" s="1855"/>
      <c r="M81" s="4442"/>
      <c r="N81" s="4530"/>
      <c r="O81" s="2537" t="s">
        <v>6780</v>
      </c>
      <c r="P81" s="2701"/>
      <c r="Q81" s="4543"/>
    </row>
    <row r="82" spans="1:17" s="2696" customFormat="1">
      <c r="A82" s="2680" t="s">
        <v>3734</v>
      </c>
      <c r="B82" s="2020"/>
      <c r="C82" s="1855" t="s">
        <v>2138</v>
      </c>
      <c r="D82" s="4522"/>
      <c r="E82" s="2690"/>
      <c r="F82" s="2690"/>
      <c r="G82" s="4517"/>
      <c r="H82" s="4517"/>
      <c r="I82" s="4517"/>
      <c r="J82" s="2537"/>
      <c r="K82" s="4452"/>
      <c r="L82" s="1855"/>
      <c r="M82" s="4442"/>
      <c r="N82" s="4530"/>
      <c r="O82" s="2537" t="s">
        <v>6780</v>
      </c>
      <c r="P82" s="2701"/>
      <c r="Q82" s="4543"/>
    </row>
    <row r="83" spans="1:17" s="2696" customFormat="1">
      <c r="A83" s="2680" t="s">
        <v>3735</v>
      </c>
      <c r="B83" s="2020"/>
      <c r="C83" s="1855" t="s">
        <v>2139</v>
      </c>
      <c r="D83" s="4522"/>
      <c r="E83" s="2690"/>
      <c r="F83" s="2690"/>
      <c r="G83" s="4517"/>
      <c r="H83" s="4517"/>
      <c r="I83" s="4517"/>
      <c r="J83" s="2537"/>
      <c r="K83" s="4452"/>
      <c r="L83" s="1855"/>
      <c r="M83" s="4442"/>
      <c r="N83" s="4530"/>
      <c r="O83" s="2537" t="s">
        <v>6780</v>
      </c>
      <c r="P83" s="2701"/>
      <c r="Q83" s="4543"/>
    </row>
    <row r="84" spans="1:17" s="2696" customFormat="1">
      <c r="A84" s="2680" t="s">
        <v>3736</v>
      </c>
      <c r="B84" s="2020"/>
      <c r="C84" s="2708" t="s">
        <v>2140</v>
      </c>
      <c r="D84" s="4522"/>
      <c r="E84" s="2690"/>
      <c r="F84" s="2690"/>
      <c r="G84" s="4517"/>
      <c r="H84" s="4517"/>
      <c r="I84" s="4517"/>
      <c r="J84" s="2537"/>
      <c r="K84" s="4452"/>
      <c r="L84" s="1855"/>
      <c r="M84" s="4442"/>
      <c r="N84" s="4530"/>
      <c r="O84" s="2537" t="s">
        <v>6780</v>
      </c>
      <c r="P84" s="2701"/>
      <c r="Q84" s="4543"/>
    </row>
    <row r="85" spans="1:17" s="2696" customFormat="1">
      <c r="A85" s="2680" t="s">
        <v>3737</v>
      </c>
      <c r="B85" s="2020"/>
      <c r="C85" s="1855" t="s">
        <v>2142</v>
      </c>
      <c r="D85" s="4522"/>
      <c r="E85" s="2690"/>
      <c r="F85" s="2690"/>
      <c r="G85" s="4517"/>
      <c r="H85" s="4517"/>
      <c r="I85" s="4517"/>
      <c r="J85" s="2537"/>
      <c r="K85" s="4452"/>
      <c r="L85" s="1855"/>
      <c r="M85" s="4442"/>
      <c r="N85" s="4530"/>
      <c r="O85" s="2537" t="s">
        <v>6780</v>
      </c>
      <c r="P85" s="2701"/>
      <c r="Q85" s="4543"/>
    </row>
    <row r="86" spans="1:17" s="2696" customFormat="1">
      <c r="A86" s="2680" t="s">
        <v>3738</v>
      </c>
      <c r="B86" s="2020"/>
      <c r="C86" s="1855" t="s">
        <v>2143</v>
      </c>
      <c r="D86" s="4522"/>
      <c r="E86" s="2690"/>
      <c r="F86" s="2690"/>
      <c r="G86" s="4517"/>
      <c r="H86" s="4517"/>
      <c r="I86" s="4517"/>
      <c r="J86" s="2537"/>
      <c r="K86" s="4452"/>
      <c r="L86" s="1855"/>
      <c r="M86" s="4442"/>
      <c r="N86" s="4530"/>
      <c r="O86" s="2537" t="s">
        <v>6780</v>
      </c>
      <c r="P86" s="2701"/>
      <c r="Q86" s="4543"/>
    </row>
    <row r="87" spans="1:17" s="2696" customFormat="1">
      <c r="A87" s="2680" t="s">
        <v>3739</v>
      </c>
      <c r="B87" s="2020"/>
      <c r="C87" s="2708" t="s">
        <v>673</v>
      </c>
      <c r="D87" s="4522"/>
      <c r="E87" s="2690"/>
      <c r="F87" s="2690"/>
      <c r="G87" s="4517"/>
      <c r="H87" s="4517"/>
      <c r="I87" s="4517"/>
      <c r="J87" s="2537"/>
      <c r="K87" s="4452"/>
      <c r="L87" s="1855"/>
      <c r="M87" s="4442"/>
      <c r="N87" s="4530"/>
      <c r="O87" s="2537" t="s">
        <v>6780</v>
      </c>
      <c r="P87" s="2701"/>
      <c r="Q87" s="4543"/>
    </row>
    <row r="88" spans="1:17" s="2696" customFormat="1">
      <c r="A88" s="2680" t="s">
        <v>3740</v>
      </c>
      <c r="B88" s="2020"/>
      <c r="C88" s="1855" t="s">
        <v>2147</v>
      </c>
      <c r="D88" s="4522"/>
      <c r="E88" s="2690"/>
      <c r="F88" s="2690"/>
      <c r="G88" s="4517"/>
      <c r="H88" s="4517"/>
      <c r="I88" s="4517"/>
      <c r="J88" s="2537"/>
      <c r="K88" s="4452"/>
      <c r="L88" s="1855"/>
      <c r="M88" s="4442"/>
      <c r="N88" s="4530"/>
      <c r="O88" s="2537" t="s">
        <v>6780</v>
      </c>
      <c r="P88" s="2701"/>
      <c r="Q88" s="4543"/>
    </row>
    <row r="89" spans="1:17" s="2696" customFormat="1">
      <c r="A89" s="2680" t="s">
        <v>3741</v>
      </c>
      <c r="B89" s="2020"/>
      <c r="C89" s="1855" t="s">
        <v>2148</v>
      </c>
      <c r="D89" s="4522"/>
      <c r="E89" s="2690"/>
      <c r="F89" s="2690"/>
      <c r="G89" s="4517"/>
      <c r="H89" s="4517"/>
      <c r="I89" s="4517"/>
      <c r="J89" s="2537"/>
      <c r="K89" s="4452"/>
      <c r="L89" s="1855"/>
      <c r="M89" s="4442"/>
      <c r="N89" s="4530"/>
      <c r="O89" s="2537" t="s">
        <v>6780</v>
      </c>
      <c r="P89" s="2701"/>
      <c r="Q89" s="4543"/>
    </row>
    <row r="90" spans="1:17" s="2696" customFormat="1">
      <c r="A90" s="2714" t="s">
        <v>3742</v>
      </c>
      <c r="B90" s="2020"/>
      <c r="C90" s="1855" t="s">
        <v>622</v>
      </c>
      <c r="D90" s="4522"/>
      <c r="E90" s="2690"/>
      <c r="F90" s="2690"/>
      <c r="G90" s="4518"/>
      <c r="H90" s="4518"/>
      <c r="I90" s="4518"/>
      <c r="J90" s="2537"/>
      <c r="K90" s="4453"/>
      <c r="L90" s="1855"/>
      <c r="M90" s="4443"/>
      <c r="N90" s="4531"/>
      <c r="O90" s="2537" t="s">
        <v>6780</v>
      </c>
      <c r="P90" s="2701"/>
      <c r="Q90" s="4544"/>
    </row>
    <row r="91" spans="1:17" s="2696" customFormat="1">
      <c r="A91" s="2710" t="s">
        <v>3593</v>
      </c>
      <c r="B91" s="2711"/>
      <c r="C91" s="2711" t="s">
        <v>2928</v>
      </c>
      <c r="D91" s="2711"/>
      <c r="E91" s="2712"/>
      <c r="F91" s="2712"/>
      <c r="G91" s="2712"/>
      <c r="H91" s="2712"/>
      <c r="I91" s="2712"/>
      <c r="J91" s="2537"/>
      <c r="K91" s="2537"/>
      <c r="L91" s="1855"/>
      <c r="M91" s="2712"/>
      <c r="N91" s="2713">
        <f>SUM(N92:N102)</f>
        <v>427.39</v>
      </c>
      <c r="O91" s="2537"/>
      <c r="P91" s="2710"/>
      <c r="Q91" s="2713">
        <f>SUM(Q92:Q102)</f>
        <v>0</v>
      </c>
    </row>
    <row r="92" spans="1:17" s="2696" customFormat="1">
      <c r="A92" s="2680" t="s">
        <v>3743</v>
      </c>
      <c r="B92" s="2020"/>
      <c r="C92" s="1855" t="s">
        <v>2135</v>
      </c>
      <c r="D92" s="4522" t="s">
        <v>4000</v>
      </c>
      <c r="E92" s="2690"/>
      <c r="F92" s="2690"/>
      <c r="G92" s="4516"/>
      <c r="H92" s="4516"/>
      <c r="I92" s="4516"/>
      <c r="J92" s="2537" t="s">
        <v>6778</v>
      </c>
      <c r="K92" s="2537">
        <v>42739000</v>
      </c>
      <c r="L92" s="1855">
        <f>K92/100000</f>
        <v>427.39</v>
      </c>
      <c r="M92" s="4441">
        <v>1</v>
      </c>
      <c r="N92" s="4529">
        <f>L92*M92</f>
        <v>427.39</v>
      </c>
      <c r="O92" s="2537" t="s">
        <v>6780</v>
      </c>
      <c r="P92" s="2701"/>
      <c r="Q92" s="4542"/>
    </row>
    <row r="93" spans="1:17" s="2696" customFormat="1">
      <c r="A93" s="2680" t="s">
        <v>3744</v>
      </c>
      <c r="B93" s="2020"/>
      <c r="C93" s="1855" t="s">
        <v>2922</v>
      </c>
      <c r="D93" s="4522"/>
      <c r="E93" s="2690"/>
      <c r="F93" s="2690"/>
      <c r="G93" s="4517"/>
      <c r="H93" s="4517"/>
      <c r="I93" s="4517"/>
      <c r="J93" s="2537"/>
      <c r="K93" s="2537"/>
      <c r="L93" s="1855"/>
      <c r="M93" s="4442"/>
      <c r="N93" s="4530"/>
      <c r="O93" s="2537" t="s">
        <v>6780</v>
      </c>
      <c r="P93" s="2701"/>
      <c r="Q93" s="4543"/>
    </row>
    <row r="94" spans="1:17" s="2696" customFormat="1">
      <c r="A94" s="2680" t="s">
        <v>3745</v>
      </c>
      <c r="B94" s="2716"/>
      <c r="C94" s="1855" t="s">
        <v>2138</v>
      </c>
      <c r="D94" s="4522"/>
      <c r="E94" s="2690"/>
      <c r="F94" s="2690"/>
      <c r="G94" s="4517"/>
      <c r="H94" s="4517"/>
      <c r="I94" s="4517"/>
      <c r="J94" s="2537"/>
      <c r="K94" s="2537"/>
      <c r="L94" s="1855"/>
      <c r="M94" s="4442"/>
      <c r="N94" s="4530"/>
      <c r="O94" s="2537" t="s">
        <v>6780</v>
      </c>
      <c r="P94" s="2701"/>
      <c r="Q94" s="4543"/>
    </row>
    <row r="95" spans="1:17" s="2696" customFormat="1">
      <c r="A95" s="2680" t="s">
        <v>3746</v>
      </c>
      <c r="B95" s="2020"/>
      <c r="C95" s="1855" t="s">
        <v>2139</v>
      </c>
      <c r="D95" s="4522"/>
      <c r="E95" s="2690"/>
      <c r="F95" s="2690"/>
      <c r="G95" s="4517"/>
      <c r="H95" s="4517"/>
      <c r="I95" s="4517"/>
      <c r="J95" s="2537"/>
      <c r="K95" s="2537"/>
      <c r="L95" s="1855"/>
      <c r="M95" s="4442"/>
      <c r="N95" s="4530"/>
      <c r="O95" s="2537" t="s">
        <v>6780</v>
      </c>
      <c r="P95" s="2701"/>
      <c r="Q95" s="4543"/>
    </row>
    <row r="96" spans="1:17" s="2696" customFormat="1">
      <c r="A96" s="2680" t="s">
        <v>3747</v>
      </c>
      <c r="B96" s="2020"/>
      <c r="C96" s="2708" t="s">
        <v>2140</v>
      </c>
      <c r="D96" s="4522"/>
      <c r="E96" s="2690"/>
      <c r="F96" s="2690"/>
      <c r="G96" s="4517"/>
      <c r="H96" s="4517"/>
      <c r="I96" s="4517"/>
      <c r="J96" s="2537"/>
      <c r="K96" s="2537"/>
      <c r="L96" s="1855"/>
      <c r="M96" s="4442"/>
      <c r="N96" s="4530"/>
      <c r="O96" s="2537" t="s">
        <v>6780</v>
      </c>
      <c r="P96" s="2701"/>
      <c r="Q96" s="4543"/>
    </row>
    <row r="97" spans="1:17" s="2696" customFormat="1">
      <c r="A97" s="2680" t="s">
        <v>3748</v>
      </c>
      <c r="B97" s="2020"/>
      <c r="C97" s="1855" t="s">
        <v>2142</v>
      </c>
      <c r="D97" s="4522"/>
      <c r="E97" s="2690"/>
      <c r="F97" s="2690"/>
      <c r="G97" s="4517"/>
      <c r="H97" s="4517"/>
      <c r="I97" s="4517"/>
      <c r="J97" s="2537"/>
      <c r="K97" s="2537"/>
      <c r="L97" s="1855"/>
      <c r="M97" s="4442"/>
      <c r="N97" s="4530"/>
      <c r="O97" s="2537" t="s">
        <v>6780</v>
      </c>
      <c r="P97" s="2701"/>
      <c r="Q97" s="4543"/>
    </row>
    <row r="98" spans="1:17" s="2696" customFormat="1">
      <c r="A98" s="2680" t="s">
        <v>3749</v>
      </c>
      <c r="B98" s="2020"/>
      <c r="C98" s="1855" t="s">
        <v>2143</v>
      </c>
      <c r="D98" s="4522"/>
      <c r="E98" s="2690"/>
      <c r="F98" s="2690"/>
      <c r="G98" s="4517"/>
      <c r="H98" s="4517"/>
      <c r="I98" s="4517"/>
      <c r="J98" s="2537"/>
      <c r="K98" s="2537"/>
      <c r="L98" s="1855"/>
      <c r="M98" s="4442"/>
      <c r="N98" s="4530"/>
      <c r="O98" s="2537" t="s">
        <v>6780</v>
      </c>
      <c r="P98" s="2701"/>
      <c r="Q98" s="4543"/>
    </row>
    <row r="99" spans="1:17" s="2696" customFormat="1">
      <c r="A99" s="2680" t="s">
        <v>3750</v>
      </c>
      <c r="B99" s="2020"/>
      <c r="C99" s="2708" t="s">
        <v>673</v>
      </c>
      <c r="D99" s="4522"/>
      <c r="E99" s="2690"/>
      <c r="F99" s="2690"/>
      <c r="G99" s="4517"/>
      <c r="H99" s="4517"/>
      <c r="I99" s="4517"/>
      <c r="J99" s="2537"/>
      <c r="K99" s="2537"/>
      <c r="L99" s="1855"/>
      <c r="M99" s="4442"/>
      <c r="N99" s="4530"/>
      <c r="O99" s="2537" t="s">
        <v>6780</v>
      </c>
      <c r="P99" s="2701"/>
      <c r="Q99" s="4543"/>
    </row>
    <row r="100" spans="1:17" s="2696" customFormat="1">
      <c r="A100" s="2680" t="s">
        <v>3751</v>
      </c>
      <c r="B100" s="2020"/>
      <c r="C100" s="1855" t="s">
        <v>2147</v>
      </c>
      <c r="D100" s="4522"/>
      <c r="E100" s="2690"/>
      <c r="F100" s="2690"/>
      <c r="G100" s="4517"/>
      <c r="H100" s="4517"/>
      <c r="I100" s="4517"/>
      <c r="J100" s="2537"/>
      <c r="K100" s="2537"/>
      <c r="L100" s="1855"/>
      <c r="M100" s="4442"/>
      <c r="N100" s="4530"/>
      <c r="O100" s="2537" t="s">
        <v>6780</v>
      </c>
      <c r="P100" s="2701"/>
      <c r="Q100" s="4543"/>
    </row>
    <row r="101" spans="1:17" s="2696" customFormat="1">
      <c r="A101" s="2680" t="s">
        <v>3752</v>
      </c>
      <c r="B101" s="2020"/>
      <c r="C101" s="1855" t="s">
        <v>2148</v>
      </c>
      <c r="D101" s="4522"/>
      <c r="E101" s="2690"/>
      <c r="F101" s="2690"/>
      <c r="G101" s="4517"/>
      <c r="H101" s="4517"/>
      <c r="I101" s="4517"/>
      <c r="J101" s="2537"/>
      <c r="K101" s="2537"/>
      <c r="L101" s="1855"/>
      <c r="M101" s="4442"/>
      <c r="N101" s="4530"/>
      <c r="O101" s="2537" t="s">
        <v>6780</v>
      </c>
      <c r="P101" s="2701"/>
      <c r="Q101" s="4543"/>
    </row>
    <row r="102" spans="1:17" s="2696" customFormat="1">
      <c r="A102" s="2714" t="s">
        <v>3753</v>
      </c>
      <c r="B102" s="2020"/>
      <c r="C102" s="1855" t="s">
        <v>622</v>
      </c>
      <c r="D102" s="4522"/>
      <c r="E102" s="2690"/>
      <c r="F102" s="2690"/>
      <c r="G102" s="4518"/>
      <c r="H102" s="4518"/>
      <c r="I102" s="4518"/>
      <c r="J102" s="2537"/>
      <c r="K102" s="2537"/>
      <c r="L102" s="1855"/>
      <c r="M102" s="4443"/>
      <c r="N102" s="4531"/>
      <c r="O102" s="2537" t="s">
        <v>6780</v>
      </c>
      <c r="P102" s="2701"/>
      <c r="Q102" s="4544"/>
    </row>
    <row r="103" spans="1:17" s="2696" customFormat="1">
      <c r="A103" s="2697" t="s">
        <v>3607</v>
      </c>
      <c r="B103" s="2698"/>
      <c r="C103" s="2698" t="s">
        <v>2151</v>
      </c>
      <c r="D103" s="2698"/>
      <c r="E103" s="2699"/>
      <c r="F103" s="2699"/>
      <c r="G103" s="2699"/>
      <c r="H103" s="2699"/>
      <c r="I103" s="2699"/>
      <c r="J103" s="2537"/>
      <c r="K103" s="2537"/>
      <c r="L103" s="1855"/>
      <c r="M103" s="2699"/>
      <c r="N103" s="2700">
        <f>N104+N116+N128</f>
        <v>13674.789999999999</v>
      </c>
      <c r="O103" s="2537"/>
      <c r="P103" s="2697"/>
      <c r="Q103" s="2700">
        <f>Q104+Q116+Q128</f>
        <v>0</v>
      </c>
    </row>
    <row r="104" spans="1:17" s="2696" customFormat="1">
      <c r="A104" s="2710" t="s">
        <v>3609</v>
      </c>
      <c r="B104" s="2711"/>
      <c r="C104" s="2711" t="s">
        <v>2929</v>
      </c>
      <c r="D104" s="2711"/>
      <c r="E104" s="2712"/>
      <c r="F104" s="2712"/>
      <c r="G104" s="2712"/>
      <c r="H104" s="2712"/>
      <c r="I104" s="2712"/>
      <c r="J104" s="2537"/>
      <c r="K104" s="2537"/>
      <c r="L104" s="1855"/>
      <c r="M104" s="2712"/>
      <c r="N104" s="2713">
        <f>SUM(N105:N115)</f>
        <v>10786.89</v>
      </c>
      <c r="O104" s="2537"/>
      <c r="P104" s="2715"/>
      <c r="Q104" s="2713">
        <f>SUM(Q105:Q115)</f>
        <v>0</v>
      </c>
    </row>
    <row r="105" spans="1:17" s="2696" customFormat="1">
      <c r="A105" s="2680" t="s">
        <v>3754</v>
      </c>
      <c r="B105" s="2020"/>
      <c r="C105" s="1855" t="s">
        <v>2149</v>
      </c>
      <c r="D105" s="4522" t="s">
        <v>3909</v>
      </c>
      <c r="E105" s="2709"/>
      <c r="F105" s="2709"/>
      <c r="G105" s="4516"/>
      <c r="H105" s="4516"/>
      <c r="I105" s="4516"/>
      <c r="J105" s="2537" t="s">
        <v>6778</v>
      </c>
      <c r="K105" s="2537">
        <v>1078689000</v>
      </c>
      <c r="L105" s="1855">
        <f>K105/100000</f>
        <v>10786.89</v>
      </c>
      <c r="M105" s="4441">
        <v>1</v>
      </c>
      <c r="N105" s="4529">
        <f>L105*M105</f>
        <v>10786.89</v>
      </c>
      <c r="O105" s="2537" t="s">
        <v>6780</v>
      </c>
      <c r="P105" s="2701"/>
      <c r="Q105" s="4542"/>
    </row>
    <row r="106" spans="1:17" s="2696" customFormat="1">
      <c r="A106" s="2680" t="s">
        <v>3755</v>
      </c>
      <c r="B106" s="2020"/>
      <c r="C106" s="1855" t="s">
        <v>2930</v>
      </c>
      <c r="D106" s="4522"/>
      <c r="E106" s="2709"/>
      <c r="F106" s="2709"/>
      <c r="G106" s="4517"/>
      <c r="H106" s="4517"/>
      <c r="I106" s="4517"/>
      <c r="J106" s="2537"/>
      <c r="K106" s="2537"/>
      <c r="L106" s="1855"/>
      <c r="M106" s="4442"/>
      <c r="N106" s="4530"/>
      <c r="O106" s="2537" t="s">
        <v>6780</v>
      </c>
      <c r="P106" s="2701"/>
      <c r="Q106" s="4543"/>
    </row>
    <row r="107" spans="1:17" s="2696" customFormat="1">
      <c r="A107" s="2680" t="s">
        <v>3756</v>
      </c>
      <c r="B107" s="2020"/>
      <c r="C107" s="1855" t="s">
        <v>2138</v>
      </c>
      <c r="D107" s="4522"/>
      <c r="E107" s="2538"/>
      <c r="F107" s="2538"/>
      <c r="G107" s="4517"/>
      <c r="H107" s="4517"/>
      <c r="I107" s="4517"/>
      <c r="J107" s="2537"/>
      <c r="K107" s="2537"/>
      <c r="L107" s="1855"/>
      <c r="M107" s="4442"/>
      <c r="N107" s="4530"/>
      <c r="O107" s="2537" t="s">
        <v>6780</v>
      </c>
      <c r="P107" s="2701"/>
      <c r="Q107" s="4543"/>
    </row>
    <row r="108" spans="1:17" s="2696" customFormat="1">
      <c r="A108" s="2680" t="s">
        <v>3757</v>
      </c>
      <c r="B108" s="2020"/>
      <c r="C108" s="1855" t="s">
        <v>2139</v>
      </c>
      <c r="D108" s="4522"/>
      <c r="E108" s="2538"/>
      <c r="F108" s="2538"/>
      <c r="G108" s="4517"/>
      <c r="H108" s="4517"/>
      <c r="I108" s="4517"/>
      <c r="J108" s="2537"/>
      <c r="K108" s="2537"/>
      <c r="L108" s="1855"/>
      <c r="M108" s="4442"/>
      <c r="N108" s="4530"/>
      <c r="O108" s="2537" t="s">
        <v>6780</v>
      </c>
      <c r="P108" s="2701"/>
      <c r="Q108" s="4543"/>
    </row>
    <row r="109" spans="1:17" s="2696" customFormat="1">
      <c r="A109" s="2680" t="s">
        <v>3758</v>
      </c>
      <c r="B109" s="2020"/>
      <c r="C109" s="2708" t="s">
        <v>2152</v>
      </c>
      <c r="D109" s="4522"/>
      <c r="E109" s="2538"/>
      <c r="F109" s="2538"/>
      <c r="G109" s="4517"/>
      <c r="H109" s="4517"/>
      <c r="I109" s="4517"/>
      <c r="J109" s="2537"/>
      <c r="K109" s="2537"/>
      <c r="L109" s="1855"/>
      <c r="M109" s="4442"/>
      <c r="N109" s="4530"/>
      <c r="O109" s="2537" t="s">
        <v>6780</v>
      </c>
      <c r="P109" s="2701"/>
      <c r="Q109" s="4543"/>
    </row>
    <row r="110" spans="1:17" s="2696" customFormat="1">
      <c r="A110" s="2680" t="s">
        <v>3759</v>
      </c>
      <c r="B110" s="2020"/>
      <c r="C110" s="1855" t="s">
        <v>2142</v>
      </c>
      <c r="D110" s="4522"/>
      <c r="E110" s="2538"/>
      <c r="F110" s="2538"/>
      <c r="G110" s="4517"/>
      <c r="H110" s="4517"/>
      <c r="I110" s="4517"/>
      <c r="J110" s="2537"/>
      <c r="K110" s="2537"/>
      <c r="L110" s="1855"/>
      <c r="M110" s="4442"/>
      <c r="N110" s="4530"/>
      <c r="O110" s="2537" t="s">
        <v>6780</v>
      </c>
      <c r="P110" s="2701"/>
      <c r="Q110" s="4543"/>
    </row>
    <row r="111" spans="1:17" s="2696" customFormat="1">
      <c r="A111" s="2680" t="s">
        <v>3760</v>
      </c>
      <c r="B111" s="2020"/>
      <c r="C111" s="1855" t="s">
        <v>2143</v>
      </c>
      <c r="D111" s="4522"/>
      <c r="E111" s="2709"/>
      <c r="F111" s="2709"/>
      <c r="G111" s="4517"/>
      <c r="H111" s="4517"/>
      <c r="I111" s="4517"/>
      <c r="J111" s="2537"/>
      <c r="K111" s="2537"/>
      <c r="L111" s="1855"/>
      <c r="M111" s="4442"/>
      <c r="N111" s="4530"/>
      <c r="O111" s="2537" t="s">
        <v>6780</v>
      </c>
      <c r="P111" s="2701"/>
      <c r="Q111" s="4543"/>
    </row>
    <row r="112" spans="1:17" s="2696" customFormat="1">
      <c r="A112" s="2680" t="s">
        <v>3761</v>
      </c>
      <c r="B112" s="2020"/>
      <c r="C112" s="2708" t="s">
        <v>673</v>
      </c>
      <c r="D112" s="4522"/>
      <c r="E112" s="2443"/>
      <c r="F112" s="2443"/>
      <c r="G112" s="4517"/>
      <c r="H112" s="4517"/>
      <c r="I112" s="4517"/>
      <c r="J112" s="2537"/>
      <c r="K112" s="2537"/>
      <c r="L112" s="1855"/>
      <c r="M112" s="4442"/>
      <c r="N112" s="4530"/>
      <c r="O112" s="2537" t="s">
        <v>6780</v>
      </c>
      <c r="P112" s="2701"/>
      <c r="Q112" s="4543"/>
    </row>
    <row r="113" spans="1:17" s="2696" customFormat="1">
      <c r="A113" s="2680" t="s">
        <v>3762</v>
      </c>
      <c r="B113" s="2673"/>
      <c r="C113" s="1855" t="s">
        <v>2147</v>
      </c>
      <c r="D113" s="4522"/>
      <c r="E113" s="2709"/>
      <c r="F113" s="2709"/>
      <c r="G113" s="4517"/>
      <c r="H113" s="4517"/>
      <c r="I113" s="4517"/>
      <c r="J113" s="2537"/>
      <c r="K113" s="2537"/>
      <c r="L113" s="1855"/>
      <c r="M113" s="4442"/>
      <c r="N113" s="4530"/>
      <c r="O113" s="2537" t="s">
        <v>6780</v>
      </c>
      <c r="P113" s="2701"/>
      <c r="Q113" s="4543"/>
    </row>
    <row r="114" spans="1:17" s="2696" customFormat="1">
      <c r="A114" s="2680" t="s">
        <v>3763</v>
      </c>
      <c r="B114" s="2020"/>
      <c r="C114" s="1855" t="s">
        <v>2150</v>
      </c>
      <c r="D114" s="4522"/>
      <c r="E114" s="2709"/>
      <c r="F114" s="2709"/>
      <c r="G114" s="4517"/>
      <c r="H114" s="4517"/>
      <c r="I114" s="4517"/>
      <c r="J114" s="2537"/>
      <c r="K114" s="2537"/>
      <c r="L114" s="1855"/>
      <c r="M114" s="4442"/>
      <c r="N114" s="4530"/>
      <c r="O114" s="2537" t="s">
        <v>6780</v>
      </c>
      <c r="P114" s="2701"/>
      <c r="Q114" s="4543"/>
    </row>
    <row r="115" spans="1:17" s="2696" customFormat="1">
      <c r="A115" s="2714" t="s">
        <v>3764</v>
      </c>
      <c r="B115" s="2020"/>
      <c r="C115" s="1855" t="s">
        <v>622</v>
      </c>
      <c r="D115" s="4522"/>
      <c r="E115" s="2709"/>
      <c r="F115" s="2709"/>
      <c r="G115" s="4518"/>
      <c r="H115" s="4518"/>
      <c r="I115" s="4518"/>
      <c r="J115" s="2537"/>
      <c r="K115" s="2537"/>
      <c r="L115" s="1855"/>
      <c r="M115" s="4443"/>
      <c r="N115" s="4531"/>
      <c r="O115" s="2537" t="s">
        <v>6780</v>
      </c>
      <c r="P115" s="2701"/>
      <c r="Q115" s="4544"/>
    </row>
    <row r="116" spans="1:17" s="2696" customFormat="1">
      <c r="A116" s="2710" t="s">
        <v>3765</v>
      </c>
      <c r="B116" s="2711"/>
      <c r="C116" s="2711" t="s">
        <v>2931</v>
      </c>
      <c r="D116" s="2711"/>
      <c r="E116" s="2712"/>
      <c r="F116" s="2712"/>
      <c r="G116" s="2712"/>
      <c r="H116" s="2712"/>
      <c r="I116" s="2712"/>
      <c r="J116" s="2537"/>
      <c r="K116" s="2537"/>
      <c r="L116" s="1855"/>
      <c r="M116" s="2712"/>
      <c r="N116" s="2713">
        <f>SUM(N117:N127)</f>
        <v>2887.9</v>
      </c>
      <c r="O116" s="2537"/>
      <c r="P116" s="2715"/>
      <c r="Q116" s="2713">
        <f>SUM(Q117:Q127)</f>
        <v>0</v>
      </c>
    </row>
    <row r="117" spans="1:17" s="2696" customFormat="1">
      <c r="A117" s="2680" t="s">
        <v>3766</v>
      </c>
      <c r="B117" s="2020"/>
      <c r="C117" s="1855" t="s">
        <v>2135</v>
      </c>
      <c r="D117" s="4522" t="s">
        <v>4892</v>
      </c>
      <c r="E117" s="2709"/>
      <c r="F117" s="2709"/>
      <c r="G117" s="4516"/>
      <c r="H117" s="4516"/>
      <c r="I117" s="4516"/>
      <c r="J117" s="2537" t="s">
        <v>6778</v>
      </c>
      <c r="K117" s="2537">
        <v>288790000</v>
      </c>
      <c r="L117" s="1855">
        <f>K117/100000</f>
        <v>2887.9</v>
      </c>
      <c r="M117" s="4441">
        <v>1</v>
      </c>
      <c r="N117" s="4529">
        <f>L117*M117</f>
        <v>2887.9</v>
      </c>
      <c r="O117" s="2537" t="s">
        <v>6780</v>
      </c>
      <c r="P117" s="2701"/>
      <c r="Q117" s="4542"/>
    </row>
    <row r="118" spans="1:17" s="2696" customFormat="1">
      <c r="A118" s="2680" t="s">
        <v>3767</v>
      </c>
      <c r="B118" s="2020"/>
      <c r="C118" s="1855" t="s">
        <v>2922</v>
      </c>
      <c r="D118" s="4522"/>
      <c r="E118" s="2709"/>
      <c r="F118" s="2709"/>
      <c r="G118" s="4517"/>
      <c r="H118" s="4517"/>
      <c r="I118" s="4517"/>
      <c r="J118" s="2537"/>
      <c r="K118" s="2537"/>
      <c r="L118" s="1855"/>
      <c r="M118" s="4442"/>
      <c r="N118" s="4530"/>
      <c r="O118" s="2537" t="s">
        <v>6780</v>
      </c>
      <c r="P118" s="2701"/>
      <c r="Q118" s="4543"/>
    </row>
    <row r="119" spans="1:17" s="2696" customFormat="1">
      <c r="A119" s="2680" t="s">
        <v>3768</v>
      </c>
      <c r="B119" s="2020"/>
      <c r="C119" s="1855" t="s">
        <v>2138</v>
      </c>
      <c r="D119" s="4522"/>
      <c r="E119" s="2709"/>
      <c r="F119" s="2709"/>
      <c r="G119" s="4517"/>
      <c r="H119" s="4517"/>
      <c r="I119" s="4517"/>
      <c r="J119" s="2537"/>
      <c r="K119" s="2537"/>
      <c r="L119" s="1855"/>
      <c r="M119" s="4442"/>
      <c r="N119" s="4530"/>
      <c r="O119" s="2537" t="s">
        <v>6780</v>
      </c>
      <c r="P119" s="2701"/>
      <c r="Q119" s="4543"/>
    </row>
    <row r="120" spans="1:17" s="2696" customFormat="1">
      <c r="A120" s="2680" t="s">
        <v>3769</v>
      </c>
      <c r="B120" s="2020"/>
      <c r="C120" s="1855" t="s">
        <v>2139</v>
      </c>
      <c r="D120" s="4522"/>
      <c r="E120" s="2690"/>
      <c r="F120" s="2690"/>
      <c r="G120" s="4517"/>
      <c r="H120" s="4517"/>
      <c r="I120" s="4517"/>
      <c r="J120" s="2537"/>
      <c r="K120" s="2537"/>
      <c r="L120" s="1855"/>
      <c r="M120" s="4442"/>
      <c r="N120" s="4530"/>
      <c r="O120" s="2537" t="s">
        <v>6780</v>
      </c>
      <c r="P120" s="2701"/>
      <c r="Q120" s="4543"/>
    </row>
    <row r="121" spans="1:17" s="2696" customFormat="1">
      <c r="A121" s="2680" t="s">
        <v>3770</v>
      </c>
      <c r="B121" s="2020"/>
      <c r="C121" s="2708" t="s">
        <v>2140</v>
      </c>
      <c r="D121" s="4522"/>
      <c r="E121" s="2690"/>
      <c r="F121" s="2690"/>
      <c r="G121" s="4517"/>
      <c r="H121" s="4517"/>
      <c r="I121" s="4517"/>
      <c r="J121" s="2537"/>
      <c r="K121" s="2537"/>
      <c r="L121" s="1855"/>
      <c r="M121" s="4442"/>
      <c r="N121" s="4530"/>
      <c r="O121" s="2537" t="s">
        <v>6780</v>
      </c>
      <c r="P121" s="2701"/>
      <c r="Q121" s="4543"/>
    </row>
    <row r="122" spans="1:17" s="2696" customFormat="1">
      <c r="A122" s="2680" t="s">
        <v>3771</v>
      </c>
      <c r="B122" s="2020"/>
      <c r="C122" s="1855" t="s">
        <v>2142</v>
      </c>
      <c r="D122" s="4522"/>
      <c r="E122" s="2538"/>
      <c r="F122" s="2538"/>
      <c r="G122" s="4517"/>
      <c r="H122" s="4517"/>
      <c r="I122" s="4517"/>
      <c r="J122" s="2537"/>
      <c r="K122" s="2537"/>
      <c r="L122" s="1855"/>
      <c r="M122" s="4442"/>
      <c r="N122" s="4530"/>
      <c r="O122" s="2537" t="s">
        <v>6780</v>
      </c>
      <c r="P122" s="2701"/>
      <c r="Q122" s="4543"/>
    </row>
    <row r="123" spans="1:17" s="2696" customFormat="1">
      <c r="A123" s="2680" t="s">
        <v>3772</v>
      </c>
      <c r="B123" s="2020"/>
      <c r="C123" s="1855" t="s">
        <v>2143</v>
      </c>
      <c r="D123" s="4522"/>
      <c r="E123" s="2690"/>
      <c r="F123" s="2690"/>
      <c r="G123" s="4517"/>
      <c r="H123" s="4517"/>
      <c r="I123" s="4517"/>
      <c r="J123" s="2537"/>
      <c r="K123" s="2537"/>
      <c r="L123" s="1855"/>
      <c r="M123" s="4442"/>
      <c r="N123" s="4530"/>
      <c r="O123" s="2537" t="s">
        <v>6780</v>
      </c>
      <c r="P123" s="2701"/>
      <c r="Q123" s="4543"/>
    </row>
    <row r="124" spans="1:17" s="2696" customFormat="1">
      <c r="A124" s="2680" t="s">
        <v>3773</v>
      </c>
      <c r="B124" s="2020"/>
      <c r="C124" s="2708" t="s">
        <v>673</v>
      </c>
      <c r="D124" s="4522"/>
      <c r="E124" s="2690"/>
      <c r="F124" s="2690"/>
      <c r="G124" s="4517"/>
      <c r="H124" s="4517"/>
      <c r="I124" s="4517"/>
      <c r="J124" s="2537"/>
      <c r="K124" s="2537"/>
      <c r="L124" s="1855"/>
      <c r="M124" s="4442"/>
      <c r="N124" s="4530"/>
      <c r="O124" s="2537" t="s">
        <v>6780</v>
      </c>
      <c r="P124" s="2701"/>
      <c r="Q124" s="4543"/>
    </row>
    <row r="125" spans="1:17" s="2696" customFormat="1">
      <c r="A125" s="2680" t="s">
        <v>3774</v>
      </c>
      <c r="B125" s="2020"/>
      <c r="C125" s="1855" t="s">
        <v>2147</v>
      </c>
      <c r="D125" s="4522"/>
      <c r="E125" s="2690"/>
      <c r="F125" s="2690"/>
      <c r="G125" s="4517"/>
      <c r="H125" s="4517"/>
      <c r="I125" s="4517"/>
      <c r="J125" s="2537"/>
      <c r="K125" s="2537"/>
      <c r="L125" s="1855"/>
      <c r="M125" s="4442"/>
      <c r="N125" s="4530"/>
      <c r="O125" s="2537" t="s">
        <v>6780</v>
      </c>
      <c r="P125" s="2701"/>
      <c r="Q125" s="4543"/>
    </row>
    <row r="126" spans="1:17" s="2696" customFormat="1">
      <c r="A126" s="2680" t="s">
        <v>3775</v>
      </c>
      <c r="B126" s="2020"/>
      <c r="C126" s="1855" t="s">
        <v>2148</v>
      </c>
      <c r="D126" s="4522"/>
      <c r="E126" s="2690"/>
      <c r="F126" s="2690"/>
      <c r="G126" s="4517"/>
      <c r="H126" s="4517"/>
      <c r="I126" s="4517"/>
      <c r="J126" s="2537"/>
      <c r="K126" s="2537"/>
      <c r="L126" s="1855"/>
      <c r="M126" s="4442"/>
      <c r="N126" s="4530"/>
      <c r="O126" s="2537" t="s">
        <v>6780</v>
      </c>
      <c r="P126" s="2701"/>
      <c r="Q126" s="4543"/>
    </row>
    <row r="127" spans="1:17" s="2696" customFormat="1">
      <c r="A127" s="2714" t="s">
        <v>3776</v>
      </c>
      <c r="B127" s="2020"/>
      <c r="C127" s="1855" t="s">
        <v>622</v>
      </c>
      <c r="D127" s="4522"/>
      <c r="E127" s="2690"/>
      <c r="F127" s="2690"/>
      <c r="G127" s="4518"/>
      <c r="H127" s="4518"/>
      <c r="I127" s="4518"/>
      <c r="J127" s="2537"/>
      <c r="K127" s="2537"/>
      <c r="L127" s="1855"/>
      <c r="M127" s="4443"/>
      <c r="N127" s="4531"/>
      <c r="O127" s="2537" t="s">
        <v>6780</v>
      </c>
      <c r="P127" s="2701"/>
      <c r="Q127" s="4544"/>
    </row>
    <row r="128" spans="1:17" s="2696" customFormat="1">
      <c r="A128" s="2710" t="s">
        <v>3777</v>
      </c>
      <c r="B128" s="2711"/>
      <c r="C128" s="2711" t="s">
        <v>2932</v>
      </c>
      <c r="D128" s="2711"/>
      <c r="E128" s="2712"/>
      <c r="F128" s="2712"/>
      <c r="G128" s="2712"/>
      <c r="H128" s="2712"/>
      <c r="I128" s="2712"/>
      <c r="J128" s="2537"/>
      <c r="K128" s="2537"/>
      <c r="L128" s="1855"/>
      <c r="M128" s="2712"/>
      <c r="N128" s="2713">
        <f>SUM(N129:N139)</f>
        <v>0</v>
      </c>
      <c r="O128" s="2537"/>
      <c r="P128" s="2715"/>
      <c r="Q128" s="2713">
        <f>SUM(Q129:Q139)</f>
        <v>0</v>
      </c>
    </row>
    <row r="129" spans="1:17" s="2696" customFormat="1">
      <c r="A129" s="2680" t="s">
        <v>3778</v>
      </c>
      <c r="B129" s="2020"/>
      <c r="C129" s="1855" t="s">
        <v>2135</v>
      </c>
      <c r="D129" s="4522" t="s">
        <v>4001</v>
      </c>
      <c r="E129" s="2690"/>
      <c r="F129" s="2690"/>
      <c r="G129" s="4516"/>
      <c r="H129" s="4516"/>
      <c r="I129" s="4516"/>
      <c r="J129" s="2537"/>
      <c r="K129" s="2537"/>
      <c r="L129" s="1855">
        <f>K129/100000</f>
        <v>0</v>
      </c>
      <c r="M129" s="4441"/>
      <c r="N129" s="4529">
        <f>L129*M129</f>
        <v>0</v>
      </c>
      <c r="O129" s="2537"/>
      <c r="P129" s="2701"/>
      <c r="Q129" s="4542"/>
    </row>
    <row r="130" spans="1:17" s="2696" customFormat="1">
      <c r="A130" s="2680" t="s">
        <v>3779</v>
      </c>
      <c r="B130" s="2020"/>
      <c r="C130" s="1855" t="s">
        <v>2922</v>
      </c>
      <c r="D130" s="4522"/>
      <c r="E130" s="2690"/>
      <c r="F130" s="2690"/>
      <c r="G130" s="4517"/>
      <c r="H130" s="4517"/>
      <c r="I130" s="4517"/>
      <c r="J130" s="2537"/>
      <c r="K130" s="2537"/>
      <c r="L130" s="1855"/>
      <c r="M130" s="4442"/>
      <c r="N130" s="4530"/>
      <c r="O130" s="2537"/>
      <c r="P130" s="2701"/>
      <c r="Q130" s="4543"/>
    </row>
    <row r="131" spans="1:17" s="2696" customFormat="1">
      <c r="A131" s="2680" t="s">
        <v>3780</v>
      </c>
      <c r="B131" s="2716"/>
      <c r="C131" s="1855" t="s">
        <v>2138</v>
      </c>
      <c r="D131" s="4522"/>
      <c r="E131" s="2690"/>
      <c r="F131" s="2690"/>
      <c r="G131" s="4517"/>
      <c r="H131" s="4517"/>
      <c r="I131" s="4517"/>
      <c r="J131" s="2537"/>
      <c r="K131" s="2537"/>
      <c r="L131" s="1855"/>
      <c r="M131" s="4442"/>
      <c r="N131" s="4530"/>
      <c r="O131" s="2537"/>
      <c r="P131" s="2701"/>
      <c r="Q131" s="4543"/>
    </row>
    <row r="132" spans="1:17" s="2696" customFormat="1">
      <c r="A132" s="2680" t="s">
        <v>3781</v>
      </c>
      <c r="B132" s="2020"/>
      <c r="C132" s="1855" t="s">
        <v>2139</v>
      </c>
      <c r="D132" s="4522"/>
      <c r="E132" s="2690"/>
      <c r="F132" s="2690"/>
      <c r="G132" s="4517"/>
      <c r="H132" s="4517"/>
      <c r="I132" s="4517"/>
      <c r="J132" s="2537"/>
      <c r="K132" s="2537"/>
      <c r="L132" s="1855"/>
      <c r="M132" s="4442"/>
      <c r="N132" s="4530"/>
      <c r="O132" s="2537"/>
      <c r="P132" s="2701"/>
      <c r="Q132" s="4543"/>
    </row>
    <row r="133" spans="1:17" s="2696" customFormat="1">
      <c r="A133" s="2680" t="s">
        <v>3782</v>
      </c>
      <c r="B133" s="2020"/>
      <c r="C133" s="2708" t="s">
        <v>2140</v>
      </c>
      <c r="D133" s="4522"/>
      <c r="E133" s="2690"/>
      <c r="F133" s="2690"/>
      <c r="G133" s="4517"/>
      <c r="H133" s="4517"/>
      <c r="I133" s="4517"/>
      <c r="J133" s="2537"/>
      <c r="K133" s="2537"/>
      <c r="L133" s="1855"/>
      <c r="M133" s="4442"/>
      <c r="N133" s="4530"/>
      <c r="O133" s="2537"/>
      <c r="P133" s="2701"/>
      <c r="Q133" s="4543"/>
    </row>
    <row r="134" spans="1:17" s="2696" customFormat="1">
      <c r="A134" s="2680" t="s">
        <v>3783</v>
      </c>
      <c r="B134" s="2020"/>
      <c r="C134" s="1855" t="s">
        <v>2142</v>
      </c>
      <c r="D134" s="4522"/>
      <c r="E134" s="2690"/>
      <c r="F134" s="2690"/>
      <c r="G134" s="4517"/>
      <c r="H134" s="4517"/>
      <c r="I134" s="4517"/>
      <c r="J134" s="2537"/>
      <c r="K134" s="2537"/>
      <c r="L134" s="1855"/>
      <c r="M134" s="4442"/>
      <c r="N134" s="4530"/>
      <c r="O134" s="2537"/>
      <c r="P134" s="2701"/>
      <c r="Q134" s="4543"/>
    </row>
    <row r="135" spans="1:17" s="2696" customFormat="1">
      <c r="A135" s="2680" t="s">
        <v>3784</v>
      </c>
      <c r="B135" s="2020"/>
      <c r="C135" s="1855" t="s">
        <v>2143</v>
      </c>
      <c r="D135" s="4522"/>
      <c r="E135" s="2690"/>
      <c r="F135" s="2690"/>
      <c r="G135" s="4517"/>
      <c r="H135" s="4517"/>
      <c r="I135" s="4517"/>
      <c r="J135" s="2537"/>
      <c r="K135" s="2537"/>
      <c r="L135" s="1855"/>
      <c r="M135" s="4442"/>
      <c r="N135" s="4530"/>
      <c r="O135" s="2537"/>
      <c r="P135" s="2701"/>
      <c r="Q135" s="4543"/>
    </row>
    <row r="136" spans="1:17" s="2696" customFormat="1">
      <c r="A136" s="2680" t="s">
        <v>3785</v>
      </c>
      <c r="B136" s="2020"/>
      <c r="C136" s="2708" t="s">
        <v>673</v>
      </c>
      <c r="D136" s="4522"/>
      <c r="E136" s="2690"/>
      <c r="F136" s="2690"/>
      <c r="G136" s="4517"/>
      <c r="H136" s="4517"/>
      <c r="I136" s="4517"/>
      <c r="J136" s="2537"/>
      <c r="K136" s="2537"/>
      <c r="L136" s="1855"/>
      <c r="M136" s="4442"/>
      <c r="N136" s="4530"/>
      <c r="O136" s="2537"/>
      <c r="P136" s="2701"/>
      <c r="Q136" s="4543"/>
    </row>
    <row r="137" spans="1:17" s="2696" customFormat="1">
      <c r="A137" s="2680" t="s">
        <v>3786</v>
      </c>
      <c r="B137" s="2020"/>
      <c r="C137" s="1855" t="s">
        <v>2147</v>
      </c>
      <c r="D137" s="4522"/>
      <c r="E137" s="2690"/>
      <c r="F137" s="2690"/>
      <c r="G137" s="4517"/>
      <c r="H137" s="4517"/>
      <c r="I137" s="4517"/>
      <c r="J137" s="2537"/>
      <c r="K137" s="2537"/>
      <c r="L137" s="1855"/>
      <c r="M137" s="4442"/>
      <c r="N137" s="4530"/>
      <c r="O137" s="2537"/>
      <c r="P137" s="2701"/>
      <c r="Q137" s="4543"/>
    </row>
    <row r="138" spans="1:17" s="2696" customFormat="1">
      <c r="A138" s="2680" t="s">
        <v>3787</v>
      </c>
      <c r="B138" s="2020"/>
      <c r="C138" s="1855" t="s">
        <v>2148</v>
      </c>
      <c r="D138" s="4522"/>
      <c r="E138" s="2690"/>
      <c r="F138" s="2690"/>
      <c r="G138" s="4517"/>
      <c r="H138" s="4517"/>
      <c r="I138" s="4517"/>
      <c r="J138" s="2537"/>
      <c r="K138" s="2537"/>
      <c r="L138" s="1855"/>
      <c r="M138" s="4442"/>
      <c r="N138" s="4530"/>
      <c r="O138" s="2537"/>
      <c r="P138" s="2701"/>
      <c r="Q138" s="4543"/>
    </row>
    <row r="139" spans="1:17" s="2696" customFormat="1">
      <c r="A139" s="2714" t="s">
        <v>3788</v>
      </c>
      <c r="B139" s="2020"/>
      <c r="C139" s="1855" t="s">
        <v>622</v>
      </c>
      <c r="D139" s="4522"/>
      <c r="E139" s="2690"/>
      <c r="F139" s="2690"/>
      <c r="G139" s="4518"/>
      <c r="H139" s="4518"/>
      <c r="I139" s="4518"/>
      <c r="J139" s="2537"/>
      <c r="K139" s="2537"/>
      <c r="L139" s="1855"/>
      <c r="M139" s="4443"/>
      <c r="N139" s="4531"/>
      <c r="O139" s="2537"/>
      <c r="P139" s="2701"/>
      <c r="Q139" s="4544"/>
    </row>
    <row r="140" spans="1:17" s="4121" customFormat="1" ht="49.5">
      <c r="A140" s="4114" t="s">
        <v>3789</v>
      </c>
      <c r="B140" s="4115"/>
      <c r="C140" s="4115" t="s">
        <v>3912</v>
      </c>
      <c r="D140" s="4115"/>
      <c r="E140" s="4116"/>
      <c r="F140" s="4116"/>
      <c r="G140" s="4116"/>
      <c r="H140" s="4116"/>
      <c r="I140" s="4116"/>
      <c r="J140" s="2906"/>
      <c r="K140" s="2906">
        <v>168717700</v>
      </c>
      <c r="L140" s="3801">
        <f>K140/100000</f>
        <v>1687.1769999999999</v>
      </c>
      <c r="M140" s="4117">
        <v>1</v>
      </c>
      <c r="N140" s="4118">
        <f>L140*M140</f>
        <v>1687.1769999999999</v>
      </c>
      <c r="O140" s="2906" t="s">
        <v>6936</v>
      </c>
      <c r="P140" s="4119"/>
      <c r="Q140" s="4120"/>
    </row>
    <row r="141" spans="1:17" s="4121" customFormat="1" ht="66">
      <c r="A141" s="4114" t="s">
        <v>3790</v>
      </c>
      <c r="B141" s="4115"/>
      <c r="C141" s="4115" t="s">
        <v>718</v>
      </c>
      <c r="D141" s="4115"/>
      <c r="E141" s="4116"/>
      <c r="F141" s="4116"/>
      <c r="G141" s="4116"/>
      <c r="H141" s="4116"/>
      <c r="I141" s="4116"/>
      <c r="J141" s="2906"/>
      <c r="K141" s="2906">
        <v>101704000</v>
      </c>
      <c r="L141" s="3801">
        <f>K141/100000</f>
        <v>1017.04</v>
      </c>
      <c r="M141" s="4117">
        <v>1</v>
      </c>
      <c r="N141" s="4118">
        <f>L141*M141</f>
        <v>1017.04</v>
      </c>
      <c r="O141" s="2906" t="s">
        <v>6937</v>
      </c>
      <c r="P141" s="4119"/>
      <c r="Q141" s="4120"/>
    </row>
    <row r="142" spans="1:17" s="2696" customFormat="1" ht="67.5" customHeight="1">
      <c r="A142" s="2697" t="s">
        <v>5701</v>
      </c>
      <c r="B142" s="2698"/>
      <c r="C142" s="2698" t="s">
        <v>5702</v>
      </c>
      <c r="D142" s="2698"/>
      <c r="E142" s="2699"/>
      <c r="F142" s="2699"/>
      <c r="G142" s="2699"/>
      <c r="H142" s="2699"/>
      <c r="I142" s="2699"/>
      <c r="J142" s="2537"/>
      <c r="K142" s="2537">
        <v>23083333</v>
      </c>
      <c r="L142" s="1855">
        <f>K142/100000</f>
        <v>230.83332999999999</v>
      </c>
      <c r="M142" s="2718">
        <v>1</v>
      </c>
      <c r="N142" s="2719">
        <f>L142*M142</f>
        <v>230.83332999999999</v>
      </c>
      <c r="O142" s="2537" t="s">
        <v>6781</v>
      </c>
      <c r="P142" s="2720"/>
      <c r="Q142" s="2721"/>
    </row>
  </sheetData>
  <sheetProtection sheet="1" formatCells="0" formatColumns="0" formatRows="0" autoFilter="0"/>
  <autoFilter ref="A6:Q142"/>
  <mergeCells count="82">
    <mergeCell ref="BB1:BB2"/>
    <mergeCell ref="BC1:BC2"/>
    <mergeCell ref="BD1:BD2"/>
    <mergeCell ref="H30:H41"/>
    <mergeCell ref="I30:I41"/>
    <mergeCell ref="AI1:AO1"/>
    <mergeCell ref="AP1:BA1"/>
    <mergeCell ref="M68:M78"/>
    <mergeCell ref="N68:N78"/>
    <mergeCell ref="P5:Q5"/>
    <mergeCell ref="Q30:Q41"/>
    <mergeCell ref="M105:M115"/>
    <mergeCell ref="N105:N115"/>
    <mergeCell ref="N92:N102"/>
    <mergeCell ref="N80:N90"/>
    <mergeCell ref="M80:M90"/>
    <mergeCell ref="M92:M102"/>
    <mergeCell ref="H43:H53"/>
    <mergeCell ref="I43:I53"/>
    <mergeCell ref="Q129:Q139"/>
    <mergeCell ref="Q117:Q127"/>
    <mergeCell ref="M117:M127"/>
    <mergeCell ref="N117:N127"/>
    <mergeCell ref="Q43:Q53"/>
    <mergeCell ref="Q55:Q65"/>
    <mergeCell ref="M43:M53"/>
    <mergeCell ref="N43:N53"/>
    <mergeCell ref="N55:N65"/>
    <mergeCell ref="M55:M65"/>
    <mergeCell ref="Q105:Q115"/>
    <mergeCell ref="Q92:Q102"/>
    <mergeCell ref="Q80:Q90"/>
    <mergeCell ref="Q68:Q78"/>
    <mergeCell ref="A1:C1"/>
    <mergeCell ref="D55:D65"/>
    <mergeCell ref="D68:D78"/>
    <mergeCell ref="D30:D41"/>
    <mergeCell ref="D43:D53"/>
    <mergeCell ref="A5:A6"/>
    <mergeCell ref="B5:B6"/>
    <mergeCell ref="C5:C6"/>
    <mergeCell ref="A2:A4"/>
    <mergeCell ref="D9:D12"/>
    <mergeCell ref="E1:E2"/>
    <mergeCell ref="F1:N1"/>
    <mergeCell ref="D5:D6"/>
    <mergeCell ref="H129:H139"/>
    <mergeCell ref="I129:I139"/>
    <mergeCell ref="H117:H127"/>
    <mergeCell ref="I117:I127"/>
    <mergeCell ref="E5:I5"/>
    <mergeCell ref="G30:G41"/>
    <mergeCell ref="G43:G53"/>
    <mergeCell ref="J5:O5"/>
    <mergeCell ref="M30:M41"/>
    <mergeCell ref="M129:M139"/>
    <mergeCell ref="N129:N139"/>
    <mergeCell ref="O1:AH1"/>
    <mergeCell ref="N30:N41"/>
    <mergeCell ref="G117:G127"/>
    <mergeCell ref="G129:G139"/>
    <mergeCell ref="D117:D127"/>
    <mergeCell ref="D129:D139"/>
    <mergeCell ref="D80:D90"/>
    <mergeCell ref="D92:D102"/>
    <mergeCell ref="D105:D115"/>
    <mergeCell ref="G105:G115"/>
    <mergeCell ref="K80:K90"/>
    <mergeCell ref="G55:G65"/>
    <mergeCell ref="H55:H65"/>
    <mergeCell ref="I55:I65"/>
    <mergeCell ref="H105:H115"/>
    <mergeCell ref="I105:I115"/>
    <mergeCell ref="G80:G90"/>
    <mergeCell ref="G92:G102"/>
    <mergeCell ref="H92:H102"/>
    <mergeCell ref="I92:I102"/>
    <mergeCell ref="G68:G78"/>
    <mergeCell ref="H68:H78"/>
    <mergeCell ref="I68:I78"/>
    <mergeCell ref="H80:H90"/>
    <mergeCell ref="I80:I90"/>
  </mergeCells>
  <phoneticPr fontId="27" type="noConversion"/>
  <pageMargins left="0.7" right="0.2" top="0.75" bottom="0.75" header="0.3" footer="0.3"/>
  <pageSetup paperSize="5" scale="75" orientation="landscape" horizontalDpi="4294967295" verticalDpi="4294967295" r:id="rId1"/>
</worksheet>
</file>

<file path=xl/worksheets/sheet3.xml><?xml version="1.0" encoding="utf-8"?>
<worksheet xmlns="http://schemas.openxmlformats.org/spreadsheetml/2006/main" xmlns:r="http://schemas.openxmlformats.org/officeDocument/2006/relationships">
  <sheetPr>
    <tabColor rgb="FF00B0F0"/>
  </sheetPr>
  <dimension ref="A1:I79"/>
  <sheetViews>
    <sheetView zoomScale="120" zoomScaleNormal="120" workbookViewId="0">
      <pane xSplit="3" ySplit="4" topLeftCell="D5" activePane="bottomRight" state="frozen"/>
      <selection activeCell="Q172" sqref="A1:BE179"/>
      <selection pane="topRight" activeCell="Q172" sqref="A1:BE179"/>
      <selection pane="bottomLeft" activeCell="Q172" sqref="A1:BE179"/>
      <selection pane="bottomRight" activeCell="Q172" sqref="A1:BE179"/>
    </sheetView>
  </sheetViews>
  <sheetFormatPr defaultRowHeight="12.75"/>
  <cols>
    <col min="2" max="2" width="22" customWidth="1"/>
    <col min="3" max="3" width="16.28515625" style="1255" bestFit="1" customWidth="1"/>
    <col min="4" max="4" width="16.28515625" style="1255" customWidth="1"/>
    <col min="5" max="5" width="20.5703125" bestFit="1" customWidth="1"/>
    <col min="6" max="6" width="9.28515625" customWidth="1"/>
    <col min="7" max="7" width="13.5703125" customWidth="1"/>
    <col min="8" max="8" width="22.28515625" customWidth="1"/>
    <col min="9" max="9" width="18.5703125" customWidth="1"/>
    <col min="10" max="10" width="15.28515625" customWidth="1"/>
  </cols>
  <sheetData>
    <row r="1" spans="1:9">
      <c r="A1" s="4226" t="s">
        <v>4767</v>
      </c>
      <c r="B1" s="4226"/>
      <c r="C1" s="1253"/>
      <c r="D1" s="1254"/>
    </row>
    <row r="2" spans="1:9">
      <c r="A2" s="4227" t="s">
        <v>4810</v>
      </c>
      <c r="B2" s="4227"/>
      <c r="C2" s="1253"/>
      <c r="D2" s="1254"/>
    </row>
    <row r="3" spans="1:9" s="137" customFormat="1">
      <c r="B3" s="168"/>
      <c r="C3" s="1254"/>
      <c r="D3" s="1254"/>
      <c r="E3" s="170"/>
      <c r="F3" s="170"/>
      <c r="G3" s="170"/>
      <c r="H3" s="170"/>
      <c r="I3" s="170"/>
    </row>
    <row r="4" spans="1:9" s="169" customFormat="1" ht="38.25">
      <c r="A4" s="185" t="s">
        <v>4766</v>
      </c>
      <c r="B4" s="185" t="s">
        <v>4763</v>
      </c>
      <c r="C4" s="183" t="s">
        <v>4769</v>
      </c>
      <c r="D4" s="183" t="s">
        <v>4764</v>
      </c>
      <c r="E4" s="184" t="s">
        <v>4768</v>
      </c>
      <c r="F4" s="182" t="s">
        <v>4770</v>
      </c>
      <c r="G4" s="288" t="s">
        <v>5266</v>
      </c>
      <c r="H4" s="183" t="s">
        <v>5267</v>
      </c>
      <c r="I4" s="183" t="s">
        <v>4765</v>
      </c>
    </row>
    <row r="5" spans="1:9">
      <c r="A5" s="140">
        <v>1</v>
      </c>
      <c r="B5" s="139" t="s">
        <v>5763</v>
      </c>
      <c r="C5" s="140">
        <v>9</v>
      </c>
      <c r="D5" s="140" t="s">
        <v>6789</v>
      </c>
      <c r="E5" s="139"/>
      <c r="F5" s="139"/>
      <c r="G5" s="139"/>
      <c r="H5" s="1256">
        <v>66.97132492413138</v>
      </c>
      <c r="I5" s="171" t="e">
        <f>H5/$C$2</f>
        <v>#DIV/0!</v>
      </c>
    </row>
    <row r="6" spans="1:9">
      <c r="A6" s="140">
        <v>2</v>
      </c>
      <c r="B6" s="139" t="s">
        <v>5764</v>
      </c>
      <c r="C6" s="140">
        <v>5</v>
      </c>
      <c r="D6" s="140" t="s">
        <v>4920</v>
      </c>
      <c r="E6" s="139"/>
      <c r="F6" s="139"/>
      <c r="G6" s="139"/>
      <c r="H6" s="1256">
        <v>22.665285472047671</v>
      </c>
      <c r="I6" s="171" t="e">
        <f t="shared" ref="I6:I69" si="0">H6/$C$2</f>
        <v>#DIV/0!</v>
      </c>
    </row>
    <row r="7" spans="1:9">
      <c r="A7" s="140">
        <v>3</v>
      </c>
      <c r="B7" s="139" t="s">
        <v>5765</v>
      </c>
      <c r="C7" s="140">
        <v>11</v>
      </c>
      <c r="D7" s="140" t="s">
        <v>6789</v>
      </c>
      <c r="E7" s="139"/>
      <c r="F7" s="139"/>
      <c r="G7" s="139"/>
      <c r="H7" s="1256">
        <v>61.890463829922794</v>
      </c>
      <c r="I7" s="171" t="e">
        <f t="shared" si="0"/>
        <v>#DIV/0!</v>
      </c>
    </row>
    <row r="8" spans="1:9">
      <c r="A8" s="140">
        <v>4</v>
      </c>
      <c r="B8" s="139" t="s">
        <v>5766</v>
      </c>
      <c r="C8" s="140">
        <v>11</v>
      </c>
      <c r="D8" s="140" t="s">
        <v>6789</v>
      </c>
      <c r="E8" s="139"/>
      <c r="F8" s="139"/>
      <c r="G8" s="139"/>
      <c r="H8" s="1256">
        <v>51.816412351661128</v>
      </c>
      <c r="I8" s="171" t="e">
        <f t="shared" si="0"/>
        <v>#DIV/0!</v>
      </c>
    </row>
    <row r="9" spans="1:9">
      <c r="A9" s="140">
        <v>5</v>
      </c>
      <c r="B9" s="139" t="s">
        <v>5767</v>
      </c>
      <c r="C9" s="140">
        <v>18</v>
      </c>
      <c r="D9" s="140" t="s">
        <v>6789</v>
      </c>
      <c r="E9" s="139"/>
      <c r="F9" s="139"/>
      <c r="G9" s="139"/>
      <c r="H9" s="1256">
        <v>77.464016722342819</v>
      </c>
      <c r="I9" s="171" t="e">
        <f t="shared" si="0"/>
        <v>#DIV/0!</v>
      </c>
    </row>
    <row r="10" spans="1:9">
      <c r="A10" s="140">
        <v>6</v>
      </c>
      <c r="B10" s="139" t="s">
        <v>5768</v>
      </c>
      <c r="C10" s="140">
        <v>16</v>
      </c>
      <c r="D10" s="140" t="s">
        <v>4920</v>
      </c>
      <c r="E10" s="139"/>
      <c r="F10" s="139"/>
      <c r="G10" s="139"/>
      <c r="H10" s="1256">
        <v>77.96000533208236</v>
      </c>
      <c r="I10" s="171" t="e">
        <f t="shared" si="0"/>
        <v>#DIV/0!</v>
      </c>
    </row>
    <row r="11" spans="1:9">
      <c r="A11" s="140">
        <v>7</v>
      </c>
      <c r="B11" s="139" t="s">
        <v>5769</v>
      </c>
      <c r="C11" s="140">
        <v>14</v>
      </c>
      <c r="D11" s="140" t="s">
        <v>4920</v>
      </c>
      <c r="E11" s="139"/>
      <c r="F11" s="139"/>
      <c r="G11" s="139"/>
      <c r="H11" s="1256">
        <v>63.40424809426932</v>
      </c>
      <c r="I11" s="171" t="e">
        <f t="shared" si="0"/>
        <v>#DIV/0!</v>
      </c>
    </row>
    <row r="12" spans="1:9">
      <c r="A12" s="140">
        <v>8</v>
      </c>
      <c r="B12" s="139" t="s">
        <v>5770</v>
      </c>
      <c r="C12" s="140">
        <v>11</v>
      </c>
      <c r="D12" s="140" t="s">
        <v>4920</v>
      </c>
      <c r="E12" s="139"/>
      <c r="F12" s="139"/>
      <c r="G12" s="139"/>
      <c r="H12" s="1256">
        <v>43.815596300296058</v>
      </c>
      <c r="I12" s="171" t="e">
        <f t="shared" si="0"/>
        <v>#DIV/0!</v>
      </c>
    </row>
    <row r="13" spans="1:9">
      <c r="A13" s="140">
        <v>9</v>
      </c>
      <c r="B13" s="139" t="s">
        <v>5771</v>
      </c>
      <c r="C13" s="140">
        <v>18</v>
      </c>
      <c r="D13" s="140" t="s">
        <v>4920</v>
      </c>
      <c r="E13" s="139"/>
      <c r="F13" s="139"/>
      <c r="G13" s="139"/>
      <c r="H13" s="1256">
        <v>81.849922697841052</v>
      </c>
      <c r="I13" s="171" t="e">
        <f t="shared" si="0"/>
        <v>#DIV/0!</v>
      </c>
    </row>
    <row r="14" spans="1:9">
      <c r="A14" s="140">
        <v>10</v>
      </c>
      <c r="B14" s="139" t="s">
        <v>5772</v>
      </c>
      <c r="C14" s="140">
        <v>27</v>
      </c>
      <c r="D14" s="140" t="s">
        <v>4920</v>
      </c>
      <c r="E14" s="139"/>
      <c r="F14" s="139"/>
      <c r="G14" s="139"/>
      <c r="H14" s="1256">
        <v>117.32544874457204</v>
      </c>
      <c r="I14" s="171" t="e">
        <f t="shared" si="0"/>
        <v>#DIV/0!</v>
      </c>
    </row>
    <row r="15" spans="1:9">
      <c r="A15" s="140">
        <v>11</v>
      </c>
      <c r="B15" s="139" t="s">
        <v>5773</v>
      </c>
      <c r="C15" s="140">
        <v>24</v>
      </c>
      <c r="D15" s="140" t="s">
        <v>6789</v>
      </c>
      <c r="E15" s="139"/>
      <c r="F15" s="139"/>
      <c r="G15" s="139"/>
      <c r="H15" s="1256">
        <v>110.32108374479046</v>
      </c>
      <c r="I15" s="171" t="e">
        <f t="shared" si="0"/>
        <v>#DIV/0!</v>
      </c>
    </row>
    <row r="16" spans="1:9">
      <c r="A16" s="140">
        <v>12</v>
      </c>
      <c r="B16" s="139" t="s">
        <v>5774</v>
      </c>
      <c r="C16" s="140">
        <v>14</v>
      </c>
      <c r="D16" s="140" t="s">
        <v>4920</v>
      </c>
      <c r="E16" s="139"/>
      <c r="F16" s="139"/>
      <c r="G16" s="139"/>
      <c r="H16" s="1256">
        <v>60.2773817594448</v>
      </c>
      <c r="I16" s="171" t="e">
        <f t="shared" si="0"/>
        <v>#DIV/0!</v>
      </c>
    </row>
    <row r="17" spans="1:9">
      <c r="A17" s="140">
        <v>13</v>
      </c>
      <c r="B17" s="139" t="s">
        <v>5775</v>
      </c>
      <c r="C17" s="140">
        <v>10</v>
      </c>
      <c r="D17" s="140" t="s">
        <v>6789</v>
      </c>
      <c r="E17" s="139"/>
      <c r="F17" s="139"/>
      <c r="G17" s="139"/>
      <c r="H17" s="1256">
        <v>52.718065496405515</v>
      </c>
      <c r="I17" s="171" t="e">
        <f t="shared" si="0"/>
        <v>#DIV/0!</v>
      </c>
    </row>
    <row r="18" spans="1:9">
      <c r="A18" s="140">
        <v>14</v>
      </c>
      <c r="B18" s="139" t="s">
        <v>5776</v>
      </c>
      <c r="C18" s="140">
        <v>7</v>
      </c>
      <c r="D18" s="140" t="s">
        <v>4920</v>
      </c>
      <c r="E18" s="139"/>
      <c r="F18" s="139"/>
      <c r="G18" s="139"/>
      <c r="H18" s="1256">
        <v>32.577255939844264</v>
      </c>
      <c r="I18" s="171" t="e">
        <f t="shared" si="0"/>
        <v>#DIV/0!</v>
      </c>
    </row>
    <row r="19" spans="1:9">
      <c r="A19" s="140">
        <v>15</v>
      </c>
      <c r="B19" s="139" t="s">
        <v>5777</v>
      </c>
      <c r="C19" s="140">
        <v>11</v>
      </c>
      <c r="D19" s="140" t="s">
        <v>4920</v>
      </c>
      <c r="E19" s="139"/>
      <c r="F19" s="139"/>
      <c r="G19" s="139"/>
      <c r="H19" s="1256">
        <v>43.075182505448453</v>
      </c>
      <c r="I19" s="171" t="e">
        <f t="shared" si="0"/>
        <v>#DIV/0!</v>
      </c>
    </row>
    <row r="20" spans="1:9">
      <c r="A20" s="140">
        <v>16</v>
      </c>
      <c r="B20" s="139" t="s">
        <v>5778</v>
      </c>
      <c r="C20" s="140">
        <v>16</v>
      </c>
      <c r="D20" s="140" t="s">
        <v>6789</v>
      </c>
      <c r="E20" s="139"/>
      <c r="F20" s="139"/>
      <c r="G20" s="139"/>
      <c r="H20" s="1256">
        <v>86.04179643206362</v>
      </c>
      <c r="I20" s="171" t="e">
        <f t="shared" si="0"/>
        <v>#DIV/0!</v>
      </c>
    </row>
    <row r="21" spans="1:9">
      <c r="A21" s="140">
        <v>17</v>
      </c>
      <c r="B21" s="139" t="s">
        <v>5779</v>
      </c>
      <c r="C21" s="140">
        <v>7</v>
      </c>
      <c r="D21" s="140" t="s">
        <v>6789</v>
      </c>
      <c r="E21" s="139"/>
      <c r="F21" s="139"/>
      <c r="G21" s="139"/>
      <c r="H21" s="1256">
        <v>45.865300964690199</v>
      </c>
      <c r="I21" s="171" t="e">
        <f t="shared" si="0"/>
        <v>#DIV/0!</v>
      </c>
    </row>
    <row r="22" spans="1:9">
      <c r="A22" s="140">
        <v>18</v>
      </c>
      <c r="B22" s="139" t="s">
        <v>5780</v>
      </c>
      <c r="C22" s="140">
        <v>7</v>
      </c>
      <c r="D22" s="140" t="s">
        <v>4920</v>
      </c>
      <c r="E22" s="139"/>
      <c r="F22" s="139"/>
      <c r="G22" s="139"/>
      <c r="H22" s="1256">
        <v>44.195473649521972</v>
      </c>
      <c r="I22" s="171" t="e">
        <f t="shared" si="0"/>
        <v>#DIV/0!</v>
      </c>
    </row>
    <row r="23" spans="1:9">
      <c r="A23" s="140">
        <v>19</v>
      </c>
      <c r="B23" s="139" t="s">
        <v>5781</v>
      </c>
      <c r="C23" s="140">
        <v>6</v>
      </c>
      <c r="D23" s="140" t="s">
        <v>4920</v>
      </c>
      <c r="E23" s="139"/>
      <c r="F23" s="139"/>
      <c r="G23" s="139"/>
      <c r="H23" s="1256">
        <v>28.662849637472199</v>
      </c>
      <c r="I23" s="171" t="e">
        <f t="shared" si="0"/>
        <v>#DIV/0!</v>
      </c>
    </row>
    <row r="24" spans="1:9">
      <c r="A24" s="140">
        <v>20</v>
      </c>
      <c r="B24" s="139" t="s">
        <v>5782</v>
      </c>
      <c r="C24" s="140">
        <v>13</v>
      </c>
      <c r="D24" s="140" t="s">
        <v>4920</v>
      </c>
      <c r="E24" s="139"/>
      <c r="F24" s="139"/>
      <c r="G24" s="139"/>
      <c r="H24" s="1256">
        <v>58.093826711686447</v>
      </c>
      <c r="I24" s="171" t="e">
        <f t="shared" si="0"/>
        <v>#DIV/0!</v>
      </c>
    </row>
    <row r="25" spans="1:9">
      <c r="A25" s="140">
        <v>21</v>
      </c>
      <c r="B25" s="139" t="s">
        <v>5783</v>
      </c>
      <c r="C25" s="140">
        <v>21</v>
      </c>
      <c r="D25" s="140" t="s">
        <v>4920</v>
      </c>
      <c r="E25" s="139"/>
      <c r="F25" s="139"/>
      <c r="G25" s="139"/>
      <c r="H25" s="1256">
        <v>95.863305041936343</v>
      </c>
      <c r="I25" s="171" t="e">
        <f t="shared" si="0"/>
        <v>#DIV/0!</v>
      </c>
    </row>
    <row r="26" spans="1:9">
      <c r="A26" s="140">
        <v>22</v>
      </c>
      <c r="B26" s="139" t="s">
        <v>5784</v>
      </c>
      <c r="C26" s="140">
        <v>9</v>
      </c>
      <c r="D26" s="140" t="s">
        <v>4920</v>
      </c>
      <c r="E26" s="139"/>
      <c r="F26" s="139"/>
      <c r="G26" s="139"/>
      <c r="H26" s="1256">
        <v>37.763961139915736</v>
      </c>
      <c r="I26" s="171" t="e">
        <f t="shared" si="0"/>
        <v>#DIV/0!</v>
      </c>
    </row>
    <row r="27" spans="1:9">
      <c r="A27" s="140">
        <v>23</v>
      </c>
      <c r="B27" s="139" t="s">
        <v>5785</v>
      </c>
      <c r="C27" s="140">
        <v>16</v>
      </c>
      <c r="D27" s="140" t="s">
        <v>6789</v>
      </c>
      <c r="E27" s="139"/>
      <c r="F27" s="139"/>
      <c r="G27" s="139"/>
      <c r="H27" s="1256">
        <v>106.96846318886676</v>
      </c>
      <c r="I27" s="171" t="e">
        <f t="shared" si="0"/>
        <v>#DIV/0!</v>
      </c>
    </row>
    <row r="28" spans="1:9">
      <c r="A28" s="140">
        <v>24</v>
      </c>
      <c r="B28" s="139" t="s">
        <v>5786</v>
      </c>
      <c r="C28" s="140">
        <v>20</v>
      </c>
      <c r="D28" s="140" t="s">
        <v>4920</v>
      </c>
      <c r="E28" s="139"/>
      <c r="F28" s="139"/>
      <c r="G28" s="139"/>
      <c r="H28" s="1256">
        <v>79.694285358659599</v>
      </c>
      <c r="I28" s="171" t="e">
        <f t="shared" si="0"/>
        <v>#DIV/0!</v>
      </c>
    </row>
    <row r="29" spans="1:9">
      <c r="A29" s="140">
        <v>25</v>
      </c>
      <c r="B29" s="139" t="s">
        <v>5787</v>
      </c>
      <c r="C29" s="140">
        <v>14</v>
      </c>
      <c r="D29" s="140" t="s">
        <v>6789</v>
      </c>
      <c r="E29" s="139"/>
      <c r="F29" s="139"/>
      <c r="G29" s="139"/>
      <c r="H29" s="1256">
        <v>54.933510333094347</v>
      </c>
      <c r="I29" s="171" t="e">
        <f t="shared" si="0"/>
        <v>#DIV/0!</v>
      </c>
    </row>
    <row r="30" spans="1:9">
      <c r="A30" s="140">
        <v>26</v>
      </c>
      <c r="B30" s="139" t="s">
        <v>5788</v>
      </c>
      <c r="C30" s="140">
        <v>23</v>
      </c>
      <c r="D30" s="140" t="s">
        <v>4920</v>
      </c>
      <c r="E30" s="139"/>
      <c r="F30" s="139"/>
      <c r="G30" s="139"/>
      <c r="H30" s="1256">
        <v>105.87502703371074</v>
      </c>
      <c r="I30" s="171" t="e">
        <f t="shared" si="0"/>
        <v>#DIV/0!</v>
      </c>
    </row>
    <row r="31" spans="1:9">
      <c r="A31" s="140">
        <v>27</v>
      </c>
      <c r="B31" s="139" t="s">
        <v>5789</v>
      </c>
      <c r="C31" s="140">
        <v>14</v>
      </c>
      <c r="D31" s="140" t="s">
        <v>6789</v>
      </c>
      <c r="E31" s="139"/>
      <c r="F31" s="139"/>
      <c r="G31" s="139"/>
      <c r="H31" s="1256">
        <v>86.996542950920173</v>
      </c>
      <c r="I31" s="171" t="e">
        <f t="shared" si="0"/>
        <v>#DIV/0!</v>
      </c>
    </row>
    <row r="32" spans="1:9">
      <c r="A32" s="140">
        <v>28</v>
      </c>
      <c r="B32" s="139" t="s">
        <v>5790</v>
      </c>
      <c r="C32" s="140">
        <v>19</v>
      </c>
      <c r="D32" s="140" t="s">
        <v>4920</v>
      </c>
      <c r="E32" s="139"/>
      <c r="F32" s="139"/>
      <c r="G32" s="139"/>
      <c r="H32" s="1256">
        <v>63.769491240621626</v>
      </c>
      <c r="I32" s="171" t="e">
        <f t="shared" si="0"/>
        <v>#DIV/0!</v>
      </c>
    </row>
    <row r="33" spans="1:9">
      <c r="A33" s="140">
        <v>29</v>
      </c>
      <c r="B33" s="139" t="s">
        <v>5791</v>
      </c>
      <c r="C33" s="140">
        <v>10</v>
      </c>
      <c r="D33" s="140" t="s">
        <v>4920</v>
      </c>
      <c r="E33" s="139"/>
      <c r="F33" s="139"/>
      <c r="G33" s="139"/>
      <c r="H33" s="1256">
        <v>55.501286237913213</v>
      </c>
      <c r="I33" s="171" t="e">
        <f t="shared" si="0"/>
        <v>#DIV/0!</v>
      </c>
    </row>
    <row r="34" spans="1:9">
      <c r="A34" s="140">
        <v>30</v>
      </c>
      <c r="B34" s="139" t="s">
        <v>5792</v>
      </c>
      <c r="C34" s="140">
        <v>20</v>
      </c>
      <c r="D34" s="140" t="s">
        <v>4920</v>
      </c>
      <c r="E34" s="139"/>
      <c r="F34" s="139"/>
      <c r="G34" s="139"/>
      <c r="H34" s="1256">
        <v>106.39665286310202</v>
      </c>
      <c r="I34" s="171" t="e">
        <f t="shared" si="0"/>
        <v>#DIV/0!</v>
      </c>
    </row>
    <row r="35" spans="1:9">
      <c r="A35" s="140">
        <v>31</v>
      </c>
      <c r="B35" s="139" t="s">
        <v>5793</v>
      </c>
      <c r="C35" s="140">
        <v>20</v>
      </c>
      <c r="D35" s="140" t="s">
        <v>4920</v>
      </c>
      <c r="E35" s="139"/>
      <c r="F35" s="139"/>
      <c r="G35" s="139"/>
      <c r="H35" s="1256">
        <v>97.500296331899079</v>
      </c>
      <c r="I35" s="171" t="e">
        <f t="shared" si="0"/>
        <v>#DIV/0!</v>
      </c>
    </row>
    <row r="36" spans="1:9">
      <c r="A36" s="140">
        <v>32</v>
      </c>
      <c r="B36" s="139" t="s">
        <v>5794</v>
      </c>
      <c r="C36" s="140">
        <v>6</v>
      </c>
      <c r="D36" s="140" t="s">
        <v>6789</v>
      </c>
      <c r="E36" s="139"/>
      <c r="F36" s="139"/>
      <c r="G36" s="139"/>
      <c r="H36" s="1256">
        <v>24.961027640113937</v>
      </c>
      <c r="I36" s="171" t="e">
        <f t="shared" si="0"/>
        <v>#DIV/0!</v>
      </c>
    </row>
    <row r="37" spans="1:9">
      <c r="A37" s="140">
        <v>33</v>
      </c>
      <c r="B37" s="139" t="s">
        <v>5795</v>
      </c>
      <c r="C37" s="140">
        <v>5</v>
      </c>
      <c r="D37" s="140" t="s">
        <v>4920</v>
      </c>
      <c r="E37" s="139"/>
      <c r="F37" s="139"/>
      <c r="G37" s="139"/>
      <c r="H37" s="1256">
        <v>24.080384952617845</v>
      </c>
      <c r="I37" s="171" t="e">
        <f t="shared" si="0"/>
        <v>#DIV/0!</v>
      </c>
    </row>
    <row r="38" spans="1:9">
      <c r="A38" s="140">
        <v>34</v>
      </c>
      <c r="B38" s="139" t="s">
        <v>5796</v>
      </c>
      <c r="C38" s="140">
        <v>17</v>
      </c>
      <c r="D38" s="140" t="s">
        <v>6789</v>
      </c>
      <c r="E38" s="139"/>
      <c r="F38" s="139"/>
      <c r="G38" s="139"/>
      <c r="H38" s="1256">
        <v>76.635135202835187</v>
      </c>
      <c r="I38" s="171" t="e">
        <f t="shared" si="0"/>
        <v>#DIV/0!</v>
      </c>
    </row>
    <row r="39" spans="1:9">
      <c r="A39" s="140">
        <v>35</v>
      </c>
      <c r="B39" s="139" t="s">
        <v>5797</v>
      </c>
      <c r="C39" s="140">
        <v>19</v>
      </c>
      <c r="D39" s="140" t="s">
        <v>4920</v>
      </c>
      <c r="E39" s="139"/>
      <c r="F39" s="139"/>
      <c r="G39" s="139"/>
      <c r="H39" s="1256">
        <v>73.266396061758215</v>
      </c>
      <c r="I39" s="171" t="e">
        <f t="shared" si="0"/>
        <v>#DIV/0!</v>
      </c>
    </row>
    <row r="40" spans="1:9">
      <c r="A40" s="140">
        <v>36</v>
      </c>
      <c r="B40" s="139" t="s">
        <v>5798</v>
      </c>
      <c r="C40" s="140">
        <v>11</v>
      </c>
      <c r="D40" s="140" t="s">
        <v>4920</v>
      </c>
      <c r="E40" s="139"/>
      <c r="F40" s="139"/>
      <c r="G40" s="139"/>
      <c r="H40" s="1256">
        <v>58.818521631858552</v>
      </c>
      <c r="I40" s="171" t="e">
        <f t="shared" si="0"/>
        <v>#DIV/0!</v>
      </c>
    </row>
    <row r="41" spans="1:9">
      <c r="A41" s="140">
        <v>37</v>
      </c>
      <c r="B41" s="139" t="s">
        <v>5799</v>
      </c>
      <c r="C41" s="140">
        <v>16</v>
      </c>
      <c r="D41" s="140" t="s">
        <v>4920</v>
      </c>
      <c r="E41" s="139"/>
      <c r="F41" s="139"/>
      <c r="G41" s="139"/>
      <c r="H41" s="1256">
        <v>89.569753775798731</v>
      </c>
      <c r="I41" s="171" t="e">
        <f t="shared" si="0"/>
        <v>#DIV/0!</v>
      </c>
    </row>
    <row r="42" spans="1:9">
      <c r="A42" s="140">
        <v>38</v>
      </c>
      <c r="B42" s="139" t="s">
        <v>5800</v>
      </c>
      <c r="C42" s="140">
        <v>18</v>
      </c>
      <c r="D42" s="140" t="s">
        <v>4920</v>
      </c>
      <c r="E42" s="139"/>
      <c r="F42" s="139"/>
      <c r="G42" s="139"/>
      <c r="H42" s="1256">
        <v>97.642129780204201</v>
      </c>
      <c r="I42" s="171" t="e">
        <f t="shared" si="0"/>
        <v>#DIV/0!</v>
      </c>
    </row>
    <row r="43" spans="1:9">
      <c r="A43" s="140">
        <v>39</v>
      </c>
      <c r="B43" s="139"/>
      <c r="C43" s="140">
        <v>0</v>
      </c>
      <c r="D43" s="140"/>
      <c r="E43" s="139"/>
      <c r="F43" s="139"/>
      <c r="G43" s="139"/>
      <c r="H43" s="139"/>
      <c r="I43" s="171" t="e">
        <f t="shared" si="0"/>
        <v>#DIV/0!</v>
      </c>
    </row>
    <row r="44" spans="1:9">
      <c r="A44" s="140">
        <v>40</v>
      </c>
      <c r="B44" s="139"/>
      <c r="C44" s="140">
        <v>0</v>
      </c>
      <c r="D44" s="140"/>
      <c r="E44" s="139"/>
      <c r="F44" s="139"/>
      <c r="G44" s="139"/>
      <c r="H44" s="139"/>
      <c r="I44" s="171" t="e">
        <f t="shared" si="0"/>
        <v>#DIV/0!</v>
      </c>
    </row>
    <row r="45" spans="1:9">
      <c r="A45" s="140">
        <v>41</v>
      </c>
      <c r="B45" s="139"/>
      <c r="C45" s="140">
        <v>0</v>
      </c>
      <c r="D45" s="140"/>
      <c r="E45" s="139"/>
      <c r="F45" s="139"/>
      <c r="G45" s="139"/>
      <c r="H45" s="139"/>
      <c r="I45" s="171" t="e">
        <f t="shared" si="0"/>
        <v>#DIV/0!</v>
      </c>
    </row>
    <row r="46" spans="1:9">
      <c r="A46" s="140">
        <v>42</v>
      </c>
      <c r="B46" s="139"/>
      <c r="C46" s="140">
        <v>0</v>
      </c>
      <c r="D46" s="140"/>
      <c r="E46" s="139"/>
      <c r="F46" s="139"/>
      <c r="G46" s="139"/>
      <c r="H46" s="139"/>
      <c r="I46" s="171" t="e">
        <f t="shared" si="0"/>
        <v>#DIV/0!</v>
      </c>
    </row>
    <row r="47" spans="1:9">
      <c r="A47" s="140">
        <v>43</v>
      </c>
      <c r="B47" s="139"/>
      <c r="C47" s="140">
        <v>0</v>
      </c>
      <c r="D47" s="140"/>
      <c r="E47" s="139"/>
      <c r="F47" s="139"/>
      <c r="G47" s="139"/>
      <c r="H47" s="139"/>
      <c r="I47" s="171" t="e">
        <f t="shared" si="0"/>
        <v>#DIV/0!</v>
      </c>
    </row>
    <row r="48" spans="1:9">
      <c r="A48" s="140">
        <v>44</v>
      </c>
      <c r="B48" s="139"/>
      <c r="C48" s="140">
        <v>0</v>
      </c>
      <c r="D48" s="140"/>
      <c r="E48" s="139"/>
      <c r="F48" s="139"/>
      <c r="G48" s="139"/>
      <c r="H48" s="139"/>
      <c r="I48" s="171" t="e">
        <f t="shared" si="0"/>
        <v>#DIV/0!</v>
      </c>
    </row>
    <row r="49" spans="1:9">
      <c r="A49" s="140">
        <v>45</v>
      </c>
      <c r="B49" s="139"/>
      <c r="C49" s="140">
        <v>0</v>
      </c>
      <c r="D49" s="140"/>
      <c r="E49" s="139"/>
      <c r="F49" s="139"/>
      <c r="G49" s="139"/>
      <c r="H49" s="139"/>
      <c r="I49" s="171" t="e">
        <f t="shared" si="0"/>
        <v>#DIV/0!</v>
      </c>
    </row>
    <row r="50" spans="1:9">
      <c r="A50" s="140">
        <v>46</v>
      </c>
      <c r="B50" s="139"/>
      <c r="C50" s="140">
        <v>0</v>
      </c>
      <c r="D50" s="140"/>
      <c r="E50" s="139"/>
      <c r="F50" s="139"/>
      <c r="G50" s="139"/>
      <c r="H50" s="139"/>
      <c r="I50" s="171" t="e">
        <f t="shared" si="0"/>
        <v>#DIV/0!</v>
      </c>
    </row>
    <row r="51" spans="1:9">
      <c r="A51" s="140">
        <v>47</v>
      </c>
      <c r="B51" s="139"/>
      <c r="C51" s="140">
        <v>0</v>
      </c>
      <c r="D51" s="140"/>
      <c r="E51" s="139"/>
      <c r="F51" s="139"/>
      <c r="G51" s="139"/>
      <c r="H51" s="139"/>
      <c r="I51" s="171" t="e">
        <f t="shared" si="0"/>
        <v>#DIV/0!</v>
      </c>
    </row>
    <row r="52" spans="1:9">
      <c r="A52" s="140">
        <v>48</v>
      </c>
      <c r="B52" s="139"/>
      <c r="C52" s="140">
        <v>0</v>
      </c>
      <c r="D52" s="140"/>
      <c r="E52" s="139"/>
      <c r="F52" s="139"/>
      <c r="G52" s="139"/>
      <c r="H52" s="139"/>
      <c r="I52" s="171" t="e">
        <f t="shared" si="0"/>
        <v>#DIV/0!</v>
      </c>
    </row>
    <row r="53" spans="1:9">
      <c r="A53" s="140">
        <v>49</v>
      </c>
      <c r="B53" s="139"/>
      <c r="C53" s="140">
        <v>0</v>
      </c>
      <c r="D53" s="140"/>
      <c r="E53" s="139"/>
      <c r="F53" s="139"/>
      <c r="G53" s="139"/>
      <c r="H53" s="139"/>
      <c r="I53" s="171" t="e">
        <f t="shared" si="0"/>
        <v>#DIV/0!</v>
      </c>
    </row>
    <row r="54" spans="1:9">
      <c r="A54" s="140">
        <v>50</v>
      </c>
      <c r="B54" s="139"/>
      <c r="C54" s="140">
        <v>0</v>
      </c>
      <c r="D54" s="140"/>
      <c r="E54" s="139"/>
      <c r="F54" s="139"/>
      <c r="G54" s="139"/>
      <c r="H54" s="139"/>
      <c r="I54" s="171" t="e">
        <f t="shared" si="0"/>
        <v>#DIV/0!</v>
      </c>
    </row>
    <row r="55" spans="1:9">
      <c r="A55" s="140">
        <v>51</v>
      </c>
      <c r="B55" s="139"/>
      <c r="C55" s="140">
        <v>0</v>
      </c>
      <c r="D55" s="140"/>
      <c r="E55" s="139"/>
      <c r="F55" s="139"/>
      <c r="G55" s="139"/>
      <c r="H55" s="139"/>
      <c r="I55" s="171" t="e">
        <f t="shared" si="0"/>
        <v>#DIV/0!</v>
      </c>
    </row>
    <row r="56" spans="1:9">
      <c r="A56" s="140">
        <v>52</v>
      </c>
      <c r="B56" s="139"/>
      <c r="C56" s="140">
        <v>0</v>
      </c>
      <c r="D56" s="140"/>
      <c r="E56" s="139"/>
      <c r="F56" s="139"/>
      <c r="G56" s="139"/>
      <c r="H56" s="139"/>
      <c r="I56" s="171" t="e">
        <f t="shared" si="0"/>
        <v>#DIV/0!</v>
      </c>
    </row>
    <row r="57" spans="1:9">
      <c r="A57" s="140">
        <v>53</v>
      </c>
      <c r="B57" s="139"/>
      <c r="C57" s="140">
        <v>0</v>
      </c>
      <c r="D57" s="140"/>
      <c r="E57" s="139"/>
      <c r="F57" s="139"/>
      <c r="G57" s="139"/>
      <c r="H57" s="139"/>
      <c r="I57" s="171" t="e">
        <f t="shared" si="0"/>
        <v>#DIV/0!</v>
      </c>
    </row>
    <row r="58" spans="1:9">
      <c r="A58" s="140">
        <v>54</v>
      </c>
      <c r="B58" s="139"/>
      <c r="C58" s="140">
        <v>0</v>
      </c>
      <c r="D58" s="140"/>
      <c r="E58" s="139"/>
      <c r="F58" s="139"/>
      <c r="G58" s="139"/>
      <c r="H58" s="139"/>
      <c r="I58" s="171" t="e">
        <f t="shared" si="0"/>
        <v>#DIV/0!</v>
      </c>
    </row>
    <row r="59" spans="1:9">
      <c r="A59" s="140">
        <v>55</v>
      </c>
      <c r="B59" s="139"/>
      <c r="C59" s="140">
        <v>0</v>
      </c>
      <c r="D59" s="140"/>
      <c r="E59" s="139"/>
      <c r="F59" s="139"/>
      <c r="G59" s="139"/>
      <c r="H59" s="139"/>
      <c r="I59" s="171" t="e">
        <f t="shared" si="0"/>
        <v>#DIV/0!</v>
      </c>
    </row>
    <row r="60" spans="1:9">
      <c r="A60" s="140">
        <v>56</v>
      </c>
      <c r="B60" s="139"/>
      <c r="C60" s="140">
        <v>0</v>
      </c>
      <c r="D60" s="140"/>
      <c r="E60" s="139"/>
      <c r="F60" s="139"/>
      <c r="G60" s="139"/>
      <c r="H60" s="139"/>
      <c r="I60" s="171" t="e">
        <f t="shared" si="0"/>
        <v>#DIV/0!</v>
      </c>
    </row>
    <row r="61" spans="1:9">
      <c r="A61" s="140">
        <v>57</v>
      </c>
      <c r="B61" s="139"/>
      <c r="C61" s="140">
        <v>0</v>
      </c>
      <c r="D61" s="140"/>
      <c r="E61" s="139"/>
      <c r="F61" s="139"/>
      <c r="G61" s="139"/>
      <c r="H61" s="139"/>
      <c r="I61" s="171" t="e">
        <f t="shared" si="0"/>
        <v>#DIV/0!</v>
      </c>
    </row>
    <row r="62" spans="1:9">
      <c r="A62" s="140">
        <v>58</v>
      </c>
      <c r="B62" s="139"/>
      <c r="C62" s="140">
        <v>0</v>
      </c>
      <c r="D62" s="140"/>
      <c r="E62" s="139"/>
      <c r="F62" s="139"/>
      <c r="G62" s="139"/>
      <c r="H62" s="139"/>
      <c r="I62" s="171" t="e">
        <f t="shared" si="0"/>
        <v>#DIV/0!</v>
      </c>
    </row>
    <row r="63" spans="1:9">
      <c r="A63" s="140">
        <v>59</v>
      </c>
      <c r="B63" s="139"/>
      <c r="C63" s="140">
        <v>0</v>
      </c>
      <c r="D63" s="140"/>
      <c r="E63" s="139"/>
      <c r="F63" s="139"/>
      <c r="G63" s="139"/>
      <c r="H63" s="139"/>
      <c r="I63" s="171" t="e">
        <f t="shared" si="0"/>
        <v>#DIV/0!</v>
      </c>
    </row>
    <row r="64" spans="1:9">
      <c r="A64" s="140">
        <v>60</v>
      </c>
      <c r="B64" s="139"/>
      <c r="C64" s="140">
        <v>0</v>
      </c>
      <c r="D64" s="140"/>
      <c r="E64" s="139"/>
      <c r="F64" s="139"/>
      <c r="G64" s="139"/>
      <c r="H64" s="139"/>
      <c r="I64" s="171" t="e">
        <f t="shared" si="0"/>
        <v>#DIV/0!</v>
      </c>
    </row>
    <row r="65" spans="1:9">
      <c r="A65" s="140">
        <v>61</v>
      </c>
      <c r="B65" s="139"/>
      <c r="C65" s="140">
        <v>0</v>
      </c>
      <c r="D65" s="140"/>
      <c r="E65" s="139"/>
      <c r="F65" s="139"/>
      <c r="G65" s="139"/>
      <c r="H65" s="139"/>
      <c r="I65" s="171" t="e">
        <f t="shared" si="0"/>
        <v>#DIV/0!</v>
      </c>
    </row>
    <row r="66" spans="1:9">
      <c r="A66" s="140">
        <v>62</v>
      </c>
      <c r="B66" s="139"/>
      <c r="C66" s="140">
        <v>0</v>
      </c>
      <c r="D66" s="140"/>
      <c r="E66" s="139"/>
      <c r="F66" s="139"/>
      <c r="G66" s="139"/>
      <c r="H66" s="139"/>
      <c r="I66" s="171" t="e">
        <f t="shared" si="0"/>
        <v>#DIV/0!</v>
      </c>
    </row>
    <row r="67" spans="1:9">
      <c r="A67" s="140">
        <v>63</v>
      </c>
      <c r="B67" s="139"/>
      <c r="C67" s="140"/>
      <c r="D67" s="140"/>
      <c r="E67" s="139"/>
      <c r="F67" s="139"/>
      <c r="G67" s="139"/>
      <c r="H67" s="139"/>
      <c r="I67" s="171" t="e">
        <f t="shared" si="0"/>
        <v>#DIV/0!</v>
      </c>
    </row>
    <row r="68" spans="1:9">
      <c r="A68" s="140">
        <v>64</v>
      </c>
      <c r="B68" s="139"/>
      <c r="C68" s="140"/>
      <c r="D68" s="140"/>
      <c r="E68" s="139"/>
      <c r="F68" s="139"/>
      <c r="G68" s="139"/>
      <c r="H68" s="139"/>
      <c r="I68" s="171" t="e">
        <f t="shared" si="0"/>
        <v>#DIV/0!</v>
      </c>
    </row>
    <row r="69" spans="1:9">
      <c r="A69" s="140">
        <v>65</v>
      </c>
      <c r="B69" s="139"/>
      <c r="C69" s="140"/>
      <c r="D69" s="140"/>
      <c r="E69" s="139"/>
      <c r="F69" s="139"/>
      <c r="G69" s="139"/>
      <c r="H69" s="139"/>
      <c r="I69" s="171" t="e">
        <f t="shared" si="0"/>
        <v>#DIV/0!</v>
      </c>
    </row>
    <row r="70" spans="1:9">
      <c r="A70" s="140">
        <v>66</v>
      </c>
      <c r="B70" s="139"/>
      <c r="C70" s="140"/>
      <c r="D70" s="140"/>
      <c r="E70" s="139"/>
      <c r="F70" s="139"/>
      <c r="G70" s="139"/>
      <c r="H70" s="139"/>
      <c r="I70" s="171" t="e">
        <f t="shared" ref="I70:I79" si="1">H70/$C$2</f>
        <v>#DIV/0!</v>
      </c>
    </row>
    <row r="71" spans="1:9">
      <c r="A71" s="140">
        <v>67</v>
      </c>
      <c r="B71" s="139"/>
      <c r="C71" s="140"/>
      <c r="D71" s="140"/>
      <c r="E71" s="139"/>
      <c r="F71" s="139"/>
      <c r="G71" s="139"/>
      <c r="H71" s="139"/>
      <c r="I71" s="171" t="e">
        <f t="shared" si="1"/>
        <v>#DIV/0!</v>
      </c>
    </row>
    <row r="72" spans="1:9">
      <c r="A72" s="140">
        <v>68</v>
      </c>
      <c r="B72" s="139"/>
      <c r="C72" s="140"/>
      <c r="D72" s="140"/>
      <c r="E72" s="139"/>
      <c r="F72" s="139"/>
      <c r="G72" s="139"/>
      <c r="H72" s="139"/>
      <c r="I72" s="171" t="e">
        <f t="shared" si="1"/>
        <v>#DIV/0!</v>
      </c>
    </row>
    <row r="73" spans="1:9">
      <c r="A73" s="140">
        <v>69</v>
      </c>
      <c r="B73" s="139"/>
      <c r="C73" s="140"/>
      <c r="D73" s="140"/>
      <c r="E73" s="139"/>
      <c r="F73" s="139"/>
      <c r="G73" s="139"/>
      <c r="H73" s="139"/>
      <c r="I73" s="171" t="e">
        <f t="shared" si="1"/>
        <v>#DIV/0!</v>
      </c>
    </row>
    <row r="74" spans="1:9">
      <c r="A74" s="140">
        <v>70</v>
      </c>
      <c r="B74" s="139"/>
      <c r="C74" s="140"/>
      <c r="D74" s="140"/>
      <c r="E74" s="139"/>
      <c r="F74" s="139"/>
      <c r="G74" s="139"/>
      <c r="H74" s="139"/>
      <c r="I74" s="171" t="e">
        <f t="shared" si="1"/>
        <v>#DIV/0!</v>
      </c>
    </row>
    <row r="75" spans="1:9">
      <c r="A75" s="140">
        <v>71</v>
      </c>
      <c r="B75" s="139"/>
      <c r="C75" s="140"/>
      <c r="D75" s="140"/>
      <c r="E75" s="139"/>
      <c r="F75" s="139"/>
      <c r="G75" s="139"/>
      <c r="H75" s="139"/>
      <c r="I75" s="171" t="e">
        <f t="shared" si="1"/>
        <v>#DIV/0!</v>
      </c>
    </row>
    <row r="76" spans="1:9">
      <c r="A76" s="140">
        <v>72</v>
      </c>
      <c r="B76" s="139"/>
      <c r="C76" s="140"/>
      <c r="D76" s="140"/>
      <c r="E76" s="139"/>
      <c r="F76" s="139"/>
      <c r="G76" s="139"/>
      <c r="H76" s="139"/>
      <c r="I76" s="171" t="e">
        <f t="shared" si="1"/>
        <v>#DIV/0!</v>
      </c>
    </row>
    <row r="77" spans="1:9">
      <c r="A77" s="140">
        <v>73</v>
      </c>
      <c r="B77" s="139"/>
      <c r="C77" s="140"/>
      <c r="D77" s="140"/>
      <c r="E77" s="139"/>
      <c r="F77" s="139"/>
      <c r="G77" s="139"/>
      <c r="H77" s="139"/>
      <c r="I77" s="171" t="e">
        <f t="shared" si="1"/>
        <v>#DIV/0!</v>
      </c>
    </row>
    <row r="78" spans="1:9">
      <c r="A78" s="140">
        <v>74</v>
      </c>
      <c r="B78" s="139"/>
      <c r="C78" s="140"/>
      <c r="D78" s="140"/>
      <c r="E78" s="139"/>
      <c r="F78" s="139"/>
      <c r="G78" s="139"/>
      <c r="H78" s="139"/>
      <c r="I78" s="171" t="e">
        <f t="shared" si="1"/>
        <v>#DIV/0!</v>
      </c>
    </row>
    <row r="79" spans="1:9">
      <c r="A79" s="140">
        <v>75</v>
      </c>
      <c r="B79" s="139"/>
      <c r="C79" s="140"/>
      <c r="D79" s="140"/>
      <c r="E79" s="139"/>
      <c r="F79" s="139"/>
      <c r="G79" s="139"/>
      <c r="H79" s="139"/>
      <c r="I79" s="171" t="e">
        <f t="shared" si="1"/>
        <v>#DIV/0!</v>
      </c>
    </row>
  </sheetData>
  <mergeCells count="2">
    <mergeCell ref="A1:B1"/>
    <mergeCell ref="A2:B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sheetPr codeName="Sheet46"/>
  <dimension ref="A1:BD177"/>
  <sheetViews>
    <sheetView zoomScale="90" zoomScaleNormal="90" workbookViewId="0">
      <pane xSplit="7" ySplit="5" topLeftCell="Q166" activePane="bottomRight" state="frozen"/>
      <selection activeCell="Q172" sqref="A1:BE179"/>
      <selection pane="topRight" activeCell="Q172" sqref="A1:BE179"/>
      <selection pane="bottomLeft" activeCell="Q172" sqref="A1:BE179"/>
      <selection pane="bottomRight" activeCell="R166" sqref="R166"/>
    </sheetView>
  </sheetViews>
  <sheetFormatPr defaultColWidth="9.140625" defaultRowHeight="16.5"/>
  <cols>
    <col min="1" max="1" width="7" style="2755" customWidth="1"/>
    <col min="2" max="2" width="15.5703125" style="2879" customWidth="1"/>
    <col min="3" max="3" width="15.140625" style="2879" customWidth="1"/>
    <col min="4" max="4" width="11.42578125" style="2880" customWidth="1"/>
    <col min="5" max="5" width="38.42578125" style="2881" customWidth="1"/>
    <col min="6" max="6" width="16.140625" style="2882" customWidth="1"/>
    <col min="7" max="7" width="20.42578125" style="2882" customWidth="1"/>
    <col min="8" max="8" width="19.85546875" style="2882" hidden="1" customWidth="1"/>
    <col min="9" max="9" width="21.5703125" style="2755" hidden="1" customWidth="1"/>
    <col min="10" max="10" width="15" style="2755" hidden="1" customWidth="1"/>
    <col min="11" max="11" width="14.42578125" style="2755" hidden="1" customWidth="1"/>
    <col min="12" max="12" width="15.140625" style="2755" hidden="1" customWidth="1"/>
    <col min="13" max="13" width="11.7109375" style="2883" customWidth="1"/>
    <col min="14" max="14" width="11.5703125" style="2882" customWidth="1"/>
    <col min="15" max="15" width="8.85546875" style="2884" customWidth="1"/>
    <col min="16" max="16" width="10.5703125" style="2885" customWidth="1"/>
    <col min="17" max="17" width="10.7109375" style="2884" customWidth="1"/>
    <col min="18" max="18" width="63" style="2886" customWidth="1"/>
    <col min="19" max="19" width="52.5703125" style="2881" hidden="1" customWidth="1"/>
    <col min="20" max="20" width="19.85546875" style="2887" hidden="1" customWidth="1"/>
    <col min="21" max="21" width="22.85546875" style="2888" hidden="1" customWidth="1"/>
    <col min="22" max="16384" width="9.140625" style="2766"/>
  </cols>
  <sheetData>
    <row r="1" spans="1:56" s="2467" customFormat="1" ht="14.45" customHeight="1">
      <c r="A1" s="4563" t="s">
        <v>5178</v>
      </c>
      <c r="B1" s="4564"/>
      <c r="C1" s="4564"/>
      <c r="D1" s="4565"/>
      <c r="F1" s="2727"/>
      <c r="G1" s="2728" t="s">
        <v>3846</v>
      </c>
      <c r="H1" s="2729" t="s">
        <v>70</v>
      </c>
      <c r="I1" s="2730" t="s">
        <v>4358</v>
      </c>
      <c r="J1" s="2731" t="s">
        <v>85</v>
      </c>
      <c r="K1" s="1459"/>
      <c r="L1" s="1459"/>
      <c r="M1" s="2732"/>
      <c r="N1" s="1459"/>
      <c r="O1" s="1459"/>
      <c r="P1" s="1459"/>
      <c r="Q1" s="1459"/>
      <c r="R1" s="1459"/>
      <c r="S1" s="1459"/>
      <c r="T1" s="1459"/>
      <c r="U1" s="2733"/>
      <c r="V1" s="1459"/>
      <c r="W1" s="1459"/>
      <c r="X1" s="1459"/>
      <c r="Y1" s="1459"/>
      <c r="Z1" s="1459"/>
      <c r="AA1" s="1459"/>
      <c r="AB1" s="1459"/>
      <c r="AC1" s="1459"/>
      <c r="AD1" s="1459"/>
      <c r="AE1" s="1459"/>
      <c r="AF1" s="1459"/>
      <c r="AG1" s="1459"/>
      <c r="AH1" s="1459"/>
      <c r="AI1" s="1459"/>
      <c r="AJ1" s="1459"/>
      <c r="AK1" s="1459"/>
      <c r="AL1" s="1459"/>
      <c r="AM1" s="1459"/>
      <c r="AN1" s="1459"/>
      <c r="AO1" s="1459"/>
      <c r="AP1" s="1459"/>
      <c r="AQ1" s="2734"/>
      <c r="AR1" s="2734"/>
      <c r="AS1" s="2734"/>
      <c r="AT1" s="2734"/>
      <c r="AU1" s="2734"/>
      <c r="AV1" s="2734"/>
      <c r="AW1" s="2734"/>
      <c r="AX1" s="2735"/>
      <c r="AY1" s="2735"/>
      <c r="AZ1" s="2735"/>
      <c r="BA1" s="2735"/>
      <c r="BB1" s="2735"/>
      <c r="BC1" s="2735"/>
      <c r="BD1" s="2735"/>
    </row>
    <row r="2" spans="1:56" s="2738" customFormat="1" ht="14.45" customHeight="1">
      <c r="A2" s="2736" t="str">
        <f>HYPERLINK("#Index!A4", "Index Pg")</f>
        <v>Index Pg</v>
      </c>
      <c r="B2" s="1366" t="str">
        <f>HYPERLINK("#'Budget Summary I'!A1:AL1", "Budget Summary I")</f>
        <v>Budget Summary I</v>
      </c>
      <c r="C2" s="1366" t="str">
        <f>HYPERLINK("#'Budget Summary II'!A3:B5", "Budget Summary II")</f>
        <v>Budget Summary II</v>
      </c>
      <c r="D2" s="2737" t="str">
        <f>HYPERLINK("#'Summary of Abstracts'!A2", "Summary of Abst.")</f>
        <v>Summary of Abst.</v>
      </c>
      <c r="F2" s="2727"/>
      <c r="G2" s="1458">
        <f>Q11+Q12+Q13+Q14+Q15+Q16+Q21+Q22+Q23+Q24+Q25+Q26+Q27+Q33+Q34+Q35+Q50+Q70+Q73+Q74+Q94+Q95+Q100+Q111+Q112+Q120+Q146+Q163</f>
        <v>1395.64698559</v>
      </c>
      <c r="H2" s="1447">
        <f>Q8+Q9+Q10+Q18+Q28+Q29+Q30+Q31+Q48+Q51+Q52+Q53+Q65+Q66+Q69+Q71+Q72+Q89+Q92+Q96+Q97+Q98+Q109+Q113+Q114+Q115+Q122+Q136+Q149+Q150+Q164+Q165+Q166+Q177</f>
        <v>3848.5970000000002</v>
      </c>
      <c r="I2" s="1458">
        <f>Q36+Q37+Q38+Q39+Q40+Q41+Q45+Q47+Q54+Q55+Q56+Q57+Q58+Q59+Q62+Q63+Q64+Q75+Q76+Q77+Q78+Q79+Q80+Q81+Q82+Q83+Q84+Q88+Q91+Q101+Q102+Q103+Q104+Q105+Q117+Q121+Q124+Q125+Q126+Q127+Q128+Q129+Q133+Q134+Q138+Q139+Q140+Q151+Q153+Q154+Q155+Q156+Q160+Q161+Q167+Q168+Q169</f>
        <v>1634.1063499999998</v>
      </c>
      <c r="J2" s="1458">
        <f>Q17+Q32+Q42+Q43+Q44+Q46+Q60+Q61+Q86+Q87+Q99+Q106+Q107+Q108+Q123+Q130+Q131+Q132+Q137+Q141+Q142+Q143+Q144+Q158+Q159+Q170+Q171+Q173+Q175+Q176</f>
        <v>249.91997999999998</v>
      </c>
      <c r="K2" s="2739"/>
      <c r="L2" s="2739"/>
      <c r="M2" s="2740"/>
      <c r="N2" s="2739"/>
      <c r="O2" s="2741"/>
      <c r="P2" s="2741"/>
      <c r="Q2" s="2741"/>
      <c r="R2" s="2742"/>
      <c r="S2" s="2742"/>
      <c r="T2" s="2742"/>
      <c r="U2" s="2742"/>
      <c r="V2" s="2742"/>
      <c r="W2" s="2742"/>
      <c r="X2" s="2742"/>
      <c r="Y2" s="2742"/>
      <c r="Z2" s="2742"/>
      <c r="AA2" s="2742"/>
      <c r="AB2" s="2742"/>
      <c r="AC2" s="2742"/>
      <c r="AD2" s="2742"/>
      <c r="AE2" s="2742"/>
      <c r="AF2" s="2742"/>
      <c r="AG2" s="2742"/>
      <c r="AH2" s="2742"/>
      <c r="AI2" s="2742"/>
      <c r="AJ2" s="2742"/>
      <c r="AK2" s="2742"/>
      <c r="AL2" s="2742"/>
      <c r="AM2" s="2743"/>
      <c r="AN2" s="2743"/>
      <c r="AO2" s="2743"/>
      <c r="AP2" s="2743"/>
      <c r="AQ2" s="2743"/>
      <c r="AR2" s="2743"/>
      <c r="AS2" s="2743"/>
      <c r="AT2" s="2743"/>
      <c r="AU2" s="2743"/>
      <c r="AV2" s="2743"/>
      <c r="AW2" s="2743"/>
      <c r="AX2" s="2744"/>
      <c r="AY2" s="2744"/>
      <c r="AZ2" s="2744"/>
      <c r="BA2" s="2744"/>
      <c r="BB2" s="2744"/>
      <c r="BC2" s="2744"/>
      <c r="BD2" s="2744"/>
    </row>
    <row r="3" spans="1:56" s="2745" customFormat="1" ht="12.75" customHeight="1">
      <c r="A3" s="4561" t="s">
        <v>4818</v>
      </c>
      <c r="B3" s="4576" t="s">
        <v>54</v>
      </c>
      <c r="C3" s="4577"/>
      <c r="D3" s="4578"/>
      <c r="E3" s="4561" t="s">
        <v>55</v>
      </c>
      <c r="F3" s="4561" t="s">
        <v>56</v>
      </c>
      <c r="G3" s="4561" t="s">
        <v>57</v>
      </c>
      <c r="H3" s="4575" t="s">
        <v>4620</v>
      </c>
      <c r="I3" s="4575"/>
      <c r="J3" s="4575"/>
      <c r="K3" s="4575"/>
      <c r="L3" s="4575"/>
      <c r="M3" s="4569" t="s">
        <v>4631</v>
      </c>
      <c r="N3" s="4570"/>
      <c r="O3" s="4570"/>
      <c r="P3" s="4570"/>
      <c r="Q3" s="4570"/>
      <c r="R3" s="4571"/>
      <c r="S3" s="4572" t="s">
        <v>4661</v>
      </c>
      <c r="T3" s="4573"/>
      <c r="U3" s="4574"/>
    </row>
    <row r="4" spans="1:56" s="2755" customFormat="1" ht="57.95" customHeight="1">
      <c r="A4" s="4562"/>
      <c r="B4" s="4579"/>
      <c r="C4" s="4580"/>
      <c r="D4" s="4581"/>
      <c r="E4" s="4562"/>
      <c r="F4" s="4562"/>
      <c r="G4" s="4562"/>
      <c r="H4" s="2746" t="s">
        <v>4621</v>
      </c>
      <c r="I4" s="2746" t="s">
        <v>4629</v>
      </c>
      <c r="J4" s="2746" t="s">
        <v>4622</v>
      </c>
      <c r="K4" s="2746" t="s">
        <v>4630</v>
      </c>
      <c r="L4" s="2747" t="s">
        <v>2534</v>
      </c>
      <c r="M4" s="2748" t="s">
        <v>58</v>
      </c>
      <c r="N4" s="2749" t="s">
        <v>59</v>
      </c>
      <c r="O4" s="2750" t="s">
        <v>60</v>
      </c>
      <c r="P4" s="2751" t="s">
        <v>61</v>
      </c>
      <c r="Q4" s="2750" t="s">
        <v>62</v>
      </c>
      <c r="R4" s="2751" t="s">
        <v>5564</v>
      </c>
      <c r="S4" s="2752" t="s">
        <v>2536</v>
      </c>
      <c r="T4" s="2753" t="s">
        <v>4662</v>
      </c>
      <c r="U4" s="2754" t="s">
        <v>4675</v>
      </c>
    </row>
    <row r="5" spans="1:56" ht="45.75" customHeight="1">
      <c r="B5" s="2756">
        <v>16.100000000000001</v>
      </c>
      <c r="C5" s="2756">
        <v>16</v>
      </c>
      <c r="D5" s="2756"/>
      <c r="E5" s="2756" t="s">
        <v>2154</v>
      </c>
      <c r="F5" s="2757"/>
      <c r="G5" s="2757"/>
      <c r="H5" s="2757"/>
      <c r="I5" s="2757"/>
      <c r="J5" s="2757"/>
      <c r="K5" s="2757"/>
      <c r="L5" s="2758"/>
      <c r="M5" s="2759"/>
      <c r="N5" s="2760"/>
      <c r="O5" s="2761"/>
      <c r="P5" s="2757"/>
      <c r="Q5" s="2761">
        <f>Q6+Q19+Q67+Q118+Q147</f>
        <v>7128.2703155899999</v>
      </c>
      <c r="R5" s="2762"/>
      <c r="S5" s="2763"/>
      <c r="T5" s="2764">
        <f>T6</f>
        <v>0</v>
      </c>
      <c r="U5" s="2765">
        <f>U6+U19+U67+U118+U147</f>
        <v>0</v>
      </c>
    </row>
    <row r="6" spans="1:56">
      <c r="A6" s="2755" t="s">
        <v>4350</v>
      </c>
      <c r="B6" s="2767" t="s">
        <v>3367</v>
      </c>
      <c r="C6" s="2767">
        <v>16.100000000000001</v>
      </c>
      <c r="D6" s="2767"/>
      <c r="E6" s="2767" t="s">
        <v>2155</v>
      </c>
      <c r="F6" s="2768"/>
      <c r="G6" s="2768"/>
      <c r="H6" s="2768"/>
      <c r="I6" s="2768"/>
      <c r="J6" s="2768"/>
      <c r="K6" s="2768"/>
      <c r="L6" s="2769"/>
      <c r="M6" s="2770"/>
      <c r="N6" s="2771"/>
      <c r="O6" s="1392"/>
      <c r="P6" s="2768"/>
      <c r="Q6" s="1392">
        <f>Q7+SUM(Q11:Q18)</f>
        <v>169.34298860000001</v>
      </c>
      <c r="R6" s="2772"/>
      <c r="S6" s="2773"/>
      <c r="T6" s="4566"/>
      <c r="U6" s="2774">
        <f>U7+SUM(U11:U18)</f>
        <v>0</v>
      </c>
    </row>
    <row r="7" spans="1:56">
      <c r="A7" s="2755">
        <v>1</v>
      </c>
      <c r="B7" s="2775" t="s">
        <v>3368</v>
      </c>
      <c r="C7" s="2775" t="s">
        <v>3367</v>
      </c>
      <c r="D7" s="2775"/>
      <c r="E7" s="2775" t="s">
        <v>2156</v>
      </c>
      <c r="F7" s="2776"/>
      <c r="G7" s="2776"/>
      <c r="H7" s="2777"/>
      <c r="I7" s="2777"/>
      <c r="J7" s="2777"/>
      <c r="K7" s="2777"/>
      <c r="L7" s="2778"/>
      <c r="M7" s="2779"/>
      <c r="N7" s="2780"/>
      <c r="O7" s="1447"/>
      <c r="P7" s="2780"/>
      <c r="Q7" s="1447">
        <f>SUM(Q8:Q10)</f>
        <v>68.869</v>
      </c>
      <c r="R7" s="2781"/>
      <c r="S7" s="1639"/>
      <c r="T7" s="4567"/>
      <c r="U7" s="1640">
        <f>SUM(U8:U10)</f>
        <v>0</v>
      </c>
    </row>
    <row r="8" spans="1:56" ht="66">
      <c r="A8" s="2755" t="s">
        <v>4931</v>
      </c>
      <c r="B8" s="2775" t="s">
        <v>3369</v>
      </c>
      <c r="C8" s="2775" t="s">
        <v>3368</v>
      </c>
      <c r="D8" s="2782" t="s">
        <v>2157</v>
      </c>
      <c r="E8" s="2782" t="s">
        <v>2158</v>
      </c>
      <c r="F8" s="2464" t="s">
        <v>70</v>
      </c>
      <c r="G8" s="2783" t="s">
        <v>3331</v>
      </c>
      <c r="H8" s="2780"/>
      <c r="I8" s="2780"/>
      <c r="J8" s="2780"/>
      <c r="K8" s="2780"/>
      <c r="L8" s="2784"/>
      <c r="M8" s="2779" t="s">
        <v>6340</v>
      </c>
      <c r="N8" s="2780">
        <v>1180000</v>
      </c>
      <c r="O8" s="1412">
        <f t="shared" ref="O8:O18" si="0">N8/100000</f>
        <v>11.8</v>
      </c>
      <c r="P8" s="2780">
        <v>1</v>
      </c>
      <c r="Q8" s="2785">
        <f>O8*P8</f>
        <v>11.8</v>
      </c>
      <c r="R8" s="1494" t="s">
        <v>6395</v>
      </c>
      <c r="S8" s="2786"/>
      <c r="T8" s="4567"/>
      <c r="U8" s="2787"/>
    </row>
    <row r="9" spans="1:56" ht="189" customHeight="1">
      <c r="A9" s="2755" t="s">
        <v>4932</v>
      </c>
      <c r="B9" s="2775" t="s">
        <v>3370</v>
      </c>
      <c r="C9" s="2775" t="s">
        <v>3371</v>
      </c>
      <c r="D9" s="2782" t="s">
        <v>2159</v>
      </c>
      <c r="E9" s="2782" t="s">
        <v>4461</v>
      </c>
      <c r="F9" s="2464" t="s">
        <v>70</v>
      </c>
      <c r="G9" s="2783" t="s">
        <v>3331</v>
      </c>
      <c r="H9" s="2780"/>
      <c r="I9" s="2780"/>
      <c r="J9" s="2780"/>
      <c r="K9" s="2780"/>
      <c r="L9" s="2784"/>
      <c r="M9" s="2779" t="s">
        <v>6341</v>
      </c>
      <c r="N9" s="2780">
        <v>4510900</v>
      </c>
      <c r="O9" s="1412">
        <f t="shared" si="0"/>
        <v>45.109000000000002</v>
      </c>
      <c r="P9" s="2780">
        <v>1</v>
      </c>
      <c r="Q9" s="2785">
        <f t="shared" ref="Q9:Q18" si="1">O9*P9</f>
        <v>45.109000000000002</v>
      </c>
      <c r="R9" s="1462" t="s">
        <v>6343</v>
      </c>
      <c r="S9" s="1591"/>
      <c r="T9" s="4567"/>
      <c r="U9" s="2787"/>
    </row>
    <row r="10" spans="1:56" ht="89.25" customHeight="1">
      <c r="A10" s="2755" t="s">
        <v>4815</v>
      </c>
      <c r="B10" s="2775" t="s">
        <v>3372</v>
      </c>
      <c r="C10" s="2775" t="s">
        <v>3373</v>
      </c>
      <c r="D10" s="2782" t="s">
        <v>2160</v>
      </c>
      <c r="E10" s="2782" t="s">
        <v>2161</v>
      </c>
      <c r="F10" s="2464" t="s">
        <v>70</v>
      </c>
      <c r="G10" s="2783" t="s">
        <v>3331</v>
      </c>
      <c r="H10" s="2780"/>
      <c r="I10" s="2780"/>
      <c r="J10" s="2780"/>
      <c r="K10" s="2780"/>
      <c r="L10" s="2784"/>
      <c r="M10" s="2779" t="s">
        <v>6342</v>
      </c>
      <c r="N10" s="2780">
        <v>1196000</v>
      </c>
      <c r="O10" s="1412">
        <f t="shared" si="0"/>
        <v>11.96</v>
      </c>
      <c r="P10" s="1418">
        <v>1</v>
      </c>
      <c r="Q10" s="2785">
        <f t="shared" si="1"/>
        <v>11.96</v>
      </c>
      <c r="R10" s="1462" t="s">
        <v>6344</v>
      </c>
      <c r="S10" s="1591"/>
      <c r="T10" s="4567"/>
      <c r="U10" s="2787"/>
    </row>
    <row r="11" spans="1:56" ht="66">
      <c r="A11" s="2755">
        <v>2</v>
      </c>
      <c r="B11" s="2775" t="s">
        <v>3371</v>
      </c>
      <c r="C11" s="2775" t="s">
        <v>3374</v>
      </c>
      <c r="D11" s="2788" t="s">
        <v>829</v>
      </c>
      <c r="E11" s="2782" t="s">
        <v>830</v>
      </c>
      <c r="F11" s="2789" t="s">
        <v>90</v>
      </c>
      <c r="G11" s="2783" t="s">
        <v>3334</v>
      </c>
      <c r="H11" s="2780"/>
      <c r="I11" s="2780"/>
      <c r="J11" s="2780"/>
      <c r="K11" s="2780"/>
      <c r="L11" s="2784"/>
      <c r="M11" s="2790"/>
      <c r="N11" s="2791"/>
      <c r="O11" s="1412">
        <f t="shared" si="0"/>
        <v>0</v>
      </c>
      <c r="P11" s="1418"/>
      <c r="Q11" s="2785">
        <f t="shared" si="1"/>
        <v>0</v>
      </c>
      <c r="R11" s="2792"/>
      <c r="S11" s="1639">
        <f>'Ab1. RMNCH+A'!Q448</f>
        <v>0</v>
      </c>
      <c r="T11" s="4567"/>
      <c r="U11" s="2793">
        <f>'Ab1. RMNCH+A'!R448</f>
        <v>0</v>
      </c>
    </row>
    <row r="12" spans="1:56" ht="29.1" customHeight="1">
      <c r="A12" s="2755">
        <v>3</v>
      </c>
      <c r="B12" s="2775" t="s">
        <v>3373</v>
      </c>
      <c r="C12" s="2775" t="s">
        <v>3375</v>
      </c>
      <c r="D12" s="2782" t="s">
        <v>1499</v>
      </c>
      <c r="E12" s="2782" t="s">
        <v>1500</v>
      </c>
      <c r="F12" s="2789" t="s">
        <v>90</v>
      </c>
      <c r="G12" s="2783" t="s">
        <v>3662</v>
      </c>
      <c r="H12" s="2780"/>
      <c r="I12" s="2780"/>
      <c r="J12" s="2780"/>
      <c r="K12" s="2780"/>
      <c r="L12" s="2784"/>
      <c r="M12" s="2790"/>
      <c r="N12" s="2791"/>
      <c r="O12" s="1412">
        <f t="shared" si="0"/>
        <v>0</v>
      </c>
      <c r="P12" s="1418"/>
      <c r="Q12" s="2785">
        <f t="shared" si="1"/>
        <v>0</v>
      </c>
      <c r="R12" s="2792"/>
      <c r="S12" s="1639">
        <f>'Ab1. RMNCH+A'!Q449</f>
        <v>0</v>
      </c>
      <c r="T12" s="4567"/>
      <c r="U12" s="2793">
        <f>'Ab1. RMNCH+A'!R449</f>
        <v>0</v>
      </c>
    </row>
    <row r="13" spans="1:56" ht="33">
      <c r="A13" s="2755">
        <v>4</v>
      </c>
      <c r="B13" s="2775" t="s">
        <v>3376</v>
      </c>
      <c r="C13" s="2775" t="s">
        <v>3377</v>
      </c>
      <c r="D13" s="2782" t="s">
        <v>2162</v>
      </c>
      <c r="E13" s="2782" t="s">
        <v>2163</v>
      </c>
      <c r="F13" s="2789" t="s">
        <v>90</v>
      </c>
      <c r="G13" s="2783" t="s">
        <v>3662</v>
      </c>
      <c r="H13" s="2780"/>
      <c r="I13" s="2780"/>
      <c r="J13" s="2780"/>
      <c r="K13" s="2780"/>
      <c r="L13" s="2784"/>
      <c r="M13" s="2790"/>
      <c r="N13" s="2791"/>
      <c r="O13" s="1412">
        <f t="shared" si="0"/>
        <v>0</v>
      </c>
      <c r="P13" s="1418"/>
      <c r="Q13" s="2785">
        <f t="shared" si="1"/>
        <v>0</v>
      </c>
      <c r="R13" s="2792"/>
      <c r="S13" s="1639">
        <f>'Ab1. RMNCH+A'!Q450</f>
        <v>0</v>
      </c>
      <c r="T13" s="4567"/>
      <c r="U13" s="2793">
        <f>'Ab1. RMNCH+A'!R450</f>
        <v>0</v>
      </c>
    </row>
    <row r="14" spans="1:56" ht="33">
      <c r="A14" s="2755">
        <v>5</v>
      </c>
      <c r="B14" s="2775" t="s">
        <v>3378</v>
      </c>
      <c r="C14" s="2775" t="s">
        <v>3379</v>
      </c>
      <c r="D14" s="2782" t="s">
        <v>2164</v>
      </c>
      <c r="E14" s="2782" t="s">
        <v>2165</v>
      </c>
      <c r="F14" s="2789" t="s">
        <v>90</v>
      </c>
      <c r="G14" s="2783" t="s">
        <v>3663</v>
      </c>
      <c r="H14" s="2780"/>
      <c r="I14" s="2780"/>
      <c r="J14" s="2780"/>
      <c r="K14" s="2780"/>
      <c r="L14" s="2784"/>
      <c r="M14" s="2790"/>
      <c r="N14" s="2791"/>
      <c r="O14" s="1412">
        <f t="shared" si="0"/>
        <v>0</v>
      </c>
      <c r="P14" s="1418"/>
      <c r="Q14" s="2785">
        <f t="shared" si="1"/>
        <v>0</v>
      </c>
      <c r="R14" s="2792"/>
      <c r="S14" s="1639">
        <f>'Ab1. RMNCH+A'!Q451</f>
        <v>0</v>
      </c>
      <c r="T14" s="4567"/>
      <c r="U14" s="2793">
        <f>'Ab1. RMNCH+A'!R451</f>
        <v>0</v>
      </c>
    </row>
    <row r="15" spans="1:56" ht="49.5">
      <c r="A15" s="2755">
        <v>6</v>
      </c>
      <c r="B15" s="2775" t="s">
        <v>3380</v>
      </c>
      <c r="C15" s="2775" t="s">
        <v>3381</v>
      </c>
      <c r="D15" s="2782" t="s">
        <v>2166</v>
      </c>
      <c r="E15" s="2782" t="s">
        <v>4116</v>
      </c>
      <c r="F15" s="2789" t="s">
        <v>90</v>
      </c>
      <c r="G15" s="2783" t="s">
        <v>3664</v>
      </c>
      <c r="H15" s="2780"/>
      <c r="I15" s="2780"/>
      <c r="J15" s="2780"/>
      <c r="K15" s="2794"/>
      <c r="L15" s="2795"/>
      <c r="M15" s="2796" t="s">
        <v>5876</v>
      </c>
      <c r="N15" s="2791">
        <v>100</v>
      </c>
      <c r="O15" s="1412">
        <f t="shared" si="0"/>
        <v>1E-3</v>
      </c>
      <c r="P15" s="1418">
        <v>10914</v>
      </c>
      <c r="Q15" s="2785">
        <f t="shared" si="1"/>
        <v>10.914</v>
      </c>
      <c r="R15" s="2797" t="s">
        <v>6804</v>
      </c>
      <c r="S15" s="1639">
        <f>'Ab1. RMNCH+A'!Q452</f>
        <v>0</v>
      </c>
      <c r="T15" s="4567"/>
      <c r="U15" s="2793">
        <f>'Ab1. RMNCH+A'!R452</f>
        <v>0</v>
      </c>
    </row>
    <row r="16" spans="1:56" ht="82.5">
      <c r="A16" s="2755">
        <v>7</v>
      </c>
      <c r="B16" s="2775" t="s">
        <v>3382</v>
      </c>
      <c r="C16" s="2775" t="s">
        <v>3383</v>
      </c>
      <c r="D16" s="2782" t="s">
        <v>2167</v>
      </c>
      <c r="E16" s="2782" t="s">
        <v>2168</v>
      </c>
      <c r="F16" s="2789" t="s">
        <v>90</v>
      </c>
      <c r="G16" s="2783" t="s">
        <v>3664</v>
      </c>
      <c r="H16" s="2780"/>
      <c r="I16" s="2780"/>
      <c r="J16" s="2780"/>
      <c r="K16" s="2794"/>
      <c r="L16" s="2795"/>
      <c r="M16" s="2796" t="s">
        <v>5877</v>
      </c>
      <c r="N16" s="2791">
        <v>1052.6300000000001</v>
      </c>
      <c r="O16" s="1412">
        <f t="shared" si="0"/>
        <v>1.0526300000000001E-2</v>
      </c>
      <c r="P16" s="1418">
        <v>722</v>
      </c>
      <c r="Q16" s="2785">
        <f t="shared" si="1"/>
        <v>7.5999886000000005</v>
      </c>
      <c r="R16" s="2797" t="s">
        <v>5879</v>
      </c>
      <c r="S16" s="1639">
        <f>'Ab1. RMNCH+A'!Q453</f>
        <v>0</v>
      </c>
      <c r="T16" s="4567"/>
      <c r="U16" s="2793">
        <f>'Ab1. RMNCH+A'!R453</f>
        <v>0</v>
      </c>
    </row>
    <row r="17" spans="1:21" ht="33">
      <c r="A17" s="2755">
        <v>8</v>
      </c>
      <c r="B17" s="2775" t="s">
        <v>3384</v>
      </c>
      <c r="C17" s="2775" t="s">
        <v>3385</v>
      </c>
      <c r="D17" s="2798" t="s">
        <v>396</v>
      </c>
      <c r="E17" s="2798" t="s">
        <v>2169</v>
      </c>
      <c r="F17" s="2799" t="s">
        <v>85</v>
      </c>
      <c r="G17" s="2783" t="s">
        <v>3665</v>
      </c>
      <c r="H17" s="2780"/>
      <c r="I17" s="2780"/>
      <c r="J17" s="2780"/>
      <c r="K17" s="2780"/>
      <c r="L17" s="2784"/>
      <c r="M17" s="2790"/>
      <c r="N17" s="2791"/>
      <c r="O17" s="1412">
        <f t="shared" si="0"/>
        <v>0</v>
      </c>
      <c r="P17" s="1418"/>
      <c r="Q17" s="2785">
        <f t="shared" si="1"/>
        <v>0</v>
      </c>
      <c r="R17" s="2792"/>
      <c r="S17" s="1639">
        <f>'Abs16. NMHP'!Q30</f>
        <v>0</v>
      </c>
      <c r="T17" s="4567"/>
      <c r="U17" s="2800">
        <f>'Abs16. NMHP'!R30</f>
        <v>0</v>
      </c>
    </row>
    <row r="18" spans="1:21" ht="66">
      <c r="A18" s="2755">
        <v>9</v>
      </c>
      <c r="B18" s="2775" t="s">
        <v>3386</v>
      </c>
      <c r="C18" s="2775" t="s">
        <v>3387</v>
      </c>
      <c r="D18" s="2801"/>
      <c r="E18" s="2802" t="s">
        <v>307</v>
      </c>
      <c r="F18" s="2464" t="s">
        <v>70</v>
      </c>
      <c r="G18" s="2783" t="s">
        <v>3331</v>
      </c>
      <c r="H18" s="2803">
        <v>670</v>
      </c>
      <c r="I18" s="2804"/>
      <c r="J18" s="2804">
        <v>80.400000000000006</v>
      </c>
      <c r="K18" s="2805"/>
      <c r="L18" s="2806"/>
      <c r="M18" s="2807" t="s">
        <v>5878</v>
      </c>
      <c r="N18" s="2791">
        <v>12000</v>
      </c>
      <c r="O18" s="1412">
        <f t="shared" si="0"/>
        <v>0.12</v>
      </c>
      <c r="P18" s="1418">
        <v>683</v>
      </c>
      <c r="Q18" s="2808">
        <f t="shared" si="1"/>
        <v>81.96</v>
      </c>
      <c r="R18" s="2809" t="s">
        <v>5880</v>
      </c>
      <c r="S18" s="1591"/>
      <c r="T18" s="4567"/>
      <c r="U18" s="2787"/>
    </row>
    <row r="19" spans="1:21" ht="27" customHeight="1">
      <c r="A19" s="2755" t="s">
        <v>4351</v>
      </c>
      <c r="B19" s="2767" t="s">
        <v>3374</v>
      </c>
      <c r="C19" s="2767">
        <v>16.2</v>
      </c>
      <c r="D19" s="2767"/>
      <c r="E19" s="2767" t="s">
        <v>2933</v>
      </c>
      <c r="F19" s="2768"/>
      <c r="G19" s="2768"/>
      <c r="H19" s="2810"/>
      <c r="I19" s="2810"/>
      <c r="J19" s="2810"/>
      <c r="K19" s="2810"/>
      <c r="L19" s="2811"/>
      <c r="M19" s="2812"/>
      <c r="N19" s="2813"/>
      <c r="O19" s="1392"/>
      <c r="P19" s="2810"/>
      <c r="Q19" s="1392">
        <f>Q20+Q49</f>
        <v>1624.8822903499999</v>
      </c>
      <c r="R19" s="2814"/>
      <c r="S19" s="2773"/>
      <c r="T19" s="4567"/>
      <c r="U19" s="2774">
        <f>U20+U49</f>
        <v>0</v>
      </c>
    </row>
    <row r="20" spans="1:21" ht="50.25" customHeight="1">
      <c r="A20" s="2755">
        <v>1</v>
      </c>
      <c r="B20" s="2775" t="s">
        <v>3388</v>
      </c>
      <c r="C20" s="2775" t="s">
        <v>3389</v>
      </c>
      <c r="D20" s="2775"/>
      <c r="E20" s="2775" t="s">
        <v>2170</v>
      </c>
      <c r="F20" s="2776"/>
      <c r="G20" s="2776"/>
      <c r="H20" s="2777"/>
      <c r="I20" s="2777"/>
      <c r="J20" s="2777"/>
      <c r="K20" s="2777"/>
      <c r="L20" s="2778"/>
      <c r="M20" s="2815"/>
      <c r="N20" s="2816"/>
      <c r="O20" s="1447"/>
      <c r="P20" s="2777"/>
      <c r="Q20" s="1447">
        <f>SUM(Q21:Q48)</f>
        <v>753.99300034999999</v>
      </c>
      <c r="R20" s="2781"/>
      <c r="S20" s="1639"/>
      <c r="T20" s="4567"/>
      <c r="U20" s="1640">
        <f>SUM(U21:U48)</f>
        <v>0</v>
      </c>
    </row>
    <row r="21" spans="1:21" ht="66">
      <c r="A21" s="2755" t="s">
        <v>4931</v>
      </c>
      <c r="B21" s="2775" t="s">
        <v>3390</v>
      </c>
      <c r="C21" s="2775" t="s">
        <v>3391</v>
      </c>
      <c r="D21" s="2782" t="s">
        <v>838</v>
      </c>
      <c r="E21" s="2782" t="s">
        <v>2171</v>
      </c>
      <c r="F21" s="2789" t="s">
        <v>90</v>
      </c>
      <c r="G21" s="2783" t="s">
        <v>3334</v>
      </c>
      <c r="H21" s="2780"/>
      <c r="I21" s="2817"/>
      <c r="J21" s="2817"/>
      <c r="K21" s="2817"/>
      <c r="L21" s="2818"/>
      <c r="M21" s="2817"/>
      <c r="N21" s="1418">
        <v>771000</v>
      </c>
      <c r="O21" s="1412">
        <f t="shared" ref="O21:O48" si="2">N21/100000</f>
        <v>7.71</v>
      </c>
      <c r="P21" s="1418">
        <v>1</v>
      </c>
      <c r="Q21" s="2785">
        <f t="shared" ref="Q21:Q39" si="3">O21*P21</f>
        <v>7.71</v>
      </c>
      <c r="R21" s="2797" t="s">
        <v>6214</v>
      </c>
      <c r="S21" s="1639">
        <f>'Ab1. RMNCH+A'!Q454</f>
        <v>0</v>
      </c>
      <c r="T21" s="4567"/>
      <c r="U21" s="2800">
        <f>'Ab1. RMNCH+A'!R454</f>
        <v>0</v>
      </c>
    </row>
    <row r="22" spans="1:21" ht="66">
      <c r="A22" s="2755" t="s">
        <v>4932</v>
      </c>
      <c r="B22" s="2775" t="s">
        <v>3392</v>
      </c>
      <c r="C22" s="2775" t="s">
        <v>3393</v>
      </c>
      <c r="D22" s="2802"/>
      <c r="E22" s="2782" t="s">
        <v>2473</v>
      </c>
      <c r="F22" s="2789" t="s">
        <v>90</v>
      </c>
      <c r="G22" s="2783" t="s">
        <v>3334</v>
      </c>
      <c r="H22" s="2780"/>
      <c r="I22" s="2777"/>
      <c r="J22" s="2777"/>
      <c r="K22" s="2777"/>
      <c r="L22" s="2778"/>
      <c r="M22" s="2819" t="s">
        <v>6213</v>
      </c>
      <c r="N22" s="2820">
        <v>25</v>
      </c>
      <c r="O22" s="1412">
        <f t="shared" si="2"/>
        <v>2.5000000000000001E-4</v>
      </c>
      <c r="P22" s="2821">
        <v>616000</v>
      </c>
      <c r="Q22" s="2785">
        <f t="shared" si="3"/>
        <v>154</v>
      </c>
      <c r="R22" s="1491" t="s">
        <v>6215</v>
      </c>
      <c r="S22" s="1639">
        <f>'Ab1. RMNCH+A'!Q455</f>
        <v>0</v>
      </c>
      <c r="T22" s="4567"/>
      <c r="U22" s="2800">
        <f>'Ab1. RMNCH+A'!R455</f>
        <v>0</v>
      </c>
    </row>
    <row r="23" spans="1:21" ht="181.5">
      <c r="A23" s="2755" t="s">
        <v>4815</v>
      </c>
      <c r="B23" s="2775" t="s">
        <v>3394</v>
      </c>
      <c r="C23" s="2775" t="s">
        <v>3395</v>
      </c>
      <c r="D23" s="2802"/>
      <c r="E23" s="2802" t="s">
        <v>3666</v>
      </c>
      <c r="F23" s="2789" t="s">
        <v>90</v>
      </c>
      <c r="G23" s="2783" t="s">
        <v>3334</v>
      </c>
      <c r="H23" s="2780"/>
      <c r="I23" s="2777"/>
      <c r="J23" s="2777"/>
      <c r="K23" s="2777"/>
      <c r="L23" s="2778"/>
      <c r="M23" s="2822" t="s">
        <v>6155</v>
      </c>
      <c r="N23" s="2822">
        <f>1695000+200000</f>
        <v>1895000</v>
      </c>
      <c r="O23" s="1412">
        <f t="shared" si="2"/>
        <v>18.95</v>
      </c>
      <c r="P23" s="1418">
        <v>1</v>
      </c>
      <c r="Q23" s="2785">
        <f t="shared" si="3"/>
        <v>18.95</v>
      </c>
      <c r="R23" s="2823" t="s">
        <v>6216</v>
      </c>
      <c r="S23" s="1639">
        <f>'Ab1. RMNCH+A'!Q456</f>
        <v>0</v>
      </c>
      <c r="T23" s="4567"/>
      <c r="U23" s="2800">
        <f>'Ab1. RMNCH+A'!R456</f>
        <v>0</v>
      </c>
    </row>
    <row r="24" spans="1:21" ht="66">
      <c r="A24" s="2755" t="s">
        <v>4934</v>
      </c>
      <c r="B24" s="2775" t="s">
        <v>3396</v>
      </c>
      <c r="C24" s="2775" t="s">
        <v>3397</v>
      </c>
      <c r="D24" s="2782" t="s">
        <v>888</v>
      </c>
      <c r="E24" s="2782" t="s">
        <v>2492</v>
      </c>
      <c r="F24" s="2789" t="s">
        <v>90</v>
      </c>
      <c r="G24" s="2783" t="s">
        <v>3667</v>
      </c>
      <c r="H24" s="2780">
        <v>95</v>
      </c>
      <c r="I24" s="2804">
        <v>5</v>
      </c>
      <c r="J24" s="2804">
        <v>4.8</v>
      </c>
      <c r="K24" s="2804">
        <v>0.28000000000000003</v>
      </c>
      <c r="L24" s="2804"/>
      <c r="M24" s="2804" t="s">
        <v>6011</v>
      </c>
      <c r="N24" s="1418">
        <v>10000</v>
      </c>
      <c r="O24" s="1412">
        <f t="shared" si="2"/>
        <v>0.1</v>
      </c>
      <c r="P24" s="1418">
        <v>172</v>
      </c>
      <c r="Q24" s="2785">
        <f t="shared" si="3"/>
        <v>17.2</v>
      </c>
      <c r="R24" s="2797" t="s">
        <v>6013</v>
      </c>
      <c r="S24" s="1639">
        <f>'Ab1. RMNCH+A'!Q457</f>
        <v>0</v>
      </c>
      <c r="T24" s="4567"/>
      <c r="U24" s="2800">
        <f>'Ab1. RMNCH+A'!R457</f>
        <v>0</v>
      </c>
    </row>
    <row r="25" spans="1:21" ht="33">
      <c r="A25" s="2755" t="s">
        <v>4933</v>
      </c>
      <c r="B25" s="2775" t="s">
        <v>3398</v>
      </c>
      <c r="C25" s="2775" t="s">
        <v>3399</v>
      </c>
      <c r="D25" s="2788" t="s">
        <v>2172</v>
      </c>
      <c r="E25" s="2782" t="s">
        <v>2493</v>
      </c>
      <c r="F25" s="2789" t="s">
        <v>90</v>
      </c>
      <c r="G25" s="2783" t="s">
        <v>3667</v>
      </c>
      <c r="H25" s="2780">
        <v>5</v>
      </c>
      <c r="I25" s="2804">
        <v>0</v>
      </c>
      <c r="J25" s="2804">
        <v>4.88</v>
      </c>
      <c r="K25" s="2804">
        <v>0</v>
      </c>
      <c r="L25" s="2804"/>
      <c r="M25" s="2804" t="s">
        <v>6012</v>
      </c>
      <c r="N25" s="1418">
        <v>75000</v>
      </c>
      <c r="O25" s="1412">
        <f t="shared" si="2"/>
        <v>0.75</v>
      </c>
      <c r="P25" s="1418">
        <v>10</v>
      </c>
      <c r="Q25" s="2785">
        <f t="shared" si="3"/>
        <v>7.5</v>
      </c>
      <c r="R25" s="2797" t="s">
        <v>6767</v>
      </c>
      <c r="S25" s="1639">
        <f>'Ab1. RMNCH+A'!Q458</f>
        <v>0</v>
      </c>
      <c r="T25" s="4567"/>
      <c r="U25" s="2800">
        <f>'Ab1. RMNCH+A'!R458</f>
        <v>0</v>
      </c>
    </row>
    <row r="26" spans="1:21">
      <c r="A26" s="2755" t="s">
        <v>5020</v>
      </c>
      <c r="B26" s="2775" t="s">
        <v>3400</v>
      </c>
      <c r="C26" s="2775" t="s">
        <v>3401</v>
      </c>
      <c r="D26" s="2782" t="s">
        <v>957</v>
      </c>
      <c r="E26" s="2782" t="s">
        <v>2173</v>
      </c>
      <c r="F26" s="2789" t="s">
        <v>90</v>
      </c>
      <c r="G26" s="2783" t="s">
        <v>3668</v>
      </c>
      <c r="H26" s="2780"/>
      <c r="I26" s="2804"/>
      <c r="J26" s="2804"/>
      <c r="K26" s="2804"/>
      <c r="L26" s="2824"/>
      <c r="M26" s="2807"/>
      <c r="N26" s="2791"/>
      <c r="O26" s="1412">
        <f t="shared" si="2"/>
        <v>0</v>
      </c>
      <c r="P26" s="1418"/>
      <c r="Q26" s="2785">
        <f t="shared" si="3"/>
        <v>0</v>
      </c>
      <c r="R26" s="2792"/>
      <c r="S26" s="1639">
        <f>'Ab1. RMNCH+A'!Q459</f>
        <v>0</v>
      </c>
      <c r="T26" s="4567"/>
      <c r="U26" s="2800">
        <f>'Ab1. RMNCH+A'!R459</f>
        <v>0</v>
      </c>
    </row>
    <row r="27" spans="1:21" ht="264">
      <c r="A27" s="2755" t="s">
        <v>5021</v>
      </c>
      <c r="B27" s="2775" t="s">
        <v>3402</v>
      </c>
      <c r="C27" s="2775" t="s">
        <v>3403</v>
      </c>
      <c r="D27" s="2782" t="s">
        <v>2162</v>
      </c>
      <c r="E27" s="2782" t="s">
        <v>2174</v>
      </c>
      <c r="F27" s="2789" t="s">
        <v>90</v>
      </c>
      <c r="G27" s="2783" t="s">
        <v>3662</v>
      </c>
      <c r="H27" s="2780"/>
      <c r="I27" s="2780"/>
      <c r="J27" s="2780"/>
      <c r="K27" s="2780"/>
      <c r="L27" s="2784"/>
      <c r="M27" s="3114" t="s">
        <v>6266</v>
      </c>
      <c r="N27" s="2825">
        <v>7238.3649999999998</v>
      </c>
      <c r="O27" s="1412">
        <f t="shared" si="2"/>
        <v>7.2383649999999994E-2</v>
      </c>
      <c r="P27" s="1418">
        <v>159</v>
      </c>
      <c r="Q27" s="2785">
        <f t="shared" si="3"/>
        <v>11.509000349999999</v>
      </c>
      <c r="R27" s="2826" t="s">
        <v>6447</v>
      </c>
      <c r="S27" s="1639">
        <f>'Ab1. RMNCH+A'!Q460</f>
        <v>0</v>
      </c>
      <c r="T27" s="4567"/>
      <c r="U27" s="2800">
        <f>'Ab1. RMNCH+A'!R460</f>
        <v>0</v>
      </c>
    </row>
    <row r="28" spans="1:21">
      <c r="A28" s="2755" t="s">
        <v>5022</v>
      </c>
      <c r="B28" s="2775" t="s">
        <v>3404</v>
      </c>
      <c r="C28" s="2775" t="s">
        <v>3405</v>
      </c>
      <c r="D28" s="2782" t="s">
        <v>2175</v>
      </c>
      <c r="E28" s="2782" t="s">
        <v>2176</v>
      </c>
      <c r="F28" s="2464" t="s">
        <v>70</v>
      </c>
      <c r="G28" s="2783" t="s">
        <v>3676</v>
      </c>
      <c r="H28" s="2780"/>
      <c r="I28" s="2780"/>
      <c r="J28" s="2780"/>
      <c r="K28" s="2780"/>
      <c r="L28" s="2784"/>
      <c r="M28" s="2790"/>
      <c r="N28" s="2791"/>
      <c r="O28" s="1412">
        <f t="shared" si="2"/>
        <v>0</v>
      </c>
      <c r="P28" s="1418"/>
      <c r="Q28" s="2785">
        <f t="shared" si="3"/>
        <v>0</v>
      </c>
      <c r="R28" s="2792"/>
      <c r="S28" s="1591"/>
      <c r="T28" s="4567"/>
      <c r="U28" s="2787"/>
    </row>
    <row r="29" spans="1:21" ht="33">
      <c r="A29" s="2755" t="s">
        <v>5179</v>
      </c>
      <c r="B29" s="2775" t="s">
        <v>3406</v>
      </c>
      <c r="C29" s="2775" t="s">
        <v>3407</v>
      </c>
      <c r="D29" s="2782" t="s">
        <v>2177</v>
      </c>
      <c r="E29" s="2782" t="s">
        <v>2178</v>
      </c>
      <c r="F29" s="2464" t="s">
        <v>70</v>
      </c>
      <c r="G29" s="2783" t="s">
        <v>5186</v>
      </c>
      <c r="H29" s="2780"/>
      <c r="I29" s="2780"/>
      <c r="J29" s="2780"/>
      <c r="K29" s="2780"/>
      <c r="L29" s="2784"/>
      <c r="M29" s="2790"/>
      <c r="N29" s="2791"/>
      <c r="O29" s="1412">
        <f t="shared" si="2"/>
        <v>0</v>
      </c>
      <c r="P29" s="1418"/>
      <c r="Q29" s="2785">
        <f t="shared" si="3"/>
        <v>0</v>
      </c>
      <c r="R29" s="2792"/>
      <c r="S29" s="1639">
        <f>'Ab3. ASHA'!Q104</f>
        <v>0</v>
      </c>
      <c r="T29" s="4567"/>
      <c r="U29" s="2827">
        <f>'Ab3. ASHA'!R104</f>
        <v>0</v>
      </c>
    </row>
    <row r="30" spans="1:21">
      <c r="A30" s="2755" t="s">
        <v>5023</v>
      </c>
      <c r="B30" s="2775" t="s">
        <v>3408</v>
      </c>
      <c r="C30" s="2775" t="s">
        <v>3409</v>
      </c>
      <c r="D30" s="2782" t="s">
        <v>2179</v>
      </c>
      <c r="E30" s="2782" t="s">
        <v>2180</v>
      </c>
      <c r="F30" s="2464" t="s">
        <v>70</v>
      </c>
      <c r="G30" s="2783" t="s">
        <v>3331</v>
      </c>
      <c r="H30" s="2780"/>
      <c r="I30" s="2780"/>
      <c r="J30" s="2780"/>
      <c r="K30" s="2780"/>
      <c r="L30" s="2784"/>
      <c r="M30" s="2790"/>
      <c r="N30" s="2791"/>
      <c r="O30" s="1412">
        <f t="shared" si="2"/>
        <v>0</v>
      </c>
      <c r="P30" s="1418"/>
      <c r="Q30" s="2785">
        <f t="shared" si="3"/>
        <v>0</v>
      </c>
      <c r="R30" s="2792"/>
      <c r="S30" s="1591"/>
      <c r="T30" s="4567"/>
      <c r="U30" s="2787"/>
    </row>
    <row r="31" spans="1:21" ht="33">
      <c r="A31" s="2755" t="s">
        <v>5024</v>
      </c>
      <c r="B31" s="2775" t="s">
        <v>3410</v>
      </c>
      <c r="C31" s="2775" t="s">
        <v>3411</v>
      </c>
      <c r="D31" s="2782" t="s">
        <v>2181</v>
      </c>
      <c r="E31" s="2782" t="s">
        <v>2182</v>
      </c>
      <c r="F31" s="2464" t="s">
        <v>70</v>
      </c>
      <c r="G31" s="2783" t="s">
        <v>3331</v>
      </c>
      <c r="H31" s="2780"/>
      <c r="I31" s="2780"/>
      <c r="J31" s="2780"/>
      <c r="K31" s="2780"/>
      <c r="L31" s="2784"/>
      <c r="M31" s="2807"/>
      <c r="N31" s="3343"/>
      <c r="O31" s="1447">
        <f t="shared" si="2"/>
        <v>0</v>
      </c>
      <c r="P31" s="2820"/>
      <c r="Q31" s="2808">
        <f t="shared" si="3"/>
        <v>0</v>
      </c>
      <c r="R31" s="2835"/>
      <c r="S31" s="1591"/>
      <c r="T31" s="4567"/>
      <c r="U31" s="2787"/>
    </row>
    <row r="32" spans="1:21" ht="51" customHeight="1">
      <c r="A32" s="2755" t="s">
        <v>4855</v>
      </c>
      <c r="B32" s="2775" t="s">
        <v>3412</v>
      </c>
      <c r="C32" s="2775" t="s">
        <v>3413</v>
      </c>
      <c r="D32" s="2782" t="s">
        <v>2183</v>
      </c>
      <c r="E32" s="2782" t="s">
        <v>2184</v>
      </c>
      <c r="F32" s="2828" t="s">
        <v>85</v>
      </c>
      <c r="G32" s="2783" t="s">
        <v>4771</v>
      </c>
      <c r="H32" s="2780"/>
      <c r="I32" s="2780"/>
      <c r="J32" s="2780"/>
      <c r="K32" s="2780"/>
      <c r="L32" s="2784"/>
      <c r="M32" s="3364" t="s">
        <v>6414</v>
      </c>
      <c r="N32" s="3365">
        <v>30000</v>
      </c>
      <c r="O32" s="1447">
        <f t="shared" si="2"/>
        <v>0.3</v>
      </c>
      <c r="P32" s="2820">
        <v>11</v>
      </c>
      <c r="Q32" s="2808">
        <f t="shared" si="3"/>
        <v>3.3</v>
      </c>
      <c r="R32" s="2809" t="s">
        <v>6415</v>
      </c>
      <c r="S32" s="1639">
        <f>'Abs23. NPPCF'!Q20</f>
        <v>0</v>
      </c>
      <c r="T32" s="4567"/>
      <c r="U32" s="2827">
        <f>'Abs23. NPPCF'!R20</f>
        <v>0</v>
      </c>
    </row>
    <row r="33" spans="1:21" ht="66">
      <c r="A33" s="2755" t="s">
        <v>5025</v>
      </c>
      <c r="B33" s="2775" t="s">
        <v>3414</v>
      </c>
      <c r="C33" s="2775" t="s">
        <v>3415</v>
      </c>
      <c r="D33" s="2782" t="s">
        <v>2185</v>
      </c>
      <c r="E33" s="2782" t="s">
        <v>2186</v>
      </c>
      <c r="F33" s="2789" t="s">
        <v>90</v>
      </c>
      <c r="G33" s="2783" t="s">
        <v>3664</v>
      </c>
      <c r="H33" s="2780"/>
      <c r="I33" s="2780"/>
      <c r="J33" s="2780"/>
      <c r="K33" s="2794"/>
      <c r="L33" s="2795"/>
      <c r="M33" s="2796" t="s">
        <v>5881</v>
      </c>
      <c r="N33" s="2791">
        <v>1500</v>
      </c>
      <c r="O33" s="1412">
        <f t="shared" si="2"/>
        <v>1.4999999999999999E-2</v>
      </c>
      <c r="P33" s="1418">
        <v>456</v>
      </c>
      <c r="Q33" s="2785">
        <f t="shared" si="3"/>
        <v>6.84</v>
      </c>
      <c r="R33" s="2797" t="s">
        <v>5882</v>
      </c>
      <c r="S33" s="1639">
        <f>'Ab1. RMNCH+A'!Q461</f>
        <v>0</v>
      </c>
      <c r="T33" s="4567"/>
      <c r="U33" s="2793">
        <f>'Ab1. RMNCH+A'!R461</f>
        <v>0</v>
      </c>
    </row>
    <row r="34" spans="1:21" ht="66">
      <c r="A34" s="2755" t="s">
        <v>4827</v>
      </c>
      <c r="B34" s="2775" t="s">
        <v>3416</v>
      </c>
      <c r="C34" s="2775" t="s">
        <v>3417</v>
      </c>
      <c r="D34" s="2782" t="s">
        <v>2187</v>
      </c>
      <c r="E34" s="2782" t="s">
        <v>2188</v>
      </c>
      <c r="F34" s="2789" t="s">
        <v>90</v>
      </c>
      <c r="G34" s="2783" t="s">
        <v>3664</v>
      </c>
      <c r="H34" s="2780"/>
      <c r="I34" s="2780"/>
      <c r="J34" s="2780"/>
      <c r="K34" s="2794"/>
      <c r="L34" s="2795"/>
      <c r="M34" s="2796" t="s">
        <v>5881</v>
      </c>
      <c r="N34" s="2791">
        <v>150</v>
      </c>
      <c r="O34" s="1412">
        <f t="shared" si="2"/>
        <v>1.5E-3</v>
      </c>
      <c r="P34" s="1418">
        <v>13680</v>
      </c>
      <c r="Q34" s="2785">
        <f t="shared" si="3"/>
        <v>20.52</v>
      </c>
      <c r="R34" s="2797" t="s">
        <v>5883</v>
      </c>
      <c r="S34" s="1639">
        <f>'Ab1. RMNCH+A'!Q462</f>
        <v>0</v>
      </c>
      <c r="T34" s="4567"/>
      <c r="U34" s="2793">
        <f>'Ab1. RMNCH+A'!R462</f>
        <v>0</v>
      </c>
    </row>
    <row r="35" spans="1:21" ht="49.5">
      <c r="A35" s="2755" t="s">
        <v>4825</v>
      </c>
      <c r="B35" s="2775" t="s">
        <v>3418</v>
      </c>
      <c r="C35" s="2775" t="s">
        <v>3419</v>
      </c>
      <c r="D35" s="2782" t="s">
        <v>2189</v>
      </c>
      <c r="E35" s="2782" t="s">
        <v>2190</v>
      </c>
      <c r="F35" s="2789" t="s">
        <v>90</v>
      </c>
      <c r="G35" s="2783" t="s">
        <v>3664</v>
      </c>
      <c r="H35" s="2780"/>
      <c r="I35" s="2780"/>
      <c r="J35" s="2780"/>
      <c r="K35" s="2794"/>
      <c r="L35" s="2795"/>
      <c r="M35" s="2796" t="s">
        <v>5881</v>
      </c>
      <c r="N35" s="2791">
        <v>100</v>
      </c>
      <c r="O35" s="1412">
        <f t="shared" si="2"/>
        <v>1E-3</v>
      </c>
      <c r="P35" s="2829">
        <f>4*117501</f>
        <v>470004</v>
      </c>
      <c r="Q35" s="2785">
        <f t="shared" si="3"/>
        <v>470.00400000000002</v>
      </c>
      <c r="R35" s="2797" t="s">
        <v>5884</v>
      </c>
      <c r="S35" s="1639">
        <f>'Ab1. RMNCH+A'!Q463</f>
        <v>0</v>
      </c>
      <c r="T35" s="4567"/>
      <c r="U35" s="2793">
        <f>'Ab1. RMNCH+A'!R463</f>
        <v>0</v>
      </c>
    </row>
    <row r="36" spans="1:21" s="3763" customFormat="1" ht="82.5">
      <c r="A36" s="3751" t="s">
        <v>5026</v>
      </c>
      <c r="B36" s="3752" t="s">
        <v>3420</v>
      </c>
      <c r="C36" s="3752" t="s">
        <v>3421</v>
      </c>
      <c r="D36" s="3908" t="s">
        <v>2191</v>
      </c>
      <c r="E36" s="3908" t="s">
        <v>2192</v>
      </c>
      <c r="F36" s="3857" t="s">
        <v>4358</v>
      </c>
      <c r="G36" s="3755" t="s">
        <v>3670</v>
      </c>
      <c r="H36" s="3756"/>
      <c r="I36" s="3756"/>
      <c r="J36" s="3756"/>
      <c r="K36" s="3756"/>
      <c r="L36" s="3874"/>
      <c r="M36" s="3971" t="s">
        <v>6080</v>
      </c>
      <c r="N36" s="3972">
        <v>15000</v>
      </c>
      <c r="O36" s="3758">
        <f t="shared" si="2"/>
        <v>0.15</v>
      </c>
      <c r="P36" s="3757">
        <v>40</v>
      </c>
      <c r="Q36" s="3759">
        <f t="shared" si="3"/>
        <v>6</v>
      </c>
      <c r="R36" s="3973" t="s">
        <v>6872</v>
      </c>
      <c r="S36" s="3761">
        <f>'Abs8. IDSP'!Q30</f>
        <v>0</v>
      </c>
      <c r="T36" s="4567"/>
      <c r="U36" s="3762">
        <f>'Abs8. IDSP'!R30</f>
        <v>0</v>
      </c>
    </row>
    <row r="37" spans="1:21" ht="49.5">
      <c r="A37" s="2755" t="s">
        <v>5027</v>
      </c>
      <c r="B37" s="2775" t="s">
        <v>3422</v>
      </c>
      <c r="C37" s="2775" t="s">
        <v>3423</v>
      </c>
      <c r="D37" s="2798" t="s">
        <v>1543</v>
      </c>
      <c r="E37" s="2798" t="s">
        <v>2193</v>
      </c>
      <c r="F37" s="2830" t="s">
        <v>4358</v>
      </c>
      <c r="G37" s="2783" t="s">
        <v>4977</v>
      </c>
      <c r="H37" s="2780"/>
      <c r="I37" s="2780"/>
      <c r="J37" s="2780"/>
      <c r="K37" s="2780"/>
      <c r="L37" s="2784"/>
      <c r="M37" s="2829" t="s">
        <v>6304</v>
      </c>
      <c r="N37" s="1418">
        <v>290000</v>
      </c>
      <c r="O37" s="1412">
        <f t="shared" si="2"/>
        <v>2.9</v>
      </c>
      <c r="P37" s="1418">
        <v>1</v>
      </c>
      <c r="Q37" s="2785">
        <f t="shared" si="3"/>
        <v>2.9</v>
      </c>
      <c r="R37" s="2829" t="s">
        <v>6304</v>
      </c>
      <c r="S37" s="1639">
        <f>'Abs9. NVBDCP'!Q109</f>
        <v>0</v>
      </c>
      <c r="T37" s="4567"/>
      <c r="U37" s="2827">
        <f>'Abs9. NVBDCP'!R109</f>
        <v>0</v>
      </c>
    </row>
    <row r="38" spans="1:21" s="2836" customFormat="1" ht="82.5">
      <c r="A38" s="2745" t="s">
        <v>5028</v>
      </c>
      <c r="B38" s="2775" t="s">
        <v>3424</v>
      </c>
      <c r="C38" s="2775"/>
      <c r="D38" s="2833"/>
      <c r="E38" s="2833" t="s">
        <v>4429</v>
      </c>
      <c r="F38" s="2830" t="s">
        <v>4358</v>
      </c>
      <c r="G38" s="2834" t="s">
        <v>4977</v>
      </c>
      <c r="H38" s="2804"/>
      <c r="I38" s="2804"/>
      <c r="J38" s="2804"/>
      <c r="K38" s="2804"/>
      <c r="L38" s="2824"/>
      <c r="M38" s="2807"/>
      <c r="N38" s="2791"/>
      <c r="O38" s="1412">
        <f t="shared" si="2"/>
        <v>0</v>
      </c>
      <c r="P38" s="1418"/>
      <c r="Q38" s="2808">
        <f t="shared" si="3"/>
        <v>0</v>
      </c>
      <c r="R38" s="2809" t="s">
        <v>6907</v>
      </c>
      <c r="S38" s="1639">
        <f>'Abs9. NVBDCP'!Q110</f>
        <v>0</v>
      </c>
      <c r="T38" s="4567"/>
      <c r="U38" s="2827">
        <f>'Abs9. NVBDCP'!R110</f>
        <v>0</v>
      </c>
    </row>
    <row r="39" spans="1:21" ht="33">
      <c r="A39" s="2755" t="s">
        <v>5029</v>
      </c>
      <c r="B39" s="2775" t="s">
        <v>3426</v>
      </c>
      <c r="C39" s="2775" t="s">
        <v>3425</v>
      </c>
      <c r="D39" s="2798" t="s">
        <v>2194</v>
      </c>
      <c r="E39" s="2798" t="s">
        <v>2195</v>
      </c>
      <c r="F39" s="2830" t="s">
        <v>4358</v>
      </c>
      <c r="G39" s="2783" t="s">
        <v>4978</v>
      </c>
      <c r="H39" s="2780"/>
      <c r="I39" s="2780"/>
      <c r="J39" s="2780"/>
      <c r="K39" s="2780"/>
      <c r="L39" s="2784"/>
      <c r="M39" s="2790"/>
      <c r="N39" s="2791"/>
      <c r="O39" s="1412">
        <f t="shared" si="2"/>
        <v>0</v>
      </c>
      <c r="P39" s="1418"/>
      <c r="Q39" s="2785">
        <f t="shared" si="3"/>
        <v>0</v>
      </c>
      <c r="R39" s="2792"/>
      <c r="S39" s="1639">
        <f>'Abs9. NVBDCP'!Q111</f>
        <v>0</v>
      </c>
      <c r="T39" s="4567"/>
      <c r="U39" s="2827">
        <f>'Abs9. NVBDCP'!R111</f>
        <v>0</v>
      </c>
    </row>
    <row r="40" spans="1:21" ht="32.25" customHeight="1">
      <c r="A40" s="2755" t="s">
        <v>4826</v>
      </c>
      <c r="B40" s="2775" t="s">
        <v>3428</v>
      </c>
      <c r="C40" s="2775" t="s">
        <v>3427</v>
      </c>
      <c r="D40" s="2798" t="s">
        <v>2196</v>
      </c>
      <c r="E40" s="2798" t="s">
        <v>2197</v>
      </c>
      <c r="F40" s="2830" t="s">
        <v>4358</v>
      </c>
      <c r="G40" s="2783" t="s">
        <v>3672</v>
      </c>
      <c r="H40" s="2780"/>
      <c r="I40" s="2779"/>
      <c r="J40" s="2779"/>
      <c r="K40" s="2779"/>
      <c r="L40" s="2837"/>
      <c r="M40" s="2779">
        <v>1</v>
      </c>
      <c r="N40" s="1418">
        <v>50000</v>
      </c>
      <c r="O40" s="1412">
        <f t="shared" si="2"/>
        <v>0.5</v>
      </c>
      <c r="P40" s="1418">
        <v>4</v>
      </c>
      <c r="Q40" s="1412">
        <f t="shared" ref="Q40:Q48" si="4">O40*P40</f>
        <v>2</v>
      </c>
      <c r="R40" s="2797" t="s">
        <v>6285</v>
      </c>
      <c r="S40" s="1639">
        <f>'Abs10. NLEP'!Q37</f>
        <v>0</v>
      </c>
      <c r="T40" s="4567"/>
      <c r="U40" s="2838">
        <f>'Abs10. NLEP'!R37</f>
        <v>0</v>
      </c>
    </row>
    <row r="41" spans="1:21" ht="41.25" customHeight="1">
      <c r="A41" s="2755" t="s">
        <v>5030</v>
      </c>
      <c r="B41" s="2775" t="s">
        <v>3430</v>
      </c>
      <c r="C41" s="2775" t="s">
        <v>3429</v>
      </c>
      <c r="D41" s="2798" t="s">
        <v>1088</v>
      </c>
      <c r="E41" s="2798" t="s">
        <v>2198</v>
      </c>
      <c r="F41" s="2830" t="s">
        <v>4358</v>
      </c>
      <c r="G41" s="2783" t="s">
        <v>4673</v>
      </c>
      <c r="H41" s="2780"/>
      <c r="I41" s="2780"/>
      <c r="J41" s="2839">
        <v>4.5999999999999996</v>
      </c>
      <c r="K41" s="2839">
        <v>0</v>
      </c>
      <c r="L41" s="2839"/>
      <c r="M41" s="2804" t="s">
        <v>6055</v>
      </c>
      <c r="N41" s="2820">
        <v>400000</v>
      </c>
      <c r="O41" s="1447">
        <f t="shared" si="2"/>
        <v>4</v>
      </c>
      <c r="P41" s="2820">
        <v>1</v>
      </c>
      <c r="Q41" s="2808">
        <f t="shared" si="4"/>
        <v>4</v>
      </c>
      <c r="R41" s="2841" t="s">
        <v>6056</v>
      </c>
      <c r="S41" s="1639">
        <f>'Abs11. NTEP'!Q57</f>
        <v>0</v>
      </c>
      <c r="T41" s="4567"/>
      <c r="U41" s="2800">
        <f>'Abs11. NTEP'!R57</f>
        <v>0</v>
      </c>
    </row>
    <row r="42" spans="1:21" ht="33">
      <c r="A42" s="2755" t="s">
        <v>5031</v>
      </c>
      <c r="B42" s="2775" t="s">
        <v>4004</v>
      </c>
      <c r="C42" s="2775" t="s">
        <v>3431</v>
      </c>
      <c r="D42" s="2840" t="s">
        <v>2199</v>
      </c>
      <c r="E42" s="2798" t="s">
        <v>5272</v>
      </c>
      <c r="F42" s="2799" t="s">
        <v>85</v>
      </c>
      <c r="G42" s="2783" t="s">
        <v>3673</v>
      </c>
      <c r="H42" s="2780"/>
      <c r="I42" s="2780"/>
      <c r="J42" s="2780"/>
      <c r="K42" s="2780"/>
      <c r="L42" s="2784"/>
      <c r="M42" s="1415" t="s">
        <v>5922</v>
      </c>
      <c r="N42" s="1428">
        <v>1000</v>
      </c>
      <c r="O42" s="1412">
        <f t="shared" si="2"/>
        <v>0.01</v>
      </c>
      <c r="P42" s="1428">
        <v>1976</v>
      </c>
      <c r="Q42" s="2785">
        <f t="shared" si="4"/>
        <v>19.760000000000002</v>
      </c>
      <c r="R42" s="1462" t="s">
        <v>5955</v>
      </c>
      <c r="S42" s="1639">
        <f>'Abs18. NTCP'!Q29</f>
        <v>0</v>
      </c>
      <c r="T42" s="4567"/>
      <c r="U42" s="2800">
        <f>'Abs18. NTCP'!R29</f>
        <v>0</v>
      </c>
    </row>
    <row r="43" spans="1:21" ht="33">
      <c r="A43" s="2755" t="s">
        <v>5032</v>
      </c>
      <c r="B43" s="2775" t="s">
        <v>3812</v>
      </c>
      <c r="C43" s="2775"/>
      <c r="D43" s="2802"/>
      <c r="E43" s="2782" t="s">
        <v>4002</v>
      </c>
      <c r="F43" s="2799" t="s">
        <v>85</v>
      </c>
      <c r="G43" s="2783" t="s">
        <v>4501</v>
      </c>
      <c r="H43" s="2780"/>
      <c r="I43" s="2780"/>
      <c r="J43" s="2780"/>
      <c r="K43" s="2780"/>
      <c r="L43" s="2784"/>
      <c r="M43" s="2780" t="s">
        <v>6080</v>
      </c>
      <c r="N43" s="1418">
        <v>1000</v>
      </c>
      <c r="O43" s="1412">
        <f t="shared" si="2"/>
        <v>0.01</v>
      </c>
      <c r="P43" s="1418">
        <v>2</v>
      </c>
      <c r="Q43" s="2785">
        <f t="shared" si="4"/>
        <v>0.02</v>
      </c>
      <c r="R43" s="2797" t="s">
        <v>6082</v>
      </c>
      <c r="S43" s="1639">
        <f>'Abs21. NPCCHH'!Q20</f>
        <v>0</v>
      </c>
      <c r="T43" s="4567"/>
      <c r="U43" s="2827">
        <f>'Abs21. NPCCHH'!R20</f>
        <v>0</v>
      </c>
    </row>
    <row r="44" spans="1:21" ht="49.5">
      <c r="A44" s="2755" t="s">
        <v>5033</v>
      </c>
      <c r="B44" s="2775" t="s">
        <v>4006</v>
      </c>
      <c r="C44" s="2775"/>
      <c r="D44" s="2802"/>
      <c r="E44" s="2782" t="s">
        <v>4005</v>
      </c>
      <c r="F44" s="2799" t="s">
        <v>85</v>
      </c>
      <c r="G44" s="2783" t="s">
        <v>4501</v>
      </c>
      <c r="H44" s="2780"/>
      <c r="I44" s="2780"/>
      <c r="J44" s="2780"/>
      <c r="K44" s="2780"/>
      <c r="L44" s="2784"/>
      <c r="M44" s="2780" t="s">
        <v>6081</v>
      </c>
      <c r="N44" s="1418">
        <v>1000</v>
      </c>
      <c r="O44" s="1412">
        <f t="shared" si="2"/>
        <v>0.01</v>
      </c>
      <c r="P44" s="1418">
        <v>38</v>
      </c>
      <c r="Q44" s="2785">
        <f t="shared" si="4"/>
        <v>0.38</v>
      </c>
      <c r="R44" s="2797" t="s">
        <v>6083</v>
      </c>
      <c r="S44" s="1639">
        <f>'Abs21. NPCCHH'!Q21</f>
        <v>0</v>
      </c>
      <c r="T44" s="4567"/>
      <c r="U44" s="2827">
        <f>'Abs21. NPCCHH'!R21</f>
        <v>0</v>
      </c>
    </row>
    <row r="45" spans="1:21" s="2836" customFormat="1" ht="24" customHeight="1">
      <c r="A45" s="2745" t="s">
        <v>4835</v>
      </c>
      <c r="B45" s="2775" t="s">
        <v>4411</v>
      </c>
      <c r="C45" s="2775"/>
      <c r="D45" s="2802"/>
      <c r="E45" s="2802" t="s">
        <v>4412</v>
      </c>
      <c r="F45" s="2830" t="s">
        <v>4358</v>
      </c>
      <c r="G45" s="2834" t="s">
        <v>3338</v>
      </c>
      <c r="H45" s="2804"/>
      <c r="I45" s="2804"/>
      <c r="J45" s="2804"/>
      <c r="K45" s="2804"/>
      <c r="L45" s="2824"/>
      <c r="M45" s="2807" t="s">
        <v>5829</v>
      </c>
      <c r="N45" s="2791">
        <v>10000</v>
      </c>
      <c r="O45" s="1412">
        <f t="shared" si="2"/>
        <v>0.1</v>
      </c>
      <c r="P45" s="1418">
        <v>4</v>
      </c>
      <c r="Q45" s="2808">
        <f t="shared" si="4"/>
        <v>0.4</v>
      </c>
      <c r="R45" s="2809" t="s">
        <v>5820</v>
      </c>
      <c r="S45" s="1639">
        <f>'Abs12. NVHCP'!Q41</f>
        <v>0</v>
      </c>
      <c r="T45" s="4567"/>
      <c r="U45" s="2800">
        <f>'Abs12. NVHCP'!R41</f>
        <v>0</v>
      </c>
    </row>
    <row r="46" spans="1:21" s="3763" customFormat="1" ht="33">
      <c r="A46" s="3751" t="s">
        <v>5034</v>
      </c>
      <c r="B46" s="3752" t="s">
        <v>4425</v>
      </c>
      <c r="C46" s="3752"/>
      <c r="D46" s="3753"/>
      <c r="E46" s="3753" t="s">
        <v>4426</v>
      </c>
      <c r="F46" s="3754" t="s">
        <v>85</v>
      </c>
      <c r="G46" s="3755" t="s">
        <v>4427</v>
      </c>
      <c r="H46" s="3756">
        <v>1</v>
      </c>
      <c r="I46" s="3756">
        <v>0</v>
      </c>
      <c r="J46" s="3756">
        <v>1</v>
      </c>
      <c r="K46" s="3756">
        <v>0</v>
      </c>
      <c r="L46" s="3756">
        <v>0</v>
      </c>
      <c r="M46" s="3756">
        <v>1</v>
      </c>
      <c r="N46" s="3757">
        <v>100000</v>
      </c>
      <c r="O46" s="3758">
        <f t="shared" si="2"/>
        <v>1</v>
      </c>
      <c r="P46" s="3757">
        <v>1</v>
      </c>
      <c r="Q46" s="3759">
        <f t="shared" si="4"/>
        <v>1</v>
      </c>
      <c r="R46" s="3760" t="s">
        <v>6807</v>
      </c>
      <c r="S46" s="3761">
        <f>'Abs17. NPHCE'!Q33</f>
        <v>0</v>
      </c>
      <c r="T46" s="4567"/>
      <c r="U46" s="3762">
        <f>'Abs17. NPHCE'!R33</f>
        <v>0</v>
      </c>
    </row>
    <row r="47" spans="1:21" s="2836" customFormat="1" ht="33">
      <c r="A47" s="2745" t="s">
        <v>5035</v>
      </c>
      <c r="B47" s="2775" t="s">
        <v>4428</v>
      </c>
      <c r="C47" s="2775"/>
      <c r="D47" s="2802"/>
      <c r="E47" s="2802" t="s">
        <v>4490</v>
      </c>
      <c r="F47" s="2842" t="s">
        <v>4358</v>
      </c>
      <c r="G47" s="2834" t="s">
        <v>4491</v>
      </c>
      <c r="H47" s="2804"/>
      <c r="I47" s="2804"/>
      <c r="J47" s="2804"/>
      <c r="K47" s="2804"/>
      <c r="L47" s="2824"/>
      <c r="M47" s="2807"/>
      <c r="N47" s="2791"/>
      <c r="O47" s="1412">
        <f t="shared" si="2"/>
        <v>0</v>
      </c>
      <c r="P47" s="1418"/>
      <c r="Q47" s="2808">
        <f t="shared" si="4"/>
        <v>0</v>
      </c>
      <c r="R47" s="2835"/>
      <c r="S47" s="1639">
        <f>'Abs14. PPCL'!Q16</f>
        <v>0</v>
      </c>
      <c r="T47" s="4567"/>
      <c r="U47" s="2827">
        <f>'Abs14. PPCL'!R16</f>
        <v>0</v>
      </c>
    </row>
    <row r="48" spans="1:21">
      <c r="A48" s="2755" t="s">
        <v>5036</v>
      </c>
      <c r="B48" s="2775" t="s">
        <v>4489</v>
      </c>
      <c r="C48" s="2775" t="s">
        <v>3813</v>
      </c>
      <c r="D48" s="2801"/>
      <c r="E48" s="2833" t="s">
        <v>307</v>
      </c>
      <c r="F48" s="2464" t="s">
        <v>70</v>
      </c>
      <c r="G48" s="2783" t="s">
        <v>3331</v>
      </c>
      <c r="H48" s="2804"/>
      <c r="I48" s="2804"/>
      <c r="J48" s="2804"/>
      <c r="K48" s="2804"/>
      <c r="L48" s="2824"/>
      <c r="M48" s="2807"/>
      <c r="N48" s="2791"/>
      <c r="O48" s="1412">
        <f t="shared" si="2"/>
        <v>0</v>
      </c>
      <c r="P48" s="1418"/>
      <c r="Q48" s="2808">
        <f t="shared" si="4"/>
        <v>0</v>
      </c>
      <c r="R48" s="2835"/>
      <c r="S48" s="1591"/>
      <c r="T48" s="4567"/>
      <c r="U48" s="2787"/>
    </row>
    <row r="49" spans="1:21" ht="20.25" customHeight="1">
      <c r="A49" s="2755">
        <v>2</v>
      </c>
      <c r="B49" s="2775" t="s">
        <v>3432</v>
      </c>
      <c r="C49" s="2775" t="s">
        <v>3433</v>
      </c>
      <c r="D49" s="2775"/>
      <c r="E49" s="2775" t="s">
        <v>2200</v>
      </c>
      <c r="F49" s="2776"/>
      <c r="G49" s="2776"/>
      <c r="H49" s="2777"/>
      <c r="I49" s="2777"/>
      <c r="J49" s="2777"/>
      <c r="K49" s="2777"/>
      <c r="L49" s="2778"/>
      <c r="M49" s="2815"/>
      <c r="N49" s="2816"/>
      <c r="O49" s="1447"/>
      <c r="P49" s="2777"/>
      <c r="Q49" s="1447">
        <f>SUM(Q50:Q66)</f>
        <v>870.88928999999996</v>
      </c>
      <c r="R49" s="2781"/>
      <c r="S49" s="1639"/>
      <c r="T49" s="4567"/>
      <c r="U49" s="1640">
        <f>SUM(U50:U66)</f>
        <v>0</v>
      </c>
    </row>
    <row r="50" spans="1:21" ht="33">
      <c r="A50" s="2755" t="s">
        <v>4931</v>
      </c>
      <c r="B50" s="2775" t="s">
        <v>3434</v>
      </c>
      <c r="C50" s="2775" t="s">
        <v>3435</v>
      </c>
      <c r="D50" s="2788" t="s">
        <v>2201</v>
      </c>
      <c r="E50" s="2782" t="s">
        <v>2202</v>
      </c>
      <c r="F50" s="2789" t="s">
        <v>90</v>
      </c>
      <c r="G50" s="2783" t="s">
        <v>3334</v>
      </c>
      <c r="H50" s="2780"/>
      <c r="I50" s="2780"/>
      <c r="J50" s="2780"/>
      <c r="K50" s="2780"/>
      <c r="L50" s="2784"/>
      <c r="M50" s="2780"/>
      <c r="N50" s="1418"/>
      <c r="O50" s="1412">
        <f t="shared" ref="O50:O66" si="5">N50/100000</f>
        <v>0</v>
      </c>
      <c r="P50" s="1418"/>
      <c r="Q50" s="2785">
        <f t="shared" ref="Q50:Q55" si="6">O50*P50</f>
        <v>0</v>
      </c>
      <c r="R50" s="2841"/>
      <c r="S50" s="1639">
        <f>'Ab1. RMNCH+A'!Q464</f>
        <v>0</v>
      </c>
      <c r="T50" s="4567"/>
      <c r="U50" s="2793">
        <f>'Ab1. RMNCH+A'!R464</f>
        <v>0</v>
      </c>
    </row>
    <row r="51" spans="1:21">
      <c r="A51" s="2755" t="s">
        <v>4932</v>
      </c>
      <c r="B51" s="2775" t="s">
        <v>3436</v>
      </c>
      <c r="C51" s="2775" t="s">
        <v>3437</v>
      </c>
      <c r="D51" s="2782" t="s">
        <v>2203</v>
      </c>
      <c r="E51" s="2782" t="s">
        <v>2204</v>
      </c>
      <c r="F51" s="2464" t="s">
        <v>70</v>
      </c>
      <c r="G51" s="2783" t="s">
        <v>3674</v>
      </c>
      <c r="H51" s="2780"/>
      <c r="I51" s="2780"/>
      <c r="J51" s="2780"/>
      <c r="K51" s="2780"/>
      <c r="L51" s="2784"/>
      <c r="M51" s="2790"/>
      <c r="N51" s="2791"/>
      <c r="O51" s="1412">
        <f t="shared" si="5"/>
        <v>0</v>
      </c>
      <c r="P51" s="1418"/>
      <c r="Q51" s="2785">
        <f t="shared" si="6"/>
        <v>0</v>
      </c>
      <c r="R51" s="2792"/>
      <c r="S51" s="1591"/>
      <c r="T51" s="4567"/>
      <c r="U51" s="2787"/>
    </row>
    <row r="52" spans="1:21" ht="33">
      <c r="A52" s="2755" t="s">
        <v>4815</v>
      </c>
      <c r="B52" s="2775" t="s">
        <v>3438</v>
      </c>
      <c r="C52" s="2775" t="s">
        <v>3439</v>
      </c>
      <c r="D52" s="2782" t="s">
        <v>2179</v>
      </c>
      <c r="E52" s="2782" t="s">
        <v>4044</v>
      </c>
      <c r="F52" s="2464" t="s">
        <v>70</v>
      </c>
      <c r="G52" s="2783" t="s">
        <v>3331</v>
      </c>
      <c r="H52" s="2780"/>
      <c r="I52" s="2780"/>
      <c r="J52" s="2780"/>
      <c r="K52" s="2780"/>
      <c r="L52" s="2784"/>
      <c r="M52" s="2790"/>
      <c r="N52" s="2791"/>
      <c r="O52" s="1412">
        <f t="shared" si="5"/>
        <v>0</v>
      </c>
      <c r="P52" s="1418"/>
      <c r="Q52" s="2785">
        <f t="shared" si="6"/>
        <v>0</v>
      </c>
      <c r="R52" s="2792"/>
      <c r="S52" s="1591"/>
      <c r="T52" s="4567"/>
      <c r="U52" s="2787"/>
    </row>
    <row r="53" spans="1:21" s="3763" customFormat="1" ht="198" customHeight="1">
      <c r="A53" s="3751" t="s">
        <v>4934</v>
      </c>
      <c r="B53" s="3752" t="s">
        <v>3440</v>
      </c>
      <c r="C53" s="3752" t="s">
        <v>3441</v>
      </c>
      <c r="D53" s="3928" t="s">
        <v>2037</v>
      </c>
      <c r="E53" s="3753" t="s">
        <v>2421</v>
      </c>
      <c r="F53" s="3767" t="s">
        <v>70</v>
      </c>
      <c r="G53" s="3755" t="s">
        <v>3331</v>
      </c>
      <c r="H53" s="3756"/>
      <c r="I53" s="3756"/>
      <c r="J53" s="3756"/>
      <c r="K53" s="3929"/>
      <c r="L53" s="3930"/>
      <c r="M53" s="3931"/>
      <c r="N53" s="3858">
        <v>7136000</v>
      </c>
      <c r="O53" s="3853">
        <f t="shared" si="5"/>
        <v>71.36</v>
      </c>
      <c r="P53" s="3858">
        <v>1</v>
      </c>
      <c r="Q53" s="3910">
        <f t="shared" si="6"/>
        <v>71.36</v>
      </c>
      <c r="R53" s="3932" t="s">
        <v>6858</v>
      </c>
      <c r="S53" s="3933"/>
      <c r="T53" s="4567"/>
      <c r="U53" s="3934"/>
    </row>
    <row r="54" spans="1:21" s="3763" customFormat="1" ht="33">
      <c r="A54" s="3751" t="s">
        <v>4933</v>
      </c>
      <c r="B54" s="3752" t="s">
        <v>3442</v>
      </c>
      <c r="C54" s="3752" t="s">
        <v>3444</v>
      </c>
      <c r="D54" s="3753" t="s">
        <v>2205</v>
      </c>
      <c r="E54" s="3753" t="s">
        <v>2206</v>
      </c>
      <c r="F54" s="3857" t="s">
        <v>4358</v>
      </c>
      <c r="G54" s="3755" t="s">
        <v>4977</v>
      </c>
      <c r="H54" s="3756"/>
      <c r="I54" s="3756"/>
      <c r="J54" s="3756"/>
      <c r="K54" s="3929"/>
      <c r="L54" s="3930"/>
      <c r="M54" s="3909"/>
      <c r="N54" s="3858"/>
      <c r="O54" s="3853">
        <f t="shared" si="5"/>
        <v>0</v>
      </c>
      <c r="P54" s="3858"/>
      <c r="Q54" s="3910">
        <f t="shared" si="6"/>
        <v>0</v>
      </c>
      <c r="R54" s="3881"/>
      <c r="S54" s="3761">
        <f>'Abs9. NVBDCP'!Q112</f>
        <v>0</v>
      </c>
      <c r="T54" s="4567"/>
      <c r="U54" s="3876">
        <f>'Abs9. NVBDCP'!R112</f>
        <v>0</v>
      </c>
    </row>
    <row r="55" spans="1:21" ht="33">
      <c r="A55" s="2755" t="s">
        <v>5020</v>
      </c>
      <c r="B55" s="2775" t="s">
        <v>3443</v>
      </c>
      <c r="C55" s="2775" t="s">
        <v>3446</v>
      </c>
      <c r="D55" s="2782" t="s">
        <v>2207</v>
      </c>
      <c r="E55" s="2782" t="s">
        <v>2208</v>
      </c>
      <c r="F55" s="2830" t="s">
        <v>4358</v>
      </c>
      <c r="G55" s="2783" t="s">
        <v>4979</v>
      </c>
      <c r="H55" s="2780"/>
      <c r="I55" s="2780"/>
      <c r="J55" s="2780"/>
      <c r="K55" s="2794"/>
      <c r="L55" s="2795"/>
      <c r="M55" s="3346" t="s">
        <v>6111</v>
      </c>
      <c r="N55" s="1589">
        <v>68947</v>
      </c>
      <c r="O55" s="1458">
        <f t="shared" si="5"/>
        <v>0.68947000000000003</v>
      </c>
      <c r="P55" s="1589">
        <v>38</v>
      </c>
      <c r="Q55" s="3345">
        <f t="shared" si="6"/>
        <v>26.199860000000001</v>
      </c>
      <c r="R55" s="3347" t="s">
        <v>6145</v>
      </c>
      <c r="S55" s="1639">
        <f>'Abs9. NVBDCP'!Q113</f>
        <v>0</v>
      </c>
      <c r="T55" s="4567"/>
      <c r="U55" s="2800">
        <f>'Abs9. NVBDCP'!R113</f>
        <v>0</v>
      </c>
    </row>
    <row r="56" spans="1:21" ht="33">
      <c r="A56" s="2755" t="s">
        <v>5021</v>
      </c>
      <c r="B56" s="2775" t="s">
        <v>3445</v>
      </c>
      <c r="C56" s="2775" t="s">
        <v>3448</v>
      </c>
      <c r="D56" s="2798" t="s">
        <v>2209</v>
      </c>
      <c r="E56" s="2798" t="s">
        <v>2210</v>
      </c>
      <c r="F56" s="2830" t="s">
        <v>4358</v>
      </c>
      <c r="G56" s="2783" t="s">
        <v>4980</v>
      </c>
      <c r="H56" s="2780"/>
      <c r="I56" s="2780"/>
      <c r="J56" s="2780"/>
      <c r="K56" s="2780"/>
      <c r="L56" s="2784"/>
      <c r="M56" s="3346" t="s">
        <v>6144</v>
      </c>
      <c r="N56" s="1589">
        <v>2000000</v>
      </c>
      <c r="O56" s="1458">
        <f t="shared" si="5"/>
        <v>20</v>
      </c>
      <c r="P56" s="1589">
        <v>1</v>
      </c>
      <c r="Q56" s="3345">
        <f t="shared" ref="Q56:Q63" si="7">O56*P56</f>
        <v>20</v>
      </c>
      <c r="R56" s="3348" t="s">
        <v>6146</v>
      </c>
      <c r="S56" s="1639">
        <f>'Abs9. NVBDCP'!Q114</f>
        <v>0</v>
      </c>
      <c r="T56" s="4567"/>
      <c r="U56" s="2800">
        <f>'Abs9. NVBDCP'!R114</f>
        <v>0</v>
      </c>
    </row>
    <row r="57" spans="1:21" ht="33">
      <c r="A57" s="2755" t="s">
        <v>5022</v>
      </c>
      <c r="B57" s="2775" t="s">
        <v>3447</v>
      </c>
      <c r="C57" s="2775" t="s">
        <v>3450</v>
      </c>
      <c r="D57" s="2798" t="s">
        <v>1543</v>
      </c>
      <c r="E57" s="2798" t="s">
        <v>2211</v>
      </c>
      <c r="F57" s="2830" t="s">
        <v>4358</v>
      </c>
      <c r="G57" s="2783" t="s">
        <v>4981</v>
      </c>
      <c r="H57" s="2780"/>
      <c r="I57" s="2780"/>
      <c r="J57" s="2780"/>
      <c r="K57" s="2780"/>
      <c r="L57" s="2784"/>
      <c r="M57" s="3349" t="s">
        <v>6705</v>
      </c>
      <c r="N57" s="1589">
        <v>1390000</v>
      </c>
      <c r="O57" s="1458">
        <f t="shared" si="5"/>
        <v>13.9</v>
      </c>
      <c r="P57" s="1589">
        <v>1</v>
      </c>
      <c r="Q57" s="3345">
        <f t="shared" si="7"/>
        <v>13.9</v>
      </c>
      <c r="R57" s="3349" t="s">
        <v>6705</v>
      </c>
      <c r="S57" s="1639">
        <f>'Abs9. NVBDCP'!Q115</f>
        <v>0</v>
      </c>
      <c r="T57" s="4567"/>
      <c r="U57" s="2800">
        <f>'Abs9. NVBDCP'!R115</f>
        <v>0</v>
      </c>
    </row>
    <row r="58" spans="1:21" s="3763" customFormat="1" ht="214.5">
      <c r="A58" s="3751" t="s">
        <v>5179</v>
      </c>
      <c r="B58" s="3752" t="s">
        <v>3449</v>
      </c>
      <c r="C58" s="3752" t="s">
        <v>3452</v>
      </c>
      <c r="D58" s="3908" t="s">
        <v>2212</v>
      </c>
      <c r="E58" s="3908" t="s">
        <v>2213</v>
      </c>
      <c r="F58" s="3857" t="s">
        <v>4358</v>
      </c>
      <c r="G58" s="3755" t="s">
        <v>4982</v>
      </c>
      <c r="H58" s="3756"/>
      <c r="I58" s="3756"/>
      <c r="J58" s="3756"/>
      <c r="K58" s="3756"/>
      <c r="L58" s="3874"/>
      <c r="M58" s="4035" t="s">
        <v>6147</v>
      </c>
      <c r="N58" s="4035">
        <v>131083</v>
      </c>
      <c r="O58" s="3853">
        <f t="shared" si="5"/>
        <v>1.3108299999999999</v>
      </c>
      <c r="P58" s="3858">
        <v>421</v>
      </c>
      <c r="Q58" s="3910">
        <f t="shared" si="7"/>
        <v>551.85942999999997</v>
      </c>
      <c r="R58" s="4036" t="s">
        <v>6900</v>
      </c>
      <c r="S58" s="3761">
        <f>'Abs9. NVBDCP'!Q116</f>
        <v>0</v>
      </c>
      <c r="T58" s="4567"/>
      <c r="U58" s="3876">
        <f>'Abs9. NVBDCP'!R116</f>
        <v>0</v>
      </c>
    </row>
    <row r="59" spans="1:21">
      <c r="A59" s="2755" t="s">
        <v>5023</v>
      </c>
      <c r="B59" s="2775" t="s">
        <v>3451</v>
      </c>
      <c r="C59" s="2775" t="s">
        <v>3454</v>
      </c>
      <c r="D59" s="2802"/>
      <c r="E59" s="2798" t="s">
        <v>2216</v>
      </c>
      <c r="F59" s="2830" t="s">
        <v>4358</v>
      </c>
      <c r="G59" s="2783" t="s">
        <v>3671</v>
      </c>
      <c r="H59" s="2780"/>
      <c r="I59" s="2780"/>
      <c r="J59" s="2780"/>
      <c r="K59" s="2780"/>
      <c r="L59" s="2784"/>
      <c r="M59" s="3344"/>
      <c r="N59" s="3351"/>
      <c r="O59" s="1458">
        <f t="shared" si="5"/>
        <v>0</v>
      </c>
      <c r="P59" s="1589"/>
      <c r="Q59" s="3345">
        <f t="shared" si="7"/>
        <v>0</v>
      </c>
      <c r="R59" s="3352"/>
      <c r="S59" s="1639">
        <f>'Abs9. NVBDCP'!Q117</f>
        <v>0</v>
      </c>
      <c r="T59" s="4567"/>
      <c r="U59" s="2800">
        <f>'Abs9. NVBDCP'!R117</f>
        <v>0</v>
      </c>
    </row>
    <row r="60" spans="1:21">
      <c r="A60" s="2755" t="s">
        <v>5024</v>
      </c>
      <c r="B60" s="2775" t="s">
        <v>3453</v>
      </c>
      <c r="C60" s="2775" t="s">
        <v>3456</v>
      </c>
      <c r="D60" s="2840" t="s">
        <v>2217</v>
      </c>
      <c r="E60" s="2798" t="s">
        <v>1116</v>
      </c>
      <c r="F60" s="2799" t="s">
        <v>85</v>
      </c>
      <c r="G60" s="2783" t="s">
        <v>3675</v>
      </c>
      <c r="H60" s="2780">
        <v>1</v>
      </c>
      <c r="I60" s="2780">
        <v>1</v>
      </c>
      <c r="J60" s="2780">
        <v>5</v>
      </c>
      <c r="K60" s="2780">
        <v>0</v>
      </c>
      <c r="L60" s="2780">
        <v>0</v>
      </c>
      <c r="M60" s="3346"/>
      <c r="N60" s="1589"/>
      <c r="O60" s="1458">
        <f t="shared" si="5"/>
        <v>0</v>
      </c>
      <c r="P60" s="1589"/>
      <c r="Q60" s="3345">
        <f t="shared" si="7"/>
        <v>0</v>
      </c>
      <c r="R60" s="3342"/>
      <c r="S60" s="1639">
        <f>'Abs19. NPCDCS'!Q62</f>
        <v>0</v>
      </c>
      <c r="T60" s="4567"/>
      <c r="U60" s="2827">
        <f>'Abs19. NPCDCS'!R62</f>
        <v>0</v>
      </c>
    </row>
    <row r="61" spans="1:21" s="3763" customFormat="1" ht="66">
      <c r="A61" s="3751" t="s">
        <v>4855</v>
      </c>
      <c r="B61" s="3752" t="s">
        <v>3455</v>
      </c>
      <c r="C61" s="3752" t="s">
        <v>3458</v>
      </c>
      <c r="D61" s="3907" t="s">
        <v>2218</v>
      </c>
      <c r="E61" s="3908" t="s">
        <v>1119</v>
      </c>
      <c r="F61" s="3754" t="s">
        <v>85</v>
      </c>
      <c r="G61" s="3755" t="s">
        <v>3675</v>
      </c>
      <c r="H61" s="3756">
        <v>38</v>
      </c>
      <c r="I61" s="3756">
        <v>38</v>
      </c>
      <c r="J61" s="3756">
        <v>114</v>
      </c>
      <c r="K61" s="3756">
        <v>0</v>
      </c>
      <c r="L61" s="3756">
        <v>3.4858600000000002</v>
      </c>
      <c r="M61" s="3909">
        <v>38</v>
      </c>
      <c r="N61" s="3858">
        <v>300000</v>
      </c>
      <c r="O61" s="3853">
        <f t="shared" si="5"/>
        <v>3</v>
      </c>
      <c r="P61" s="3858">
        <v>38</v>
      </c>
      <c r="Q61" s="3910">
        <f t="shared" si="7"/>
        <v>114</v>
      </c>
      <c r="R61" s="3911" t="s">
        <v>6841</v>
      </c>
      <c r="S61" s="3761">
        <f>'Abs19. NPCDCS'!Q63</f>
        <v>0</v>
      </c>
      <c r="T61" s="4567"/>
      <c r="U61" s="3876">
        <f>'Abs19. NPCDCS'!R63</f>
        <v>0</v>
      </c>
    </row>
    <row r="62" spans="1:21" ht="181.5">
      <c r="A62" s="2755" t="s">
        <v>5025</v>
      </c>
      <c r="B62" s="2775" t="s">
        <v>3457</v>
      </c>
      <c r="C62" s="2775" t="s">
        <v>3459</v>
      </c>
      <c r="D62" s="2798" t="s">
        <v>2214</v>
      </c>
      <c r="E62" s="2798" t="s">
        <v>2215</v>
      </c>
      <c r="F62" s="2830" t="s">
        <v>4358</v>
      </c>
      <c r="G62" s="2783" t="s">
        <v>4673</v>
      </c>
      <c r="H62" s="2780"/>
      <c r="I62" s="2780"/>
      <c r="J62" s="2839">
        <v>32.22</v>
      </c>
      <c r="K62" s="2844">
        <v>4.1500000000000004</v>
      </c>
      <c r="L62" s="2844"/>
      <c r="M62" s="3346" t="s">
        <v>6057</v>
      </c>
      <c r="N62" s="1589">
        <v>6998000</v>
      </c>
      <c r="O62" s="1458">
        <f t="shared" si="5"/>
        <v>69.98</v>
      </c>
      <c r="P62" s="1589">
        <v>1</v>
      </c>
      <c r="Q62" s="3345">
        <f t="shared" si="7"/>
        <v>69.98</v>
      </c>
      <c r="R62" s="3348" t="s">
        <v>6058</v>
      </c>
      <c r="S62" s="1639">
        <f>'Abs11. NTEP'!Q58</f>
        <v>0</v>
      </c>
      <c r="T62" s="4567"/>
      <c r="U62" s="2800">
        <f>'Abs11. NTEP'!R58</f>
        <v>0</v>
      </c>
    </row>
    <row r="63" spans="1:21">
      <c r="A63" s="2755" t="s">
        <v>4825</v>
      </c>
      <c r="B63" s="2775" t="s">
        <v>3460</v>
      </c>
      <c r="C63" s="2775" t="s">
        <v>3462</v>
      </c>
      <c r="D63" s="2801"/>
      <c r="E63" s="2798" t="s">
        <v>3816</v>
      </c>
      <c r="F63" s="2830" t="s">
        <v>4358</v>
      </c>
      <c r="G63" s="2783" t="s">
        <v>3671</v>
      </c>
      <c r="H63" s="2780"/>
      <c r="I63" s="2780"/>
      <c r="J63" s="2780"/>
      <c r="K63" s="2780"/>
      <c r="L63" s="2784"/>
      <c r="M63" s="2790"/>
      <c r="N63" s="2791"/>
      <c r="O63" s="1412">
        <f t="shared" si="5"/>
        <v>0</v>
      </c>
      <c r="P63" s="1418"/>
      <c r="Q63" s="2785">
        <f t="shared" si="7"/>
        <v>0</v>
      </c>
      <c r="R63" s="2792"/>
      <c r="S63" s="1639">
        <f>'Abs9. NVBDCP'!Q118</f>
        <v>0</v>
      </c>
      <c r="T63" s="4567"/>
      <c r="U63" s="2800">
        <f>'Abs9. NVBDCP'!R118</f>
        <v>0</v>
      </c>
    </row>
    <row r="64" spans="1:21" ht="49.5">
      <c r="A64" s="2755" t="s">
        <v>5026</v>
      </c>
      <c r="B64" s="2775" t="s">
        <v>3461</v>
      </c>
      <c r="C64" s="2775"/>
      <c r="D64" s="2801"/>
      <c r="E64" s="2798" t="s">
        <v>3997</v>
      </c>
      <c r="F64" s="2830" t="s">
        <v>4358</v>
      </c>
      <c r="G64" s="2783" t="s">
        <v>3998</v>
      </c>
      <c r="H64" s="2780"/>
      <c r="I64" s="2780"/>
      <c r="J64" s="2780"/>
      <c r="K64" s="2780"/>
      <c r="L64" s="2784"/>
      <c r="M64" s="2780" t="s">
        <v>6084</v>
      </c>
      <c r="N64" s="2845">
        <v>359000</v>
      </c>
      <c r="O64" s="1412">
        <f t="shared" si="5"/>
        <v>3.59</v>
      </c>
      <c r="P64" s="1418">
        <v>1</v>
      </c>
      <c r="Q64" s="2785">
        <f>O64*P64</f>
        <v>3.59</v>
      </c>
      <c r="R64" s="2832" t="s">
        <v>6559</v>
      </c>
      <c r="S64" s="1639">
        <f>'Abs13. NRCP'!Q16</f>
        <v>0</v>
      </c>
      <c r="T64" s="4567"/>
      <c r="U64" s="2827">
        <f>'Abs13. NRCP'!R16</f>
        <v>0</v>
      </c>
    </row>
    <row r="65" spans="1:21" s="2836" customFormat="1" ht="33">
      <c r="A65" s="2745" t="s">
        <v>5027</v>
      </c>
      <c r="B65" s="2775" t="s">
        <v>3996</v>
      </c>
      <c r="C65" s="2775"/>
      <c r="D65" s="2801"/>
      <c r="E65" s="2833" t="s">
        <v>4463</v>
      </c>
      <c r="F65" s="2464" t="s">
        <v>70</v>
      </c>
      <c r="G65" s="2834" t="s">
        <v>3331</v>
      </c>
      <c r="H65" s="2804"/>
      <c r="I65" s="2804"/>
      <c r="J65" s="2804"/>
      <c r="K65" s="2804"/>
      <c r="L65" s="2824"/>
      <c r="M65" s="2807"/>
      <c r="N65" s="2791"/>
      <c r="O65" s="1412">
        <f t="shared" si="5"/>
        <v>0</v>
      </c>
      <c r="P65" s="1418"/>
      <c r="Q65" s="2808">
        <f>O65*P65</f>
        <v>0</v>
      </c>
      <c r="R65" s="2835"/>
      <c r="S65" s="1591"/>
      <c r="T65" s="4567"/>
      <c r="U65" s="2787"/>
    </row>
    <row r="66" spans="1:21">
      <c r="A66" s="2755" t="s">
        <v>5028</v>
      </c>
      <c r="B66" s="2775" t="s">
        <v>4462</v>
      </c>
      <c r="C66" s="2775" t="s">
        <v>3462</v>
      </c>
      <c r="D66" s="2801"/>
      <c r="E66" s="2833" t="s">
        <v>307</v>
      </c>
      <c r="F66" s="2464" t="s">
        <v>70</v>
      </c>
      <c r="G66" s="2834" t="s">
        <v>3331</v>
      </c>
      <c r="H66" s="2804"/>
      <c r="I66" s="2804"/>
      <c r="J66" s="2804"/>
      <c r="K66" s="2804"/>
      <c r="L66" s="2824"/>
      <c r="M66" s="2807"/>
      <c r="N66" s="2791"/>
      <c r="O66" s="1412">
        <f t="shared" si="5"/>
        <v>0</v>
      </c>
      <c r="P66" s="1418"/>
      <c r="Q66" s="1447">
        <f>O66*P66</f>
        <v>0</v>
      </c>
      <c r="R66" s="2846"/>
      <c r="S66" s="1591"/>
      <c r="T66" s="4567"/>
      <c r="U66" s="2787"/>
    </row>
    <row r="67" spans="1:21" ht="22.5" customHeight="1">
      <c r="A67" s="2755" t="s">
        <v>4354</v>
      </c>
      <c r="B67" s="2767" t="s">
        <v>3375</v>
      </c>
      <c r="C67" s="2767">
        <v>16.3</v>
      </c>
      <c r="D67" s="2767"/>
      <c r="E67" s="2767" t="s">
        <v>2219</v>
      </c>
      <c r="F67" s="2847"/>
      <c r="G67" s="2847"/>
      <c r="H67" s="2848"/>
      <c r="I67" s="2848"/>
      <c r="J67" s="2848"/>
      <c r="K67" s="2848"/>
      <c r="L67" s="2849"/>
      <c r="M67" s="2850"/>
      <c r="N67" s="2851"/>
      <c r="O67" s="1392"/>
      <c r="P67" s="2848"/>
      <c r="Q67" s="1392">
        <f>Q68+Q90+Q93+Q110+Q116</f>
        <v>4116.3311366400003</v>
      </c>
      <c r="R67" s="2852"/>
      <c r="S67" s="2773"/>
      <c r="T67" s="4567"/>
      <c r="U67" s="2774">
        <f>U68+U90+U93+U110+U116</f>
        <v>0</v>
      </c>
    </row>
    <row r="68" spans="1:21" ht="38.25" customHeight="1">
      <c r="A68" s="2755">
        <v>1</v>
      </c>
      <c r="B68" s="2775" t="s">
        <v>3463</v>
      </c>
      <c r="C68" s="2775" t="s">
        <v>3464</v>
      </c>
      <c r="D68" s="2775"/>
      <c r="E68" s="2775" t="s">
        <v>2158</v>
      </c>
      <c r="F68" s="2776"/>
      <c r="G68" s="2776"/>
      <c r="H68" s="2777"/>
      <c r="I68" s="2777"/>
      <c r="J68" s="2777"/>
      <c r="K68" s="2777"/>
      <c r="L68" s="2778"/>
      <c r="M68" s="2815"/>
      <c r="N68" s="2816"/>
      <c r="O68" s="1447"/>
      <c r="P68" s="2777"/>
      <c r="Q68" s="1447">
        <f>SUM(Q69:Q85)+Q87+Q89+Q88</f>
        <v>3714.5511566400005</v>
      </c>
      <c r="R68" s="2781"/>
      <c r="S68" s="1639"/>
      <c r="T68" s="4567"/>
      <c r="U68" s="1640">
        <f>SUM(U69:U85)+U87+U89+U88</f>
        <v>0</v>
      </c>
    </row>
    <row r="69" spans="1:21" s="3360" customFormat="1" ht="409.5">
      <c r="A69" s="3354" t="s">
        <v>4931</v>
      </c>
      <c r="B69" s="3355" t="s">
        <v>3465</v>
      </c>
      <c r="C69" s="3355" t="s">
        <v>3466</v>
      </c>
      <c r="D69" s="3356" t="s">
        <v>2221</v>
      </c>
      <c r="E69" s="3356" t="s">
        <v>2222</v>
      </c>
      <c r="F69" s="1357" t="s">
        <v>70</v>
      </c>
      <c r="G69" s="3357" t="s">
        <v>3676</v>
      </c>
      <c r="H69" s="3346"/>
      <c r="I69" s="3346"/>
      <c r="J69" s="3346"/>
      <c r="K69" s="3346"/>
      <c r="L69" s="3358"/>
      <c r="M69" s="3350" t="s">
        <v>6065</v>
      </c>
      <c r="N69" s="3350">
        <f>305216000/12</f>
        <v>25434666.666666668</v>
      </c>
      <c r="O69" s="1458">
        <f t="shared" ref="O69:O84" si="8">N69/100000</f>
        <v>254.34666666666669</v>
      </c>
      <c r="P69" s="3349">
        <v>12</v>
      </c>
      <c r="Q69" s="3345">
        <f t="shared" ref="Q69:Q78" si="9">O69*P69</f>
        <v>3052.1600000000003</v>
      </c>
      <c r="R69" s="3348" t="s">
        <v>6753</v>
      </c>
      <c r="S69" s="1491"/>
      <c r="T69" s="4567"/>
      <c r="U69" s="3359"/>
    </row>
    <row r="70" spans="1:21" ht="33">
      <c r="A70" s="2755" t="s">
        <v>4932</v>
      </c>
      <c r="B70" s="2775" t="s">
        <v>3467</v>
      </c>
      <c r="C70" s="2775" t="s">
        <v>3468</v>
      </c>
      <c r="D70" s="2782" t="s">
        <v>93</v>
      </c>
      <c r="E70" s="2782" t="s">
        <v>3120</v>
      </c>
      <c r="F70" s="2853" t="s">
        <v>90</v>
      </c>
      <c r="G70" s="2783" t="s">
        <v>3668</v>
      </c>
      <c r="H70" s="2780"/>
      <c r="I70" s="2780"/>
      <c r="J70" s="2780"/>
      <c r="K70" s="2780"/>
      <c r="L70" s="2784"/>
      <c r="M70" s="2790"/>
      <c r="N70" s="2791"/>
      <c r="O70" s="1412">
        <f t="shared" si="8"/>
        <v>0</v>
      </c>
      <c r="P70" s="1418"/>
      <c r="Q70" s="2785">
        <f t="shared" si="9"/>
        <v>0</v>
      </c>
      <c r="R70" s="2792"/>
      <c r="S70" s="1639">
        <f>'Ab1. RMNCH+A'!Q465</f>
        <v>0</v>
      </c>
      <c r="T70" s="4567"/>
      <c r="U70" s="2793">
        <f>'Ab1. RMNCH+A'!R465</f>
        <v>0</v>
      </c>
    </row>
    <row r="71" spans="1:21" ht="33">
      <c r="A71" s="2755" t="s">
        <v>4815</v>
      </c>
      <c r="B71" s="2775" t="s">
        <v>3469</v>
      </c>
      <c r="C71" s="2775" t="s">
        <v>3470</v>
      </c>
      <c r="D71" s="2782" t="s">
        <v>2223</v>
      </c>
      <c r="E71" s="2782" t="s">
        <v>2224</v>
      </c>
      <c r="F71" s="2464" t="s">
        <v>70</v>
      </c>
      <c r="G71" s="2783" t="s">
        <v>3331</v>
      </c>
      <c r="H71" s="2780"/>
      <c r="I71" s="2780"/>
      <c r="J71" s="2780"/>
      <c r="K71" s="2854"/>
      <c r="L71" s="2855"/>
      <c r="M71" s="2790"/>
      <c r="N71" s="2791"/>
      <c r="O71" s="1412">
        <f t="shared" si="8"/>
        <v>0</v>
      </c>
      <c r="P71" s="1418"/>
      <c r="Q71" s="2785">
        <f t="shared" si="9"/>
        <v>0</v>
      </c>
      <c r="R71" s="2792"/>
      <c r="S71" s="1591"/>
      <c r="T71" s="4567"/>
      <c r="U71" s="2787"/>
    </row>
    <row r="72" spans="1:21" s="3763" customFormat="1" ht="199.5" customHeight="1">
      <c r="A72" s="3751" t="s">
        <v>4934</v>
      </c>
      <c r="B72" s="3752" t="s">
        <v>3471</v>
      </c>
      <c r="C72" s="3752" t="s">
        <v>3472</v>
      </c>
      <c r="D72" s="3753" t="s">
        <v>2225</v>
      </c>
      <c r="E72" s="3753" t="s">
        <v>2226</v>
      </c>
      <c r="F72" s="3767" t="s">
        <v>70</v>
      </c>
      <c r="G72" s="3755" t="s">
        <v>3669</v>
      </c>
      <c r="H72" s="3756"/>
      <c r="I72" s="3756"/>
      <c r="J72" s="3756"/>
      <c r="K72" s="3756"/>
      <c r="L72" s="3874"/>
      <c r="M72" s="3949" t="s">
        <v>6079</v>
      </c>
      <c r="N72" s="3949">
        <v>17751400</v>
      </c>
      <c r="O72" s="3758">
        <f t="shared" si="8"/>
        <v>177.51400000000001</v>
      </c>
      <c r="P72" s="3757">
        <v>1</v>
      </c>
      <c r="Q72" s="3759">
        <f t="shared" si="9"/>
        <v>177.51400000000001</v>
      </c>
      <c r="R72" s="3760" t="s">
        <v>6870</v>
      </c>
      <c r="S72" s="3761">
        <f>'Ab3. ASHA'!Q105</f>
        <v>0</v>
      </c>
      <c r="T72" s="4567"/>
      <c r="U72" s="3762">
        <f>'Ab3. ASHA'!R105</f>
        <v>0</v>
      </c>
    </row>
    <row r="73" spans="1:21" ht="181.5">
      <c r="A73" s="2755" t="s">
        <v>4933</v>
      </c>
      <c r="B73" s="2775" t="s">
        <v>3473</v>
      </c>
      <c r="C73" s="2775" t="s">
        <v>3474</v>
      </c>
      <c r="D73" s="2782" t="s">
        <v>2227</v>
      </c>
      <c r="E73" s="2782" t="s">
        <v>4365</v>
      </c>
      <c r="F73" s="2853" t="s">
        <v>90</v>
      </c>
      <c r="G73" s="2783" t="s">
        <v>4366</v>
      </c>
      <c r="H73" s="2780"/>
      <c r="I73" s="2780"/>
      <c r="J73" s="2780">
        <v>5.4</v>
      </c>
      <c r="K73" s="2794"/>
      <c r="L73" s="2794"/>
      <c r="M73" s="2779" t="s">
        <v>5885</v>
      </c>
      <c r="N73" s="1418">
        <f>540000+1296000</f>
        <v>1836000</v>
      </c>
      <c r="O73" s="1412">
        <f t="shared" si="8"/>
        <v>18.36</v>
      </c>
      <c r="P73" s="1418">
        <v>1</v>
      </c>
      <c r="Q73" s="2785">
        <f t="shared" si="9"/>
        <v>18.36</v>
      </c>
      <c r="R73" s="2797" t="s">
        <v>6217</v>
      </c>
      <c r="S73" s="2856">
        <f>'Ab1. RMNCH+A'!Q466</f>
        <v>0</v>
      </c>
      <c r="T73" s="4567"/>
      <c r="U73" s="2793">
        <f>'Ab1. RMNCH+A'!R466</f>
        <v>0</v>
      </c>
    </row>
    <row r="74" spans="1:21" s="3690" customFormat="1" ht="49.5">
      <c r="A74" s="3676" t="s">
        <v>5020</v>
      </c>
      <c r="B74" s="3677" t="s">
        <v>3475</v>
      </c>
      <c r="C74" s="3677" t="s">
        <v>3476</v>
      </c>
      <c r="D74" s="3679" t="s">
        <v>2136</v>
      </c>
      <c r="E74" s="3679" t="s">
        <v>2228</v>
      </c>
      <c r="F74" s="3712" t="s">
        <v>90</v>
      </c>
      <c r="G74" s="3681" t="s">
        <v>3664</v>
      </c>
      <c r="H74" s="3682"/>
      <c r="I74" s="3682"/>
      <c r="J74" s="3682">
        <v>51.6</v>
      </c>
      <c r="K74" s="3713"/>
      <c r="L74" s="3713"/>
      <c r="M74" s="3714" t="s">
        <v>5886</v>
      </c>
      <c r="N74" s="3685">
        <v>10636.362999999999</v>
      </c>
      <c r="O74" s="3686">
        <f t="shared" si="8"/>
        <v>0.10636363</v>
      </c>
      <c r="P74" s="3715">
        <f>44*12</f>
        <v>528</v>
      </c>
      <c r="Q74" s="3708">
        <f t="shared" si="9"/>
        <v>56.159996640000003</v>
      </c>
      <c r="R74" s="3687" t="s">
        <v>5887</v>
      </c>
      <c r="S74" s="3688">
        <f>'Ab1. RMNCH+A'!Q467</f>
        <v>0</v>
      </c>
      <c r="T74" s="4567"/>
      <c r="U74" s="3716">
        <f>'Ab1. RMNCH+A'!R467</f>
        <v>0</v>
      </c>
    </row>
    <row r="75" spans="1:21" ht="66">
      <c r="A75" s="2755" t="s">
        <v>5021</v>
      </c>
      <c r="B75" s="2775" t="s">
        <v>3477</v>
      </c>
      <c r="C75" s="2775" t="s">
        <v>3478</v>
      </c>
      <c r="D75" s="2782" t="s">
        <v>2229</v>
      </c>
      <c r="E75" s="2782" t="s">
        <v>2230</v>
      </c>
      <c r="F75" s="2830" t="s">
        <v>4358</v>
      </c>
      <c r="G75" s="2783" t="s">
        <v>3670</v>
      </c>
      <c r="H75" s="2780"/>
      <c r="I75" s="2780"/>
      <c r="J75" s="2780"/>
      <c r="K75" s="2780"/>
      <c r="L75" s="2784"/>
      <c r="M75" s="2780" t="s">
        <v>6085</v>
      </c>
      <c r="N75" s="2831">
        <v>57000</v>
      </c>
      <c r="O75" s="1412">
        <f t="shared" si="8"/>
        <v>0.56999999999999995</v>
      </c>
      <c r="P75" s="1418">
        <v>1</v>
      </c>
      <c r="Q75" s="2785">
        <f t="shared" si="9"/>
        <v>0.56999999999999995</v>
      </c>
      <c r="R75" s="2832" t="s">
        <v>6086</v>
      </c>
      <c r="S75" s="1639">
        <f>'Abs8. IDSP'!Q31</f>
        <v>0</v>
      </c>
      <c r="T75" s="4567"/>
      <c r="U75" s="2827">
        <f>'Abs8. IDSP'!R31</f>
        <v>0</v>
      </c>
    </row>
    <row r="76" spans="1:21" s="3763" customFormat="1" ht="217.5" customHeight="1">
      <c r="A76" s="3751" t="s">
        <v>5022</v>
      </c>
      <c r="B76" s="3752" t="s">
        <v>3479</v>
      </c>
      <c r="C76" s="3752" t="s">
        <v>3480</v>
      </c>
      <c r="D76" s="3753" t="s">
        <v>2205</v>
      </c>
      <c r="E76" s="3753" t="s">
        <v>2231</v>
      </c>
      <c r="F76" s="3857" t="s">
        <v>4358</v>
      </c>
      <c r="G76" s="3755" t="s">
        <v>4977</v>
      </c>
      <c r="H76" s="3756"/>
      <c r="I76" s="3756"/>
      <c r="J76" s="3756"/>
      <c r="K76" s="3929"/>
      <c r="L76" s="3930"/>
      <c r="M76" s="4038" t="s">
        <v>6905</v>
      </c>
      <c r="N76" s="4039">
        <v>111282</v>
      </c>
      <c r="O76" s="3758">
        <f t="shared" si="8"/>
        <v>1.1128199999999999</v>
      </c>
      <c r="P76" s="3757">
        <v>38</v>
      </c>
      <c r="Q76" s="3759">
        <f t="shared" si="9"/>
        <v>42.28716</v>
      </c>
      <c r="R76" s="4042" t="s">
        <v>6906</v>
      </c>
      <c r="S76" s="3761">
        <f>'Abs9. NVBDCP'!Q119</f>
        <v>0</v>
      </c>
      <c r="T76" s="4567"/>
      <c r="U76" s="3876">
        <f>'Abs9. NVBDCP'!R119</f>
        <v>0</v>
      </c>
    </row>
    <row r="77" spans="1:21" ht="33">
      <c r="A77" s="2755" t="s">
        <v>5179</v>
      </c>
      <c r="B77" s="2775" t="s">
        <v>3481</v>
      </c>
      <c r="C77" s="2775" t="s">
        <v>3482</v>
      </c>
      <c r="D77" s="2782" t="s">
        <v>1543</v>
      </c>
      <c r="E77" s="2782" t="s">
        <v>2232</v>
      </c>
      <c r="F77" s="2830" t="s">
        <v>4358</v>
      </c>
      <c r="G77" s="2783" t="s">
        <v>4981</v>
      </c>
      <c r="H77" s="2780"/>
      <c r="I77" s="2780"/>
      <c r="J77" s="2780"/>
      <c r="K77" s="2780"/>
      <c r="L77" s="2784"/>
      <c r="M77" s="2829" t="s">
        <v>2908</v>
      </c>
      <c r="N77" s="1418">
        <v>3010000</v>
      </c>
      <c r="O77" s="1412">
        <f t="shared" si="8"/>
        <v>30.1</v>
      </c>
      <c r="P77" s="1418">
        <v>1</v>
      </c>
      <c r="Q77" s="2785">
        <f t="shared" si="9"/>
        <v>30.1</v>
      </c>
      <c r="R77" s="2858" t="s">
        <v>2908</v>
      </c>
      <c r="S77" s="1639">
        <f>'Abs9. NVBDCP'!Q120</f>
        <v>0</v>
      </c>
      <c r="T77" s="4567"/>
      <c r="U77" s="2800">
        <f>'Abs9. NVBDCP'!R120</f>
        <v>0</v>
      </c>
    </row>
    <row r="78" spans="1:21" ht="33">
      <c r="A78" s="2755" t="s">
        <v>5023</v>
      </c>
      <c r="B78" s="2775" t="s">
        <v>3483</v>
      </c>
      <c r="C78" s="2775" t="s">
        <v>3484</v>
      </c>
      <c r="D78" s="2782" t="s">
        <v>2233</v>
      </c>
      <c r="E78" s="2782" t="s">
        <v>2234</v>
      </c>
      <c r="F78" s="2830" t="s">
        <v>4358</v>
      </c>
      <c r="G78" s="2783" t="s">
        <v>4978</v>
      </c>
      <c r="H78" s="2780"/>
      <c r="I78" s="2780"/>
      <c r="J78" s="2780"/>
      <c r="K78" s="2780"/>
      <c r="L78" s="2784"/>
      <c r="M78" s="2790"/>
      <c r="N78" s="2791"/>
      <c r="O78" s="1412">
        <f t="shared" si="8"/>
        <v>0</v>
      </c>
      <c r="P78" s="1418"/>
      <c r="Q78" s="2785">
        <f t="shared" si="9"/>
        <v>0</v>
      </c>
      <c r="R78" s="2792"/>
      <c r="S78" s="1639">
        <f>'Abs9. NVBDCP'!Q121</f>
        <v>0</v>
      </c>
      <c r="T78" s="4567"/>
      <c r="U78" s="2800">
        <f>'Abs9. NVBDCP'!R121</f>
        <v>0</v>
      </c>
    </row>
    <row r="79" spans="1:21" ht="33">
      <c r="A79" s="2755" t="s">
        <v>5024</v>
      </c>
      <c r="B79" s="2775" t="s">
        <v>3485</v>
      </c>
      <c r="C79" s="2775" t="s">
        <v>3486</v>
      </c>
      <c r="D79" s="2782" t="s">
        <v>2235</v>
      </c>
      <c r="E79" s="2782" t="s">
        <v>2236</v>
      </c>
      <c r="F79" s="2830" t="s">
        <v>4358</v>
      </c>
      <c r="G79" s="2783" t="s">
        <v>3672</v>
      </c>
      <c r="H79" s="2780"/>
      <c r="I79" s="2779"/>
      <c r="J79" s="2779"/>
      <c r="K79" s="2779"/>
      <c r="L79" s="2837"/>
      <c r="M79" s="2779">
        <v>1</v>
      </c>
      <c r="N79" s="1418">
        <v>80000</v>
      </c>
      <c r="O79" s="1412">
        <f t="shared" si="8"/>
        <v>0.8</v>
      </c>
      <c r="P79" s="1418">
        <v>1</v>
      </c>
      <c r="Q79" s="1412">
        <f t="shared" ref="Q79:Q84" si="10">O79*P79</f>
        <v>0.8</v>
      </c>
      <c r="R79" s="2797" t="s">
        <v>6286</v>
      </c>
      <c r="S79" s="1639">
        <f>'Abs10. NLEP'!Q38</f>
        <v>0</v>
      </c>
      <c r="T79" s="4567"/>
      <c r="U79" s="2800">
        <f>'Abs10. NLEP'!R38</f>
        <v>0</v>
      </c>
    </row>
    <row r="80" spans="1:21">
      <c r="A80" s="2755" t="s">
        <v>4855</v>
      </c>
      <c r="B80" s="2775" t="s">
        <v>3487</v>
      </c>
      <c r="C80" s="2775" t="s">
        <v>3488</v>
      </c>
      <c r="D80" s="2782" t="s">
        <v>2237</v>
      </c>
      <c r="E80" s="2782" t="s">
        <v>2238</v>
      </c>
      <c r="F80" s="2830" t="s">
        <v>4358</v>
      </c>
      <c r="G80" s="2783" t="s">
        <v>3672</v>
      </c>
      <c r="H80" s="2780"/>
      <c r="I80" s="2779"/>
      <c r="J80" s="2779"/>
      <c r="K80" s="2779"/>
      <c r="L80" s="2837"/>
      <c r="M80" s="2779">
        <v>1</v>
      </c>
      <c r="N80" s="1418">
        <v>200000</v>
      </c>
      <c r="O80" s="1412">
        <f t="shared" si="8"/>
        <v>2</v>
      </c>
      <c r="P80" s="1418">
        <v>2</v>
      </c>
      <c r="Q80" s="1412">
        <f t="shared" si="10"/>
        <v>4</v>
      </c>
      <c r="R80" s="2797" t="s">
        <v>258</v>
      </c>
      <c r="S80" s="1639">
        <f>'Abs10. NLEP'!Q39</f>
        <v>0</v>
      </c>
      <c r="T80" s="4567"/>
      <c r="U80" s="2800">
        <f>'Abs10. NLEP'!R39</f>
        <v>0</v>
      </c>
    </row>
    <row r="81" spans="1:21" s="3763" customFormat="1" ht="66">
      <c r="A81" s="3751" t="s">
        <v>5025</v>
      </c>
      <c r="B81" s="3752" t="s">
        <v>3489</v>
      </c>
      <c r="C81" s="3752" t="s">
        <v>3490</v>
      </c>
      <c r="D81" s="3753" t="s">
        <v>1292</v>
      </c>
      <c r="E81" s="3753" t="s">
        <v>2239</v>
      </c>
      <c r="F81" s="3857" t="s">
        <v>4358</v>
      </c>
      <c r="G81" s="3755" t="s">
        <v>4673</v>
      </c>
      <c r="H81" s="3756"/>
      <c r="I81" s="3756"/>
      <c r="J81" s="3756"/>
      <c r="K81" s="3756"/>
      <c r="L81" s="3874"/>
      <c r="M81" s="3768" t="s">
        <v>6059</v>
      </c>
      <c r="N81" s="3875">
        <v>17840000</v>
      </c>
      <c r="O81" s="3758">
        <f t="shared" si="8"/>
        <v>178.4</v>
      </c>
      <c r="P81" s="3757">
        <v>1</v>
      </c>
      <c r="Q81" s="3759">
        <f t="shared" si="10"/>
        <v>178.4</v>
      </c>
      <c r="R81" s="3760" t="s">
        <v>6060</v>
      </c>
      <c r="S81" s="3761">
        <f>'Abs11. NTEP'!Q59</f>
        <v>0</v>
      </c>
      <c r="T81" s="4567"/>
      <c r="U81" s="3876">
        <f>'Abs11. NTEP'!R59</f>
        <v>0</v>
      </c>
    </row>
    <row r="82" spans="1:21" s="2836" customFormat="1" ht="33">
      <c r="A82" s="2745" t="s">
        <v>4827</v>
      </c>
      <c r="B82" s="2775" t="s">
        <v>3491</v>
      </c>
      <c r="C82" s="2775" t="s">
        <v>3492</v>
      </c>
      <c r="D82" s="2802" t="s">
        <v>1295</v>
      </c>
      <c r="E82" s="2802" t="s">
        <v>1296</v>
      </c>
      <c r="F82" s="1646" t="s">
        <v>4358</v>
      </c>
      <c r="G82" s="2834" t="s">
        <v>4673</v>
      </c>
      <c r="H82" s="2804"/>
      <c r="I82" s="2804"/>
      <c r="J82" s="2804"/>
      <c r="K82" s="2804"/>
      <c r="L82" s="2824"/>
      <c r="M82" s="1444" t="s">
        <v>6059</v>
      </c>
      <c r="N82" s="2803">
        <v>15000000</v>
      </c>
      <c r="O82" s="1447">
        <f t="shared" si="8"/>
        <v>150</v>
      </c>
      <c r="P82" s="2820">
        <v>1</v>
      </c>
      <c r="Q82" s="2808">
        <f t="shared" si="10"/>
        <v>150</v>
      </c>
      <c r="R82" s="2841" t="s">
        <v>6061</v>
      </c>
      <c r="S82" s="3361">
        <f>'Abs11. NTEP'!Q60</f>
        <v>0</v>
      </c>
      <c r="T82" s="4567"/>
      <c r="U82" s="3362">
        <f>'Abs11. NTEP'!R60</f>
        <v>0</v>
      </c>
    </row>
    <row r="83" spans="1:21" ht="33">
      <c r="A83" s="2755" t="s">
        <v>5026</v>
      </c>
      <c r="B83" s="2775" t="s">
        <v>3493</v>
      </c>
      <c r="C83" s="2775" t="s">
        <v>3495</v>
      </c>
      <c r="D83" s="2802"/>
      <c r="E83" s="2782" t="s">
        <v>4983</v>
      </c>
      <c r="F83" s="2830" t="s">
        <v>4358</v>
      </c>
      <c r="G83" s="2783" t="s">
        <v>4977</v>
      </c>
      <c r="H83" s="2780"/>
      <c r="I83" s="2780"/>
      <c r="J83" s="2780"/>
      <c r="K83" s="2780"/>
      <c r="L83" s="2784"/>
      <c r="M83" s="2790"/>
      <c r="N83" s="2791"/>
      <c r="O83" s="1412">
        <f t="shared" si="8"/>
        <v>0</v>
      </c>
      <c r="P83" s="1418"/>
      <c r="Q83" s="2785">
        <f t="shared" si="10"/>
        <v>0</v>
      </c>
      <c r="R83" s="2792"/>
      <c r="S83" s="1639">
        <f>'Abs9. NVBDCP'!Q122</f>
        <v>0</v>
      </c>
      <c r="T83" s="4567"/>
      <c r="U83" s="2800">
        <f>'Abs9. NVBDCP'!R122</f>
        <v>0</v>
      </c>
    </row>
    <row r="84" spans="1:21" ht="33">
      <c r="A84" s="2755" t="s">
        <v>5027</v>
      </c>
      <c r="B84" s="2775" t="s">
        <v>3494</v>
      </c>
      <c r="C84" s="2775" t="s">
        <v>3497</v>
      </c>
      <c r="D84" s="2802"/>
      <c r="E84" s="1454" t="s">
        <v>3661</v>
      </c>
      <c r="F84" s="2830" t="s">
        <v>4358</v>
      </c>
      <c r="G84" s="2783" t="s">
        <v>3338</v>
      </c>
      <c r="H84" s="2780"/>
      <c r="I84" s="2780"/>
      <c r="J84" s="2780"/>
      <c r="K84" s="2780"/>
      <c r="L84" s="2784"/>
      <c r="M84" s="2790" t="s">
        <v>5833</v>
      </c>
      <c r="N84" s="2791">
        <v>35000</v>
      </c>
      <c r="O84" s="1412">
        <f t="shared" si="8"/>
        <v>0.35</v>
      </c>
      <c r="P84" s="1418">
        <v>12</v>
      </c>
      <c r="Q84" s="2785">
        <f t="shared" si="10"/>
        <v>4.1999999999999993</v>
      </c>
      <c r="R84" s="2797" t="s">
        <v>5821</v>
      </c>
      <c r="S84" s="2859">
        <f>'Abs12. NVHCP'!Q42</f>
        <v>0</v>
      </c>
      <c r="T84" s="4567"/>
      <c r="U84" s="2793">
        <f>'Abs12. NVHCP'!R42</f>
        <v>0</v>
      </c>
    </row>
    <row r="85" spans="1:21" s="2836" customFormat="1" ht="26.1" customHeight="1">
      <c r="A85" s="2745" t="s">
        <v>5028</v>
      </c>
      <c r="B85" s="2775" t="s">
        <v>3496</v>
      </c>
      <c r="C85" s="2775" t="s">
        <v>3495</v>
      </c>
      <c r="D85" s="2775" t="s">
        <v>2240</v>
      </c>
      <c r="E85" s="2775" t="s">
        <v>2241</v>
      </c>
      <c r="F85" s="2776"/>
      <c r="G85" s="2776"/>
      <c r="H85" s="2777"/>
      <c r="I85" s="2777"/>
      <c r="J85" s="2777"/>
      <c r="K85" s="2777"/>
      <c r="L85" s="2778"/>
      <c r="M85" s="2815"/>
      <c r="N85" s="2816"/>
      <c r="O85" s="1447"/>
      <c r="P85" s="2777"/>
      <c r="Q85" s="1447">
        <f>Q86</f>
        <v>0</v>
      </c>
      <c r="R85" s="2781"/>
      <c r="S85" s="1639"/>
      <c r="T85" s="4567"/>
      <c r="U85" s="1640">
        <f>U86</f>
        <v>0</v>
      </c>
    </row>
    <row r="86" spans="1:21">
      <c r="A86" s="2755" t="s">
        <v>5180</v>
      </c>
      <c r="B86" s="2775" t="s">
        <v>4613</v>
      </c>
      <c r="C86" s="2775" t="s">
        <v>3499</v>
      </c>
      <c r="D86" s="2782" t="s">
        <v>2242</v>
      </c>
      <c r="E86" s="2782" t="s">
        <v>4003</v>
      </c>
      <c r="F86" s="2799" t="s">
        <v>85</v>
      </c>
      <c r="G86" s="2783" t="s">
        <v>3673</v>
      </c>
      <c r="H86" s="2780"/>
      <c r="I86" s="2780"/>
      <c r="J86" s="2780"/>
      <c r="K86" s="2780"/>
      <c r="L86" s="2784"/>
      <c r="M86" s="1415"/>
      <c r="N86" s="1428"/>
      <c r="O86" s="1412">
        <f>N86/100000</f>
        <v>0</v>
      </c>
      <c r="P86" s="1428"/>
      <c r="Q86" s="2785">
        <f>O86*P86</f>
        <v>0</v>
      </c>
      <c r="R86" s="1462"/>
      <c r="S86" s="1639">
        <f>'Abs18. NTCP'!Q30</f>
        <v>0</v>
      </c>
      <c r="T86" s="4567"/>
      <c r="U86" s="2800">
        <f>'Abs18. NTCP'!R30</f>
        <v>0</v>
      </c>
    </row>
    <row r="87" spans="1:21">
      <c r="A87" s="2755" t="s">
        <v>5029</v>
      </c>
      <c r="B87" s="2775" t="s">
        <v>3498</v>
      </c>
      <c r="C87" s="2775" t="s">
        <v>3500</v>
      </c>
      <c r="D87" s="2782" t="s">
        <v>2243</v>
      </c>
      <c r="E87" s="2782" t="s">
        <v>2244</v>
      </c>
      <c r="F87" s="2799" t="s">
        <v>85</v>
      </c>
      <c r="G87" s="2783" t="s">
        <v>3675</v>
      </c>
      <c r="H87" s="2780">
        <v>1</v>
      </c>
      <c r="I87" s="2780">
        <v>1</v>
      </c>
      <c r="J87" s="2780">
        <v>1</v>
      </c>
      <c r="K87" s="2780">
        <v>0</v>
      </c>
      <c r="L87" s="2780">
        <v>0</v>
      </c>
      <c r="M87" s="2780"/>
      <c r="N87" s="1418"/>
      <c r="O87" s="1412">
        <f>N87/100000</f>
        <v>0</v>
      </c>
      <c r="P87" s="1418"/>
      <c r="Q87" s="2785">
        <f>O87*P87</f>
        <v>0</v>
      </c>
      <c r="R87" s="2797"/>
      <c r="S87" s="1639">
        <f>'Abs19. NPCDCS'!Q65</f>
        <v>0</v>
      </c>
      <c r="T87" s="4567"/>
      <c r="U87" s="2800">
        <f>'Abs19. NPCDCS'!R65</f>
        <v>0</v>
      </c>
    </row>
    <row r="88" spans="1:21" ht="33">
      <c r="A88" s="2755" t="s">
        <v>4826</v>
      </c>
      <c r="B88" s="2775" t="s">
        <v>4492</v>
      </c>
      <c r="C88" s="2775"/>
      <c r="D88" s="2802"/>
      <c r="E88" s="2782" t="s">
        <v>4493</v>
      </c>
      <c r="F88" s="2842" t="s">
        <v>4358</v>
      </c>
      <c r="G88" s="2783" t="s">
        <v>4491</v>
      </c>
      <c r="H88" s="2780"/>
      <c r="I88" s="2780"/>
      <c r="J88" s="2780"/>
      <c r="K88" s="2780"/>
      <c r="L88" s="2784"/>
      <c r="M88" s="2790"/>
      <c r="N88" s="2791"/>
      <c r="O88" s="1412">
        <f>N88/100000</f>
        <v>0</v>
      </c>
      <c r="P88" s="1418"/>
      <c r="Q88" s="2785">
        <f>O88*P88</f>
        <v>0</v>
      </c>
      <c r="R88" s="2792"/>
      <c r="S88" s="1639">
        <f>'Abs14. PPCL'!Q17</f>
        <v>0</v>
      </c>
      <c r="T88" s="4567"/>
      <c r="U88" s="2827">
        <f>'Abs14. PPCL'!R17</f>
        <v>0</v>
      </c>
    </row>
    <row r="89" spans="1:21">
      <c r="A89" s="2755" t="s">
        <v>5030</v>
      </c>
      <c r="B89" s="2775" t="s">
        <v>4614</v>
      </c>
      <c r="C89" s="2775" t="s">
        <v>3501</v>
      </c>
      <c r="D89" s="2802"/>
      <c r="E89" s="2802" t="s">
        <v>307</v>
      </c>
      <c r="F89" s="2464" t="s">
        <v>70</v>
      </c>
      <c r="G89" s="2783" t="s">
        <v>3331</v>
      </c>
      <c r="H89" s="2860"/>
      <c r="I89" s="2804"/>
      <c r="J89" s="2804"/>
      <c r="K89" s="2804"/>
      <c r="L89" s="2824"/>
      <c r="M89" s="2807"/>
      <c r="N89" s="2791"/>
      <c r="O89" s="1412">
        <f>N89/100000</f>
        <v>0</v>
      </c>
      <c r="P89" s="1418"/>
      <c r="Q89" s="2808">
        <f>O89*P89</f>
        <v>0</v>
      </c>
      <c r="R89" s="2835"/>
      <c r="S89" s="1591"/>
      <c r="T89" s="4567"/>
      <c r="U89" s="2787"/>
    </row>
    <row r="90" spans="1:21" ht="12.95" customHeight="1">
      <c r="A90" s="2755">
        <v>2</v>
      </c>
      <c r="B90" s="2775" t="s">
        <v>3502</v>
      </c>
      <c r="C90" s="2775" t="s">
        <v>3503</v>
      </c>
      <c r="D90" s="2775"/>
      <c r="E90" s="2775" t="s">
        <v>2245</v>
      </c>
      <c r="F90" s="2776"/>
      <c r="G90" s="2776"/>
      <c r="H90" s="2777"/>
      <c r="I90" s="2777"/>
      <c r="J90" s="2777"/>
      <c r="K90" s="2777"/>
      <c r="L90" s="2778"/>
      <c r="M90" s="2815"/>
      <c r="N90" s="2816"/>
      <c r="O90" s="1447"/>
      <c r="P90" s="2777"/>
      <c r="Q90" s="1447">
        <f>SUM(Q91:Q92)</f>
        <v>4</v>
      </c>
      <c r="R90" s="2781"/>
      <c r="S90" s="1639"/>
      <c r="T90" s="4567"/>
      <c r="U90" s="1640">
        <f>SUM(U91:U92)</f>
        <v>0</v>
      </c>
    </row>
    <row r="91" spans="1:21" s="3763" customFormat="1" ht="132">
      <c r="A91" s="3751" t="s">
        <v>4931</v>
      </c>
      <c r="B91" s="3752" t="s">
        <v>3504</v>
      </c>
      <c r="C91" s="3752" t="s">
        <v>3505</v>
      </c>
      <c r="D91" s="3753" t="s">
        <v>2246</v>
      </c>
      <c r="E91" s="3753" t="s">
        <v>2247</v>
      </c>
      <c r="F91" s="3857" t="s">
        <v>4358</v>
      </c>
      <c r="G91" s="3755" t="s">
        <v>4977</v>
      </c>
      <c r="H91" s="3756"/>
      <c r="I91" s="3756"/>
      <c r="J91" s="3756"/>
      <c r="K91" s="3756"/>
      <c r="L91" s="3874"/>
      <c r="M91" s="3756">
        <v>1</v>
      </c>
      <c r="N91" s="3757">
        <v>400000</v>
      </c>
      <c r="O91" s="3758">
        <f>N91/100000</f>
        <v>4</v>
      </c>
      <c r="P91" s="3757">
        <v>1</v>
      </c>
      <c r="Q91" s="3759">
        <f>O91*P91</f>
        <v>4</v>
      </c>
      <c r="R91" s="4041" t="s">
        <v>6904</v>
      </c>
      <c r="S91" s="3761">
        <f>'Abs9. NVBDCP'!Q123</f>
        <v>0</v>
      </c>
      <c r="T91" s="4567"/>
      <c r="U91" s="3876">
        <f>'Abs9. NVBDCP'!R123</f>
        <v>0</v>
      </c>
    </row>
    <row r="92" spans="1:21">
      <c r="A92" s="2755" t="s">
        <v>4932</v>
      </c>
      <c r="B92" s="2775" t="s">
        <v>3506</v>
      </c>
      <c r="C92" s="2775" t="s">
        <v>3507</v>
      </c>
      <c r="D92" s="2802"/>
      <c r="E92" s="2802" t="s">
        <v>307</v>
      </c>
      <c r="F92" s="2464" t="s">
        <v>70</v>
      </c>
      <c r="G92" s="2783" t="s">
        <v>3331</v>
      </c>
      <c r="H92" s="2860"/>
      <c r="I92" s="2804"/>
      <c r="J92" s="2804"/>
      <c r="K92" s="2804"/>
      <c r="L92" s="2824"/>
      <c r="M92" s="2807"/>
      <c r="N92" s="2791"/>
      <c r="O92" s="1412">
        <f>N92/100000</f>
        <v>0</v>
      </c>
      <c r="P92" s="1418"/>
      <c r="Q92" s="2808">
        <f>O92*P92</f>
        <v>0</v>
      </c>
      <c r="R92" s="2835"/>
      <c r="S92" s="1591"/>
      <c r="T92" s="4567"/>
      <c r="U92" s="2787"/>
    </row>
    <row r="93" spans="1:21" ht="12.95" customHeight="1">
      <c r="A93" s="2755">
        <v>3</v>
      </c>
      <c r="B93" s="2775" t="s">
        <v>3508</v>
      </c>
      <c r="C93" s="2775" t="s">
        <v>3509</v>
      </c>
      <c r="D93" s="2775"/>
      <c r="E93" s="2775" t="s">
        <v>2248</v>
      </c>
      <c r="F93" s="2776"/>
      <c r="G93" s="2776"/>
      <c r="H93" s="2777"/>
      <c r="I93" s="2777"/>
      <c r="J93" s="2777"/>
      <c r="K93" s="2777"/>
      <c r="L93" s="2778"/>
      <c r="M93" s="2815"/>
      <c r="N93" s="2816"/>
      <c r="O93" s="1447"/>
      <c r="P93" s="2777"/>
      <c r="Q93" s="1447">
        <f>SUM(Q94:Q109)</f>
        <v>397.77997999999997</v>
      </c>
      <c r="R93" s="2781"/>
      <c r="S93" s="1639"/>
      <c r="T93" s="4567"/>
      <c r="U93" s="1640">
        <f>SUM(U94:U109)</f>
        <v>0</v>
      </c>
    </row>
    <row r="94" spans="1:21" ht="49.5">
      <c r="A94" s="2755" t="s">
        <v>4931</v>
      </c>
      <c r="B94" s="2775" t="s">
        <v>3510</v>
      </c>
      <c r="C94" s="2775" t="s">
        <v>3511</v>
      </c>
      <c r="D94" s="2802" t="s">
        <v>1358</v>
      </c>
      <c r="E94" s="2802" t="s">
        <v>2249</v>
      </c>
      <c r="F94" s="2853" t="s">
        <v>90</v>
      </c>
      <c r="G94" s="2834" t="s">
        <v>3667</v>
      </c>
      <c r="H94" s="2804">
        <v>300</v>
      </c>
      <c r="I94" s="2777">
        <v>100</v>
      </c>
      <c r="J94" s="2777">
        <v>3</v>
      </c>
      <c r="K94" s="2777">
        <v>97.67</v>
      </c>
      <c r="L94" s="2777"/>
      <c r="M94" s="2777" t="s">
        <v>6014</v>
      </c>
      <c r="N94" s="1418">
        <v>1000</v>
      </c>
      <c r="O94" s="1412">
        <f t="shared" ref="O94:O109" si="11">N94/100000</f>
        <v>0.01</v>
      </c>
      <c r="P94" s="1418">
        <v>380</v>
      </c>
      <c r="Q94" s="2808">
        <f t="shared" ref="Q94:Q103" si="12">O94*P94</f>
        <v>3.8000000000000003</v>
      </c>
      <c r="R94" s="2809" t="s">
        <v>6015</v>
      </c>
      <c r="S94" s="1639">
        <f>'Ab1. RMNCH+A'!Q468</f>
        <v>0</v>
      </c>
      <c r="T94" s="4567"/>
      <c r="U94" s="2800">
        <f>'Ab1. RMNCH+A'!R468</f>
        <v>0</v>
      </c>
    </row>
    <row r="95" spans="1:21" ht="49.5">
      <c r="A95" s="2755" t="s">
        <v>4932</v>
      </c>
      <c r="B95" s="2775" t="s">
        <v>3512</v>
      </c>
      <c r="C95" s="2775" t="s">
        <v>3513</v>
      </c>
      <c r="D95" s="2802" t="s">
        <v>1359</v>
      </c>
      <c r="E95" s="2802" t="s">
        <v>4117</v>
      </c>
      <c r="F95" s="2853" t="s">
        <v>90</v>
      </c>
      <c r="G95" s="2834" t="s">
        <v>3667</v>
      </c>
      <c r="H95" s="2804">
        <v>50</v>
      </c>
      <c r="I95" s="2777">
        <v>0</v>
      </c>
      <c r="J95" s="2777">
        <v>0.5</v>
      </c>
      <c r="K95" s="2777">
        <v>0</v>
      </c>
      <c r="L95" s="2777"/>
      <c r="M95" s="2777" t="s">
        <v>6014</v>
      </c>
      <c r="N95" s="1418">
        <v>1000</v>
      </c>
      <c r="O95" s="1412">
        <f t="shared" si="11"/>
        <v>0.01</v>
      </c>
      <c r="P95" s="1418">
        <v>76</v>
      </c>
      <c r="Q95" s="2808">
        <f t="shared" si="12"/>
        <v>0.76</v>
      </c>
      <c r="R95" s="2809" t="s">
        <v>6016</v>
      </c>
      <c r="S95" s="1639">
        <f>'Ab1. RMNCH+A'!Q469</f>
        <v>0</v>
      </c>
      <c r="T95" s="4567"/>
      <c r="U95" s="2800">
        <f>'Ab1. RMNCH+A'!R469</f>
        <v>0</v>
      </c>
    </row>
    <row r="96" spans="1:21" ht="33">
      <c r="A96" s="2755" t="s">
        <v>4815</v>
      </c>
      <c r="B96" s="2775" t="s">
        <v>3514</v>
      </c>
      <c r="C96" s="2775" t="s">
        <v>3515</v>
      </c>
      <c r="D96" s="2782" t="s">
        <v>2250</v>
      </c>
      <c r="E96" s="2782" t="s">
        <v>4371</v>
      </c>
      <c r="F96" s="2464" t="s">
        <v>70</v>
      </c>
      <c r="G96" s="2861" t="s">
        <v>3676</v>
      </c>
      <c r="H96" s="2862"/>
      <c r="I96" s="2780"/>
      <c r="J96" s="2780"/>
      <c r="K96" s="2780"/>
      <c r="L96" s="2784"/>
      <c r="M96" s="2790"/>
      <c r="N96" s="2791"/>
      <c r="O96" s="1412">
        <f t="shared" si="11"/>
        <v>0</v>
      </c>
      <c r="P96" s="1418"/>
      <c r="Q96" s="2785">
        <f t="shared" si="12"/>
        <v>0</v>
      </c>
      <c r="R96" s="2792"/>
      <c r="S96" s="1591"/>
      <c r="T96" s="4567"/>
      <c r="U96" s="2787"/>
    </row>
    <row r="97" spans="1:21" ht="33">
      <c r="A97" s="2755" t="s">
        <v>4934</v>
      </c>
      <c r="B97" s="2775" t="s">
        <v>3516</v>
      </c>
      <c r="C97" s="2775" t="s">
        <v>3517</v>
      </c>
      <c r="D97" s="2782" t="s">
        <v>2223</v>
      </c>
      <c r="E97" s="2782" t="s">
        <v>2224</v>
      </c>
      <c r="F97" s="2464" t="s">
        <v>70</v>
      </c>
      <c r="G97" s="2783" t="s">
        <v>3331</v>
      </c>
      <c r="H97" s="2780"/>
      <c r="I97" s="2780"/>
      <c r="J97" s="2780"/>
      <c r="K97" s="2780"/>
      <c r="L97" s="2784"/>
      <c r="M97" s="2790"/>
      <c r="N97" s="2791"/>
      <c r="O97" s="1412">
        <f t="shared" si="11"/>
        <v>0</v>
      </c>
      <c r="P97" s="1418"/>
      <c r="Q97" s="2785">
        <f t="shared" si="12"/>
        <v>0</v>
      </c>
      <c r="R97" s="2792"/>
      <c r="S97" s="1591"/>
      <c r="T97" s="4567"/>
      <c r="U97" s="2787"/>
    </row>
    <row r="98" spans="1:21" ht="33">
      <c r="A98" s="2755" t="s">
        <v>4933</v>
      </c>
      <c r="B98" s="2775" t="s">
        <v>3518</v>
      </c>
      <c r="C98" s="2775" t="s">
        <v>3519</v>
      </c>
      <c r="D98" s="2782" t="s">
        <v>2225</v>
      </c>
      <c r="E98" s="2782" t="s">
        <v>2226</v>
      </c>
      <c r="F98" s="2464" t="s">
        <v>70</v>
      </c>
      <c r="G98" s="2783" t="s">
        <v>3669</v>
      </c>
      <c r="H98" s="2780"/>
      <c r="I98" s="2780"/>
      <c r="J98" s="2780"/>
      <c r="K98" s="2780"/>
      <c r="L98" s="2784"/>
      <c r="M98" s="2790"/>
      <c r="N98" s="2791"/>
      <c r="O98" s="1412">
        <f t="shared" si="11"/>
        <v>0</v>
      </c>
      <c r="P98" s="1418"/>
      <c r="Q98" s="2785">
        <f t="shared" si="12"/>
        <v>0</v>
      </c>
      <c r="R98" s="2792"/>
      <c r="S98" s="1639">
        <f>'Ab3. ASHA'!Q106</f>
        <v>0</v>
      </c>
      <c r="T98" s="4567"/>
      <c r="U98" s="2827">
        <f>'Ab3. ASHA'!R106</f>
        <v>0</v>
      </c>
    </row>
    <row r="99" spans="1:21">
      <c r="A99" s="2755" t="s">
        <v>5020</v>
      </c>
      <c r="B99" s="2775" t="s">
        <v>3520</v>
      </c>
      <c r="C99" s="2775" t="s">
        <v>3521</v>
      </c>
      <c r="D99" s="2782" t="s">
        <v>2251</v>
      </c>
      <c r="E99" s="2782" t="s">
        <v>2252</v>
      </c>
      <c r="F99" s="2828" t="s">
        <v>85</v>
      </c>
      <c r="G99" s="2783" t="s">
        <v>4771</v>
      </c>
      <c r="H99" s="2780"/>
      <c r="I99" s="2780"/>
      <c r="J99" s="2780"/>
      <c r="K99" s="2780"/>
      <c r="L99" s="2784"/>
      <c r="M99" s="2790" t="s">
        <v>6407</v>
      </c>
      <c r="N99" s="2791">
        <v>12000</v>
      </c>
      <c r="O99" s="1412">
        <f t="shared" si="11"/>
        <v>0.12</v>
      </c>
      <c r="P99" s="1418">
        <v>11</v>
      </c>
      <c r="Q99" s="2785">
        <f t="shared" si="12"/>
        <v>1.3199999999999998</v>
      </c>
      <c r="R99" s="2792" t="s">
        <v>6416</v>
      </c>
      <c r="S99" s="1639">
        <f>'Abs23. NPPCF'!Q21</f>
        <v>0</v>
      </c>
      <c r="T99" s="4567"/>
      <c r="U99" s="2827">
        <f>'Abs23. NPPCF'!R21</f>
        <v>0</v>
      </c>
    </row>
    <row r="100" spans="1:21" ht="49.5">
      <c r="A100" s="2755" t="s">
        <v>5021</v>
      </c>
      <c r="B100" s="2775" t="s">
        <v>3522</v>
      </c>
      <c r="C100" s="2775" t="s">
        <v>3523</v>
      </c>
      <c r="D100" s="2782" t="s">
        <v>2253</v>
      </c>
      <c r="E100" s="2782" t="s">
        <v>2254</v>
      </c>
      <c r="F100" s="2853" t="s">
        <v>90</v>
      </c>
      <c r="G100" s="2783" t="s">
        <v>3664</v>
      </c>
      <c r="H100" s="2780"/>
      <c r="I100" s="2780"/>
      <c r="J100" s="2780">
        <v>114</v>
      </c>
      <c r="K100" s="2794"/>
      <c r="L100" s="2794"/>
      <c r="M100" s="2857" t="s">
        <v>5888</v>
      </c>
      <c r="N100" s="1418">
        <v>325000</v>
      </c>
      <c r="O100" s="1412">
        <f t="shared" si="11"/>
        <v>3.25</v>
      </c>
      <c r="P100" s="1418">
        <v>38</v>
      </c>
      <c r="Q100" s="2785">
        <f t="shared" si="12"/>
        <v>123.5</v>
      </c>
      <c r="R100" s="2797" t="s">
        <v>5889</v>
      </c>
      <c r="S100" s="2856">
        <f>'Ab1. RMNCH+A'!Q470</f>
        <v>0</v>
      </c>
      <c r="T100" s="4567"/>
      <c r="U100" s="2800">
        <f>'Ab1. RMNCH+A'!R470</f>
        <v>0</v>
      </c>
    </row>
    <row r="101" spans="1:21" ht="66">
      <c r="A101" s="2755" t="s">
        <v>5022</v>
      </c>
      <c r="B101" s="2775" t="s">
        <v>3524</v>
      </c>
      <c r="C101" s="2775" t="s">
        <v>3525</v>
      </c>
      <c r="D101" s="2782" t="s">
        <v>2229</v>
      </c>
      <c r="E101" s="2782" t="s">
        <v>2255</v>
      </c>
      <c r="F101" s="2830" t="s">
        <v>4358</v>
      </c>
      <c r="G101" s="2783" t="s">
        <v>3670</v>
      </c>
      <c r="H101" s="2780"/>
      <c r="I101" s="2804"/>
      <c r="J101" s="2804"/>
      <c r="K101" s="2804"/>
      <c r="L101" s="2824"/>
      <c r="M101" s="2804" t="s">
        <v>6087</v>
      </c>
      <c r="N101" s="2831">
        <v>57000</v>
      </c>
      <c r="O101" s="1412">
        <f t="shared" si="11"/>
        <v>0.56999999999999995</v>
      </c>
      <c r="P101" s="1418">
        <v>38</v>
      </c>
      <c r="Q101" s="2785">
        <f t="shared" si="12"/>
        <v>21.659999999999997</v>
      </c>
      <c r="R101" s="2832" t="s">
        <v>6088</v>
      </c>
      <c r="S101" s="1639">
        <f>'Abs8. IDSP'!Q32</f>
        <v>0</v>
      </c>
      <c r="T101" s="4567"/>
      <c r="U101" s="2827">
        <f>'Abs8. IDSP'!R32</f>
        <v>0</v>
      </c>
    </row>
    <row r="102" spans="1:21" ht="49.5">
      <c r="A102" s="2755" t="s">
        <v>5179</v>
      </c>
      <c r="B102" s="2775" t="s">
        <v>3526</v>
      </c>
      <c r="C102" s="2775" t="s">
        <v>3527</v>
      </c>
      <c r="D102" s="2782" t="s">
        <v>2205</v>
      </c>
      <c r="E102" s="2782" t="s">
        <v>2231</v>
      </c>
      <c r="F102" s="2830" t="s">
        <v>4358</v>
      </c>
      <c r="G102" s="2783" t="s">
        <v>4977</v>
      </c>
      <c r="H102" s="2780"/>
      <c r="I102" s="2780"/>
      <c r="J102" s="2780"/>
      <c r="K102" s="2780"/>
      <c r="L102" s="2784"/>
      <c r="M102" s="2790"/>
      <c r="N102" s="2791"/>
      <c r="O102" s="1412">
        <f t="shared" si="11"/>
        <v>0</v>
      </c>
      <c r="P102" s="1418"/>
      <c r="Q102" s="2785">
        <f t="shared" si="12"/>
        <v>0</v>
      </c>
      <c r="R102" s="2792"/>
      <c r="S102" s="1639">
        <f>'Abs9. NVBDCP'!Q124</f>
        <v>0</v>
      </c>
      <c r="T102" s="4567"/>
      <c r="U102" s="2800">
        <f>'Abs9. NVBDCP'!R124</f>
        <v>0</v>
      </c>
    </row>
    <row r="103" spans="1:21" ht="33">
      <c r="A103" s="2755" t="s">
        <v>5023</v>
      </c>
      <c r="B103" s="2775" t="s">
        <v>3528</v>
      </c>
      <c r="C103" s="2775" t="s">
        <v>3529</v>
      </c>
      <c r="D103" s="2782" t="s">
        <v>2256</v>
      </c>
      <c r="E103" s="2782" t="s">
        <v>2257</v>
      </c>
      <c r="F103" s="2830" t="s">
        <v>4358</v>
      </c>
      <c r="G103" s="2783" t="s">
        <v>3672</v>
      </c>
      <c r="H103" s="2780"/>
      <c r="I103" s="2779"/>
      <c r="J103" s="2779"/>
      <c r="K103" s="2779"/>
      <c r="L103" s="2837"/>
      <c r="M103" s="2779">
        <v>1</v>
      </c>
      <c r="N103" s="1418">
        <v>11400000</v>
      </c>
      <c r="O103" s="1412">
        <f t="shared" si="11"/>
        <v>114</v>
      </c>
      <c r="P103" s="1418">
        <v>1</v>
      </c>
      <c r="Q103" s="2785">
        <f t="shared" si="12"/>
        <v>114</v>
      </c>
      <c r="R103" s="2792" t="s">
        <v>6287</v>
      </c>
      <c r="S103" s="1639">
        <f>'Abs10. NLEP'!Q40</f>
        <v>0</v>
      </c>
      <c r="T103" s="4567"/>
      <c r="U103" s="2800">
        <f>'Abs10. NLEP'!R40</f>
        <v>0</v>
      </c>
    </row>
    <row r="104" spans="1:21">
      <c r="A104" s="2755" t="s">
        <v>5024</v>
      </c>
      <c r="B104" s="2775" t="s">
        <v>3530</v>
      </c>
      <c r="C104" s="2775" t="s">
        <v>3531</v>
      </c>
      <c r="D104" s="2782" t="s">
        <v>2258</v>
      </c>
      <c r="E104" s="2782" t="s">
        <v>2259</v>
      </c>
      <c r="F104" s="2830" t="s">
        <v>4358</v>
      </c>
      <c r="G104" s="2783" t="s">
        <v>3672</v>
      </c>
      <c r="H104" s="2780"/>
      <c r="I104" s="2779"/>
      <c r="J104" s="2779"/>
      <c r="K104" s="2779"/>
      <c r="L104" s="2837"/>
      <c r="M104" s="2779">
        <v>1</v>
      </c>
      <c r="N104" s="1418">
        <v>150000</v>
      </c>
      <c r="O104" s="1412">
        <f t="shared" si="11"/>
        <v>1.5</v>
      </c>
      <c r="P104" s="1418">
        <v>38</v>
      </c>
      <c r="Q104" s="1412">
        <f t="shared" ref="Q104:Q109" si="13">O104*P104</f>
        <v>57</v>
      </c>
      <c r="R104" s="2797" t="s">
        <v>6288</v>
      </c>
      <c r="S104" s="1639">
        <f>'Abs10. NLEP'!Q41</f>
        <v>0</v>
      </c>
      <c r="T104" s="4567"/>
      <c r="U104" s="2800">
        <f>'Abs10. NLEP'!R41</f>
        <v>0</v>
      </c>
    </row>
    <row r="105" spans="1:21" s="2836" customFormat="1" ht="49.5">
      <c r="A105" s="2745" t="s">
        <v>4855</v>
      </c>
      <c r="B105" s="2775" t="s">
        <v>3532</v>
      </c>
      <c r="C105" s="2775" t="s">
        <v>3533</v>
      </c>
      <c r="D105" s="2802" t="s">
        <v>1088</v>
      </c>
      <c r="E105" s="2802" t="s">
        <v>2260</v>
      </c>
      <c r="F105" s="1646" t="s">
        <v>4358</v>
      </c>
      <c r="G105" s="2834" t="s">
        <v>4673</v>
      </c>
      <c r="H105" s="2804"/>
      <c r="I105" s="2804"/>
      <c r="J105" s="2804"/>
      <c r="K105" s="2804"/>
      <c r="L105" s="2824"/>
      <c r="M105" s="1444" t="s">
        <v>6062</v>
      </c>
      <c r="N105" s="2803">
        <v>10000</v>
      </c>
      <c r="O105" s="1447">
        <f t="shared" si="11"/>
        <v>0.1</v>
      </c>
      <c r="P105" s="2820">
        <v>11</v>
      </c>
      <c r="Q105" s="2808">
        <f t="shared" si="13"/>
        <v>1.1000000000000001</v>
      </c>
      <c r="R105" s="2841" t="s">
        <v>6063</v>
      </c>
      <c r="S105" s="3361">
        <f>'Abs11. NTEP'!Q61</f>
        <v>0</v>
      </c>
      <c r="T105" s="4567"/>
      <c r="U105" s="3362">
        <f>'Abs11. NTEP'!R61</f>
        <v>0</v>
      </c>
    </row>
    <row r="106" spans="1:21" s="2836" customFormat="1" ht="49.5">
      <c r="A106" s="2745" t="s">
        <v>5025</v>
      </c>
      <c r="B106" s="2775" t="s">
        <v>3534</v>
      </c>
      <c r="C106" s="2775" t="s">
        <v>3535</v>
      </c>
      <c r="D106" s="2802" t="s">
        <v>2261</v>
      </c>
      <c r="E106" s="2802" t="s">
        <v>2262</v>
      </c>
      <c r="F106" s="3363" t="s">
        <v>85</v>
      </c>
      <c r="G106" s="2834" t="s">
        <v>3665</v>
      </c>
      <c r="H106" s="2804"/>
      <c r="I106" s="2804"/>
      <c r="J106" s="2804"/>
      <c r="K106" s="2804"/>
      <c r="L106" s="2824"/>
      <c r="M106" s="2804" t="s">
        <v>5922</v>
      </c>
      <c r="N106" s="2820">
        <v>43421</v>
      </c>
      <c r="O106" s="1447">
        <f t="shared" si="11"/>
        <v>0.43420999999999998</v>
      </c>
      <c r="P106" s="2820">
        <v>38</v>
      </c>
      <c r="Q106" s="2808">
        <f t="shared" si="13"/>
        <v>16.499980000000001</v>
      </c>
      <c r="R106" s="3353" t="s">
        <v>6616</v>
      </c>
      <c r="S106" s="3361">
        <f>'Abs16. NMHP'!Q31</f>
        <v>0</v>
      </c>
      <c r="T106" s="4567"/>
      <c r="U106" s="3362">
        <f>'Abs16. NMHP'!R31</f>
        <v>0</v>
      </c>
    </row>
    <row r="107" spans="1:21">
      <c r="A107" s="2755" t="s">
        <v>4827</v>
      </c>
      <c r="B107" s="2775" t="s">
        <v>3536</v>
      </c>
      <c r="C107" s="2775" t="s">
        <v>3537</v>
      </c>
      <c r="D107" s="2782" t="s">
        <v>2263</v>
      </c>
      <c r="E107" s="2782" t="s">
        <v>2264</v>
      </c>
      <c r="F107" s="2799" t="s">
        <v>85</v>
      </c>
      <c r="G107" s="2783" t="s">
        <v>3673</v>
      </c>
      <c r="H107" s="2780"/>
      <c r="I107" s="2780"/>
      <c r="J107" s="2780"/>
      <c r="K107" s="2780"/>
      <c r="L107" s="2784"/>
      <c r="M107" s="1415" t="s">
        <v>5956</v>
      </c>
      <c r="N107" s="1428">
        <v>1500</v>
      </c>
      <c r="O107" s="1412">
        <f t="shared" si="11"/>
        <v>1.4999999999999999E-2</v>
      </c>
      <c r="P107" s="1428">
        <v>76</v>
      </c>
      <c r="Q107" s="2785">
        <f t="shared" si="13"/>
        <v>1.1399999999999999</v>
      </c>
      <c r="R107" s="1415" t="s">
        <v>5957</v>
      </c>
      <c r="S107" s="1639">
        <f>'Abs18. NTCP'!Q31</f>
        <v>0</v>
      </c>
      <c r="T107" s="4567"/>
      <c r="U107" s="2800">
        <f>'Abs18. NTCP'!R31</f>
        <v>0</v>
      </c>
    </row>
    <row r="108" spans="1:21" s="3763" customFormat="1" ht="49.5">
      <c r="A108" s="3751" t="s">
        <v>5026</v>
      </c>
      <c r="B108" s="3752" t="s">
        <v>3538</v>
      </c>
      <c r="C108" s="3752" t="s">
        <v>3539</v>
      </c>
      <c r="D108" s="3753" t="s">
        <v>2243</v>
      </c>
      <c r="E108" s="3753" t="s">
        <v>2265</v>
      </c>
      <c r="F108" s="3754" t="s">
        <v>85</v>
      </c>
      <c r="G108" s="3755" t="s">
        <v>3675</v>
      </c>
      <c r="H108" s="3756">
        <v>38</v>
      </c>
      <c r="I108" s="3756">
        <v>38</v>
      </c>
      <c r="J108" s="3756">
        <v>76</v>
      </c>
      <c r="K108" s="3756">
        <v>0</v>
      </c>
      <c r="L108" s="3756">
        <v>0</v>
      </c>
      <c r="M108" s="3756">
        <v>38</v>
      </c>
      <c r="N108" s="3757">
        <v>150000</v>
      </c>
      <c r="O108" s="3758">
        <f t="shared" si="11"/>
        <v>1.5</v>
      </c>
      <c r="P108" s="3757">
        <v>38</v>
      </c>
      <c r="Q108" s="3759">
        <f t="shared" si="13"/>
        <v>57</v>
      </c>
      <c r="R108" s="3760" t="s">
        <v>6842</v>
      </c>
      <c r="S108" s="3761">
        <f>'Abs19. NPCDCS'!Q66</f>
        <v>0</v>
      </c>
      <c r="T108" s="4567"/>
      <c r="U108" s="3876">
        <f>'Abs19. NPCDCS'!R66</f>
        <v>0</v>
      </c>
    </row>
    <row r="109" spans="1:21">
      <c r="A109" s="2755" t="s">
        <v>5027</v>
      </c>
      <c r="B109" s="2775" t="s">
        <v>4615</v>
      </c>
      <c r="C109" s="2775" t="s">
        <v>3540</v>
      </c>
      <c r="D109" s="2802"/>
      <c r="E109" s="2802" t="s">
        <v>307</v>
      </c>
      <c r="F109" s="2464" t="s">
        <v>70</v>
      </c>
      <c r="G109" s="2783" t="s">
        <v>3331</v>
      </c>
      <c r="H109" s="2860"/>
      <c r="I109" s="2804"/>
      <c r="J109" s="2804"/>
      <c r="K109" s="2804"/>
      <c r="L109" s="2824"/>
      <c r="M109" s="2807"/>
      <c r="N109" s="2791"/>
      <c r="O109" s="1412">
        <f t="shared" si="11"/>
        <v>0</v>
      </c>
      <c r="P109" s="1418"/>
      <c r="Q109" s="2808">
        <f t="shared" si="13"/>
        <v>0</v>
      </c>
      <c r="R109" s="2835"/>
      <c r="S109" s="1591"/>
      <c r="T109" s="4567"/>
      <c r="U109" s="2787"/>
    </row>
    <row r="110" spans="1:21" ht="12.95" customHeight="1">
      <c r="A110" s="2755">
        <v>4</v>
      </c>
      <c r="B110" s="2775" t="s">
        <v>3541</v>
      </c>
      <c r="C110" s="2775" t="s">
        <v>3542</v>
      </c>
      <c r="D110" s="2775"/>
      <c r="E110" s="2775" t="s">
        <v>2161</v>
      </c>
      <c r="F110" s="2776"/>
      <c r="G110" s="2776"/>
      <c r="H110" s="2777"/>
      <c r="I110" s="2777"/>
      <c r="J110" s="2777"/>
      <c r="K110" s="2777"/>
      <c r="L110" s="2778"/>
      <c r="M110" s="2815"/>
      <c r="N110" s="2816"/>
      <c r="O110" s="1447"/>
      <c r="P110" s="2777"/>
      <c r="Q110" s="1447">
        <f>SUM(Q111:Q115)</f>
        <v>0</v>
      </c>
      <c r="R110" s="2781"/>
      <c r="S110" s="1639"/>
      <c r="T110" s="4567"/>
      <c r="U110" s="1640">
        <f>SUM(U111:U115)</f>
        <v>0</v>
      </c>
    </row>
    <row r="111" spans="1:21" ht="49.5">
      <c r="A111" s="2755" t="s">
        <v>4931</v>
      </c>
      <c r="B111" s="2775" t="s">
        <v>3543</v>
      </c>
      <c r="C111" s="2775" t="s">
        <v>3544</v>
      </c>
      <c r="D111" s="2782" t="s">
        <v>1358</v>
      </c>
      <c r="E111" s="2782" t="s">
        <v>2266</v>
      </c>
      <c r="F111" s="2853" t="s">
        <v>90</v>
      </c>
      <c r="G111" s="2783" t="s">
        <v>3667</v>
      </c>
      <c r="H111" s="2780"/>
      <c r="I111" s="2862"/>
      <c r="J111" s="2862"/>
      <c r="K111" s="2862"/>
      <c r="L111" s="2863"/>
      <c r="M111" s="2864"/>
      <c r="N111" s="2791"/>
      <c r="O111" s="1412">
        <f>N111/100000</f>
        <v>0</v>
      </c>
      <c r="P111" s="1418"/>
      <c r="Q111" s="2785">
        <f>O111*P111</f>
        <v>0</v>
      </c>
      <c r="R111" s="2792"/>
      <c r="S111" s="1639">
        <f>'Ab1. RMNCH+A'!Q471</f>
        <v>0</v>
      </c>
      <c r="T111" s="4567"/>
      <c r="U111" s="2800">
        <f>'Ab1. RMNCH+A'!R471</f>
        <v>0</v>
      </c>
    </row>
    <row r="112" spans="1:21" ht="49.5">
      <c r="A112" s="2755" t="s">
        <v>4932</v>
      </c>
      <c r="B112" s="2775" t="s">
        <v>3545</v>
      </c>
      <c r="C112" s="2775" t="s">
        <v>3546</v>
      </c>
      <c r="D112" s="2782" t="s">
        <v>1359</v>
      </c>
      <c r="E112" s="2782" t="s">
        <v>4118</v>
      </c>
      <c r="F112" s="2853" t="s">
        <v>90</v>
      </c>
      <c r="G112" s="2783" t="s">
        <v>3667</v>
      </c>
      <c r="H112" s="2780"/>
      <c r="I112" s="2862"/>
      <c r="J112" s="2862"/>
      <c r="K112" s="2862"/>
      <c r="L112" s="2863"/>
      <c r="M112" s="2864"/>
      <c r="N112" s="2791"/>
      <c r="O112" s="1412">
        <f>N112/100000</f>
        <v>0</v>
      </c>
      <c r="P112" s="1418"/>
      <c r="Q112" s="2785">
        <f>O112*P112</f>
        <v>0</v>
      </c>
      <c r="R112" s="2792"/>
      <c r="S112" s="1639">
        <f>'Ab1. RMNCH+A'!Q472</f>
        <v>0</v>
      </c>
      <c r="T112" s="4567"/>
      <c r="U112" s="2800">
        <f>'Ab1. RMNCH+A'!R472</f>
        <v>0</v>
      </c>
    </row>
    <row r="113" spans="1:21">
      <c r="A113" s="2755" t="s">
        <v>4815</v>
      </c>
      <c r="B113" s="2775" t="s">
        <v>3547</v>
      </c>
      <c r="C113" s="2775" t="s">
        <v>3548</v>
      </c>
      <c r="D113" s="2782" t="s">
        <v>2267</v>
      </c>
      <c r="E113" s="2782" t="s">
        <v>2268</v>
      </c>
      <c r="F113" s="2464" t="s">
        <v>70</v>
      </c>
      <c r="G113" s="2861" t="s">
        <v>3676</v>
      </c>
      <c r="H113" s="2862"/>
      <c r="I113" s="2862"/>
      <c r="J113" s="2862"/>
      <c r="K113" s="2862"/>
      <c r="L113" s="2863"/>
      <c r="M113" s="2864"/>
      <c r="N113" s="2791"/>
      <c r="O113" s="1412">
        <f>N113/100000</f>
        <v>0</v>
      </c>
      <c r="P113" s="1418"/>
      <c r="Q113" s="2785">
        <f>O113*P113</f>
        <v>0</v>
      </c>
      <c r="R113" s="2792"/>
      <c r="S113" s="1591"/>
      <c r="T113" s="4567"/>
      <c r="U113" s="2865"/>
    </row>
    <row r="114" spans="1:21" ht="49.5">
      <c r="A114" s="2755" t="s">
        <v>4934</v>
      </c>
      <c r="B114" s="2775" t="s">
        <v>3549</v>
      </c>
      <c r="C114" s="2775" t="s">
        <v>3550</v>
      </c>
      <c r="D114" s="2782" t="s">
        <v>2177</v>
      </c>
      <c r="E114" s="2782" t="s">
        <v>2269</v>
      </c>
      <c r="F114" s="2464" t="s">
        <v>70</v>
      </c>
      <c r="G114" s="2783" t="s">
        <v>3669</v>
      </c>
      <c r="H114" s="2780"/>
      <c r="I114" s="2862"/>
      <c r="J114" s="2862"/>
      <c r="K114" s="2862"/>
      <c r="L114" s="2863"/>
      <c r="M114" s="2864"/>
      <c r="N114" s="2791"/>
      <c r="O114" s="1412">
        <f>N114/100000</f>
        <v>0</v>
      </c>
      <c r="P114" s="1418"/>
      <c r="Q114" s="2785">
        <f>O114*P114</f>
        <v>0</v>
      </c>
      <c r="R114" s="2792"/>
      <c r="S114" s="1639">
        <f>'Ab3. ASHA'!Q107</f>
        <v>0</v>
      </c>
      <c r="T114" s="4567"/>
      <c r="U114" s="2827">
        <f>-'Ab3. ASHA'!R107</f>
        <v>0</v>
      </c>
    </row>
    <row r="115" spans="1:21">
      <c r="A115" s="2755" t="s">
        <v>4933</v>
      </c>
      <c r="B115" s="2775" t="s">
        <v>3551</v>
      </c>
      <c r="C115" s="2775" t="s">
        <v>3552</v>
      </c>
      <c r="D115" s="2802"/>
      <c r="E115" s="2802" t="s">
        <v>307</v>
      </c>
      <c r="F115" s="2464" t="s">
        <v>70</v>
      </c>
      <c r="G115" s="2783" t="s">
        <v>3331</v>
      </c>
      <c r="H115" s="2860"/>
      <c r="I115" s="2860"/>
      <c r="J115" s="2860"/>
      <c r="K115" s="2860"/>
      <c r="L115" s="2866"/>
      <c r="M115" s="2867"/>
      <c r="N115" s="2791"/>
      <c r="O115" s="1412">
        <f>N115/100000</f>
        <v>0</v>
      </c>
      <c r="P115" s="1418"/>
      <c r="Q115" s="2808">
        <f>O115*P115</f>
        <v>0</v>
      </c>
      <c r="R115" s="2835"/>
      <c r="S115" s="1591"/>
      <c r="T115" s="4567"/>
      <c r="U115" s="2865"/>
    </row>
    <row r="116" spans="1:21" ht="30" customHeight="1">
      <c r="A116" s="2755">
        <v>5</v>
      </c>
      <c r="B116" s="2775" t="s">
        <v>3553</v>
      </c>
      <c r="C116" s="2775" t="s">
        <v>3554</v>
      </c>
      <c r="D116" s="2775"/>
      <c r="E116" s="2775" t="s">
        <v>2270</v>
      </c>
      <c r="F116" s="2776"/>
      <c r="G116" s="2776"/>
      <c r="H116" s="2777"/>
      <c r="I116" s="2777"/>
      <c r="J116" s="2777"/>
      <c r="K116" s="2777"/>
      <c r="L116" s="2778"/>
      <c r="M116" s="2815"/>
      <c r="N116" s="2816"/>
      <c r="O116" s="1447"/>
      <c r="P116" s="2777"/>
      <c r="Q116" s="1447">
        <f>Q117</f>
        <v>0</v>
      </c>
      <c r="R116" s="2781"/>
      <c r="S116" s="1639"/>
      <c r="T116" s="4567"/>
      <c r="U116" s="1640">
        <f>U117</f>
        <v>0</v>
      </c>
    </row>
    <row r="117" spans="1:21" s="3704" customFormat="1" ht="43.5" customHeight="1">
      <c r="A117" s="3691" t="s">
        <v>4931</v>
      </c>
      <c r="B117" s="3692" t="s">
        <v>3555</v>
      </c>
      <c r="C117" s="3692" t="s">
        <v>3556</v>
      </c>
      <c r="D117" s="3693" t="s">
        <v>2271</v>
      </c>
      <c r="E117" s="3693" t="s">
        <v>2272</v>
      </c>
      <c r="F117" s="3694" t="s">
        <v>4358</v>
      </c>
      <c r="G117" s="3695" t="s">
        <v>3672</v>
      </c>
      <c r="H117" s="3696"/>
      <c r="I117" s="3697"/>
      <c r="J117" s="3697"/>
      <c r="K117" s="3697"/>
      <c r="L117" s="3698"/>
      <c r="M117" s="3697"/>
      <c r="N117" s="3699"/>
      <c r="O117" s="3700">
        <f>N117/100000</f>
        <v>0</v>
      </c>
      <c r="P117" s="3699"/>
      <c r="Q117" s="3700">
        <f>O117*P117</f>
        <v>0</v>
      </c>
      <c r="R117" s="3701"/>
      <c r="S117" s="3702">
        <f>'Abs10. NLEP'!Q42</f>
        <v>0</v>
      </c>
      <c r="T117" s="4567"/>
      <c r="U117" s="3703">
        <f>'Abs10. NLEP'!R42</f>
        <v>0</v>
      </c>
    </row>
    <row r="118" spans="1:21" ht="51.95" customHeight="1">
      <c r="A118" s="2755" t="s">
        <v>4355</v>
      </c>
      <c r="B118" s="2767" t="s">
        <v>3377</v>
      </c>
      <c r="C118" s="2767">
        <v>16.399999999999999</v>
      </c>
      <c r="D118" s="2868"/>
      <c r="E118" s="2868" t="s">
        <v>2273</v>
      </c>
      <c r="F118" s="2768"/>
      <c r="G118" s="2768"/>
      <c r="H118" s="2810"/>
      <c r="I118" s="2810"/>
      <c r="J118" s="2810"/>
      <c r="K118" s="2810"/>
      <c r="L118" s="2811"/>
      <c r="M118" s="2812"/>
      <c r="N118" s="2813"/>
      <c r="O118" s="1392"/>
      <c r="P118" s="2810"/>
      <c r="Q118" s="1392">
        <f>Q119+Q135+Q145</f>
        <v>775.87</v>
      </c>
      <c r="R118" s="2814"/>
      <c r="S118" s="2773"/>
      <c r="T118" s="4567"/>
      <c r="U118" s="2774">
        <f>U119+U135+U145</f>
        <v>0</v>
      </c>
    </row>
    <row r="119" spans="1:21" ht="12.95" customHeight="1">
      <c r="A119" s="2755">
        <v>1</v>
      </c>
      <c r="B119" s="2775" t="s">
        <v>3557</v>
      </c>
      <c r="C119" s="2775" t="s">
        <v>3558</v>
      </c>
      <c r="D119" s="2775"/>
      <c r="E119" s="2775" t="s">
        <v>2158</v>
      </c>
      <c r="F119" s="2776"/>
      <c r="G119" s="2776"/>
      <c r="H119" s="2777"/>
      <c r="I119" s="2777"/>
      <c r="J119" s="2777"/>
      <c r="K119" s="2777"/>
      <c r="L119" s="2778"/>
      <c r="M119" s="2815"/>
      <c r="N119" s="2816"/>
      <c r="O119" s="1447"/>
      <c r="P119" s="2777"/>
      <c r="Q119" s="1447">
        <f>SUM(Q120:Q134)</f>
        <v>659.01</v>
      </c>
      <c r="R119" s="2781"/>
      <c r="S119" s="1639"/>
      <c r="T119" s="4567"/>
      <c r="U119" s="1640">
        <f>SUM(U120:U134)</f>
        <v>0</v>
      </c>
    </row>
    <row r="120" spans="1:21">
      <c r="A120" s="2755" t="s">
        <v>4931</v>
      </c>
      <c r="B120" s="2775" t="s">
        <v>3559</v>
      </c>
      <c r="C120" s="2775" t="s">
        <v>3560</v>
      </c>
      <c r="D120" s="2782" t="s">
        <v>2274</v>
      </c>
      <c r="E120" s="2782" t="s">
        <v>2388</v>
      </c>
      <c r="F120" s="2853" t="s">
        <v>90</v>
      </c>
      <c r="G120" s="2783" t="s">
        <v>3677</v>
      </c>
      <c r="H120" s="2780"/>
      <c r="I120" s="2589"/>
      <c r="J120" s="2589"/>
      <c r="K120" s="2590"/>
      <c r="L120" s="2869"/>
      <c r="M120" s="2870"/>
      <c r="N120" s="2870">
        <v>45000000</v>
      </c>
      <c r="O120" s="1412">
        <f t="shared" ref="O120:O134" si="14">N120/100000</f>
        <v>450</v>
      </c>
      <c r="P120" s="1418">
        <v>1</v>
      </c>
      <c r="Q120" s="2785">
        <f t="shared" ref="Q120:Q134" si="15">O120*P120</f>
        <v>450</v>
      </c>
      <c r="R120" s="2871" t="s">
        <v>6241</v>
      </c>
      <c r="S120" s="1639">
        <f>'Ab1. RMNCH+A'!Q473</f>
        <v>0</v>
      </c>
      <c r="T120" s="4567"/>
      <c r="U120" s="2800">
        <f>'Ab1. RMNCH+A'!R473</f>
        <v>0</v>
      </c>
    </row>
    <row r="121" spans="1:21" ht="33">
      <c r="A121" s="2755" t="s">
        <v>4932</v>
      </c>
      <c r="B121" s="2775" t="s">
        <v>3561</v>
      </c>
      <c r="C121" s="2775" t="s">
        <v>3562</v>
      </c>
      <c r="D121" s="2782" t="s">
        <v>2275</v>
      </c>
      <c r="E121" s="2782" t="s">
        <v>2276</v>
      </c>
      <c r="F121" s="2830" t="s">
        <v>4358</v>
      </c>
      <c r="G121" s="2783" t="s">
        <v>3670</v>
      </c>
      <c r="H121" s="2780"/>
      <c r="I121" s="2804"/>
      <c r="J121" s="2804"/>
      <c r="K121" s="2804"/>
      <c r="L121" s="2824"/>
      <c r="M121" s="2780"/>
      <c r="N121" s="2831"/>
      <c r="O121" s="1412">
        <f t="shared" si="14"/>
        <v>0</v>
      </c>
      <c r="P121" s="1418"/>
      <c r="Q121" s="2785">
        <f t="shared" si="15"/>
        <v>0</v>
      </c>
      <c r="R121" s="2832"/>
      <c r="S121" s="1639">
        <f>'Abs8. IDSP'!Q33</f>
        <v>0</v>
      </c>
      <c r="T121" s="4567"/>
      <c r="U121" s="2827">
        <f>'Abs8. IDSP'!R33</f>
        <v>0</v>
      </c>
    </row>
    <row r="122" spans="1:21" ht="33">
      <c r="A122" s="2755" t="s">
        <v>4815</v>
      </c>
      <c r="B122" s="2775" t="s">
        <v>3563</v>
      </c>
      <c r="C122" s="2775" t="s">
        <v>3564</v>
      </c>
      <c r="D122" s="2782" t="s">
        <v>2179</v>
      </c>
      <c r="E122" s="2782" t="s">
        <v>2277</v>
      </c>
      <c r="F122" s="2464" t="s">
        <v>70</v>
      </c>
      <c r="G122" s="2783" t="s">
        <v>3331</v>
      </c>
      <c r="H122" s="2780"/>
      <c r="I122" s="2780"/>
      <c r="J122" s="2780"/>
      <c r="K122" s="2780"/>
      <c r="L122" s="2784"/>
      <c r="M122" s="2780" t="s">
        <v>6173</v>
      </c>
      <c r="N122" s="1418">
        <v>10000</v>
      </c>
      <c r="O122" s="1412">
        <f t="shared" si="14"/>
        <v>0.1</v>
      </c>
      <c r="P122" s="1418">
        <v>4</v>
      </c>
      <c r="Q122" s="1412">
        <f t="shared" si="15"/>
        <v>0.4</v>
      </c>
      <c r="R122" s="2872" t="s">
        <v>6174</v>
      </c>
      <c r="S122" s="1591"/>
      <c r="T122" s="4567"/>
      <c r="U122" s="2787"/>
    </row>
    <row r="123" spans="1:21" ht="33">
      <c r="A123" s="2755" t="s">
        <v>4934</v>
      </c>
      <c r="B123" s="2775" t="s">
        <v>3565</v>
      </c>
      <c r="C123" s="2775" t="s">
        <v>3566</v>
      </c>
      <c r="D123" s="2782" t="s">
        <v>1382</v>
      </c>
      <c r="E123" s="2782" t="s">
        <v>4119</v>
      </c>
      <c r="F123" s="2828" t="s">
        <v>85</v>
      </c>
      <c r="G123" s="2783" t="s">
        <v>4771</v>
      </c>
      <c r="H123" s="2780"/>
      <c r="I123" s="2780"/>
      <c r="J123" s="2780"/>
      <c r="K123" s="2780"/>
      <c r="L123" s="2784"/>
      <c r="M123" s="2790"/>
      <c r="N123" s="2791"/>
      <c r="O123" s="1412">
        <f t="shared" si="14"/>
        <v>0</v>
      </c>
      <c r="P123" s="1418"/>
      <c r="Q123" s="2785">
        <f t="shared" si="15"/>
        <v>0</v>
      </c>
      <c r="R123" s="2792"/>
      <c r="S123" s="1639">
        <f>'Abs23. NPPCF'!Q22</f>
        <v>0</v>
      </c>
      <c r="T123" s="4567"/>
      <c r="U123" s="2827">
        <f>'Abs23. NPPCF'!R22</f>
        <v>0</v>
      </c>
    </row>
    <row r="124" spans="1:21" ht="49.5">
      <c r="A124" s="2755" t="s">
        <v>4933</v>
      </c>
      <c r="B124" s="2775" t="s">
        <v>3567</v>
      </c>
      <c r="C124" s="2775" t="s">
        <v>3568</v>
      </c>
      <c r="D124" s="2782" t="s">
        <v>2191</v>
      </c>
      <c r="E124" s="2782" t="s">
        <v>2278</v>
      </c>
      <c r="F124" s="2830" t="s">
        <v>4358</v>
      </c>
      <c r="G124" s="2783" t="s">
        <v>3670</v>
      </c>
      <c r="H124" s="2780"/>
      <c r="I124" s="2804"/>
      <c r="J124" s="2804"/>
      <c r="K124" s="2804"/>
      <c r="L124" s="2824"/>
      <c r="M124" s="2780" t="s">
        <v>6084</v>
      </c>
      <c r="N124" s="1418">
        <v>100000</v>
      </c>
      <c r="O124" s="1412">
        <f t="shared" si="14"/>
        <v>1</v>
      </c>
      <c r="P124" s="1418">
        <v>39</v>
      </c>
      <c r="Q124" s="2785">
        <f t="shared" si="15"/>
        <v>39</v>
      </c>
      <c r="R124" s="2873" t="s">
        <v>6089</v>
      </c>
      <c r="S124" s="1639">
        <f>'Abs8. IDSP'!Q34</f>
        <v>0</v>
      </c>
      <c r="T124" s="4567"/>
      <c r="U124" s="2827">
        <f>'Abs8. IDSP'!R34</f>
        <v>0</v>
      </c>
    </row>
    <row r="125" spans="1:21" ht="33">
      <c r="A125" s="2755" t="s">
        <v>5020</v>
      </c>
      <c r="B125" s="2775" t="s">
        <v>3569</v>
      </c>
      <c r="C125" s="2775" t="s">
        <v>3570</v>
      </c>
      <c r="D125" s="2782" t="s">
        <v>1543</v>
      </c>
      <c r="E125" s="2782" t="s">
        <v>2279</v>
      </c>
      <c r="F125" s="2830" t="s">
        <v>4358</v>
      </c>
      <c r="G125" s="2783" t="s">
        <v>4981</v>
      </c>
      <c r="H125" s="2780"/>
      <c r="I125" s="2780"/>
      <c r="J125" s="2780"/>
      <c r="K125" s="2780"/>
      <c r="L125" s="2784"/>
      <c r="M125" s="2790"/>
      <c r="N125" s="2791"/>
      <c r="O125" s="1412">
        <f t="shared" si="14"/>
        <v>0</v>
      </c>
      <c r="P125" s="1418"/>
      <c r="Q125" s="2785">
        <f t="shared" si="15"/>
        <v>0</v>
      </c>
      <c r="R125" s="2792"/>
      <c r="S125" s="1639">
        <f>'Abs9. NVBDCP'!Q125</f>
        <v>0</v>
      </c>
      <c r="T125" s="4567"/>
      <c r="U125" s="2800">
        <f>'Abs9. NVBDCP'!R125</f>
        <v>0</v>
      </c>
    </row>
    <row r="126" spans="1:21" ht="33">
      <c r="A126" s="2755" t="s">
        <v>5021</v>
      </c>
      <c r="B126" s="2775" t="s">
        <v>3571</v>
      </c>
      <c r="C126" s="2775" t="s">
        <v>3572</v>
      </c>
      <c r="D126" s="2782" t="s">
        <v>2280</v>
      </c>
      <c r="E126" s="2782" t="s">
        <v>2281</v>
      </c>
      <c r="F126" s="2830" t="s">
        <v>4358</v>
      </c>
      <c r="G126" s="2783" t="s">
        <v>4978</v>
      </c>
      <c r="H126" s="2780"/>
      <c r="I126" s="2780"/>
      <c r="J126" s="2780"/>
      <c r="K126" s="2780"/>
      <c r="L126" s="2784"/>
      <c r="M126" s="2790"/>
      <c r="N126" s="2791"/>
      <c r="O126" s="1412">
        <f t="shared" si="14"/>
        <v>0</v>
      </c>
      <c r="P126" s="1418"/>
      <c r="Q126" s="2785">
        <f t="shared" si="15"/>
        <v>0</v>
      </c>
      <c r="R126" s="2792"/>
      <c r="S126" s="1639">
        <f>'Abs9. NVBDCP'!Q126</f>
        <v>0</v>
      </c>
      <c r="T126" s="4567"/>
      <c r="U126" s="2800">
        <f>'Abs9. NVBDCP'!R126</f>
        <v>0</v>
      </c>
    </row>
    <row r="127" spans="1:21">
      <c r="A127" s="2755" t="s">
        <v>5022</v>
      </c>
      <c r="B127" s="2775" t="s">
        <v>3573</v>
      </c>
      <c r="C127" s="2775" t="s">
        <v>3574</v>
      </c>
      <c r="D127" s="2782" t="s">
        <v>2282</v>
      </c>
      <c r="E127" s="2782" t="s">
        <v>2283</v>
      </c>
      <c r="F127" s="2830" t="s">
        <v>4358</v>
      </c>
      <c r="G127" s="2783" t="s">
        <v>3672</v>
      </c>
      <c r="H127" s="2780"/>
      <c r="I127" s="2779"/>
      <c r="J127" s="2779"/>
      <c r="K127" s="2779"/>
      <c r="L127" s="2837"/>
      <c r="M127" s="2779">
        <v>1</v>
      </c>
      <c r="N127" s="1418">
        <v>75000</v>
      </c>
      <c r="O127" s="1412">
        <f t="shared" si="14"/>
        <v>0.75</v>
      </c>
      <c r="P127" s="1418">
        <v>1</v>
      </c>
      <c r="Q127" s="1412">
        <f t="shared" si="15"/>
        <v>0.75</v>
      </c>
      <c r="R127" s="2797" t="s">
        <v>6289</v>
      </c>
      <c r="S127" s="1639">
        <f>'Abs10. NLEP'!Q43</f>
        <v>0</v>
      </c>
      <c r="T127" s="4567"/>
      <c r="U127" s="2800">
        <f>'Abs10. NLEP'!R43</f>
        <v>0</v>
      </c>
    </row>
    <row r="128" spans="1:21">
      <c r="A128" s="2755" t="s">
        <v>5179</v>
      </c>
      <c r="B128" s="2775" t="s">
        <v>3575</v>
      </c>
      <c r="C128" s="2775" t="s">
        <v>3576</v>
      </c>
      <c r="D128" s="2782" t="s">
        <v>2284</v>
      </c>
      <c r="E128" s="2782" t="s">
        <v>2285</v>
      </c>
      <c r="F128" s="2830" t="s">
        <v>4358</v>
      </c>
      <c r="G128" s="2783" t="s">
        <v>3672</v>
      </c>
      <c r="H128" s="2780"/>
      <c r="I128" s="2779"/>
      <c r="J128" s="2779"/>
      <c r="K128" s="2779"/>
      <c r="L128" s="2837"/>
      <c r="M128" s="2779">
        <v>1</v>
      </c>
      <c r="N128" s="1418">
        <v>50000</v>
      </c>
      <c r="O128" s="1412">
        <f t="shared" si="14"/>
        <v>0.5</v>
      </c>
      <c r="P128" s="1418">
        <v>1</v>
      </c>
      <c r="Q128" s="1412">
        <f t="shared" si="15"/>
        <v>0.5</v>
      </c>
      <c r="R128" s="2797" t="s">
        <v>6290</v>
      </c>
      <c r="S128" s="1639">
        <f>'Abs10. NLEP'!Q44</f>
        <v>0</v>
      </c>
      <c r="T128" s="4567"/>
      <c r="U128" s="2800">
        <f>'Abs10. NLEP'!R44</f>
        <v>0</v>
      </c>
    </row>
    <row r="129" spans="1:21" s="2836" customFormat="1" ht="49.5">
      <c r="A129" s="2745" t="s">
        <v>5023</v>
      </c>
      <c r="B129" s="2775" t="s">
        <v>3577</v>
      </c>
      <c r="C129" s="2775" t="s">
        <v>3578</v>
      </c>
      <c r="D129" s="2802" t="s">
        <v>2286</v>
      </c>
      <c r="E129" s="2802" t="s">
        <v>2287</v>
      </c>
      <c r="F129" s="1646" t="s">
        <v>4358</v>
      </c>
      <c r="G129" s="2834" t="s">
        <v>4673</v>
      </c>
      <c r="H129" s="2804"/>
      <c r="I129" s="2804"/>
      <c r="J129" s="2804"/>
      <c r="K129" s="2804"/>
      <c r="L129" s="2824"/>
      <c r="M129" s="1444" t="s">
        <v>6062</v>
      </c>
      <c r="N129" s="2803">
        <v>16026000</v>
      </c>
      <c r="O129" s="1447">
        <f t="shared" si="14"/>
        <v>160.26</v>
      </c>
      <c r="P129" s="2820">
        <v>1</v>
      </c>
      <c r="Q129" s="2808">
        <f t="shared" si="15"/>
        <v>160.26</v>
      </c>
      <c r="R129" s="2841" t="s">
        <v>6064</v>
      </c>
      <c r="S129" s="3361">
        <f>'Abs11. NTEP'!Q62</f>
        <v>0</v>
      </c>
      <c r="T129" s="4567"/>
      <c r="U129" s="3362">
        <f>'Abs11. NTEP'!R62</f>
        <v>0</v>
      </c>
    </row>
    <row r="130" spans="1:21" ht="33">
      <c r="A130" s="2755" t="s">
        <v>5024</v>
      </c>
      <c r="B130" s="2775" t="s">
        <v>3579</v>
      </c>
      <c r="C130" s="2775" t="s">
        <v>3580</v>
      </c>
      <c r="D130" s="2782" t="s">
        <v>2288</v>
      </c>
      <c r="E130" s="2782" t="s">
        <v>2289</v>
      </c>
      <c r="F130" s="2799" t="s">
        <v>85</v>
      </c>
      <c r="G130" s="2783" t="s">
        <v>3673</v>
      </c>
      <c r="H130" s="2780"/>
      <c r="I130" s="2780"/>
      <c r="J130" s="2780"/>
      <c r="K130" s="2780"/>
      <c r="L130" s="2784"/>
      <c r="M130" s="1415" t="s">
        <v>5958</v>
      </c>
      <c r="N130" s="1428">
        <v>20000</v>
      </c>
      <c r="O130" s="1412">
        <f t="shared" si="14"/>
        <v>0.2</v>
      </c>
      <c r="P130" s="1428">
        <v>38</v>
      </c>
      <c r="Q130" s="2785">
        <f t="shared" si="15"/>
        <v>7.6000000000000005</v>
      </c>
      <c r="R130" s="2792"/>
      <c r="S130" s="1639">
        <f>'Abs18. NTCP'!Q32</f>
        <v>0</v>
      </c>
      <c r="T130" s="4567"/>
      <c r="U130" s="2800">
        <f>'Abs18. NTCP'!R32</f>
        <v>0</v>
      </c>
    </row>
    <row r="131" spans="1:21" ht="33">
      <c r="A131" s="2755" t="s">
        <v>4855</v>
      </c>
      <c r="B131" s="2775" t="s">
        <v>3581</v>
      </c>
      <c r="C131" s="2775" t="s">
        <v>3582</v>
      </c>
      <c r="D131" s="2782" t="s">
        <v>2290</v>
      </c>
      <c r="E131" s="2782" t="s">
        <v>2291</v>
      </c>
      <c r="F131" s="2799" t="s">
        <v>85</v>
      </c>
      <c r="G131" s="2783" t="s">
        <v>3673</v>
      </c>
      <c r="H131" s="2780"/>
      <c r="I131" s="2780"/>
      <c r="J131" s="2780"/>
      <c r="K131" s="2780"/>
      <c r="L131" s="2784"/>
      <c r="M131" s="1415" t="s">
        <v>5959</v>
      </c>
      <c r="N131" s="1428">
        <v>50000</v>
      </c>
      <c r="O131" s="1412">
        <f t="shared" si="14"/>
        <v>0.5</v>
      </c>
      <c r="P131" s="1428">
        <v>1</v>
      </c>
      <c r="Q131" s="2785">
        <f t="shared" si="15"/>
        <v>0.5</v>
      </c>
      <c r="R131" s="2792"/>
      <c r="S131" s="1639">
        <f>'Abs18. NTCP'!Q33</f>
        <v>0</v>
      </c>
      <c r="T131" s="4567"/>
      <c r="U131" s="2800">
        <f>'Abs18. NTCP'!R33</f>
        <v>0</v>
      </c>
    </row>
    <row r="132" spans="1:21" ht="38.25" customHeight="1">
      <c r="A132" s="2755" t="s">
        <v>5025</v>
      </c>
      <c r="B132" s="2775" t="s">
        <v>3583</v>
      </c>
      <c r="C132" s="2775" t="s">
        <v>3584</v>
      </c>
      <c r="D132" s="2782" t="s">
        <v>2243</v>
      </c>
      <c r="E132" s="2782" t="s">
        <v>2292</v>
      </c>
      <c r="F132" s="2799" t="s">
        <v>85</v>
      </c>
      <c r="G132" s="2783" t="s">
        <v>3675</v>
      </c>
      <c r="H132" s="2780"/>
      <c r="I132" s="2780"/>
      <c r="J132" s="2780"/>
      <c r="K132" s="2780"/>
      <c r="L132" s="2784"/>
      <c r="M132" s="2790"/>
      <c r="N132" s="2791"/>
      <c r="O132" s="1412">
        <f t="shared" si="14"/>
        <v>0</v>
      </c>
      <c r="P132" s="1418"/>
      <c r="Q132" s="2785">
        <f t="shared" si="15"/>
        <v>0</v>
      </c>
      <c r="R132" s="2792"/>
      <c r="S132" s="1639">
        <f>'Abs19. NPCDCS'!Q67</f>
        <v>0</v>
      </c>
      <c r="T132" s="4567"/>
      <c r="U132" s="2800">
        <f>'Abs19. NPCDCS'!R67</f>
        <v>0</v>
      </c>
    </row>
    <row r="133" spans="1:21" ht="33">
      <c r="A133" s="2755" t="s">
        <v>4827</v>
      </c>
      <c r="B133" s="2775" t="s">
        <v>3585</v>
      </c>
      <c r="C133" s="2775"/>
      <c r="D133" s="2802"/>
      <c r="E133" s="1454" t="s">
        <v>3660</v>
      </c>
      <c r="F133" s="2830" t="s">
        <v>4358</v>
      </c>
      <c r="G133" s="2783" t="s">
        <v>3338</v>
      </c>
      <c r="H133" s="2780"/>
      <c r="I133" s="2780"/>
      <c r="J133" s="2780"/>
      <c r="K133" s="2780"/>
      <c r="L133" s="2784"/>
      <c r="M133" s="2790"/>
      <c r="N133" s="2791"/>
      <c r="O133" s="1412">
        <f t="shared" si="14"/>
        <v>0</v>
      </c>
      <c r="P133" s="1418"/>
      <c r="Q133" s="2785">
        <f t="shared" si="15"/>
        <v>0</v>
      </c>
      <c r="R133" s="2797"/>
      <c r="S133" s="2859">
        <f>'Abs12. NVHCP'!Q43</f>
        <v>0</v>
      </c>
      <c r="T133" s="4567"/>
      <c r="U133" s="2793">
        <f>'Abs12. NVHCP'!R43</f>
        <v>0</v>
      </c>
    </row>
    <row r="134" spans="1:21" s="2836" customFormat="1">
      <c r="A134" s="2745" t="s">
        <v>4825</v>
      </c>
      <c r="B134" s="2775" t="s">
        <v>4439</v>
      </c>
      <c r="C134" s="2775"/>
      <c r="D134" s="2802"/>
      <c r="E134" s="1457" t="s">
        <v>4440</v>
      </c>
      <c r="F134" s="2830" t="s">
        <v>4358</v>
      </c>
      <c r="G134" s="2874" t="s">
        <v>3671</v>
      </c>
      <c r="H134" s="2804"/>
      <c r="I134" s="2804"/>
      <c r="J134" s="2804"/>
      <c r="K134" s="2804"/>
      <c r="L134" s="2824"/>
      <c r="M134" s="2807"/>
      <c r="N134" s="2791"/>
      <c r="O134" s="1412">
        <f t="shared" si="14"/>
        <v>0</v>
      </c>
      <c r="P134" s="1418"/>
      <c r="Q134" s="2808">
        <f t="shared" si="15"/>
        <v>0</v>
      </c>
      <c r="R134" s="2835"/>
      <c r="S134" s="1639">
        <f>'Abs9. NVBDCP'!Q127</f>
        <v>0</v>
      </c>
      <c r="T134" s="4567"/>
      <c r="U134" s="2800">
        <f>'Abs9. NVBDCP'!R127</f>
        <v>0</v>
      </c>
    </row>
    <row r="135" spans="1:21" ht="12.95" customHeight="1">
      <c r="A135" s="2755">
        <v>2</v>
      </c>
      <c r="B135" s="2775" t="s">
        <v>3586</v>
      </c>
      <c r="C135" s="2775" t="s">
        <v>3587</v>
      </c>
      <c r="D135" s="2775"/>
      <c r="E135" s="2775" t="s">
        <v>2248</v>
      </c>
      <c r="F135" s="2776"/>
      <c r="G135" s="2776"/>
      <c r="H135" s="2777"/>
      <c r="I135" s="2777"/>
      <c r="J135" s="2777"/>
      <c r="K135" s="2777"/>
      <c r="L135" s="2778"/>
      <c r="M135" s="2815"/>
      <c r="N135" s="2816"/>
      <c r="O135" s="1447"/>
      <c r="P135" s="2777"/>
      <c r="Q135" s="1447">
        <f>SUM(Q136:Q144)</f>
        <v>106.53999999999999</v>
      </c>
      <c r="R135" s="2781"/>
      <c r="S135" s="1639"/>
      <c r="T135" s="4567"/>
      <c r="U135" s="1640">
        <f>SUM(U136:U144)</f>
        <v>0</v>
      </c>
    </row>
    <row r="136" spans="1:21" s="3690" customFormat="1" ht="148.5">
      <c r="A136" s="3676" t="s">
        <v>4931</v>
      </c>
      <c r="B136" s="3677" t="s">
        <v>3588</v>
      </c>
      <c r="C136" s="3677" t="s">
        <v>3589</v>
      </c>
      <c r="D136" s="3679" t="s">
        <v>2181</v>
      </c>
      <c r="E136" s="3679" t="s">
        <v>2293</v>
      </c>
      <c r="F136" s="3709" t="s">
        <v>70</v>
      </c>
      <c r="G136" s="3681" t="s">
        <v>3678</v>
      </c>
      <c r="H136" s="3682"/>
      <c r="I136" s="3682"/>
      <c r="J136" s="3682"/>
      <c r="K136" s="3682"/>
      <c r="L136" s="3705"/>
      <c r="M136" s="3683" t="s">
        <v>6175</v>
      </c>
      <c r="N136" s="3685">
        <v>2964000</v>
      </c>
      <c r="O136" s="3686">
        <f t="shared" ref="O136:O144" si="16">N136/100000</f>
        <v>29.64</v>
      </c>
      <c r="P136" s="3685">
        <v>1</v>
      </c>
      <c r="Q136" s="3708">
        <f t="shared" ref="Q136:Q144" si="17">O136*P136</f>
        <v>29.64</v>
      </c>
      <c r="R136" s="3824" t="s">
        <v>6818</v>
      </c>
      <c r="S136" s="3710"/>
      <c r="T136" s="4567"/>
      <c r="U136" s="3711"/>
    </row>
    <row r="137" spans="1:21">
      <c r="A137" s="2755" t="s">
        <v>4932</v>
      </c>
      <c r="B137" s="2775" t="s">
        <v>3590</v>
      </c>
      <c r="C137" s="2775" t="s">
        <v>3591</v>
      </c>
      <c r="D137" s="2782" t="s">
        <v>2251</v>
      </c>
      <c r="E137" s="2782" t="s">
        <v>2294</v>
      </c>
      <c r="F137" s="2828" t="s">
        <v>85</v>
      </c>
      <c r="G137" s="2783" t="s">
        <v>4772</v>
      </c>
      <c r="H137" s="2780"/>
      <c r="I137" s="2780"/>
      <c r="J137" s="2780"/>
      <c r="K137" s="2780"/>
      <c r="L137" s="2784"/>
      <c r="M137" s="2790" t="s">
        <v>6407</v>
      </c>
      <c r="N137" s="2791">
        <v>50000</v>
      </c>
      <c r="O137" s="1412">
        <f t="shared" si="16"/>
        <v>0.5</v>
      </c>
      <c r="P137" s="1418">
        <v>11</v>
      </c>
      <c r="Q137" s="2785">
        <f t="shared" si="17"/>
        <v>5.5</v>
      </c>
      <c r="R137" s="2792"/>
      <c r="S137" s="1639">
        <f>'Abs25. NPPC'!Q23</f>
        <v>0</v>
      </c>
      <c r="T137" s="4567"/>
      <c r="U137" s="2827">
        <f>'Abs25. NPPC'!R23</f>
        <v>0</v>
      </c>
    </row>
    <row r="138" spans="1:21" ht="33">
      <c r="A138" s="2755" t="s">
        <v>4815</v>
      </c>
      <c r="B138" s="2775" t="s">
        <v>3592</v>
      </c>
      <c r="C138" s="2775" t="s">
        <v>3593</v>
      </c>
      <c r="D138" s="2782" t="s">
        <v>1543</v>
      </c>
      <c r="E138" s="2782" t="s">
        <v>2279</v>
      </c>
      <c r="F138" s="2830" t="s">
        <v>4358</v>
      </c>
      <c r="G138" s="2783" t="s">
        <v>4981</v>
      </c>
      <c r="H138" s="2780"/>
      <c r="I138" s="2780"/>
      <c r="J138" s="2780"/>
      <c r="K138" s="2780"/>
      <c r="L138" s="2784"/>
      <c r="M138" s="2829" t="s">
        <v>6303</v>
      </c>
      <c r="N138" s="1418">
        <v>2200000</v>
      </c>
      <c r="O138" s="1412">
        <f t="shared" si="16"/>
        <v>22</v>
      </c>
      <c r="P138" s="1418">
        <v>1</v>
      </c>
      <c r="Q138" s="2785">
        <f t="shared" si="17"/>
        <v>22</v>
      </c>
      <c r="R138" s="2829" t="s">
        <v>6303</v>
      </c>
      <c r="S138" s="1639">
        <f>'Abs9. NVBDCP'!Q128</f>
        <v>0</v>
      </c>
      <c r="T138" s="4567"/>
      <c r="U138" s="2800">
        <f>'Abs9. NVBDCP'!R128</f>
        <v>0</v>
      </c>
    </row>
    <row r="139" spans="1:21">
      <c r="A139" s="2755" t="s">
        <v>4934</v>
      </c>
      <c r="B139" s="2775" t="s">
        <v>3594</v>
      </c>
      <c r="C139" s="2775" t="s">
        <v>3595</v>
      </c>
      <c r="D139" s="2782" t="s">
        <v>2295</v>
      </c>
      <c r="E139" s="2782" t="s">
        <v>2296</v>
      </c>
      <c r="F139" s="2830" t="s">
        <v>4358</v>
      </c>
      <c r="G139" s="2783" t="s">
        <v>3672</v>
      </c>
      <c r="H139" s="2780"/>
      <c r="I139" s="2779"/>
      <c r="J139" s="2779"/>
      <c r="K139" s="2779"/>
      <c r="L139" s="2837"/>
      <c r="M139" s="2779">
        <v>1</v>
      </c>
      <c r="N139" s="1418">
        <v>40000</v>
      </c>
      <c r="O139" s="1412">
        <f t="shared" si="16"/>
        <v>0.4</v>
      </c>
      <c r="P139" s="1418">
        <v>38</v>
      </c>
      <c r="Q139" s="1412">
        <f t="shared" si="17"/>
        <v>15.200000000000001</v>
      </c>
      <c r="R139" s="2797" t="s">
        <v>6291</v>
      </c>
      <c r="S139" s="1639">
        <f>'Abs10. NLEP'!Q45</f>
        <v>0</v>
      </c>
      <c r="T139" s="4567"/>
      <c r="U139" s="2800">
        <f>'Abs10. NLEP'!R45</f>
        <v>0</v>
      </c>
    </row>
    <row r="140" spans="1:21">
      <c r="A140" s="2755" t="s">
        <v>4933</v>
      </c>
      <c r="B140" s="2775" t="s">
        <v>3596</v>
      </c>
      <c r="C140" s="2775" t="s">
        <v>3597</v>
      </c>
      <c r="D140" s="2782" t="s">
        <v>2297</v>
      </c>
      <c r="E140" s="2782" t="s">
        <v>2298</v>
      </c>
      <c r="F140" s="2830" t="s">
        <v>4358</v>
      </c>
      <c r="G140" s="2783" t="s">
        <v>3672</v>
      </c>
      <c r="H140" s="2780"/>
      <c r="I140" s="2779"/>
      <c r="J140" s="2779"/>
      <c r="K140" s="2779"/>
      <c r="L140" s="2837"/>
      <c r="M140" s="2779">
        <v>1</v>
      </c>
      <c r="N140" s="1418">
        <v>35000</v>
      </c>
      <c r="O140" s="1412">
        <f t="shared" si="16"/>
        <v>0.35</v>
      </c>
      <c r="P140" s="1418">
        <v>38</v>
      </c>
      <c r="Q140" s="1412">
        <f t="shared" si="17"/>
        <v>13.299999999999999</v>
      </c>
      <c r="R140" s="2797" t="s">
        <v>6292</v>
      </c>
      <c r="S140" s="1639">
        <f>'Abs10. NLEP'!Q46</f>
        <v>0</v>
      </c>
      <c r="T140" s="4567"/>
      <c r="U140" s="2800">
        <f>'Abs10. NLEP'!R46</f>
        <v>0</v>
      </c>
    </row>
    <row r="141" spans="1:21" s="2836" customFormat="1" ht="33">
      <c r="A141" s="2745" t="s">
        <v>5020</v>
      </c>
      <c r="B141" s="2775" t="s">
        <v>3598</v>
      </c>
      <c r="C141" s="2775" t="s">
        <v>3599</v>
      </c>
      <c r="D141" s="2802" t="s">
        <v>2299</v>
      </c>
      <c r="E141" s="2802" t="s">
        <v>2300</v>
      </c>
      <c r="F141" s="3363" t="s">
        <v>85</v>
      </c>
      <c r="G141" s="2834" t="s">
        <v>3665</v>
      </c>
      <c r="H141" s="2804"/>
      <c r="I141" s="2804"/>
      <c r="J141" s="2804"/>
      <c r="K141" s="2804"/>
      <c r="L141" s="2824"/>
      <c r="M141" s="2804" t="s">
        <v>5922</v>
      </c>
      <c r="N141" s="2820">
        <v>10000</v>
      </c>
      <c r="O141" s="1447">
        <f t="shared" si="16"/>
        <v>0.1</v>
      </c>
      <c r="P141" s="2820">
        <v>38</v>
      </c>
      <c r="Q141" s="2808">
        <f t="shared" si="17"/>
        <v>3.8000000000000003</v>
      </c>
      <c r="R141" s="3353" t="s">
        <v>5924</v>
      </c>
      <c r="S141" s="3361">
        <f>'Abs16. NMHP'!Q32</f>
        <v>0</v>
      </c>
      <c r="T141" s="4567"/>
      <c r="U141" s="3362">
        <f>'Abs16. NMHP'!R32</f>
        <v>0</v>
      </c>
    </row>
    <row r="142" spans="1:21" s="2836" customFormat="1">
      <c r="A142" s="2745" t="s">
        <v>5021</v>
      </c>
      <c r="B142" s="2775" t="s">
        <v>3600</v>
      </c>
      <c r="C142" s="2775" t="s">
        <v>3601</v>
      </c>
      <c r="D142" s="2802" t="s">
        <v>2261</v>
      </c>
      <c r="E142" s="2802" t="s">
        <v>2301</v>
      </c>
      <c r="F142" s="3363" t="s">
        <v>85</v>
      </c>
      <c r="G142" s="2834" t="s">
        <v>3665</v>
      </c>
      <c r="H142" s="2804"/>
      <c r="I142" s="2804"/>
      <c r="J142" s="2804"/>
      <c r="K142" s="2804"/>
      <c r="L142" s="2824"/>
      <c r="M142" s="2804" t="s">
        <v>5922</v>
      </c>
      <c r="N142" s="2820">
        <v>25000</v>
      </c>
      <c r="O142" s="1447">
        <f t="shared" si="16"/>
        <v>0.25</v>
      </c>
      <c r="P142" s="2820">
        <v>38</v>
      </c>
      <c r="Q142" s="2808">
        <f t="shared" si="17"/>
        <v>9.5</v>
      </c>
      <c r="R142" s="2841" t="s">
        <v>5925</v>
      </c>
      <c r="S142" s="3361">
        <f>'Abs16. NMHP'!Q33</f>
        <v>0</v>
      </c>
      <c r="T142" s="4567"/>
      <c r="U142" s="3362">
        <f>'Abs16. NMHP'!R33</f>
        <v>0</v>
      </c>
    </row>
    <row r="143" spans="1:21" ht="33">
      <c r="A143" s="2755" t="s">
        <v>5022</v>
      </c>
      <c r="B143" s="2775" t="s">
        <v>3602</v>
      </c>
      <c r="C143" s="2775" t="s">
        <v>3603</v>
      </c>
      <c r="D143" s="2782" t="s">
        <v>2302</v>
      </c>
      <c r="E143" s="2782" t="s">
        <v>2303</v>
      </c>
      <c r="F143" s="2799" t="s">
        <v>85</v>
      </c>
      <c r="G143" s="2834" t="s">
        <v>3673</v>
      </c>
      <c r="H143" s="2804"/>
      <c r="I143" s="2780"/>
      <c r="J143" s="2780"/>
      <c r="K143" s="2780"/>
      <c r="L143" s="2784"/>
      <c r="M143" s="1415" t="s">
        <v>5960</v>
      </c>
      <c r="N143" s="1428">
        <v>20000</v>
      </c>
      <c r="O143" s="1412">
        <f t="shared" si="16"/>
        <v>0.2</v>
      </c>
      <c r="P143" s="1428">
        <v>38</v>
      </c>
      <c r="Q143" s="2785">
        <f t="shared" si="17"/>
        <v>7.6000000000000005</v>
      </c>
      <c r="R143" s="2792"/>
      <c r="S143" s="1639">
        <f>'Abs18. NTCP'!Q34</f>
        <v>0</v>
      </c>
      <c r="T143" s="4567"/>
      <c r="U143" s="2800">
        <f>'Abs18. NTCP'!R34</f>
        <v>0</v>
      </c>
    </row>
    <row r="144" spans="1:21">
      <c r="A144" s="2755" t="s">
        <v>5179</v>
      </c>
      <c r="B144" s="2775" t="s">
        <v>3604</v>
      </c>
      <c r="C144" s="2775" t="s">
        <v>3605</v>
      </c>
      <c r="D144" s="2782" t="s">
        <v>2243</v>
      </c>
      <c r="E144" s="2782" t="s">
        <v>2304</v>
      </c>
      <c r="F144" s="2799" t="s">
        <v>85</v>
      </c>
      <c r="G144" s="2783" t="s">
        <v>3675</v>
      </c>
      <c r="H144" s="2780">
        <v>38</v>
      </c>
      <c r="I144" s="2780">
        <v>38</v>
      </c>
      <c r="J144" s="2780">
        <v>38</v>
      </c>
      <c r="K144" s="2780">
        <v>0</v>
      </c>
      <c r="L144" s="2780">
        <v>0</v>
      </c>
      <c r="M144" s="2780"/>
      <c r="N144" s="1418"/>
      <c r="O144" s="1412">
        <f t="shared" si="16"/>
        <v>0</v>
      </c>
      <c r="P144" s="1418"/>
      <c r="Q144" s="2785">
        <f t="shared" si="17"/>
        <v>0</v>
      </c>
      <c r="R144" s="2843"/>
      <c r="S144" s="1639">
        <f>'Abs19. NPCDCS'!Q68</f>
        <v>0</v>
      </c>
      <c r="T144" s="4567"/>
      <c r="U144" s="2800">
        <f>'Abs19. NPCDCS'!R68</f>
        <v>0</v>
      </c>
    </row>
    <row r="145" spans="1:21" ht="38.25" customHeight="1">
      <c r="A145" s="2755">
        <v>3</v>
      </c>
      <c r="B145" s="2775" t="s">
        <v>3606</v>
      </c>
      <c r="C145" s="2775" t="s">
        <v>3607</v>
      </c>
      <c r="D145" s="2775"/>
      <c r="E145" s="2775" t="s">
        <v>3679</v>
      </c>
      <c r="F145" s="2776"/>
      <c r="G145" s="2776"/>
      <c r="H145" s="2777"/>
      <c r="I145" s="2777"/>
      <c r="J145" s="2777"/>
      <c r="K145" s="2777"/>
      <c r="L145" s="2778"/>
      <c r="M145" s="2815"/>
      <c r="N145" s="2816"/>
      <c r="O145" s="1447"/>
      <c r="P145" s="2777"/>
      <c r="Q145" s="1447">
        <f>Q146</f>
        <v>10.32</v>
      </c>
      <c r="R145" s="2781"/>
      <c r="S145" s="1639"/>
      <c r="T145" s="4567"/>
      <c r="U145" s="1640">
        <f>U146</f>
        <v>0</v>
      </c>
    </row>
    <row r="146" spans="1:21" ht="58.5" customHeight="1">
      <c r="A146" s="2755" t="s">
        <v>4931</v>
      </c>
      <c r="B146" s="2775" t="s">
        <v>3608</v>
      </c>
      <c r="C146" s="2775" t="s">
        <v>3609</v>
      </c>
      <c r="D146" s="2782" t="s">
        <v>2305</v>
      </c>
      <c r="E146" s="2782" t="s">
        <v>2306</v>
      </c>
      <c r="F146" s="2853" t="s">
        <v>90</v>
      </c>
      <c r="G146" s="2783" t="s">
        <v>3334</v>
      </c>
      <c r="H146" s="2780"/>
      <c r="I146" s="2862"/>
      <c r="J146" s="2862"/>
      <c r="K146" s="2862"/>
      <c r="L146" s="2863"/>
      <c r="M146" s="2864" t="s">
        <v>6584</v>
      </c>
      <c r="N146" s="2791">
        <v>24000</v>
      </c>
      <c r="O146" s="1412">
        <f>N146/100000</f>
        <v>0.24</v>
      </c>
      <c r="P146" s="1418">
        <v>43</v>
      </c>
      <c r="Q146" s="2785">
        <f>O146*P146</f>
        <v>10.32</v>
      </c>
      <c r="R146" s="2797" t="s">
        <v>6585</v>
      </c>
      <c r="S146" s="1639">
        <f>'Ab1. RMNCH+A'!Q474</f>
        <v>0</v>
      </c>
      <c r="T146" s="4567"/>
      <c r="U146" s="2800">
        <f>'Ab1. RMNCH+A'!R474</f>
        <v>0</v>
      </c>
    </row>
    <row r="147" spans="1:21" ht="32.25" customHeight="1">
      <c r="A147" s="2755" t="s">
        <v>4356</v>
      </c>
      <c r="B147" s="2767" t="s">
        <v>3379</v>
      </c>
      <c r="C147" s="2767">
        <v>16.7</v>
      </c>
      <c r="D147" s="2868"/>
      <c r="E147" s="2868" t="s">
        <v>2307</v>
      </c>
      <c r="F147" s="2768"/>
      <c r="G147" s="2768"/>
      <c r="H147" s="2810"/>
      <c r="I147" s="2810"/>
      <c r="J147" s="2810"/>
      <c r="K147" s="2810"/>
      <c r="L147" s="2811"/>
      <c r="M147" s="2812"/>
      <c r="N147" s="2813"/>
      <c r="O147" s="1392"/>
      <c r="P147" s="2810"/>
      <c r="Q147" s="1392">
        <f>Q148+Q152+Q162</f>
        <v>441.84389999999996</v>
      </c>
      <c r="R147" s="2814"/>
      <c r="S147" s="2773"/>
      <c r="T147" s="4567"/>
      <c r="U147" s="2774">
        <f>U148+U152+U162</f>
        <v>0</v>
      </c>
    </row>
    <row r="148" spans="1:21" ht="31.5" customHeight="1">
      <c r="A148" s="2755">
        <v>1</v>
      </c>
      <c r="B148" s="2775" t="s">
        <v>3610</v>
      </c>
      <c r="C148" s="2775" t="s">
        <v>3611</v>
      </c>
      <c r="D148" s="2775"/>
      <c r="E148" s="2775" t="s">
        <v>2308</v>
      </c>
      <c r="F148" s="2776"/>
      <c r="G148" s="2776"/>
      <c r="H148" s="2777"/>
      <c r="I148" s="2777"/>
      <c r="J148" s="2777"/>
      <c r="K148" s="2777"/>
      <c r="L148" s="2778"/>
      <c r="M148" s="2815"/>
      <c r="N148" s="2816"/>
      <c r="O148" s="1447"/>
      <c r="P148" s="2777"/>
      <c r="Q148" s="1447">
        <f>SUM(Q149:Q151)</f>
        <v>0</v>
      </c>
      <c r="R148" s="2781"/>
      <c r="S148" s="1639"/>
      <c r="T148" s="4567"/>
      <c r="U148" s="1640">
        <f>SUM(U149:U151)</f>
        <v>0</v>
      </c>
    </row>
    <row r="149" spans="1:21" ht="33">
      <c r="A149" s="2755" t="s">
        <v>4931</v>
      </c>
      <c r="B149" s="2775" t="s">
        <v>3612</v>
      </c>
      <c r="C149" s="2775" t="s">
        <v>3613</v>
      </c>
      <c r="D149" s="2788" t="s">
        <v>2309</v>
      </c>
      <c r="E149" s="2782" t="s">
        <v>4667</v>
      </c>
      <c r="F149" s="2464" t="s">
        <v>70</v>
      </c>
      <c r="G149" s="2783" t="s">
        <v>3680</v>
      </c>
      <c r="H149" s="2780"/>
      <c r="I149" s="2862"/>
      <c r="J149" s="2862"/>
      <c r="K149" s="2862"/>
      <c r="L149" s="2863"/>
      <c r="M149" s="2864"/>
      <c r="N149" s="2791"/>
      <c r="O149" s="1412">
        <f>N149/100000</f>
        <v>0</v>
      </c>
      <c r="P149" s="1418"/>
      <c r="Q149" s="2785">
        <f>O149*P149</f>
        <v>0</v>
      </c>
      <c r="R149" s="2792"/>
      <c r="S149" s="1639">
        <f>'Abs5. Blood services &amp; Disorder'!Q30</f>
        <v>0</v>
      </c>
      <c r="T149" s="4567"/>
      <c r="U149" s="2838">
        <f>'Abs5. Blood services &amp; Disorder'!R30</f>
        <v>0</v>
      </c>
    </row>
    <row r="150" spans="1:21">
      <c r="A150" s="2755" t="s">
        <v>4932</v>
      </c>
      <c r="B150" s="2775" t="s">
        <v>3614</v>
      </c>
      <c r="C150" s="2775" t="s">
        <v>3615</v>
      </c>
      <c r="D150" s="2788" t="s">
        <v>1154</v>
      </c>
      <c r="E150" s="2782" t="s">
        <v>2310</v>
      </c>
      <c r="F150" s="2464" t="s">
        <v>70</v>
      </c>
      <c r="G150" s="2783" t="s">
        <v>3331</v>
      </c>
      <c r="H150" s="2780"/>
      <c r="I150" s="2862"/>
      <c r="J150" s="2862"/>
      <c r="K150" s="2794"/>
      <c r="L150" s="2795"/>
      <c r="M150" s="2864"/>
      <c r="N150" s="2791"/>
      <c r="O150" s="1412">
        <f>N150/100000</f>
        <v>0</v>
      </c>
      <c r="P150" s="1418"/>
      <c r="Q150" s="2785">
        <f>O150*P150</f>
        <v>0</v>
      </c>
      <c r="R150" s="2792"/>
      <c r="S150" s="1591"/>
      <c r="T150" s="4567"/>
      <c r="U150" s="2865"/>
    </row>
    <row r="151" spans="1:21" ht="33">
      <c r="A151" s="2755" t="s">
        <v>4815</v>
      </c>
      <c r="B151" s="2775" t="s">
        <v>3616</v>
      </c>
      <c r="C151" s="2775" t="s">
        <v>3617</v>
      </c>
      <c r="D151" s="2788" t="s">
        <v>2205</v>
      </c>
      <c r="E151" s="2782" t="s">
        <v>2313</v>
      </c>
      <c r="F151" s="2830" t="s">
        <v>4358</v>
      </c>
      <c r="G151" s="2783" t="s">
        <v>4977</v>
      </c>
      <c r="H151" s="2780"/>
      <c r="I151" s="2862"/>
      <c r="J151" s="2862"/>
      <c r="K151" s="2862"/>
      <c r="L151" s="2863"/>
      <c r="M151" s="2864"/>
      <c r="N151" s="2791"/>
      <c r="O151" s="1412">
        <f>N151/100000</f>
        <v>0</v>
      </c>
      <c r="P151" s="1418"/>
      <c r="Q151" s="2785">
        <f>O151*P151</f>
        <v>0</v>
      </c>
      <c r="R151" s="2792"/>
      <c r="S151" s="1639">
        <f>'Abs9. NVBDCP'!Q129</f>
        <v>0</v>
      </c>
      <c r="T151" s="4567"/>
      <c r="U151" s="2800">
        <f>'Abs9. NVBDCP'!R129</f>
        <v>0</v>
      </c>
    </row>
    <row r="152" spans="1:21" ht="32.25" customHeight="1">
      <c r="A152" s="2755">
        <v>2</v>
      </c>
      <c r="B152" s="2775" t="s">
        <v>3618</v>
      </c>
      <c r="C152" s="2775" t="s">
        <v>3619</v>
      </c>
      <c r="D152" s="2775"/>
      <c r="E152" s="2775" t="s">
        <v>2314</v>
      </c>
      <c r="F152" s="2776"/>
      <c r="G152" s="2776"/>
      <c r="H152" s="2777"/>
      <c r="I152" s="2777"/>
      <c r="J152" s="2777"/>
      <c r="K152" s="2777"/>
      <c r="L152" s="2778"/>
      <c r="M152" s="2815"/>
      <c r="N152" s="2816"/>
      <c r="O152" s="1447"/>
      <c r="P152" s="2777"/>
      <c r="Q152" s="1447">
        <f>SUM(Q153:Q157)+Q160+Q161</f>
        <v>15.600000000000001</v>
      </c>
      <c r="R152" s="2781"/>
      <c r="S152" s="1639"/>
      <c r="T152" s="4567"/>
      <c r="U152" s="1640">
        <f>SUM(U153:U157)+U160+U161</f>
        <v>0</v>
      </c>
    </row>
    <row r="153" spans="1:21" s="3763" customFormat="1" ht="33">
      <c r="A153" s="3751" t="s">
        <v>4931</v>
      </c>
      <c r="B153" s="3752" t="s">
        <v>3620</v>
      </c>
      <c r="C153" s="3752" t="s">
        <v>3621</v>
      </c>
      <c r="D153" s="4037" t="s">
        <v>2191</v>
      </c>
      <c r="E153" s="3753" t="s">
        <v>2315</v>
      </c>
      <c r="F153" s="3857" t="s">
        <v>4358</v>
      </c>
      <c r="G153" s="3755" t="s">
        <v>3670</v>
      </c>
      <c r="H153" s="3756"/>
      <c r="I153" s="3756"/>
      <c r="J153" s="3756"/>
      <c r="K153" s="3756"/>
      <c r="L153" s="3874"/>
      <c r="M153" s="3756" t="s">
        <v>6084</v>
      </c>
      <c r="N153" s="3757">
        <v>10000</v>
      </c>
      <c r="O153" s="3758">
        <f>N153/100000</f>
        <v>0.1</v>
      </c>
      <c r="P153" s="3757">
        <v>38</v>
      </c>
      <c r="Q153" s="3759">
        <f>O153*P153</f>
        <v>3.8000000000000003</v>
      </c>
      <c r="R153" s="4073" t="s">
        <v>6923</v>
      </c>
      <c r="S153" s="3761">
        <f>'Abs8. IDSP'!Q35</f>
        <v>0</v>
      </c>
      <c r="T153" s="4567"/>
      <c r="U153" s="3762">
        <f>'Abs8. IDSP'!R35</f>
        <v>0</v>
      </c>
    </row>
    <row r="154" spans="1:21" ht="33">
      <c r="A154" s="2755" t="s">
        <v>4932</v>
      </c>
      <c r="B154" s="2775" t="s">
        <v>3622</v>
      </c>
      <c r="C154" s="2775" t="s">
        <v>3623</v>
      </c>
      <c r="D154" s="2875" t="s">
        <v>2316</v>
      </c>
      <c r="E154" s="2802" t="s">
        <v>2317</v>
      </c>
      <c r="F154" s="2830" t="s">
        <v>4358</v>
      </c>
      <c r="G154" s="2783" t="s">
        <v>4978</v>
      </c>
      <c r="H154" s="2780"/>
      <c r="I154" s="2780"/>
      <c r="J154" s="2780"/>
      <c r="K154" s="2780"/>
      <c r="L154" s="2784"/>
      <c r="M154" s="2790"/>
      <c r="N154" s="2791"/>
      <c r="O154" s="1412">
        <f>N154/100000</f>
        <v>0</v>
      </c>
      <c r="P154" s="1418"/>
      <c r="Q154" s="2785">
        <f>O154*P154</f>
        <v>0</v>
      </c>
      <c r="R154" s="2792"/>
      <c r="S154" s="1639">
        <f>'Abs9. NVBDCP'!Q130</f>
        <v>0</v>
      </c>
      <c r="T154" s="4567"/>
      <c r="U154" s="2800">
        <f>'Abs9. NVBDCP'!R130</f>
        <v>0</v>
      </c>
    </row>
    <row r="155" spans="1:21" s="3690" customFormat="1" ht="33">
      <c r="A155" s="3676" t="s">
        <v>4815</v>
      </c>
      <c r="B155" s="3677" t="s">
        <v>3624</v>
      </c>
      <c r="C155" s="3677" t="s">
        <v>3625</v>
      </c>
      <c r="D155" s="3678" t="s">
        <v>2318</v>
      </c>
      <c r="E155" s="3679" t="s">
        <v>4120</v>
      </c>
      <c r="F155" s="3680" t="s">
        <v>4358</v>
      </c>
      <c r="G155" s="3681" t="s">
        <v>3672</v>
      </c>
      <c r="H155" s="3682"/>
      <c r="I155" s="3683"/>
      <c r="J155" s="3683"/>
      <c r="K155" s="3683"/>
      <c r="L155" s="3684"/>
      <c r="M155" s="3683">
        <v>1</v>
      </c>
      <c r="N155" s="3685">
        <v>1000000</v>
      </c>
      <c r="O155" s="3686">
        <f>N155/100000</f>
        <v>10</v>
      </c>
      <c r="P155" s="3685">
        <v>1</v>
      </c>
      <c r="Q155" s="3686">
        <f>O155*P155</f>
        <v>10</v>
      </c>
      <c r="R155" s="3687" t="s">
        <v>6293</v>
      </c>
      <c r="S155" s="3688">
        <f>'Abs10. NLEP'!Q47</f>
        <v>0</v>
      </c>
      <c r="T155" s="4567"/>
      <c r="U155" s="3689">
        <f>'Abs10. NLEP'!R47</f>
        <v>0</v>
      </c>
    </row>
    <row r="156" spans="1:21">
      <c r="A156" s="2755" t="s">
        <v>4934</v>
      </c>
      <c r="B156" s="2775" t="s">
        <v>3626</v>
      </c>
      <c r="C156" s="2775" t="s">
        <v>3627</v>
      </c>
      <c r="D156" s="2788" t="s">
        <v>1292</v>
      </c>
      <c r="E156" s="2782" t="s">
        <v>2319</v>
      </c>
      <c r="F156" s="2830" t="s">
        <v>4358</v>
      </c>
      <c r="G156" s="2783" t="s">
        <v>4673</v>
      </c>
      <c r="H156" s="2780"/>
      <c r="I156" s="2780"/>
      <c r="J156" s="2780"/>
      <c r="K156" s="2780"/>
      <c r="L156" s="2784"/>
      <c r="M156" s="2790"/>
      <c r="N156" s="2791"/>
      <c r="O156" s="1412">
        <f>N156/100000</f>
        <v>0</v>
      </c>
      <c r="P156" s="1418"/>
      <c r="Q156" s="2785">
        <f>O156*P156</f>
        <v>0</v>
      </c>
      <c r="R156" s="2792"/>
      <c r="S156" s="1639">
        <f>'Abs11. NTEP'!Q63</f>
        <v>0</v>
      </c>
      <c r="T156" s="4567"/>
      <c r="U156" s="2800">
        <f>'Abs11. NTEP'!R63</f>
        <v>0</v>
      </c>
    </row>
    <row r="157" spans="1:21" s="2836" customFormat="1" ht="39" customHeight="1">
      <c r="A157" s="2745" t="s">
        <v>4933</v>
      </c>
      <c r="B157" s="2775" t="s">
        <v>3628</v>
      </c>
      <c r="C157" s="2775" t="s">
        <v>3629</v>
      </c>
      <c r="D157" s="2775" t="s">
        <v>2320</v>
      </c>
      <c r="E157" s="2775" t="s">
        <v>2321</v>
      </c>
      <c r="F157" s="2776"/>
      <c r="G157" s="2776"/>
      <c r="H157" s="2777"/>
      <c r="I157" s="2777"/>
      <c r="J157" s="2777"/>
      <c r="K157" s="2777"/>
      <c r="L157" s="2778"/>
      <c r="M157" s="2815"/>
      <c r="N157" s="2816"/>
      <c r="O157" s="1447"/>
      <c r="P157" s="2777"/>
      <c r="Q157" s="1447">
        <f>Q158+Q159</f>
        <v>0</v>
      </c>
      <c r="R157" s="2781"/>
      <c r="S157" s="1639"/>
      <c r="T157" s="4567"/>
      <c r="U157" s="1640">
        <f>U158+U159</f>
        <v>0</v>
      </c>
    </row>
    <row r="158" spans="1:21">
      <c r="A158" s="2755" t="s">
        <v>5181</v>
      </c>
      <c r="B158" s="2775" t="s">
        <v>4609</v>
      </c>
      <c r="C158" s="2775" t="s">
        <v>3631</v>
      </c>
      <c r="D158" s="2788" t="s">
        <v>2322</v>
      </c>
      <c r="E158" s="2782" t="s">
        <v>1116</v>
      </c>
      <c r="F158" s="2799" t="s">
        <v>85</v>
      </c>
      <c r="G158" s="2783" t="s">
        <v>3675</v>
      </c>
      <c r="H158" s="2780"/>
      <c r="I158" s="2780"/>
      <c r="J158" s="2780"/>
      <c r="K158" s="2780"/>
      <c r="L158" s="2784"/>
      <c r="M158" s="2790"/>
      <c r="N158" s="2791"/>
      <c r="O158" s="1412">
        <f>N158/100000</f>
        <v>0</v>
      </c>
      <c r="P158" s="1418"/>
      <c r="Q158" s="2785">
        <f>O158*P158</f>
        <v>0</v>
      </c>
      <c r="R158" s="2792"/>
      <c r="S158" s="1639">
        <f>'Abs19. NPCDCS'!Q69</f>
        <v>0</v>
      </c>
      <c r="T158" s="4567"/>
      <c r="U158" s="2800">
        <f>'Abs19. NPCDCS'!R69</f>
        <v>0</v>
      </c>
    </row>
    <row r="159" spans="1:21">
      <c r="A159" s="2755" t="s">
        <v>5182</v>
      </c>
      <c r="B159" s="2775" t="s">
        <v>4610</v>
      </c>
      <c r="C159" s="2775" t="s">
        <v>3633</v>
      </c>
      <c r="D159" s="2788" t="s">
        <v>2323</v>
      </c>
      <c r="E159" s="2782" t="s">
        <v>2324</v>
      </c>
      <c r="F159" s="2799" t="s">
        <v>85</v>
      </c>
      <c r="G159" s="2783" t="s">
        <v>3675</v>
      </c>
      <c r="H159" s="2780"/>
      <c r="I159" s="2780"/>
      <c r="J159" s="2780"/>
      <c r="K159" s="2780"/>
      <c r="L159" s="2784"/>
      <c r="M159" s="2790"/>
      <c r="N159" s="2791"/>
      <c r="O159" s="1412">
        <f>N159/100000</f>
        <v>0</v>
      </c>
      <c r="P159" s="1418"/>
      <c r="Q159" s="2785">
        <f>O159*P159</f>
        <v>0</v>
      </c>
      <c r="R159" s="2792"/>
      <c r="S159" s="1639">
        <f>'Abs19. NPCDCS'!Q70</f>
        <v>0</v>
      </c>
      <c r="T159" s="4567"/>
      <c r="U159" s="2800">
        <f>'Abs19. NPCDCS'!R70</f>
        <v>0</v>
      </c>
    </row>
    <row r="160" spans="1:21" s="3690" customFormat="1" ht="66">
      <c r="A160" s="3676" t="s">
        <v>5020</v>
      </c>
      <c r="B160" s="3677" t="s">
        <v>3630</v>
      </c>
      <c r="C160" s="3677"/>
      <c r="D160" s="3678"/>
      <c r="E160" s="3679" t="s">
        <v>3681</v>
      </c>
      <c r="F160" s="3680" t="s">
        <v>4358</v>
      </c>
      <c r="G160" s="3681" t="s">
        <v>3338</v>
      </c>
      <c r="H160" s="3682"/>
      <c r="I160" s="3682"/>
      <c r="J160" s="3682"/>
      <c r="K160" s="3682"/>
      <c r="L160" s="3705"/>
      <c r="M160" s="3706" t="s">
        <v>5823</v>
      </c>
      <c r="N160" s="3707">
        <v>60000</v>
      </c>
      <c r="O160" s="3686">
        <f>N160/100000</f>
        <v>0.6</v>
      </c>
      <c r="P160" s="3685">
        <v>3</v>
      </c>
      <c r="Q160" s="3708">
        <f>O160*P160</f>
        <v>1.7999999999999998</v>
      </c>
      <c r="R160" s="3687" t="s">
        <v>5819</v>
      </c>
      <c r="S160" s="3688">
        <f>'Abs12. NVHCP'!Q44</f>
        <v>0</v>
      </c>
      <c r="T160" s="4567"/>
      <c r="U160" s="3689">
        <f>'Abs12. NVHCP'!R44</f>
        <v>0</v>
      </c>
    </row>
    <row r="161" spans="1:21" s="2836" customFormat="1">
      <c r="A161" s="2745" t="s">
        <v>5021</v>
      </c>
      <c r="B161" s="2775" t="s">
        <v>3632</v>
      </c>
      <c r="C161" s="2775"/>
      <c r="D161" s="2875"/>
      <c r="E161" s="2802" t="s">
        <v>4436</v>
      </c>
      <c r="F161" s="2830" t="s">
        <v>4358</v>
      </c>
      <c r="G161" s="2834" t="s">
        <v>3671</v>
      </c>
      <c r="H161" s="2804"/>
      <c r="I161" s="2804"/>
      <c r="J161" s="2804"/>
      <c r="K161" s="2804"/>
      <c r="L161" s="2824"/>
      <c r="M161" s="2807"/>
      <c r="N161" s="2791"/>
      <c r="O161" s="1412">
        <f>N161/100000</f>
        <v>0</v>
      </c>
      <c r="P161" s="1418"/>
      <c r="Q161" s="2808">
        <f>O161*P161</f>
        <v>0</v>
      </c>
      <c r="R161" s="2835"/>
      <c r="S161" s="1639">
        <f>'Abs9. NVBDCP'!Q131</f>
        <v>0</v>
      </c>
      <c r="T161" s="4567"/>
      <c r="U161" s="2800">
        <f>'Abs9. NVBDCP'!R131</f>
        <v>0</v>
      </c>
    </row>
    <row r="162" spans="1:21" ht="24.75" customHeight="1">
      <c r="A162" s="2755">
        <v>3</v>
      </c>
      <c r="B162" s="2775" t="s">
        <v>3634</v>
      </c>
      <c r="C162" s="2775" t="s">
        <v>3635</v>
      </c>
      <c r="D162" s="2775"/>
      <c r="E162" s="2775" t="s">
        <v>307</v>
      </c>
      <c r="F162" s="2776"/>
      <c r="G162" s="2776"/>
      <c r="H162" s="2777"/>
      <c r="I162" s="2777"/>
      <c r="J162" s="2777"/>
      <c r="K162" s="2777"/>
      <c r="L162" s="2778"/>
      <c r="M162" s="2815"/>
      <c r="N162" s="2816"/>
      <c r="O162" s="1447"/>
      <c r="P162" s="2777"/>
      <c r="Q162" s="1447">
        <f>SUM(Q163:Q172)+Q174+Q177</f>
        <v>426.24389999999994</v>
      </c>
      <c r="R162" s="2781"/>
      <c r="S162" s="1639"/>
      <c r="T162" s="4567"/>
      <c r="U162" s="1640">
        <f>SUM(U163:U172)+U174+U177</f>
        <v>0</v>
      </c>
    </row>
    <row r="163" spans="1:21" ht="33">
      <c r="A163" s="2755" t="s">
        <v>4931</v>
      </c>
      <c r="B163" s="2775" t="s">
        <v>3636</v>
      </c>
      <c r="C163" s="2775" t="s">
        <v>3637</v>
      </c>
      <c r="D163" s="2788" t="s">
        <v>132</v>
      </c>
      <c r="E163" s="2782" t="s">
        <v>2325</v>
      </c>
      <c r="F163" s="2876" t="s">
        <v>90</v>
      </c>
      <c r="G163" s="2783" t="s">
        <v>3334</v>
      </c>
      <c r="H163" s="2780"/>
      <c r="I163" s="2780"/>
      <c r="J163" s="2780"/>
      <c r="K163" s="2780"/>
      <c r="L163" s="2784"/>
      <c r="M163" s="2790"/>
      <c r="N163" s="2791"/>
      <c r="O163" s="1412">
        <f t="shared" ref="O163:O171" si="18">N163/100000</f>
        <v>0</v>
      </c>
      <c r="P163" s="1418"/>
      <c r="Q163" s="2785">
        <f t="shared" ref="Q163:Q171" si="19">O163*P163</f>
        <v>0</v>
      </c>
      <c r="R163" s="2792"/>
      <c r="S163" s="1639">
        <f>'Ab1. RMNCH+A'!Q475</f>
        <v>0</v>
      </c>
      <c r="T163" s="4567"/>
      <c r="U163" s="2827">
        <f>'Ab1. RMNCH+A'!R475</f>
        <v>0</v>
      </c>
    </row>
    <row r="164" spans="1:21" ht="214.5">
      <c r="A164" s="2755" t="s">
        <v>4932</v>
      </c>
      <c r="B164" s="2775" t="s">
        <v>3638</v>
      </c>
      <c r="C164" s="2775" t="s">
        <v>3639</v>
      </c>
      <c r="D164" s="2788" t="s">
        <v>2328</v>
      </c>
      <c r="E164" s="2782" t="s">
        <v>2329</v>
      </c>
      <c r="F164" s="2464" t="s">
        <v>70</v>
      </c>
      <c r="G164" s="2861" t="s">
        <v>3676</v>
      </c>
      <c r="H164" s="2877"/>
      <c r="I164" s="2780"/>
      <c r="J164" s="2780"/>
      <c r="K164" s="2780"/>
      <c r="L164" s="2784"/>
      <c r="M164" s="2790">
        <v>1</v>
      </c>
      <c r="N164" s="2791">
        <v>7975000</v>
      </c>
      <c r="O164" s="1412">
        <f t="shared" si="18"/>
        <v>79.75</v>
      </c>
      <c r="P164" s="1418">
        <v>1</v>
      </c>
      <c r="Q164" s="2785">
        <f t="shared" si="19"/>
        <v>79.75</v>
      </c>
      <c r="R164" s="2797" t="s">
        <v>6617</v>
      </c>
      <c r="S164" s="1591"/>
      <c r="T164" s="4567"/>
      <c r="U164" s="2787"/>
    </row>
    <row r="165" spans="1:21" ht="148.5">
      <c r="A165" s="2755" t="s">
        <v>4815</v>
      </c>
      <c r="B165" s="2775" t="s">
        <v>3640</v>
      </c>
      <c r="C165" s="2775" t="s">
        <v>3641</v>
      </c>
      <c r="D165" s="2788" t="s">
        <v>2330</v>
      </c>
      <c r="E165" s="2782" t="s">
        <v>2331</v>
      </c>
      <c r="F165" s="2464" t="s">
        <v>70</v>
      </c>
      <c r="G165" s="2861" t="s">
        <v>3676</v>
      </c>
      <c r="H165" s="2877"/>
      <c r="I165" s="2780"/>
      <c r="J165" s="2780"/>
      <c r="K165" s="2780"/>
      <c r="L165" s="2784"/>
      <c r="M165" s="2790">
        <v>20</v>
      </c>
      <c r="N165" s="2791">
        <v>1416000</v>
      </c>
      <c r="O165" s="1412">
        <f t="shared" si="18"/>
        <v>14.16</v>
      </c>
      <c r="P165" s="1418">
        <v>20</v>
      </c>
      <c r="Q165" s="2785">
        <f t="shared" si="19"/>
        <v>283.2</v>
      </c>
      <c r="R165" s="2797" t="s">
        <v>6618</v>
      </c>
      <c r="S165" s="1591"/>
      <c r="T165" s="4567"/>
      <c r="U165" s="2787"/>
    </row>
    <row r="166" spans="1:21" ht="181.5">
      <c r="A166" s="2755" t="s">
        <v>4934</v>
      </c>
      <c r="B166" s="2775" t="s">
        <v>3642</v>
      </c>
      <c r="C166" s="2775" t="s">
        <v>3643</v>
      </c>
      <c r="D166" s="2788" t="s">
        <v>2332</v>
      </c>
      <c r="E166" s="2782" t="s">
        <v>4672</v>
      </c>
      <c r="F166" s="2464" t="s">
        <v>70</v>
      </c>
      <c r="G166" s="2783" t="s">
        <v>3682</v>
      </c>
      <c r="H166" s="2780"/>
      <c r="I166" s="2780"/>
      <c r="J166" s="2780"/>
      <c r="K166" s="2780"/>
      <c r="L166" s="2784"/>
      <c r="M166" s="2790">
        <v>52</v>
      </c>
      <c r="N166" s="2791">
        <v>7200</v>
      </c>
      <c r="O166" s="1412">
        <f t="shared" si="18"/>
        <v>7.1999999999999995E-2</v>
      </c>
      <c r="P166" s="1418">
        <v>52</v>
      </c>
      <c r="Q166" s="2785">
        <f t="shared" si="19"/>
        <v>3.7439999999999998</v>
      </c>
      <c r="R166" s="2797" t="s">
        <v>6619</v>
      </c>
      <c r="S166" s="1591"/>
      <c r="T166" s="4567"/>
      <c r="U166" s="2787"/>
    </row>
    <row r="167" spans="1:21" s="3763" customFormat="1" ht="40.5" customHeight="1">
      <c r="A167" s="3751" t="s">
        <v>5021</v>
      </c>
      <c r="B167" s="3752" t="s">
        <v>3644</v>
      </c>
      <c r="C167" s="3752" t="s">
        <v>3645</v>
      </c>
      <c r="D167" s="4037" t="s">
        <v>2335</v>
      </c>
      <c r="E167" s="3753" t="s">
        <v>5762</v>
      </c>
      <c r="F167" s="3857" t="s">
        <v>4358</v>
      </c>
      <c r="G167" s="3755" t="s">
        <v>4979</v>
      </c>
      <c r="H167" s="3756"/>
      <c r="I167" s="3756"/>
      <c r="J167" s="3756"/>
      <c r="K167" s="3756"/>
      <c r="L167" s="3874"/>
      <c r="M167" s="4038" t="s">
        <v>6111</v>
      </c>
      <c r="N167" s="4039">
        <v>105263</v>
      </c>
      <c r="O167" s="3758">
        <f t="shared" si="18"/>
        <v>1.05263</v>
      </c>
      <c r="P167" s="3757">
        <v>38</v>
      </c>
      <c r="Q167" s="3759">
        <f t="shared" si="19"/>
        <v>39.999939999999995</v>
      </c>
      <c r="R167" s="4040" t="s">
        <v>6902</v>
      </c>
      <c r="S167" s="3761">
        <f>'Abs9. NVBDCP'!Q132</f>
        <v>0</v>
      </c>
      <c r="T167" s="4567"/>
      <c r="U167" s="3876">
        <f>'Abs9. NVBDCP'!R132</f>
        <v>0</v>
      </c>
    </row>
    <row r="168" spans="1:21" s="3763" customFormat="1" ht="33">
      <c r="A168" s="3751" t="s">
        <v>5022</v>
      </c>
      <c r="B168" s="3752" t="s">
        <v>3646</v>
      </c>
      <c r="C168" s="3752"/>
      <c r="D168" s="4037"/>
      <c r="E168" s="3753" t="s">
        <v>4433</v>
      </c>
      <c r="F168" s="3857" t="s">
        <v>4358</v>
      </c>
      <c r="G168" s="3755" t="s">
        <v>4984</v>
      </c>
      <c r="H168" s="3756"/>
      <c r="I168" s="3756"/>
      <c r="J168" s="3756"/>
      <c r="K168" s="3756"/>
      <c r="L168" s="3874"/>
      <c r="M168" s="3756"/>
      <c r="N168" s="3757"/>
      <c r="O168" s="3758">
        <f t="shared" si="18"/>
        <v>0</v>
      </c>
      <c r="P168" s="3757"/>
      <c r="Q168" s="3759">
        <f t="shared" si="19"/>
        <v>0</v>
      </c>
      <c r="R168" s="4041" t="s">
        <v>6903</v>
      </c>
      <c r="S168" s="3761">
        <f>'Abs9. NVBDCP'!Q133</f>
        <v>0</v>
      </c>
      <c r="T168" s="4567"/>
      <c r="U168" s="3876">
        <f>'Abs9. NVBDCP'!R133</f>
        <v>0</v>
      </c>
    </row>
    <row r="169" spans="1:21" s="3763" customFormat="1" ht="82.5">
      <c r="A169" s="3751" t="s">
        <v>5179</v>
      </c>
      <c r="B169" s="3752" t="s">
        <v>3648</v>
      </c>
      <c r="C169" s="3752" t="s">
        <v>3647</v>
      </c>
      <c r="D169" s="3765" t="s">
        <v>2205</v>
      </c>
      <c r="E169" s="3765" t="s">
        <v>2313</v>
      </c>
      <c r="F169" s="3857" t="s">
        <v>4358</v>
      </c>
      <c r="G169" s="3755" t="s">
        <v>4977</v>
      </c>
      <c r="H169" s="3756"/>
      <c r="I169" s="3756"/>
      <c r="J169" s="3756"/>
      <c r="K169" s="3756"/>
      <c r="L169" s="3874"/>
      <c r="M169" s="3756" t="s">
        <v>6901</v>
      </c>
      <c r="N169" s="3757">
        <v>47564</v>
      </c>
      <c r="O169" s="3758">
        <f t="shared" si="18"/>
        <v>0.47564000000000001</v>
      </c>
      <c r="P169" s="3757">
        <v>39</v>
      </c>
      <c r="Q169" s="3759">
        <f t="shared" si="19"/>
        <v>18.549959999999999</v>
      </c>
      <c r="R169" s="4041" t="s">
        <v>6902</v>
      </c>
      <c r="S169" s="3761">
        <f>'Abs9. NVBDCP'!Q134</f>
        <v>0</v>
      </c>
      <c r="T169" s="4567"/>
      <c r="U169" s="3876">
        <f>'Abs9. NVBDCP'!R134</f>
        <v>0</v>
      </c>
    </row>
    <row r="170" spans="1:21" ht="49.5">
      <c r="A170" s="2755" t="s">
        <v>5023</v>
      </c>
      <c r="B170" s="2775" t="s">
        <v>3650</v>
      </c>
      <c r="C170" s="2775" t="s">
        <v>3649</v>
      </c>
      <c r="D170" s="2875" t="s">
        <v>2336</v>
      </c>
      <c r="E170" s="2802" t="s">
        <v>2337</v>
      </c>
      <c r="F170" s="2799" t="s">
        <v>85</v>
      </c>
      <c r="G170" s="2834" t="s">
        <v>3683</v>
      </c>
      <c r="H170" s="2804"/>
      <c r="I170" s="2804"/>
      <c r="J170" s="2804"/>
      <c r="K170" s="2804"/>
      <c r="L170" s="2824"/>
      <c r="M170" s="2807"/>
      <c r="N170" s="2791"/>
      <c r="O170" s="1412">
        <f t="shared" si="18"/>
        <v>0</v>
      </c>
      <c r="P170" s="1418"/>
      <c r="Q170" s="2808">
        <f t="shared" si="19"/>
        <v>0</v>
      </c>
      <c r="R170" s="2835"/>
      <c r="S170" s="1639">
        <f>'Abs15. NPCB'!Q41</f>
        <v>0</v>
      </c>
      <c r="T170" s="4567"/>
      <c r="U170" s="2827">
        <f>'Abs15. NPCB'!R41</f>
        <v>0</v>
      </c>
    </row>
    <row r="171" spans="1:21">
      <c r="A171" s="2755" t="s">
        <v>5025</v>
      </c>
      <c r="B171" s="2775" t="s">
        <v>3652</v>
      </c>
      <c r="C171" s="2775" t="s">
        <v>3651</v>
      </c>
      <c r="D171" s="2788" t="s">
        <v>2338</v>
      </c>
      <c r="E171" s="2782" t="s">
        <v>2339</v>
      </c>
      <c r="F171" s="2799" t="s">
        <v>85</v>
      </c>
      <c r="G171" s="2783" t="s">
        <v>3673</v>
      </c>
      <c r="H171" s="2780"/>
      <c r="I171" s="2780"/>
      <c r="J171" s="2780"/>
      <c r="K171" s="2780"/>
      <c r="L171" s="2784"/>
      <c r="M171" s="1415" t="s">
        <v>5959</v>
      </c>
      <c r="N171" s="1428">
        <v>100000</v>
      </c>
      <c r="O171" s="1412">
        <f t="shared" si="18"/>
        <v>1</v>
      </c>
      <c r="P171" s="1428">
        <v>1</v>
      </c>
      <c r="Q171" s="2785">
        <f t="shared" si="19"/>
        <v>1</v>
      </c>
      <c r="R171" s="2792"/>
      <c r="S171" s="1639">
        <f>'Abs18. NTCP'!Q35</f>
        <v>0</v>
      </c>
      <c r="T171" s="4567"/>
      <c r="U171" s="2800">
        <f>'Abs18. NTCP'!R35</f>
        <v>0</v>
      </c>
    </row>
    <row r="172" spans="1:21" s="2836" customFormat="1" ht="12.95" customHeight="1">
      <c r="A172" s="2745" t="s">
        <v>4827</v>
      </c>
      <c r="B172" s="2775" t="s">
        <v>3654</v>
      </c>
      <c r="C172" s="2775" t="s">
        <v>3653</v>
      </c>
      <c r="D172" s="2775" t="s">
        <v>2340</v>
      </c>
      <c r="E172" s="2775" t="s">
        <v>2341</v>
      </c>
      <c r="F172" s="2776"/>
      <c r="G172" s="2834"/>
      <c r="H172" s="2804"/>
      <c r="I172" s="2777"/>
      <c r="J172" s="2777"/>
      <c r="K172" s="2777"/>
      <c r="L172" s="2778"/>
      <c r="M172" s="2815"/>
      <c r="N172" s="2816"/>
      <c r="O172" s="1447"/>
      <c r="P172" s="2777"/>
      <c r="Q172" s="1447">
        <f>Q173</f>
        <v>0</v>
      </c>
      <c r="R172" s="2781"/>
      <c r="S172" s="1639"/>
      <c r="T172" s="4567"/>
      <c r="U172" s="1640">
        <f>U173</f>
        <v>0</v>
      </c>
    </row>
    <row r="173" spans="1:21" s="2836" customFormat="1">
      <c r="A173" s="2745" t="s">
        <v>5183</v>
      </c>
      <c r="B173" s="2775" t="s">
        <v>3916</v>
      </c>
      <c r="C173" s="2775" t="s">
        <v>3655</v>
      </c>
      <c r="D173" s="2801" t="s">
        <v>2342</v>
      </c>
      <c r="E173" s="2833" t="s">
        <v>1210</v>
      </c>
      <c r="F173" s="2799" t="s">
        <v>85</v>
      </c>
      <c r="G173" s="2834" t="s">
        <v>3675</v>
      </c>
      <c r="H173" s="2804"/>
      <c r="I173" s="2804"/>
      <c r="J173" s="2804"/>
      <c r="K173" s="2804"/>
      <c r="L173" s="2824"/>
      <c r="M173" s="2807"/>
      <c r="N173" s="2791"/>
      <c r="O173" s="1412">
        <f>N173/100000</f>
        <v>0</v>
      </c>
      <c r="P173" s="1418"/>
      <c r="Q173" s="2808">
        <f>O173*P173</f>
        <v>0</v>
      </c>
      <c r="R173" s="2835"/>
      <c r="S173" s="1639">
        <f>'Abs19. NPCDCS'!Q71</f>
        <v>0</v>
      </c>
      <c r="T173" s="4567"/>
      <c r="U173" s="2800">
        <f>'Abs19. NPCDCS'!R71</f>
        <v>0</v>
      </c>
    </row>
    <row r="174" spans="1:21" s="2836" customFormat="1" ht="12.95" customHeight="1">
      <c r="A174" s="2745" t="s">
        <v>4825</v>
      </c>
      <c r="B174" s="2775" t="s">
        <v>3656</v>
      </c>
      <c r="C174" s="2775" t="s">
        <v>3657</v>
      </c>
      <c r="D174" s="2775" t="s">
        <v>2343</v>
      </c>
      <c r="E174" s="2775" t="s">
        <v>5177</v>
      </c>
      <c r="F174" s="2776"/>
      <c r="G174" s="2834"/>
      <c r="H174" s="2804"/>
      <c r="I174" s="2777"/>
      <c r="J174" s="2777"/>
      <c r="K174" s="2777"/>
      <c r="L174" s="2778"/>
      <c r="M174" s="2815"/>
      <c r="N174" s="2816"/>
      <c r="O174" s="1447"/>
      <c r="P174" s="2777"/>
      <c r="Q174" s="1447">
        <f>Q175+Q176</f>
        <v>0</v>
      </c>
      <c r="R174" s="2781"/>
      <c r="S174" s="1639"/>
      <c r="T174" s="4567"/>
      <c r="U174" s="1640">
        <f>U175+U176</f>
        <v>0</v>
      </c>
    </row>
    <row r="175" spans="1:21">
      <c r="A175" s="2755" t="s">
        <v>5184</v>
      </c>
      <c r="B175" s="2775" t="s">
        <v>4430</v>
      </c>
      <c r="C175" s="2775" t="s">
        <v>3658</v>
      </c>
      <c r="D175" s="2840" t="s">
        <v>2345</v>
      </c>
      <c r="E175" s="2798" t="s">
        <v>1210</v>
      </c>
      <c r="F175" s="2799" t="s">
        <v>85</v>
      </c>
      <c r="G175" s="2783" t="s">
        <v>3675</v>
      </c>
      <c r="H175" s="2780"/>
      <c r="I175" s="2780"/>
      <c r="J175" s="2780"/>
      <c r="K175" s="2780"/>
      <c r="L175" s="2784"/>
      <c r="M175" s="2790"/>
      <c r="N175" s="2791"/>
      <c r="O175" s="1412">
        <f>N175/100000</f>
        <v>0</v>
      </c>
      <c r="P175" s="1418"/>
      <c r="Q175" s="2785">
        <f>O175*P175</f>
        <v>0</v>
      </c>
      <c r="R175" s="2792"/>
      <c r="S175" s="1639">
        <f>'Abs19. NPCDCS'!Q72</f>
        <v>0</v>
      </c>
      <c r="T175" s="4567"/>
      <c r="U175" s="2800">
        <f>'Abs19. NPCDCS'!R72</f>
        <v>0</v>
      </c>
    </row>
    <row r="176" spans="1:21">
      <c r="A176" s="2755" t="s">
        <v>5185</v>
      </c>
      <c r="B176" s="2775" t="s">
        <v>4431</v>
      </c>
      <c r="C176" s="2775" t="s">
        <v>3659</v>
      </c>
      <c r="D176" s="2840" t="s">
        <v>2346</v>
      </c>
      <c r="E176" s="2798" t="s">
        <v>2347</v>
      </c>
      <c r="F176" s="2799" t="s">
        <v>85</v>
      </c>
      <c r="G176" s="2783" t="s">
        <v>3675</v>
      </c>
      <c r="H176" s="2780"/>
      <c r="I176" s="2780"/>
      <c r="J176" s="2780"/>
      <c r="K176" s="2780"/>
      <c r="L176" s="2784"/>
      <c r="M176" s="2790"/>
      <c r="N176" s="2791"/>
      <c r="O176" s="1412">
        <f>N176/100000</f>
        <v>0</v>
      </c>
      <c r="P176" s="1418"/>
      <c r="Q176" s="2785">
        <f>O176*P176</f>
        <v>0</v>
      </c>
      <c r="R176" s="2792"/>
      <c r="S176" s="1639">
        <f>'Abs19. NPCDCS'!Q73</f>
        <v>0</v>
      </c>
      <c r="T176" s="4567"/>
      <c r="U176" s="2800">
        <f>'Abs19. NPCDCS'!R73</f>
        <v>0</v>
      </c>
    </row>
    <row r="177" spans="1:21">
      <c r="A177" s="2755" t="s">
        <v>5026</v>
      </c>
      <c r="B177" s="2775" t="s">
        <v>4432</v>
      </c>
      <c r="C177" s="2840"/>
      <c r="D177" s="2801"/>
      <c r="E177" s="2798" t="s">
        <v>3917</v>
      </c>
      <c r="F177" s="2464" t="s">
        <v>70</v>
      </c>
      <c r="G177" s="2783" t="s">
        <v>3331</v>
      </c>
      <c r="H177" s="2779"/>
      <c r="I177" s="2780"/>
      <c r="J177" s="2780"/>
      <c r="K177" s="2780"/>
      <c r="L177" s="2784"/>
      <c r="M177" s="2790"/>
      <c r="N177" s="2791"/>
      <c r="O177" s="1412">
        <f>N177/100000</f>
        <v>0</v>
      </c>
      <c r="P177" s="1418"/>
      <c r="Q177" s="2785">
        <f>O177*P177</f>
        <v>0</v>
      </c>
      <c r="R177" s="2878"/>
      <c r="S177" s="1591"/>
      <c r="T177" s="4568"/>
      <c r="U177" s="2787"/>
    </row>
  </sheetData>
  <sheetProtection formatCells="0" formatColumns="0" formatRows="0" autoFilter="0"/>
  <protectedRanges>
    <protectedRange password="FD7E" sqref="P8:P18" name="Range2"/>
    <protectedRange password="FD7E" sqref="H8:N18" name="Range1"/>
  </protectedRanges>
  <autoFilter ref="A3:G177">
    <filterColumn colId="1" showButton="0"/>
    <filterColumn colId="2" showButton="0"/>
    <filterColumn colId="6"/>
  </autoFilter>
  <mergeCells count="10">
    <mergeCell ref="A3:A4"/>
    <mergeCell ref="A1:D1"/>
    <mergeCell ref="T6:T177"/>
    <mergeCell ref="M3:R3"/>
    <mergeCell ref="S3:U3"/>
    <mergeCell ref="E3:E4"/>
    <mergeCell ref="F3:F4"/>
    <mergeCell ref="G3:G4"/>
    <mergeCell ref="H3:L3"/>
    <mergeCell ref="B3:D4"/>
  </mergeCells>
  <phoneticPr fontId="27" type="noConversion"/>
  <pageMargins left="0.7" right="0.26" top="0.37" bottom="0.16" header="0.3" footer="0.3"/>
  <pageSetup paperSize="5" scale="75" orientation="landscape" horizontalDpi="4294967295" verticalDpi="4294967295" r:id="rId1"/>
</worksheet>
</file>

<file path=xl/worksheets/sheet31.xml><?xml version="1.0" encoding="utf-8"?>
<worksheet xmlns="http://schemas.openxmlformats.org/spreadsheetml/2006/main" xmlns:r="http://schemas.openxmlformats.org/officeDocument/2006/relationships">
  <sheetPr codeName="Sheet40"/>
  <dimension ref="A1:BA17"/>
  <sheetViews>
    <sheetView zoomScale="80" zoomScaleNormal="80" workbookViewId="0">
      <pane xSplit="5" ySplit="6" topLeftCell="L7" activePane="bottomRight" state="frozen"/>
      <selection activeCell="Q172" sqref="A1:BE179"/>
      <selection pane="topRight" activeCell="Q172" sqref="A1:BE179"/>
      <selection pane="bottomLeft" activeCell="Q172" sqref="A1:BE179"/>
      <selection pane="bottomRight" activeCell="P17" sqref="P17"/>
    </sheetView>
  </sheetViews>
  <sheetFormatPr defaultColWidth="8.7109375" defaultRowHeight="16.5"/>
  <cols>
    <col min="1" max="1" width="9.85546875" style="1830" customWidth="1"/>
    <col min="2" max="2" width="9.5703125" style="1830" customWidth="1"/>
    <col min="3" max="3" width="42.5703125" style="1830" customWidth="1"/>
    <col min="4" max="4" width="6.7109375" style="2914" customWidth="1"/>
    <col min="5" max="5" width="13.28515625" style="2914" customWidth="1"/>
    <col min="6" max="6" width="16.42578125" style="1830" hidden="1" customWidth="1"/>
    <col min="7" max="7" width="22.7109375" style="1830" hidden="1" customWidth="1"/>
    <col min="8" max="8" width="10.85546875" style="1830" hidden="1" customWidth="1"/>
    <col min="9" max="9" width="14.140625" style="1830" hidden="1" customWidth="1"/>
    <col min="10" max="10" width="14.42578125" style="1830" hidden="1" customWidth="1"/>
    <col min="11" max="11" width="11.85546875" style="1830" customWidth="1"/>
    <col min="12" max="12" width="15.5703125" style="1830" customWidth="1"/>
    <col min="13" max="13" width="11.5703125" style="2915" customWidth="1"/>
    <col min="14" max="14" width="10.85546875" style="1830" customWidth="1"/>
    <col min="15" max="15" width="13.7109375" style="2916" customWidth="1"/>
    <col min="16" max="16" width="96.7109375" style="2917" customWidth="1"/>
    <col min="17" max="17" width="35.42578125" style="2917" hidden="1" customWidth="1"/>
    <col min="18" max="18" width="13.7109375" style="2916" hidden="1" customWidth="1"/>
    <col min="19" max="53" width="0" style="1830" hidden="1" customWidth="1"/>
    <col min="54" max="16384" width="8.7109375" style="1830"/>
  </cols>
  <sheetData>
    <row r="1" spans="1:53">
      <c r="A1" s="4342" t="s">
        <v>2679</v>
      </c>
      <c r="B1" s="4342"/>
      <c r="C1" s="4342"/>
      <c r="D1" s="1506"/>
      <c r="E1" s="4391" t="s">
        <v>4709</v>
      </c>
      <c r="F1" s="4427" t="s">
        <v>4707</v>
      </c>
      <c r="G1" s="4428"/>
      <c r="H1" s="4428"/>
      <c r="I1" s="4428"/>
      <c r="J1" s="4428"/>
      <c r="K1" s="4428"/>
      <c r="L1" s="4428"/>
      <c r="M1" s="4428"/>
      <c r="N1" s="4429"/>
      <c r="O1" s="4430" t="s">
        <v>70</v>
      </c>
      <c r="P1" s="4431"/>
      <c r="Q1" s="4431"/>
      <c r="R1" s="4431"/>
      <c r="S1" s="4431"/>
      <c r="T1" s="4431"/>
      <c r="U1" s="4431"/>
      <c r="V1" s="4431"/>
      <c r="W1" s="4431"/>
      <c r="X1" s="4431"/>
      <c r="Y1" s="4431"/>
      <c r="Z1" s="4431"/>
      <c r="AA1" s="4431"/>
      <c r="AB1" s="4431"/>
      <c r="AC1" s="4431"/>
      <c r="AD1" s="4431"/>
      <c r="AE1" s="4431"/>
      <c r="AF1" s="4431"/>
      <c r="AG1" s="4431"/>
      <c r="AH1" s="4431"/>
      <c r="AI1" s="4416" t="s">
        <v>4358</v>
      </c>
      <c r="AJ1" s="4417"/>
      <c r="AK1" s="4417"/>
      <c r="AL1" s="4417"/>
      <c r="AM1" s="4417"/>
      <c r="AN1" s="4417"/>
      <c r="AO1" s="4418"/>
      <c r="AP1" s="4419" t="s">
        <v>85</v>
      </c>
      <c r="AQ1" s="4420"/>
      <c r="AR1" s="4420"/>
      <c r="AS1" s="4420"/>
      <c r="AT1" s="4420"/>
      <c r="AU1" s="4420"/>
      <c r="AV1" s="4420"/>
      <c r="AW1" s="4420"/>
      <c r="AX1" s="4420"/>
      <c r="AY1" s="4420"/>
      <c r="AZ1" s="4420"/>
      <c r="BA1" s="4421"/>
    </row>
    <row r="2" spans="1:53" s="2889" customFormat="1" ht="33">
      <c r="A2" s="4365" t="str">
        <f>HYPERLINK("#Index!A4", "Index Pg")</f>
        <v>Index Pg</v>
      </c>
      <c r="B2" s="2134" t="str">
        <f>HYPERLINK("#'Summary of Abstracts'!A2", "Summary of Abst.")</f>
        <v>Summary of Abst.</v>
      </c>
      <c r="C2" s="1278"/>
      <c r="D2" s="2510"/>
      <c r="E2" s="4391"/>
      <c r="F2" s="1279" t="s">
        <v>118</v>
      </c>
      <c r="G2" s="1279" t="s">
        <v>131</v>
      </c>
      <c r="H2" s="1279" t="s">
        <v>91</v>
      </c>
      <c r="I2" s="1279" t="s">
        <v>4705</v>
      </c>
      <c r="J2" s="1279" t="s">
        <v>96</v>
      </c>
      <c r="K2" s="1352" t="s">
        <v>4064</v>
      </c>
      <c r="L2" s="1280" t="s">
        <v>4706</v>
      </c>
      <c r="M2" s="1279" t="s">
        <v>4710</v>
      </c>
      <c r="N2" s="1280" t="s">
        <v>208</v>
      </c>
      <c r="O2" s="1282" t="s">
        <v>4357</v>
      </c>
      <c r="P2" s="1282" t="s">
        <v>3848</v>
      </c>
      <c r="Q2" s="1282" t="s">
        <v>4719</v>
      </c>
      <c r="R2" s="1282" t="s">
        <v>4716</v>
      </c>
      <c r="S2" s="1282" t="s">
        <v>4717</v>
      </c>
      <c r="T2" s="1282" t="s">
        <v>4718</v>
      </c>
      <c r="U2" s="1282" t="s">
        <v>4720</v>
      </c>
      <c r="V2" s="1282" t="s">
        <v>4695</v>
      </c>
      <c r="W2" s="1282" t="s">
        <v>4721</v>
      </c>
      <c r="X2" s="1282" t="s">
        <v>33</v>
      </c>
      <c r="Y2" s="1282" t="s">
        <v>4722</v>
      </c>
      <c r="Z2" s="1282" t="s">
        <v>4723</v>
      </c>
      <c r="AA2" s="1282" t="s">
        <v>4713</v>
      </c>
      <c r="AB2" s="1282" t="s">
        <v>742</v>
      </c>
      <c r="AC2" s="1282" t="s">
        <v>4714</v>
      </c>
      <c r="AD2" s="1282" t="s">
        <v>4715</v>
      </c>
      <c r="AE2" s="1282" t="s">
        <v>2379</v>
      </c>
      <c r="AF2" s="1282" t="s">
        <v>4724</v>
      </c>
      <c r="AG2" s="1282" t="s">
        <v>3847</v>
      </c>
      <c r="AH2" s="1282" t="s">
        <v>307</v>
      </c>
      <c r="AI2" s="1283" t="s">
        <v>293</v>
      </c>
      <c r="AJ2" s="1283" t="s">
        <v>114</v>
      </c>
      <c r="AK2" s="1283" t="s">
        <v>146</v>
      </c>
      <c r="AL2" s="1283" t="s">
        <v>4674</v>
      </c>
      <c r="AM2" s="1283" t="s">
        <v>3316</v>
      </c>
      <c r="AN2" s="1283" t="s">
        <v>3986</v>
      </c>
      <c r="AO2" s="1283" t="s">
        <v>4544</v>
      </c>
      <c r="AP2" s="1284" t="s">
        <v>86</v>
      </c>
      <c r="AQ2" s="1284" t="s">
        <v>150</v>
      </c>
      <c r="AR2" s="1284" t="s">
        <v>399</v>
      </c>
      <c r="AS2" s="1284" t="s">
        <v>152</v>
      </c>
      <c r="AT2" s="1284" t="s">
        <v>415</v>
      </c>
      <c r="AU2" s="1284" t="s">
        <v>4598</v>
      </c>
      <c r="AV2" s="1284" t="s">
        <v>4124</v>
      </c>
      <c r="AW2" s="1284" t="s">
        <v>312</v>
      </c>
      <c r="AX2" s="1284" t="s">
        <v>314</v>
      </c>
      <c r="AY2" s="1284" t="s">
        <v>1034</v>
      </c>
      <c r="AZ2" s="1284" t="s">
        <v>1020</v>
      </c>
      <c r="BA2" s="1284" t="s">
        <v>4708</v>
      </c>
    </row>
    <row r="3" spans="1:53" s="2889" customFormat="1">
      <c r="A3" s="4366"/>
      <c r="B3" s="1287" t="str">
        <f>HYPERLINK("#'Budget Summary I'!A1:AL1", "Budget Summary I")</f>
        <v>Budget Summary I</v>
      </c>
      <c r="C3" s="1286" t="s">
        <v>4599</v>
      </c>
      <c r="D3" s="2510"/>
      <c r="E3" s="1872">
        <f>R7</f>
        <v>0</v>
      </c>
      <c r="F3" s="1338"/>
      <c r="G3" s="1338"/>
      <c r="H3" s="1338"/>
      <c r="I3" s="1338"/>
      <c r="J3" s="1338"/>
      <c r="K3" s="1508"/>
      <c r="L3" s="1338"/>
      <c r="M3" s="1338"/>
      <c r="N3" s="1508"/>
      <c r="O3" s="2890">
        <f>R10+R11</f>
        <v>0</v>
      </c>
      <c r="P3" s="1508"/>
      <c r="Q3" s="1508"/>
      <c r="R3" s="1508"/>
      <c r="S3" s="1508"/>
      <c r="T3" s="1508"/>
      <c r="U3" s="1508">
        <f>R14</f>
        <v>0</v>
      </c>
      <c r="V3" s="1508"/>
      <c r="W3" s="1508"/>
      <c r="X3" s="1508"/>
      <c r="Y3" s="1508"/>
      <c r="Z3" s="1508"/>
      <c r="AA3" s="1508">
        <f>R16</f>
        <v>0</v>
      </c>
      <c r="AB3" s="1508"/>
      <c r="AC3" s="1508"/>
      <c r="AD3" s="1508"/>
      <c r="AE3" s="1508">
        <f>R12+R17</f>
        <v>0</v>
      </c>
      <c r="AF3" s="1508">
        <f>R13</f>
        <v>0</v>
      </c>
      <c r="AG3" s="1508"/>
      <c r="AH3" s="1508">
        <f>R15</f>
        <v>0</v>
      </c>
      <c r="AI3" s="1508"/>
      <c r="AJ3" s="1508"/>
      <c r="AK3" s="1508"/>
      <c r="AL3" s="1508"/>
      <c r="AM3" s="1508"/>
      <c r="AN3" s="1508"/>
      <c r="AO3" s="1508"/>
      <c r="AP3" s="1508">
        <f>R8</f>
        <v>0</v>
      </c>
      <c r="AQ3" s="1508"/>
      <c r="AR3" s="1508"/>
      <c r="AS3" s="1508"/>
      <c r="AT3" s="1508"/>
      <c r="AU3" s="1508"/>
      <c r="AV3" s="1508"/>
      <c r="AW3" s="1508"/>
      <c r="AX3" s="1508"/>
      <c r="AY3" s="1508"/>
      <c r="AZ3" s="1508"/>
      <c r="BA3" s="1508"/>
    </row>
    <row r="4" spans="1:53" s="2889" customFormat="1">
      <c r="A4" s="4367"/>
      <c r="B4" s="1287" t="str">
        <f>HYPERLINK("#'Budget Summary II'!A3:B5", "Budget Summary II")</f>
        <v>Budget Summary II</v>
      </c>
      <c r="C4" s="1286" t="s">
        <v>4600</v>
      </c>
      <c r="D4" s="2510"/>
      <c r="E4" s="1872">
        <f>O7</f>
        <v>33773.883969999995</v>
      </c>
      <c r="F4" s="1338"/>
      <c r="G4" s="1338"/>
      <c r="H4" s="1338"/>
      <c r="I4" s="1338"/>
      <c r="J4" s="1338"/>
      <c r="K4" s="1508"/>
      <c r="L4" s="1338"/>
      <c r="M4" s="1338"/>
      <c r="N4" s="1508"/>
      <c r="O4" s="1508">
        <f>O10+O11</f>
        <v>1952.7430400000001</v>
      </c>
      <c r="P4" s="1508"/>
      <c r="Q4" s="1508"/>
      <c r="R4" s="1508"/>
      <c r="S4" s="1508"/>
      <c r="T4" s="1508"/>
      <c r="U4" s="1508">
        <f>O14</f>
        <v>20699.775610000001</v>
      </c>
      <c r="V4" s="1508"/>
      <c r="W4" s="1508"/>
      <c r="X4" s="1508"/>
      <c r="Y4" s="1508"/>
      <c r="Z4" s="1508"/>
      <c r="AA4" s="1508">
        <f>O16</f>
        <v>76.391999999999996</v>
      </c>
      <c r="AB4" s="1508"/>
      <c r="AC4" s="1508"/>
      <c r="AD4" s="1508"/>
      <c r="AE4" s="1508">
        <f>O12+O17</f>
        <v>2280.65688</v>
      </c>
      <c r="AF4" s="1508">
        <f>O13</f>
        <v>12.46</v>
      </c>
      <c r="AG4" s="1508"/>
      <c r="AH4" s="1508">
        <f>O15</f>
        <v>8751.8564399999996</v>
      </c>
      <c r="AI4" s="1508"/>
      <c r="AJ4" s="1508"/>
      <c r="AK4" s="1508"/>
      <c r="AL4" s="1508"/>
      <c r="AM4" s="1508"/>
      <c r="AN4" s="1508"/>
      <c r="AO4" s="1508"/>
      <c r="AP4" s="1508">
        <f>O8</f>
        <v>0</v>
      </c>
      <c r="AQ4" s="1508"/>
      <c r="AR4" s="1508"/>
      <c r="AS4" s="1508"/>
      <c r="AT4" s="1508"/>
      <c r="AU4" s="1508"/>
      <c r="AV4" s="1508"/>
      <c r="AW4" s="1508"/>
      <c r="AX4" s="1508"/>
      <c r="AY4" s="1508"/>
      <c r="AZ4" s="1508"/>
      <c r="BA4" s="1508"/>
    </row>
    <row r="5" spans="1:53" s="2891" customFormat="1">
      <c r="A5" s="4343" t="s">
        <v>53</v>
      </c>
      <c r="B5" s="4343" t="s">
        <v>54</v>
      </c>
      <c r="C5" s="4343" t="s">
        <v>55</v>
      </c>
      <c r="D5" s="4343" t="s">
        <v>56</v>
      </c>
      <c r="E5" s="4343" t="s">
        <v>57</v>
      </c>
      <c r="F5" s="4339" t="s">
        <v>4620</v>
      </c>
      <c r="G5" s="4339"/>
      <c r="H5" s="4339"/>
      <c r="I5" s="4339"/>
      <c r="J5" s="4339"/>
      <c r="K5" s="4339" t="s">
        <v>4631</v>
      </c>
      <c r="L5" s="4339"/>
      <c r="M5" s="4339"/>
      <c r="N5" s="4339"/>
      <c r="O5" s="4339"/>
      <c r="P5" s="4339"/>
      <c r="Q5" s="4343" t="s">
        <v>4661</v>
      </c>
      <c r="R5" s="4343"/>
    </row>
    <row r="6" spans="1:53" s="2892" customFormat="1" ht="66">
      <c r="A6" s="4343"/>
      <c r="B6" s="4343"/>
      <c r="C6" s="4343"/>
      <c r="D6" s="4343"/>
      <c r="E6" s="4343"/>
      <c r="F6" s="1288" t="s">
        <v>4621</v>
      </c>
      <c r="G6" s="1288" t="s">
        <v>4629</v>
      </c>
      <c r="H6" s="1288" t="s">
        <v>4622</v>
      </c>
      <c r="I6" s="1288" t="s">
        <v>4630</v>
      </c>
      <c r="J6" s="1288" t="s">
        <v>2534</v>
      </c>
      <c r="K6" s="1289" t="s">
        <v>58</v>
      </c>
      <c r="L6" s="1289" t="s">
        <v>59</v>
      </c>
      <c r="M6" s="1987" t="s">
        <v>60</v>
      </c>
      <c r="N6" s="1289" t="s">
        <v>61</v>
      </c>
      <c r="O6" s="1290" t="s">
        <v>62</v>
      </c>
      <c r="P6" s="1289" t="s">
        <v>5564</v>
      </c>
      <c r="Q6" s="1291" t="s">
        <v>2536</v>
      </c>
      <c r="R6" s="1292" t="s">
        <v>4662</v>
      </c>
    </row>
    <row r="7" spans="1:53" ht="33">
      <c r="A7" s="1513">
        <v>17</v>
      </c>
      <c r="B7" s="1514"/>
      <c r="C7" s="1513" t="s">
        <v>2784</v>
      </c>
      <c r="D7" s="1515"/>
      <c r="E7" s="1515"/>
      <c r="F7" s="1513"/>
      <c r="G7" s="1513"/>
      <c r="H7" s="1513"/>
      <c r="I7" s="1513"/>
      <c r="J7" s="1513"/>
      <c r="K7" s="1513"/>
      <c r="L7" s="1513"/>
      <c r="M7" s="2137"/>
      <c r="N7" s="1513"/>
      <c r="O7" s="1294">
        <f>SUM(O8:O9)+SUM(O12:O17)</f>
        <v>33773.883969999995</v>
      </c>
      <c r="P7" s="1513"/>
      <c r="Q7" s="1513"/>
      <c r="R7" s="1294">
        <f>SUM(R8:R9)+SUM(R12:R17)</f>
        <v>0</v>
      </c>
    </row>
    <row r="8" spans="1:53" s="1277" customFormat="1" ht="49.5">
      <c r="A8" s="2893">
        <v>17.100000000000001</v>
      </c>
      <c r="B8" s="2894" t="s">
        <v>2021</v>
      </c>
      <c r="C8" s="2894" t="s">
        <v>3966</v>
      </c>
      <c r="D8" s="2412" t="s">
        <v>85</v>
      </c>
      <c r="E8" s="1311" t="s">
        <v>86</v>
      </c>
      <c r="F8" s="1350"/>
      <c r="G8" s="1350"/>
      <c r="H8" s="1350"/>
      <c r="I8" s="1350"/>
      <c r="J8" s="1350"/>
      <c r="K8" s="1350"/>
      <c r="L8" s="1317"/>
      <c r="M8" s="1857">
        <f>L8/100000</f>
        <v>0</v>
      </c>
      <c r="N8" s="1317"/>
      <c r="O8" s="1703">
        <f>N8*M8</f>
        <v>0</v>
      </c>
      <c r="P8" s="1348"/>
      <c r="Q8" s="1314">
        <f>'Abs15. NPCB'!Q43</f>
        <v>0</v>
      </c>
      <c r="R8" s="1703">
        <f>'Abs15. NPCB'!R43</f>
        <v>0</v>
      </c>
    </row>
    <row r="9" spans="1:53" s="1277" customFormat="1" ht="66" customHeight="1">
      <c r="A9" s="2893">
        <v>17.2</v>
      </c>
      <c r="B9" s="2020" t="s">
        <v>2037</v>
      </c>
      <c r="C9" s="2512" t="s">
        <v>3991</v>
      </c>
      <c r="D9" s="1340"/>
      <c r="E9" s="1340"/>
      <c r="F9" s="2895"/>
      <c r="G9" s="2896"/>
      <c r="H9" s="2897"/>
      <c r="I9" s="2897"/>
      <c r="J9" s="2898"/>
      <c r="K9" s="2895"/>
      <c r="L9" s="2899"/>
      <c r="M9" s="2900"/>
      <c r="N9" s="2899"/>
      <c r="O9" s="1753">
        <f>O10+O11</f>
        <v>1952.7430400000001</v>
      </c>
      <c r="P9" s="2901"/>
      <c r="Q9" s="2893"/>
      <c r="R9" s="1753">
        <f>R10+R11</f>
        <v>0</v>
      </c>
    </row>
    <row r="10" spans="1:53" s="3927" customFormat="1" ht="409.5">
      <c r="A10" s="3887" t="s">
        <v>3989</v>
      </c>
      <c r="B10" s="3801"/>
      <c r="C10" s="3801" t="s">
        <v>3993</v>
      </c>
      <c r="D10" s="3813" t="s">
        <v>70</v>
      </c>
      <c r="E10" s="3923" t="s">
        <v>4357</v>
      </c>
      <c r="F10" s="3924"/>
      <c r="G10" s="3786"/>
      <c r="H10" s="3925"/>
      <c r="I10" s="3925"/>
      <c r="J10" s="3926"/>
      <c r="K10" s="3735" t="s">
        <v>5906</v>
      </c>
      <c r="L10" s="3739">
        <v>195274304</v>
      </c>
      <c r="M10" s="3738">
        <f t="shared" ref="M10:M17" si="0">L10/100000</f>
        <v>1952.7430400000001</v>
      </c>
      <c r="N10" s="3739">
        <v>1</v>
      </c>
      <c r="O10" s="3871">
        <f t="shared" ref="O10:O17" si="1">N10*M10</f>
        <v>1952.7430400000001</v>
      </c>
      <c r="P10" s="2397" t="s">
        <v>6857</v>
      </c>
      <c r="Q10" s="3887">
        <f>'Abs6. CPHC'!Q35</f>
        <v>0</v>
      </c>
      <c r="R10" s="3871">
        <f>'Abs6. CPHC'!R35</f>
        <v>0</v>
      </c>
    </row>
    <row r="11" spans="1:53" s="1277" customFormat="1" ht="56.25" customHeight="1">
      <c r="A11" s="1308" t="s">
        <v>3990</v>
      </c>
      <c r="B11" s="2020"/>
      <c r="C11" s="1855" t="s">
        <v>3992</v>
      </c>
      <c r="D11" s="1281" t="s">
        <v>70</v>
      </c>
      <c r="E11" s="1311" t="s">
        <v>4357</v>
      </c>
      <c r="F11" s="2902"/>
      <c r="G11" s="2276"/>
      <c r="H11" s="2903"/>
      <c r="I11" s="2903"/>
      <c r="J11" s="2904"/>
      <c r="K11" s="3366"/>
      <c r="L11" s="1714"/>
      <c r="M11" s="2688">
        <f t="shared" si="0"/>
        <v>0</v>
      </c>
      <c r="N11" s="1714"/>
      <c r="O11" s="1730">
        <f t="shared" si="1"/>
        <v>0</v>
      </c>
      <c r="P11" s="2127"/>
      <c r="Q11" s="1314">
        <f>'Abs6. CPHC'!Q36</f>
        <v>0</v>
      </c>
      <c r="R11" s="1703">
        <f>'Abs6. CPHC'!R36</f>
        <v>0</v>
      </c>
    </row>
    <row r="12" spans="1:53" s="3953" customFormat="1" ht="69.75" customHeight="1">
      <c r="A12" s="3950">
        <v>17.3</v>
      </c>
      <c r="B12" s="3951"/>
      <c r="C12" s="3951" t="s">
        <v>4121</v>
      </c>
      <c r="D12" s="3813" t="s">
        <v>70</v>
      </c>
      <c r="E12" s="3952" t="s">
        <v>2379</v>
      </c>
      <c r="F12" s="2906">
        <v>17859</v>
      </c>
      <c r="G12" s="2906">
        <v>16599</v>
      </c>
      <c r="H12" s="2906">
        <v>429.33</v>
      </c>
      <c r="I12" s="2906">
        <v>124.82</v>
      </c>
      <c r="J12" s="2906"/>
      <c r="K12" s="2906" t="s">
        <v>6274</v>
      </c>
      <c r="L12" s="3739">
        <v>4214724</v>
      </c>
      <c r="M12" s="3738">
        <f t="shared" si="0"/>
        <v>42.147239999999996</v>
      </c>
      <c r="N12" s="3739">
        <v>12</v>
      </c>
      <c r="O12" s="3871">
        <f t="shared" si="1"/>
        <v>505.76687999999996</v>
      </c>
      <c r="P12" s="2397" t="s">
        <v>6861</v>
      </c>
      <c r="Q12" s="3780">
        <f>'Ab4. HMIS-MCTS'!Q27</f>
        <v>0</v>
      </c>
      <c r="R12" s="3919">
        <f>'Ab4. HMIS-MCTS'!R27</f>
        <v>0</v>
      </c>
    </row>
    <row r="13" spans="1:53" s="2909" customFormat="1" ht="49.5">
      <c r="A13" s="2893">
        <v>17.399999999999999</v>
      </c>
      <c r="B13" s="2512" t="s">
        <v>2309</v>
      </c>
      <c r="C13" s="2512" t="s">
        <v>4122</v>
      </c>
      <c r="D13" s="1340" t="s">
        <v>70</v>
      </c>
      <c r="E13" s="2068" t="s">
        <v>2087</v>
      </c>
      <c r="F13" s="2907"/>
      <c r="G13" s="2907"/>
      <c r="H13" s="2907"/>
      <c r="I13" s="2907"/>
      <c r="J13" s="2907"/>
      <c r="K13" s="2529"/>
      <c r="L13" s="1714">
        <v>1246000</v>
      </c>
      <c r="M13" s="2688">
        <f t="shared" si="0"/>
        <v>12.46</v>
      </c>
      <c r="N13" s="1714">
        <v>1</v>
      </c>
      <c r="O13" s="1746">
        <f t="shared" si="1"/>
        <v>12.46</v>
      </c>
      <c r="P13" s="2127" t="s">
        <v>6307</v>
      </c>
      <c r="Q13" s="2908">
        <f>'Abs5. Blood services &amp; Disorder'!Q32</f>
        <v>0</v>
      </c>
      <c r="R13" s="1773">
        <f>'Abs5. Blood services &amp; Disorder'!R32</f>
        <v>0</v>
      </c>
    </row>
    <row r="14" spans="1:53" ht="130.5" customHeight="1">
      <c r="A14" s="2893">
        <v>17.5</v>
      </c>
      <c r="B14" s="2512" t="s">
        <v>1154</v>
      </c>
      <c r="C14" s="2905" t="s">
        <v>2310</v>
      </c>
      <c r="D14" s="1281" t="s">
        <v>70</v>
      </c>
      <c r="E14" s="1523" t="s">
        <v>4720</v>
      </c>
      <c r="F14" s="2537"/>
      <c r="G14" s="2537"/>
      <c r="H14" s="2537"/>
      <c r="I14" s="2537"/>
      <c r="J14" s="2537"/>
      <c r="K14" s="2537"/>
      <c r="L14" s="4189">
        <v>2069977561</v>
      </c>
      <c r="M14" s="1857">
        <f t="shared" si="0"/>
        <v>20699.775610000001</v>
      </c>
      <c r="N14" s="1317">
        <v>1</v>
      </c>
      <c r="O14" s="1702">
        <f t="shared" si="1"/>
        <v>20699.775610000001</v>
      </c>
      <c r="P14" s="1462" t="s">
        <v>6922</v>
      </c>
      <c r="Q14" s="2910"/>
      <c r="R14" s="2911"/>
    </row>
    <row r="15" spans="1:53" ht="250.5" customHeight="1">
      <c r="A15" s="2893">
        <v>17.600000000000001</v>
      </c>
      <c r="B15" s="2512" t="s">
        <v>2311</v>
      </c>
      <c r="C15" s="2905" t="s">
        <v>2312</v>
      </c>
      <c r="D15" s="1281" t="s">
        <v>70</v>
      </c>
      <c r="E15" s="2536" t="s">
        <v>5106</v>
      </c>
      <c r="F15" s="2906">
        <v>1556</v>
      </c>
      <c r="G15" s="2912">
        <v>1445</v>
      </c>
      <c r="H15" s="2913">
        <v>0</v>
      </c>
      <c r="I15" s="2913"/>
      <c r="J15" s="2906"/>
      <c r="K15" s="2529" t="s">
        <v>5833</v>
      </c>
      <c r="L15" s="1714">
        <v>72932137</v>
      </c>
      <c r="M15" s="2688">
        <f t="shared" si="0"/>
        <v>729.32137</v>
      </c>
      <c r="N15" s="1714">
        <v>12</v>
      </c>
      <c r="O15" s="1746">
        <f t="shared" si="1"/>
        <v>8751.8564399999996</v>
      </c>
      <c r="P15" s="2127" t="s">
        <v>6396</v>
      </c>
      <c r="Q15" s="1309">
        <f>'Ab4. HMIS-MCTS'!Q27</f>
        <v>0</v>
      </c>
      <c r="R15" s="1702">
        <f>'Ab4. HMIS-MCTS'!R27</f>
        <v>0</v>
      </c>
    </row>
    <row r="16" spans="1:53" ht="259.5" customHeight="1">
      <c r="A16" s="2893">
        <v>17.7</v>
      </c>
      <c r="B16" s="2512"/>
      <c r="C16" s="2905" t="s">
        <v>3956</v>
      </c>
      <c r="D16" s="1281" t="s">
        <v>70</v>
      </c>
      <c r="E16" s="2536" t="s">
        <v>3888</v>
      </c>
      <c r="F16" s="2906">
        <v>12</v>
      </c>
      <c r="G16" s="2912">
        <v>9</v>
      </c>
      <c r="H16" s="2913">
        <v>76.39</v>
      </c>
      <c r="I16" s="2913">
        <v>26.19</v>
      </c>
      <c r="J16" s="2906"/>
      <c r="K16" s="2529" t="s">
        <v>6273</v>
      </c>
      <c r="L16" s="1714">
        <v>636600</v>
      </c>
      <c r="M16" s="2688">
        <f t="shared" si="0"/>
        <v>6.3659999999999997</v>
      </c>
      <c r="N16" s="1714">
        <v>12</v>
      </c>
      <c r="O16" s="1746">
        <f t="shared" si="1"/>
        <v>76.391999999999996</v>
      </c>
      <c r="P16" s="2127" t="s">
        <v>6397</v>
      </c>
      <c r="Q16" s="2910"/>
      <c r="R16" s="2911"/>
    </row>
    <row r="17" spans="1:18" s="4201" customFormat="1" ht="132">
      <c r="A17" s="4190">
        <v>17.8</v>
      </c>
      <c r="B17" s="4191"/>
      <c r="C17" s="4191" t="s">
        <v>2868</v>
      </c>
      <c r="D17" s="4192" t="s">
        <v>70</v>
      </c>
      <c r="E17" s="4193" t="s">
        <v>2379</v>
      </c>
      <c r="F17" s="4194"/>
      <c r="G17" s="4195"/>
      <c r="H17" s="4196"/>
      <c r="I17" s="4196"/>
      <c r="J17" s="4194"/>
      <c r="K17" s="4197" t="s">
        <v>6956</v>
      </c>
      <c r="L17" s="4198">
        <v>14790750</v>
      </c>
      <c r="M17" s="4199">
        <f t="shared" si="0"/>
        <v>147.9075</v>
      </c>
      <c r="N17" s="4198">
        <v>12</v>
      </c>
      <c r="O17" s="2517">
        <f t="shared" si="1"/>
        <v>1774.8899999999999</v>
      </c>
      <c r="P17" s="1827" t="s">
        <v>6957</v>
      </c>
      <c r="Q17" s="1336">
        <f>'Ab4. HMIS-MCTS'!Q28</f>
        <v>0</v>
      </c>
      <c r="R17" s="4200">
        <f>'Ab4. HMIS-MCTS'!R28</f>
        <v>0</v>
      </c>
    </row>
  </sheetData>
  <sheetProtection sheet="1" formatCells="0" formatColumns="0" formatRows="0" autoFilter="0"/>
  <autoFilter ref="A6:R17"/>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ageMargins left="0.7" right="0.19" top="0.75" bottom="0.18" header="0.3" footer="0.3"/>
  <pageSetup paperSize="5" scale="70" orientation="landscape" r:id="rId1"/>
</worksheet>
</file>

<file path=xl/worksheets/sheet32.xml><?xml version="1.0" encoding="utf-8"?>
<worksheet xmlns="http://schemas.openxmlformats.org/spreadsheetml/2006/main" xmlns:r="http://schemas.openxmlformats.org/officeDocument/2006/relationships">
  <sheetPr codeName="Sheet51"/>
  <dimension ref="A1:BD31"/>
  <sheetViews>
    <sheetView zoomScale="80" zoomScaleNormal="80" workbookViewId="0">
      <pane xSplit="5" ySplit="7" topLeftCell="F18" activePane="bottomRight" state="frozen"/>
      <selection activeCell="Q172" sqref="A1:BE179"/>
      <selection pane="topRight" activeCell="Q172" sqref="A1:BE179"/>
      <selection pane="bottomLeft" activeCell="Q172" sqref="A1:BE179"/>
      <selection pane="bottomRight" activeCell="C18" sqref="C18"/>
    </sheetView>
  </sheetViews>
  <sheetFormatPr defaultColWidth="8.85546875" defaultRowHeight="16.5"/>
  <cols>
    <col min="1" max="1" width="8.85546875" style="2919"/>
    <col min="2" max="2" width="8.5703125" style="2919" bestFit="1" customWidth="1"/>
    <col min="3" max="3" width="37.85546875" style="2919" customWidth="1"/>
    <col min="4" max="4" width="9.5703125" style="2944" customWidth="1"/>
    <col min="5" max="5" width="9" style="2919" customWidth="1"/>
    <col min="6" max="6" width="9.85546875" style="2919" bestFit="1" customWidth="1"/>
    <col min="7" max="7" width="14" style="2919" hidden="1" customWidth="1"/>
    <col min="8" max="8" width="10.5703125" style="2919" hidden="1" customWidth="1"/>
    <col min="9" max="9" width="12.28515625" style="2919" hidden="1" customWidth="1"/>
    <col min="10" max="10" width="13.85546875" style="2919" hidden="1" customWidth="1"/>
    <col min="11" max="11" width="14.140625" style="2919" customWidth="1"/>
    <col min="12" max="12" width="13.5703125" style="2919" customWidth="1"/>
    <col min="13" max="13" width="12.140625" style="2966" customWidth="1"/>
    <col min="14" max="14" width="10.140625" style="2919" customWidth="1"/>
    <col min="15" max="15" width="15.85546875" style="2966" customWidth="1"/>
    <col min="16" max="16" width="84" style="2967" customWidth="1"/>
    <col min="17" max="17" width="28.85546875" style="2967" hidden="1" customWidth="1"/>
    <col min="18" max="18" width="14.5703125" style="2966" hidden="1" customWidth="1"/>
    <col min="19" max="56" width="0" style="2919" hidden="1" customWidth="1"/>
    <col min="57" max="16384" width="8.85546875" style="2919"/>
  </cols>
  <sheetData>
    <row r="1" spans="1:56" ht="14.45" customHeight="1">
      <c r="A1" s="4584" t="s">
        <v>2552</v>
      </c>
      <c r="B1" s="4584"/>
      <c r="C1" s="4584"/>
      <c r="D1" s="2918"/>
      <c r="E1" s="4585" t="s">
        <v>4709</v>
      </c>
      <c r="F1" s="4586" t="s">
        <v>4707</v>
      </c>
      <c r="G1" s="4587"/>
      <c r="H1" s="4587"/>
      <c r="I1" s="4587"/>
      <c r="J1" s="4587"/>
      <c r="K1" s="4587"/>
      <c r="L1" s="4587"/>
      <c r="M1" s="4587"/>
      <c r="N1" s="4588"/>
      <c r="O1" s="4592" t="s">
        <v>70</v>
      </c>
      <c r="P1" s="4593"/>
      <c r="Q1" s="4593"/>
      <c r="R1" s="4593"/>
      <c r="S1" s="4593"/>
      <c r="T1" s="4593"/>
      <c r="U1" s="4593"/>
      <c r="V1" s="4593"/>
      <c r="W1" s="4593"/>
      <c r="X1" s="4593"/>
      <c r="Y1" s="4593"/>
      <c r="Z1" s="4593"/>
      <c r="AA1" s="4593"/>
      <c r="AB1" s="4593"/>
      <c r="AC1" s="4593"/>
      <c r="AD1" s="4593"/>
      <c r="AE1" s="4593"/>
      <c r="AF1" s="4593"/>
      <c r="AG1" s="4593"/>
      <c r="AH1" s="4593"/>
      <c r="AI1" s="4594" t="s">
        <v>4358</v>
      </c>
      <c r="AJ1" s="4595"/>
      <c r="AK1" s="4595"/>
      <c r="AL1" s="4595"/>
      <c r="AM1" s="4595"/>
      <c r="AN1" s="4595"/>
      <c r="AO1" s="4596"/>
      <c r="AP1" s="4597" t="s">
        <v>85</v>
      </c>
      <c r="AQ1" s="4598"/>
      <c r="AR1" s="4598"/>
      <c r="AS1" s="4598"/>
      <c r="AT1" s="4598"/>
      <c r="AU1" s="4598"/>
      <c r="AV1" s="4598"/>
      <c r="AW1" s="4598"/>
      <c r="AX1" s="4598"/>
      <c r="AY1" s="4598"/>
      <c r="AZ1" s="4598"/>
      <c r="BA1" s="4599"/>
      <c r="BB1" s="4600" t="s">
        <v>5104</v>
      </c>
      <c r="BC1" s="4601" t="s">
        <v>5105</v>
      </c>
      <c r="BD1" s="4602" t="s">
        <v>5170</v>
      </c>
    </row>
    <row r="2" spans="1:56" s="2929" customFormat="1" ht="33">
      <c r="A2" s="4589" t="str">
        <f>HYPERLINK("#Index!A4", "Index Pg")</f>
        <v>Index Pg</v>
      </c>
      <c r="B2" s="2920"/>
      <c r="C2" s="2921"/>
      <c r="D2" s="2922"/>
      <c r="E2" s="4585"/>
      <c r="F2" s="2923" t="s">
        <v>118</v>
      </c>
      <c r="G2" s="2923" t="s">
        <v>131</v>
      </c>
      <c r="H2" s="2923" t="s">
        <v>91</v>
      </c>
      <c r="I2" s="2923" t="s">
        <v>4705</v>
      </c>
      <c r="J2" s="2923" t="s">
        <v>96</v>
      </c>
      <c r="K2" s="2924" t="s">
        <v>4064</v>
      </c>
      <c r="L2" s="2925" t="s">
        <v>4706</v>
      </c>
      <c r="M2" s="2925" t="s">
        <v>4710</v>
      </c>
      <c r="N2" s="2925" t="s">
        <v>208</v>
      </c>
      <c r="O2" s="2926" t="s">
        <v>4357</v>
      </c>
      <c r="P2" s="2926" t="s">
        <v>3848</v>
      </c>
      <c r="Q2" s="2926" t="s">
        <v>4719</v>
      </c>
      <c r="R2" s="2926" t="s">
        <v>4716</v>
      </c>
      <c r="S2" s="2926" t="s">
        <v>4717</v>
      </c>
      <c r="T2" s="2926" t="s">
        <v>4718</v>
      </c>
      <c r="U2" s="2926" t="s">
        <v>4720</v>
      </c>
      <c r="V2" s="2926" t="s">
        <v>4695</v>
      </c>
      <c r="W2" s="2926" t="s">
        <v>4721</v>
      </c>
      <c r="X2" s="2926" t="s">
        <v>33</v>
      </c>
      <c r="Y2" s="2926" t="s">
        <v>4722</v>
      </c>
      <c r="Z2" s="2926" t="s">
        <v>4723</v>
      </c>
      <c r="AA2" s="2926" t="s">
        <v>4713</v>
      </c>
      <c r="AB2" s="2926" t="s">
        <v>742</v>
      </c>
      <c r="AC2" s="2926" t="s">
        <v>4714</v>
      </c>
      <c r="AD2" s="2926" t="s">
        <v>4715</v>
      </c>
      <c r="AE2" s="2926" t="s">
        <v>2379</v>
      </c>
      <c r="AF2" s="2926" t="s">
        <v>4724</v>
      </c>
      <c r="AG2" s="2926" t="s">
        <v>3847</v>
      </c>
      <c r="AH2" s="2926" t="s">
        <v>307</v>
      </c>
      <c r="AI2" s="2927" t="s">
        <v>293</v>
      </c>
      <c r="AJ2" s="2927" t="s">
        <v>114</v>
      </c>
      <c r="AK2" s="2927" t="s">
        <v>146</v>
      </c>
      <c r="AL2" s="2927" t="s">
        <v>4674</v>
      </c>
      <c r="AM2" s="2927" t="s">
        <v>3316</v>
      </c>
      <c r="AN2" s="2927" t="s">
        <v>3986</v>
      </c>
      <c r="AO2" s="2927" t="s">
        <v>4544</v>
      </c>
      <c r="AP2" s="2928" t="s">
        <v>86</v>
      </c>
      <c r="AQ2" s="2928" t="s">
        <v>150</v>
      </c>
      <c r="AR2" s="2928" t="s">
        <v>399</v>
      </c>
      <c r="AS2" s="2928" t="s">
        <v>152</v>
      </c>
      <c r="AT2" s="2928" t="s">
        <v>415</v>
      </c>
      <c r="AU2" s="2928" t="s">
        <v>4598</v>
      </c>
      <c r="AV2" s="2928" t="s">
        <v>4124</v>
      </c>
      <c r="AW2" s="2928" t="s">
        <v>312</v>
      </c>
      <c r="AX2" s="2928" t="s">
        <v>314</v>
      </c>
      <c r="AY2" s="2928" t="s">
        <v>1034</v>
      </c>
      <c r="AZ2" s="2928" t="s">
        <v>1020</v>
      </c>
      <c r="BA2" s="2928" t="s">
        <v>4708</v>
      </c>
      <c r="BB2" s="4600"/>
      <c r="BC2" s="4601"/>
      <c r="BD2" s="4602"/>
    </row>
    <row r="3" spans="1:56" s="2929" customFormat="1">
      <c r="A3" s="4590"/>
      <c r="B3" s="2930" t="str">
        <f>HYPERLINK("#'Budget Summary I'!A1:AL1", "Budget Summary I")</f>
        <v>Budget Summary I</v>
      </c>
      <c r="C3" s="2931" t="s">
        <v>4599</v>
      </c>
      <c r="D3" s="2922"/>
      <c r="E3" s="2932">
        <f>R7</f>
        <v>0</v>
      </c>
      <c r="F3" s="2933"/>
      <c r="G3" s="2933"/>
      <c r="H3" s="2933"/>
      <c r="I3" s="2933"/>
      <c r="J3" s="2933"/>
      <c r="K3" s="2934"/>
      <c r="L3" s="2933"/>
      <c r="M3" s="2933"/>
      <c r="N3" s="2934"/>
      <c r="O3" s="2934"/>
      <c r="P3" s="2934"/>
      <c r="Q3" s="2934"/>
      <c r="R3" s="2934"/>
      <c r="S3" s="2934"/>
      <c r="T3" s="2934"/>
      <c r="U3" s="2934"/>
      <c r="V3" s="2934"/>
      <c r="W3" s="2934"/>
      <c r="X3" s="2934"/>
      <c r="Y3" s="2934"/>
      <c r="Z3" s="2934"/>
      <c r="AA3" s="2934"/>
      <c r="AB3" s="2934"/>
      <c r="AC3" s="2934"/>
      <c r="AD3" s="2934">
        <f>R14</f>
        <v>0</v>
      </c>
      <c r="AE3" s="2934"/>
      <c r="AF3" s="2934"/>
      <c r="AG3" s="2934"/>
      <c r="AH3" s="2935"/>
      <c r="AI3" s="2934"/>
      <c r="AJ3" s="2934"/>
      <c r="AK3" s="2934"/>
      <c r="AL3" s="2934"/>
      <c r="AM3" s="2934"/>
      <c r="AN3" s="2934"/>
      <c r="AO3" s="2934"/>
      <c r="AP3" s="2934"/>
      <c r="AQ3" s="2934"/>
      <c r="AR3" s="2934"/>
      <c r="AS3" s="2934"/>
      <c r="AT3" s="2934"/>
      <c r="AU3" s="2934"/>
      <c r="AV3" s="2934"/>
      <c r="AW3" s="2934"/>
      <c r="AX3" s="2934"/>
      <c r="AY3" s="2934"/>
      <c r="AZ3" s="2934"/>
      <c r="BA3" s="2934"/>
      <c r="BB3" s="2936">
        <f>R8</f>
        <v>0</v>
      </c>
      <c r="BC3" s="2936">
        <f>R20</f>
        <v>0</v>
      </c>
      <c r="BD3" s="2936">
        <f>R26</f>
        <v>0</v>
      </c>
    </row>
    <row r="4" spans="1:56" s="2929" customFormat="1">
      <c r="A4" s="4591"/>
      <c r="B4" s="2930" t="str">
        <f>HYPERLINK("#'Budget Summary II'!A3:B5", "Budget Summary II")</f>
        <v>Budget Summary II</v>
      </c>
      <c r="C4" s="2931" t="s">
        <v>4600</v>
      </c>
      <c r="D4" s="2922"/>
      <c r="E4" s="2932">
        <f>O7</f>
        <v>4160.0963979999997</v>
      </c>
      <c r="F4" s="2933"/>
      <c r="G4" s="2933"/>
      <c r="H4" s="2933"/>
      <c r="I4" s="2933"/>
      <c r="J4" s="2933"/>
      <c r="K4" s="2934"/>
      <c r="L4" s="2933"/>
      <c r="M4" s="2933"/>
      <c r="N4" s="2934"/>
      <c r="O4" s="2934"/>
      <c r="P4" s="2934"/>
      <c r="Q4" s="2934"/>
      <c r="R4" s="2934"/>
      <c r="S4" s="2934"/>
      <c r="T4" s="2934"/>
      <c r="U4" s="2934"/>
      <c r="V4" s="2934"/>
      <c r="W4" s="2934"/>
      <c r="X4" s="2934"/>
      <c r="Y4" s="2934"/>
      <c r="Z4" s="2934"/>
      <c r="AA4" s="2934"/>
      <c r="AB4" s="2934"/>
      <c r="AC4" s="2934"/>
      <c r="AD4" s="2934">
        <f>O14</f>
        <v>656.05600000000004</v>
      </c>
      <c r="AE4" s="2934"/>
      <c r="AF4" s="2934"/>
      <c r="AG4" s="2934"/>
      <c r="AH4" s="2935"/>
      <c r="AI4" s="2934"/>
      <c r="AJ4" s="2934"/>
      <c r="AK4" s="2934"/>
      <c r="AL4" s="2934"/>
      <c r="AM4" s="2934"/>
      <c r="AN4" s="2934"/>
      <c r="AO4" s="2934"/>
      <c r="AP4" s="2934"/>
      <c r="AQ4" s="2934"/>
      <c r="AR4" s="2934"/>
      <c r="AS4" s="2934"/>
      <c r="AT4" s="2934"/>
      <c r="AU4" s="2934"/>
      <c r="AV4" s="2934"/>
      <c r="AW4" s="2934"/>
      <c r="AX4" s="2934"/>
      <c r="AY4" s="2934"/>
      <c r="AZ4" s="2934"/>
      <c r="BA4" s="2934"/>
      <c r="BB4" s="2936">
        <f>O8</f>
        <v>3133.4498779999999</v>
      </c>
      <c r="BC4" s="2936">
        <f>O20</f>
        <v>149.59052</v>
      </c>
      <c r="BD4" s="2936">
        <f>O26</f>
        <v>221</v>
      </c>
    </row>
    <row r="5" spans="1:56" s="2937" customFormat="1" ht="14.25" customHeight="1">
      <c r="A5" s="4583" t="s">
        <v>53</v>
      </c>
      <c r="B5" s="4583" t="s">
        <v>54</v>
      </c>
      <c r="C5" s="4583" t="s">
        <v>55</v>
      </c>
      <c r="D5" s="4583" t="s">
        <v>56</v>
      </c>
      <c r="E5" s="4583" t="s">
        <v>57</v>
      </c>
      <c r="F5" s="4582" t="s">
        <v>4620</v>
      </c>
      <c r="G5" s="4582"/>
      <c r="H5" s="4582"/>
      <c r="I5" s="4582"/>
      <c r="J5" s="4582"/>
      <c r="K5" s="4582" t="s">
        <v>4631</v>
      </c>
      <c r="L5" s="4582"/>
      <c r="M5" s="4582"/>
      <c r="N5" s="4582"/>
      <c r="O5" s="4582"/>
      <c r="P5" s="4582"/>
      <c r="Q5" s="4583" t="s">
        <v>4661</v>
      </c>
      <c r="R5" s="4583"/>
    </row>
    <row r="6" spans="1:56" s="2944" customFormat="1" ht="66">
      <c r="A6" s="4583"/>
      <c r="B6" s="4583"/>
      <c r="C6" s="4583"/>
      <c r="D6" s="4583"/>
      <c r="E6" s="4583"/>
      <c r="F6" s="2938" t="s">
        <v>4621</v>
      </c>
      <c r="G6" s="2938" t="s">
        <v>4629</v>
      </c>
      <c r="H6" s="2938" t="s">
        <v>4622</v>
      </c>
      <c r="I6" s="2938" t="s">
        <v>4630</v>
      </c>
      <c r="J6" s="2939" t="s">
        <v>2534</v>
      </c>
      <c r="K6" s="2940" t="s">
        <v>58</v>
      </c>
      <c r="L6" s="2940" t="s">
        <v>59</v>
      </c>
      <c r="M6" s="2941" t="s">
        <v>60</v>
      </c>
      <c r="N6" s="2940" t="s">
        <v>61</v>
      </c>
      <c r="O6" s="2941" t="s">
        <v>62</v>
      </c>
      <c r="P6" s="2940" t="s">
        <v>5564</v>
      </c>
      <c r="Q6" s="2942" t="s">
        <v>2536</v>
      </c>
      <c r="R6" s="2943" t="s">
        <v>4662</v>
      </c>
    </row>
    <row r="7" spans="1:56" s="2950" customFormat="1">
      <c r="A7" s="2945">
        <v>18</v>
      </c>
      <c r="B7" s="2945" t="s">
        <v>2783</v>
      </c>
      <c r="C7" s="2945" t="s">
        <v>2782</v>
      </c>
      <c r="D7" s="2946"/>
      <c r="E7" s="2947"/>
      <c r="F7" s="2947"/>
      <c r="G7" s="2947"/>
      <c r="H7" s="2947"/>
      <c r="I7" s="2947"/>
      <c r="J7" s="2947"/>
      <c r="K7" s="2947"/>
      <c r="L7" s="2947"/>
      <c r="M7" s="2948"/>
      <c r="N7" s="2947"/>
      <c r="O7" s="2949">
        <f>O8+O14+O20+O26</f>
        <v>4160.0963979999997</v>
      </c>
      <c r="P7" s="2947"/>
      <c r="Q7" s="2947"/>
      <c r="R7" s="2949">
        <f>R8+R14+R20+R26</f>
        <v>0</v>
      </c>
    </row>
    <row r="8" spans="1:56">
      <c r="A8" s="2951">
        <v>18.100000000000001</v>
      </c>
      <c r="B8" s="2952"/>
      <c r="C8" s="2952" t="s">
        <v>4642</v>
      </c>
      <c r="D8" s="2953"/>
      <c r="E8" s="2952"/>
      <c r="F8" s="2952"/>
      <c r="G8" s="2952"/>
      <c r="H8" s="2952"/>
      <c r="I8" s="2952"/>
      <c r="J8" s="2952"/>
      <c r="K8" s="2952"/>
      <c r="L8" s="1934"/>
      <c r="M8" s="1342"/>
      <c r="N8" s="1934"/>
      <c r="O8" s="2954">
        <f>SUM(O9:O13)</f>
        <v>3133.4498779999999</v>
      </c>
      <c r="P8" s="2955"/>
      <c r="Q8" s="2955"/>
      <c r="R8" s="2954">
        <f>SUM(R9:R13)</f>
        <v>0</v>
      </c>
    </row>
    <row r="9" spans="1:56" ht="60" customHeight="1">
      <c r="A9" s="2956" t="s">
        <v>4637</v>
      </c>
      <c r="B9" s="2957"/>
      <c r="C9" s="1350" t="s">
        <v>5890</v>
      </c>
      <c r="D9" s="2958" t="s">
        <v>90</v>
      </c>
      <c r="E9" s="2957" t="s">
        <v>205</v>
      </c>
      <c r="F9" s="2957"/>
      <c r="G9" s="2957"/>
      <c r="H9" s="2957"/>
      <c r="I9" s="2957"/>
      <c r="J9" s="2957"/>
      <c r="K9" s="2957" t="s">
        <v>5890</v>
      </c>
      <c r="L9" s="1317">
        <v>148409000</v>
      </c>
      <c r="M9" s="1702">
        <f t="shared" ref="M9:M25" si="0">L9/100000</f>
        <v>1484.09</v>
      </c>
      <c r="N9" s="1317">
        <v>1</v>
      </c>
      <c r="O9" s="2959">
        <f>M9*N9</f>
        <v>1484.09</v>
      </c>
      <c r="P9" s="1348" t="s">
        <v>5891</v>
      </c>
      <c r="Q9" s="2960">
        <f>'Ab1. RMNCH+A'!Q477</f>
        <v>0</v>
      </c>
      <c r="R9" s="2961">
        <f>'Ab1. RMNCH+A'!R477</f>
        <v>0</v>
      </c>
    </row>
    <row r="10" spans="1:56" ht="57" customHeight="1">
      <c r="A10" s="2956" t="s">
        <v>4638</v>
      </c>
      <c r="B10" s="2957"/>
      <c r="C10" s="2957" t="s">
        <v>6156</v>
      </c>
      <c r="D10" s="2958" t="s">
        <v>90</v>
      </c>
      <c r="E10" s="2957" t="s">
        <v>205</v>
      </c>
      <c r="F10" s="2957"/>
      <c r="G10" s="2957"/>
      <c r="H10" s="2957"/>
      <c r="I10" s="2957"/>
      <c r="J10" s="2957"/>
      <c r="K10" s="2957" t="s">
        <v>6157</v>
      </c>
      <c r="L10" s="1317">
        <v>128375347.8</v>
      </c>
      <c r="M10" s="1702">
        <f t="shared" si="0"/>
        <v>1283.7534779999999</v>
      </c>
      <c r="N10" s="1317">
        <v>1</v>
      </c>
      <c r="O10" s="2959">
        <f>M10*N10</f>
        <v>1283.7534779999999</v>
      </c>
      <c r="P10" s="1348" t="s">
        <v>6158</v>
      </c>
      <c r="Q10" s="2960">
        <f>'Ab1. RMNCH+A'!Q478</f>
        <v>0</v>
      </c>
      <c r="R10" s="2961">
        <f>'Ab1. RMNCH+A'!R478</f>
        <v>0</v>
      </c>
    </row>
    <row r="11" spans="1:56" s="2929" customFormat="1" ht="44.25" customHeight="1">
      <c r="A11" s="3101" t="s">
        <v>4639</v>
      </c>
      <c r="B11" s="3102"/>
      <c r="C11" s="1349" t="s">
        <v>6570</v>
      </c>
      <c r="D11" s="3103" t="s">
        <v>90</v>
      </c>
      <c r="E11" s="3102" t="s">
        <v>6733</v>
      </c>
      <c r="F11" s="3102">
        <v>5</v>
      </c>
      <c r="G11" s="3102">
        <v>0</v>
      </c>
      <c r="H11" s="3102">
        <v>433.46</v>
      </c>
      <c r="I11" s="3102">
        <v>11.8</v>
      </c>
      <c r="J11" s="3102"/>
      <c r="K11" s="1349" t="s">
        <v>6569</v>
      </c>
      <c r="L11" s="1714">
        <v>3670128</v>
      </c>
      <c r="M11" s="1746">
        <f t="shared" si="0"/>
        <v>36.701279999999997</v>
      </c>
      <c r="N11" s="1714">
        <v>5</v>
      </c>
      <c r="O11" s="3104">
        <f>M11*N11</f>
        <v>183.50639999999999</v>
      </c>
      <c r="P11" s="2127" t="s">
        <v>6768</v>
      </c>
      <c r="Q11" s="3105">
        <f>'Ab1. RMNCH+A'!Q479</f>
        <v>0</v>
      </c>
      <c r="R11" s="3106">
        <f>'Ab1. RMNCH+A'!R479</f>
        <v>0</v>
      </c>
    </row>
    <row r="12" spans="1:56" s="3836" customFormat="1" ht="47.25" customHeight="1">
      <c r="A12" s="3830" t="s">
        <v>4640</v>
      </c>
      <c r="B12" s="3831"/>
      <c r="C12" s="3735" t="s">
        <v>6019</v>
      </c>
      <c r="D12" s="3832" t="s">
        <v>90</v>
      </c>
      <c r="E12" s="3831" t="s">
        <v>6733</v>
      </c>
      <c r="F12" s="3831">
        <v>30</v>
      </c>
      <c r="G12" s="3831">
        <v>0</v>
      </c>
      <c r="H12" s="3831">
        <v>30</v>
      </c>
      <c r="I12" s="3831">
        <v>0.04</v>
      </c>
      <c r="J12" s="3831"/>
      <c r="K12" s="3735" t="s">
        <v>6017</v>
      </c>
      <c r="L12" s="3739">
        <v>95000</v>
      </c>
      <c r="M12" s="3808">
        <f t="shared" si="0"/>
        <v>0.95</v>
      </c>
      <c r="N12" s="3739">
        <v>60</v>
      </c>
      <c r="O12" s="3833">
        <f>M12*N12</f>
        <v>57</v>
      </c>
      <c r="P12" s="2397" t="s">
        <v>6822</v>
      </c>
      <c r="Q12" s="3834">
        <f>'Ab1. RMNCH+A'!Q480</f>
        <v>0</v>
      </c>
      <c r="R12" s="3835">
        <f>'Ab1. RMNCH+A'!R480</f>
        <v>0</v>
      </c>
    </row>
    <row r="13" spans="1:56" s="2929" customFormat="1" ht="47.25" customHeight="1">
      <c r="A13" s="3101" t="s">
        <v>4641</v>
      </c>
      <c r="B13" s="3102"/>
      <c r="C13" s="3102" t="s">
        <v>6020</v>
      </c>
      <c r="D13" s="3103" t="s">
        <v>90</v>
      </c>
      <c r="E13" s="3102" t="s">
        <v>6733</v>
      </c>
      <c r="F13" s="3102"/>
      <c r="G13" s="3102"/>
      <c r="H13" s="3102"/>
      <c r="I13" s="3102"/>
      <c r="J13" s="3102"/>
      <c r="K13" s="1349" t="s">
        <v>6018</v>
      </c>
      <c r="L13" s="1714">
        <v>3000</v>
      </c>
      <c r="M13" s="1746">
        <f t="shared" si="0"/>
        <v>0.03</v>
      </c>
      <c r="N13" s="1714">
        <v>4170</v>
      </c>
      <c r="O13" s="3104">
        <f>M13*N13</f>
        <v>125.1</v>
      </c>
      <c r="P13" s="2127" t="s">
        <v>6568</v>
      </c>
      <c r="Q13" s="3105">
        <f>'Ab1. RMNCH+A'!Q481</f>
        <v>0</v>
      </c>
      <c r="R13" s="3106">
        <f>'Ab1. RMNCH+A'!R481</f>
        <v>0</v>
      </c>
    </row>
    <row r="14" spans="1:56">
      <c r="A14" s="2951">
        <v>18.2</v>
      </c>
      <c r="B14" s="2952"/>
      <c r="C14" s="2952" t="s">
        <v>4643</v>
      </c>
      <c r="D14" s="2953"/>
      <c r="E14" s="2952"/>
      <c r="F14" s="2952"/>
      <c r="G14" s="2952"/>
      <c r="H14" s="2952"/>
      <c r="I14" s="2952"/>
      <c r="J14" s="2952"/>
      <c r="K14" s="2952"/>
      <c r="L14" s="1934"/>
      <c r="M14" s="1342"/>
      <c r="N14" s="1934"/>
      <c r="O14" s="2954">
        <f>SUM(O15:O19)</f>
        <v>656.05600000000004</v>
      </c>
      <c r="P14" s="2955"/>
      <c r="Q14" s="2955"/>
      <c r="R14" s="2954">
        <f>SUM(R15:R19)</f>
        <v>0</v>
      </c>
    </row>
    <row r="15" spans="1:56" ht="51.75" customHeight="1">
      <c r="A15" s="2956" t="s">
        <v>4644</v>
      </c>
      <c r="B15" s="2957"/>
      <c r="C15" s="1818" t="s">
        <v>6443</v>
      </c>
      <c r="D15" s="2962" t="s">
        <v>70</v>
      </c>
      <c r="E15" s="2957" t="s">
        <v>6734</v>
      </c>
      <c r="F15" s="2957"/>
      <c r="G15" s="2957"/>
      <c r="H15" s="2957"/>
      <c r="I15" s="2957"/>
      <c r="J15" s="2957"/>
      <c r="K15" s="1818"/>
      <c r="L15" s="2968"/>
      <c r="M15" s="1702">
        <f t="shared" si="0"/>
        <v>0</v>
      </c>
      <c r="N15" s="1317"/>
      <c r="O15" s="2959">
        <f>M15*N15</f>
        <v>0</v>
      </c>
      <c r="P15" s="2823"/>
      <c r="Q15" s="2960"/>
      <c r="R15" s="2963"/>
    </row>
    <row r="16" spans="1:56">
      <c r="A16" s="2956" t="s">
        <v>4645</v>
      </c>
      <c r="B16" s="2957"/>
      <c r="C16" s="1350" t="s">
        <v>6745</v>
      </c>
      <c r="D16" s="2962" t="s">
        <v>70</v>
      </c>
      <c r="E16" s="2957"/>
      <c r="F16" s="2957"/>
      <c r="G16" s="2957"/>
      <c r="H16" s="2957"/>
      <c r="I16" s="2957"/>
      <c r="J16" s="2957"/>
      <c r="K16" s="1350"/>
      <c r="L16" s="1317">
        <v>500000</v>
      </c>
      <c r="M16" s="1702">
        <f t="shared" si="0"/>
        <v>5</v>
      </c>
      <c r="N16" s="1317">
        <v>38</v>
      </c>
      <c r="O16" s="2959">
        <f>M16*N16</f>
        <v>190</v>
      </c>
      <c r="P16" s="1348"/>
      <c r="Q16" s="2960"/>
      <c r="R16" s="2963"/>
    </row>
    <row r="17" spans="1:18" ht="175.5" customHeight="1">
      <c r="A17" s="2956" t="s">
        <v>4646</v>
      </c>
      <c r="B17" s="2957"/>
      <c r="C17" s="3645" t="s">
        <v>6803</v>
      </c>
      <c r="D17" s="2962" t="s">
        <v>70</v>
      </c>
      <c r="E17" s="2957"/>
      <c r="F17" s="2957"/>
      <c r="G17" s="2957"/>
      <c r="H17" s="2957"/>
      <c r="I17" s="2957"/>
      <c r="J17" s="2957"/>
      <c r="K17" s="1350"/>
      <c r="L17" s="1317">
        <v>25605600</v>
      </c>
      <c r="M17" s="1702">
        <f t="shared" si="0"/>
        <v>256.05599999999998</v>
      </c>
      <c r="N17" s="1317">
        <v>1</v>
      </c>
      <c r="O17" s="2959">
        <f>M17*N17</f>
        <v>256.05599999999998</v>
      </c>
      <c r="P17" s="1348" t="s">
        <v>6959</v>
      </c>
      <c r="Q17" s="2960"/>
      <c r="R17" s="2963"/>
    </row>
    <row r="18" spans="1:18" ht="115.5">
      <c r="A18" s="2956" t="s">
        <v>4647</v>
      </c>
      <c r="B18" s="2957"/>
      <c r="C18" s="1350" t="s">
        <v>6958</v>
      </c>
      <c r="D18" s="2962" t="s">
        <v>70</v>
      </c>
      <c r="E18" s="2957"/>
      <c r="F18" s="2957"/>
      <c r="G18" s="2957"/>
      <c r="H18" s="2957"/>
      <c r="I18" s="2957"/>
      <c r="J18" s="2957"/>
      <c r="K18" s="1350"/>
      <c r="L18" s="1317">
        <v>21000000</v>
      </c>
      <c r="M18" s="1702">
        <f t="shared" si="0"/>
        <v>210</v>
      </c>
      <c r="N18" s="1317">
        <v>1</v>
      </c>
      <c r="O18" s="2959">
        <f>M18*N18</f>
        <v>210</v>
      </c>
      <c r="P18" s="1348" t="s">
        <v>6960</v>
      </c>
      <c r="Q18" s="2960"/>
      <c r="R18" s="2963"/>
    </row>
    <row r="19" spans="1:18">
      <c r="A19" s="2956" t="s">
        <v>4648</v>
      </c>
      <c r="B19" s="2957"/>
      <c r="C19" s="1350"/>
      <c r="D19" s="2962" t="s">
        <v>70</v>
      </c>
      <c r="E19" s="2957"/>
      <c r="F19" s="2957"/>
      <c r="G19" s="2957"/>
      <c r="H19" s="2957"/>
      <c r="I19" s="2957"/>
      <c r="J19" s="2957"/>
      <c r="K19" s="1350"/>
      <c r="L19" s="1317"/>
      <c r="M19" s="1702">
        <f t="shared" si="0"/>
        <v>0</v>
      </c>
      <c r="N19" s="1317"/>
      <c r="O19" s="2959">
        <f>M19*N19</f>
        <v>0</v>
      </c>
      <c r="P19" s="1348"/>
      <c r="Q19" s="2960"/>
      <c r="R19" s="2963"/>
    </row>
    <row r="20" spans="1:18">
      <c r="A20" s="2951">
        <v>18.3</v>
      </c>
      <c r="B20" s="2952"/>
      <c r="C20" s="2952" t="s">
        <v>4649</v>
      </c>
      <c r="D20" s="2953"/>
      <c r="E20" s="2952"/>
      <c r="F20" s="2952"/>
      <c r="G20" s="2952"/>
      <c r="H20" s="2952"/>
      <c r="I20" s="2952"/>
      <c r="J20" s="2952"/>
      <c r="K20" s="2952"/>
      <c r="L20" s="1934"/>
      <c r="M20" s="1342"/>
      <c r="N20" s="1934"/>
      <c r="O20" s="2954">
        <f>SUM(O21:O25)</f>
        <v>149.59052</v>
      </c>
      <c r="P20" s="2955"/>
      <c r="Q20" s="2955"/>
      <c r="R20" s="2954">
        <f>SUM(R21:R25)</f>
        <v>0</v>
      </c>
    </row>
    <row r="21" spans="1:18" ht="81.75" customHeight="1">
      <c r="A21" s="2956" t="s">
        <v>4650</v>
      </c>
      <c r="B21" s="2957"/>
      <c r="C21" s="2957" t="s">
        <v>6148</v>
      </c>
      <c r="D21" s="2964" t="s">
        <v>4358</v>
      </c>
      <c r="E21" s="2957"/>
      <c r="F21" s="2957"/>
      <c r="G21" s="2957"/>
      <c r="H21" s="2957"/>
      <c r="I21" s="2957"/>
      <c r="J21" s="2957"/>
      <c r="K21" s="2957" t="s">
        <v>6149</v>
      </c>
      <c r="L21" s="2957">
        <v>368421</v>
      </c>
      <c r="M21" s="1702">
        <f t="shared" si="0"/>
        <v>3.6842100000000002</v>
      </c>
      <c r="N21" s="1317">
        <v>38</v>
      </c>
      <c r="O21" s="2959">
        <f>M21*N21</f>
        <v>139.99997999999999</v>
      </c>
      <c r="P21" s="1462" t="s">
        <v>6747</v>
      </c>
      <c r="Q21" s="2960"/>
      <c r="R21" s="2963"/>
    </row>
    <row r="22" spans="1:18" s="3836" customFormat="1" ht="69" customHeight="1">
      <c r="A22" s="3830" t="s">
        <v>4651</v>
      </c>
      <c r="B22" s="3831"/>
      <c r="C22" s="3735" t="s">
        <v>6893</v>
      </c>
      <c r="D22" s="4024" t="s">
        <v>4358</v>
      </c>
      <c r="E22" s="3831"/>
      <c r="F22" s="3831"/>
      <c r="G22" s="3831"/>
      <c r="H22" s="3831"/>
      <c r="I22" s="3831"/>
      <c r="J22" s="3831"/>
      <c r="K22" s="3831" t="s">
        <v>6894</v>
      </c>
      <c r="L22" s="3739">
        <v>959054</v>
      </c>
      <c r="M22" s="3808">
        <f t="shared" si="0"/>
        <v>9.5905400000000007</v>
      </c>
      <c r="N22" s="3739">
        <v>1</v>
      </c>
      <c r="O22" s="3833">
        <f>M22*N22</f>
        <v>9.5905400000000007</v>
      </c>
      <c r="P22" s="2397" t="s">
        <v>6895</v>
      </c>
      <c r="Q22" s="3834"/>
      <c r="R22" s="3912"/>
    </row>
    <row r="23" spans="1:18">
      <c r="A23" s="2956" t="s">
        <v>4652</v>
      </c>
      <c r="B23" s="2957"/>
      <c r="C23" s="2957"/>
      <c r="D23" s="2964" t="s">
        <v>4358</v>
      </c>
      <c r="E23" s="2957"/>
      <c r="F23" s="2957"/>
      <c r="G23" s="2957"/>
      <c r="H23" s="2957"/>
      <c r="I23" s="2957"/>
      <c r="J23" s="2957"/>
      <c r="K23" s="2957"/>
      <c r="L23" s="1317"/>
      <c r="M23" s="1702">
        <f t="shared" si="0"/>
        <v>0</v>
      </c>
      <c r="N23" s="1317"/>
      <c r="O23" s="2959">
        <f>M23*N23</f>
        <v>0</v>
      </c>
      <c r="P23" s="2960"/>
      <c r="Q23" s="2960"/>
      <c r="R23" s="2963"/>
    </row>
    <row r="24" spans="1:18">
      <c r="A24" s="2956" t="s">
        <v>4653</v>
      </c>
      <c r="B24" s="2957"/>
      <c r="C24" s="2957"/>
      <c r="D24" s="2964" t="s">
        <v>4358</v>
      </c>
      <c r="E24" s="2957"/>
      <c r="F24" s="2957"/>
      <c r="G24" s="2957"/>
      <c r="H24" s="2957"/>
      <c r="I24" s="2957"/>
      <c r="J24" s="2957"/>
      <c r="K24" s="2957"/>
      <c r="L24" s="1317"/>
      <c r="M24" s="1702">
        <f t="shared" si="0"/>
        <v>0</v>
      </c>
      <c r="N24" s="1317"/>
      <c r="O24" s="2959">
        <f>M24*N24</f>
        <v>0</v>
      </c>
      <c r="P24" s="2960"/>
      <c r="Q24" s="2960"/>
      <c r="R24" s="2963"/>
    </row>
    <row r="25" spans="1:18">
      <c r="A25" s="2956" t="s">
        <v>4654</v>
      </c>
      <c r="B25" s="2957"/>
      <c r="C25" s="2957"/>
      <c r="D25" s="2964" t="s">
        <v>4358</v>
      </c>
      <c r="E25" s="2957"/>
      <c r="F25" s="2957"/>
      <c r="G25" s="2957"/>
      <c r="H25" s="2957"/>
      <c r="I25" s="2957"/>
      <c r="J25" s="2957"/>
      <c r="K25" s="2957"/>
      <c r="L25" s="1317"/>
      <c r="M25" s="1702">
        <f t="shared" si="0"/>
        <v>0</v>
      </c>
      <c r="N25" s="1317"/>
      <c r="O25" s="2959">
        <f>M25*N25</f>
        <v>0</v>
      </c>
      <c r="P25" s="2960"/>
      <c r="Q25" s="2960"/>
      <c r="R25" s="2963"/>
    </row>
    <row r="26" spans="1:18">
      <c r="A26" s="2951">
        <v>18.399999999999999</v>
      </c>
      <c r="B26" s="2952"/>
      <c r="C26" s="2952" t="s">
        <v>4655</v>
      </c>
      <c r="D26" s="2953"/>
      <c r="E26" s="2952"/>
      <c r="F26" s="2952"/>
      <c r="G26" s="2952"/>
      <c r="H26" s="2952"/>
      <c r="I26" s="2952"/>
      <c r="J26" s="2952"/>
      <c r="K26" s="2952"/>
      <c r="L26" s="1934"/>
      <c r="M26" s="1342"/>
      <c r="N26" s="1934"/>
      <c r="O26" s="2954">
        <f>SUM(O27:O31)</f>
        <v>221</v>
      </c>
      <c r="P26" s="2955"/>
      <c r="Q26" s="2955"/>
      <c r="R26" s="2954">
        <f>SUM(R27:R31)</f>
        <v>0</v>
      </c>
    </row>
    <row r="27" spans="1:18" ht="49.5">
      <c r="A27" s="2956" t="s">
        <v>4656</v>
      </c>
      <c r="B27" s="2957"/>
      <c r="C27" s="1494" t="s">
        <v>6746</v>
      </c>
      <c r="D27" s="2965" t="s">
        <v>85</v>
      </c>
      <c r="E27" s="2957"/>
      <c r="F27" s="2957"/>
      <c r="G27" s="2957"/>
      <c r="H27" s="2957"/>
      <c r="I27" s="2957"/>
      <c r="J27" s="2957"/>
      <c r="K27" s="2957"/>
      <c r="L27" s="1317"/>
      <c r="M27" s="1702">
        <f>L27/100000</f>
        <v>0</v>
      </c>
      <c r="N27" s="1317"/>
      <c r="O27" s="2959">
        <f>M27*N27</f>
        <v>0</v>
      </c>
      <c r="P27" s="1348" t="s">
        <v>6817</v>
      </c>
      <c r="Q27" s="2960"/>
      <c r="R27" s="2963"/>
    </row>
    <row r="28" spans="1:18" s="3836" customFormat="1" ht="123.75" customHeight="1">
      <c r="A28" s="3830" t="s">
        <v>4657</v>
      </c>
      <c r="B28" s="3831"/>
      <c r="C28" s="3735" t="s">
        <v>6844</v>
      </c>
      <c r="D28" s="3832" t="s">
        <v>85</v>
      </c>
      <c r="E28" s="3831"/>
      <c r="F28" s="3831"/>
      <c r="G28" s="3831"/>
      <c r="H28" s="3831"/>
      <c r="I28" s="3831"/>
      <c r="J28" s="3831"/>
      <c r="K28" s="2394" t="s">
        <v>6843</v>
      </c>
      <c r="L28" s="2394">
        <v>13000</v>
      </c>
      <c r="M28" s="3808">
        <f>L28/100000</f>
        <v>0.13</v>
      </c>
      <c r="N28" s="3739">
        <v>1700</v>
      </c>
      <c r="O28" s="3833">
        <f>M28*N28</f>
        <v>221</v>
      </c>
      <c r="P28" s="2397" t="s">
        <v>6920</v>
      </c>
      <c r="Q28" s="3834"/>
      <c r="R28" s="3912"/>
    </row>
    <row r="29" spans="1:18" ht="35.25" customHeight="1">
      <c r="A29" s="2956" t="s">
        <v>4658</v>
      </c>
      <c r="B29" s="2957"/>
      <c r="C29" s="2957"/>
      <c r="D29" s="2965" t="s">
        <v>85</v>
      </c>
      <c r="E29" s="2957"/>
      <c r="F29" s="2957"/>
      <c r="G29" s="2957"/>
      <c r="H29" s="2957"/>
      <c r="I29" s="2957"/>
      <c r="J29" s="2957"/>
      <c r="K29" s="2957"/>
      <c r="L29" s="1317"/>
      <c r="M29" s="1702">
        <f>L29/100000</f>
        <v>0</v>
      </c>
      <c r="N29" s="1317"/>
      <c r="O29" s="2959">
        <f>M29*N29</f>
        <v>0</v>
      </c>
      <c r="P29" s="2960"/>
      <c r="Q29" s="2960"/>
      <c r="R29" s="2963"/>
    </row>
    <row r="30" spans="1:18" ht="35.25" customHeight="1">
      <c r="A30" s="2956" t="s">
        <v>4659</v>
      </c>
      <c r="B30" s="2957"/>
      <c r="C30" s="2957"/>
      <c r="D30" s="2965" t="s">
        <v>85</v>
      </c>
      <c r="E30" s="2957"/>
      <c r="F30" s="2957"/>
      <c r="G30" s="2957"/>
      <c r="H30" s="2957"/>
      <c r="I30" s="2957"/>
      <c r="J30" s="2957"/>
      <c r="K30" s="2957"/>
      <c r="L30" s="1317"/>
      <c r="M30" s="1702">
        <f>L30/100000</f>
        <v>0</v>
      </c>
      <c r="N30" s="1317"/>
      <c r="O30" s="2959">
        <f>M30*N30</f>
        <v>0</v>
      </c>
      <c r="P30" s="2960"/>
      <c r="Q30" s="2960"/>
      <c r="R30" s="2963"/>
    </row>
    <row r="31" spans="1:18" ht="35.25" customHeight="1">
      <c r="A31" s="2956" t="s">
        <v>4660</v>
      </c>
      <c r="B31" s="2957"/>
      <c r="C31" s="2957"/>
      <c r="D31" s="2965" t="s">
        <v>85</v>
      </c>
      <c r="E31" s="2957"/>
      <c r="F31" s="2957"/>
      <c r="G31" s="2957"/>
      <c r="H31" s="2957"/>
      <c r="I31" s="2957"/>
      <c r="J31" s="2957"/>
      <c r="K31" s="2957"/>
      <c r="L31" s="1317"/>
      <c r="M31" s="1702">
        <f>L31/100000</f>
        <v>0</v>
      </c>
      <c r="N31" s="1317"/>
      <c r="O31" s="2959">
        <f>M31*N31</f>
        <v>0</v>
      </c>
      <c r="P31" s="2960"/>
      <c r="Q31" s="2960"/>
      <c r="R31" s="2963"/>
    </row>
  </sheetData>
  <sheetProtection sheet="1" formatCells="0" formatColumns="0" formatRows="0" insertRows="0" autoFilter="0"/>
  <autoFilter ref="A6:R31"/>
  <mergeCells count="18">
    <mergeCell ref="AI1:AO1"/>
    <mergeCell ref="AP1:BA1"/>
    <mergeCell ref="BB1:BB2"/>
    <mergeCell ref="BC1:BC2"/>
    <mergeCell ref="BD1:BD2"/>
    <mergeCell ref="K5:P5"/>
    <mergeCell ref="Q5:R5"/>
    <mergeCell ref="A1:C1"/>
    <mergeCell ref="F5:J5"/>
    <mergeCell ref="A5:A6"/>
    <mergeCell ref="B5:B6"/>
    <mergeCell ref="C5:C6"/>
    <mergeCell ref="D5:D6"/>
    <mergeCell ref="E5:E6"/>
    <mergeCell ref="E1:E2"/>
    <mergeCell ref="F1:N1"/>
    <mergeCell ref="A2:A4"/>
    <mergeCell ref="O1:AH1"/>
  </mergeCells>
  <phoneticPr fontId="27" type="noConversion"/>
  <pageMargins left="0.7" right="0.7" top="0.28999999999999998" bottom="0.26" header="0.3" footer="0.3"/>
  <pageSetup paperSize="5" scale="70" orientation="landscape" horizontalDpi="300" verticalDpi="300" r:id="rId1"/>
</worksheet>
</file>

<file path=xl/worksheets/sheet33.xml><?xml version="1.0" encoding="utf-8"?>
<worksheet xmlns="http://schemas.openxmlformats.org/spreadsheetml/2006/main" xmlns:r="http://schemas.openxmlformats.org/officeDocument/2006/relationships">
  <sheetPr codeName="Sheet20"/>
  <dimension ref="A1:S274"/>
  <sheetViews>
    <sheetView zoomScale="80" zoomScaleNormal="80" workbookViewId="0">
      <pane xSplit="4" ySplit="7" topLeftCell="J8" activePane="bottomRight" state="frozen"/>
      <selection activeCell="Q172" sqref="A1:BE179"/>
      <selection pane="topRight" activeCell="Q172" sqref="A1:BE179"/>
      <selection pane="bottomLeft" activeCell="Q172" sqref="A1:BE179"/>
      <selection pane="bottomRight" activeCell="N13" sqref="N13"/>
    </sheetView>
  </sheetViews>
  <sheetFormatPr defaultColWidth="8.7109375" defaultRowHeight="16.5"/>
  <cols>
    <col min="1" max="1" width="12.42578125" style="1277" customWidth="1"/>
    <col min="2" max="2" width="14.28515625" style="1277" customWidth="1"/>
    <col min="3" max="3" width="41.140625" style="1277" customWidth="1"/>
    <col min="4" max="4" width="14.140625" style="1277" bestFit="1" customWidth="1"/>
    <col min="5" max="5" width="19" style="1277" hidden="1" customWidth="1"/>
    <col min="6" max="6" width="12.85546875" style="1277" hidden="1" customWidth="1"/>
    <col min="7" max="7" width="14.85546875" style="1277" hidden="1" customWidth="1"/>
    <col min="8" max="8" width="0" style="1277" hidden="1" customWidth="1"/>
    <col min="9" max="9" width="15.140625" style="1277" hidden="1" customWidth="1"/>
    <col min="10" max="10" width="8.7109375" style="1277"/>
    <col min="11" max="11" width="13.42578125" style="1277" bestFit="1" customWidth="1"/>
    <col min="12" max="12" width="10.85546875" style="1277" customWidth="1"/>
    <col min="13" max="13" width="8.7109375" style="1277"/>
    <col min="14" max="14" width="15" style="3477" customWidth="1"/>
    <col min="15" max="15" width="85.7109375" style="3478" customWidth="1"/>
    <col min="16" max="16" width="34.140625" style="3478" hidden="1" customWidth="1"/>
    <col min="17" max="17" width="11.42578125" style="1277" hidden="1" customWidth="1"/>
    <col min="18" max="16384" width="8.7109375" style="1277"/>
  </cols>
  <sheetData>
    <row r="1" spans="1:19" ht="12.95" customHeight="1">
      <c r="A1" s="4603" t="s">
        <v>3121</v>
      </c>
      <c r="B1" s="4603"/>
      <c r="C1" s="4603"/>
      <c r="D1" s="4603"/>
      <c r="E1" s="4603"/>
      <c r="F1" s="4603"/>
      <c r="G1" s="4603"/>
      <c r="H1" s="4603"/>
      <c r="I1" s="4603"/>
      <c r="J1" s="4603"/>
      <c r="K1" s="4603"/>
      <c r="L1" s="4603"/>
      <c r="M1" s="4603"/>
      <c r="N1" s="4603"/>
      <c r="O1" s="4603"/>
      <c r="P1" s="4603"/>
      <c r="Q1" s="4603"/>
    </row>
    <row r="2" spans="1:19" s="1668" customFormat="1" ht="33">
      <c r="A2" s="4365" t="str">
        <f>HYPERLINK("#Index!A4", "Index Pg")</f>
        <v>Index Pg</v>
      </c>
      <c r="B2" s="2134" t="str">
        <f>HYPERLINK("#'Summary of Abstracts'!A2", "Summary of Abst.")</f>
        <v>Summary of Abst.</v>
      </c>
      <c r="C2" s="2134" t="str">
        <f>HYPERLINK("#'NUHM Summary'!A4:A5", "NUHM Summary Sheet.")</f>
        <v>NUHM Summary Sheet.</v>
      </c>
      <c r="D2" s="3367"/>
      <c r="E2" s="1765" t="s">
        <v>5349</v>
      </c>
      <c r="F2" s="1765" t="s">
        <v>5350</v>
      </c>
      <c r="G2" s="1765" t="s">
        <v>5351</v>
      </c>
      <c r="H2" s="1765" t="s">
        <v>5352</v>
      </c>
      <c r="I2" s="1765" t="s">
        <v>5353</v>
      </c>
      <c r="J2" s="1765" t="s">
        <v>5354</v>
      </c>
      <c r="K2" s="1765" t="s">
        <v>5355</v>
      </c>
      <c r="L2" s="1765" t="s">
        <v>5356</v>
      </c>
      <c r="M2" s="1765" t="s">
        <v>5357</v>
      </c>
      <c r="N2" s="1765" t="s">
        <v>5358</v>
      </c>
      <c r="O2" s="3368"/>
      <c r="P2" s="3368"/>
      <c r="Q2" s="3368"/>
      <c r="R2" s="1277"/>
      <c r="S2" s="1277"/>
    </row>
    <row r="3" spans="1:19" s="3377" customFormat="1">
      <c r="A3" s="4366"/>
      <c r="B3" s="1287" t="str">
        <f>HYPERLINK("#'Budget Summary I'!A1:AL1", "Budget Summary I")</f>
        <v>Budget Summary I</v>
      </c>
      <c r="C3" s="1286" t="s">
        <v>4599</v>
      </c>
      <c r="D3" s="3369">
        <f>Q7</f>
        <v>0</v>
      </c>
      <c r="E3" s="3370">
        <f>Q49</f>
        <v>0</v>
      </c>
      <c r="F3" s="3370">
        <f>Q89</f>
        <v>0</v>
      </c>
      <c r="G3" s="3370">
        <f>Q93+Q100+Q105+Q106+Q113+Q114+Q116</f>
        <v>0</v>
      </c>
      <c r="H3" s="3370">
        <f>Q172</f>
        <v>0</v>
      </c>
      <c r="I3" s="3370">
        <f>Q186+Q187+Q189+Q188</f>
        <v>0</v>
      </c>
      <c r="J3" s="3371">
        <f>Q206</f>
        <v>0</v>
      </c>
      <c r="K3" s="3372">
        <f>Q209</f>
        <v>0</v>
      </c>
      <c r="L3" s="3372">
        <f>Q228</f>
        <v>0</v>
      </c>
      <c r="M3" s="3372">
        <f>Q237</f>
        <v>0</v>
      </c>
      <c r="N3" s="3373">
        <f>Q271</f>
        <v>0</v>
      </c>
      <c r="O3" s="3374"/>
      <c r="P3" s="3375"/>
      <c r="Q3" s="3374"/>
      <c r="R3" s="3376"/>
      <c r="S3" s="3376"/>
    </row>
    <row r="4" spans="1:19" s="3377" customFormat="1">
      <c r="A4" s="4367"/>
      <c r="B4" s="1287" t="str">
        <f>HYPERLINK("#'Budget Summary II'!A3:B5", "Budget Summary II")</f>
        <v>Budget Summary II</v>
      </c>
      <c r="C4" s="1286" t="s">
        <v>4600</v>
      </c>
      <c r="D4" s="3369">
        <f>N7</f>
        <v>5437.438874200001</v>
      </c>
      <c r="E4" s="3370">
        <f>N49</f>
        <v>13.200000000000001</v>
      </c>
      <c r="F4" s="3370">
        <f>N89</f>
        <v>10</v>
      </c>
      <c r="G4" s="3370">
        <f>N93+N100+N105+N106+N113+N114+N116</f>
        <v>544.00967000000003</v>
      </c>
      <c r="H4" s="3370">
        <f>N172</f>
        <v>30</v>
      </c>
      <c r="I4" s="3370">
        <f>N186+N187+N189+N188</f>
        <v>23.375</v>
      </c>
      <c r="J4" s="3371">
        <f>N206</f>
        <v>27.5</v>
      </c>
      <c r="K4" s="3372">
        <f>N209</f>
        <v>27.5</v>
      </c>
      <c r="L4" s="3372">
        <f>N228</f>
        <v>0</v>
      </c>
      <c r="M4" s="3372">
        <f>N237</f>
        <v>10</v>
      </c>
      <c r="N4" s="3373">
        <f>N271</f>
        <v>0</v>
      </c>
      <c r="O4" s="3374"/>
      <c r="P4" s="3375"/>
      <c r="Q4" s="3374"/>
      <c r="R4" s="3376"/>
      <c r="S4" s="3376"/>
    </row>
    <row r="5" spans="1:19" s="1278" customFormat="1" ht="12.75" customHeight="1">
      <c r="A5" s="4604" t="s">
        <v>53</v>
      </c>
      <c r="B5" s="4604" t="s">
        <v>54</v>
      </c>
      <c r="C5" s="4604" t="s">
        <v>55</v>
      </c>
      <c r="D5" s="4604" t="s">
        <v>4663</v>
      </c>
      <c r="E5" s="4339" t="s">
        <v>4620</v>
      </c>
      <c r="F5" s="4339"/>
      <c r="G5" s="4339"/>
      <c r="H5" s="4339"/>
      <c r="I5" s="4339"/>
      <c r="J5" s="4340" t="s">
        <v>4631</v>
      </c>
      <c r="K5" s="4380"/>
      <c r="L5" s="4380"/>
      <c r="M5" s="4380"/>
      <c r="N5" s="4380"/>
      <c r="O5" s="4381"/>
      <c r="P5" s="4422" t="s">
        <v>4661</v>
      </c>
      <c r="Q5" s="4423"/>
      <c r="R5" s="3378"/>
      <c r="S5" s="3378"/>
    </row>
    <row r="6" spans="1:19" s="3378" customFormat="1" ht="66">
      <c r="A6" s="4605"/>
      <c r="B6" s="4605"/>
      <c r="C6" s="4605"/>
      <c r="D6" s="4605"/>
      <c r="E6" s="1288" t="s">
        <v>4621</v>
      </c>
      <c r="F6" s="1288" t="s">
        <v>4629</v>
      </c>
      <c r="G6" s="1288" t="s">
        <v>4622</v>
      </c>
      <c r="H6" s="1288" t="s">
        <v>4630</v>
      </c>
      <c r="I6" s="1288" t="s">
        <v>2534</v>
      </c>
      <c r="J6" s="1289" t="s">
        <v>58</v>
      </c>
      <c r="K6" s="1289" t="s">
        <v>59</v>
      </c>
      <c r="L6" s="1987" t="s">
        <v>60</v>
      </c>
      <c r="M6" s="1289" t="s">
        <v>61</v>
      </c>
      <c r="N6" s="1987" t="s">
        <v>62</v>
      </c>
      <c r="O6" s="1289" t="s">
        <v>63</v>
      </c>
      <c r="P6" s="1291" t="s">
        <v>2536</v>
      </c>
      <c r="Q6" s="1988" t="s">
        <v>4662</v>
      </c>
    </row>
    <row r="7" spans="1:19" s="3381" customFormat="1">
      <c r="A7" s="3379"/>
      <c r="B7" s="3379"/>
      <c r="C7" s="3379" t="s">
        <v>3949</v>
      </c>
      <c r="D7" s="3379"/>
      <c r="E7" s="3379"/>
      <c r="F7" s="3379"/>
      <c r="G7" s="3379"/>
      <c r="H7" s="3379"/>
      <c r="I7" s="3379"/>
      <c r="J7" s="3379"/>
      <c r="K7" s="3379"/>
      <c r="L7" s="3379"/>
      <c r="M7" s="3379"/>
      <c r="N7" s="3380">
        <f>N8+N38+N51+N70+N77+N91+N118+N120+N174+N195+N204+N207+N210+N223+N227+N230+N270+N273</f>
        <v>5437.438874200001</v>
      </c>
      <c r="O7" s="3379"/>
      <c r="P7" s="3379"/>
      <c r="Q7" s="3380">
        <f>Q8+Q38+Q51+Q70+Q77+Q91+Q118+Q120+Q174+Q195+Q204+Q207+Q210+Q223+Q227+Q230+Q270+Q273</f>
        <v>0</v>
      </c>
    </row>
    <row r="8" spans="1:19">
      <c r="A8" s="3379" t="s">
        <v>3122</v>
      </c>
      <c r="B8" s="3379"/>
      <c r="C8" s="3379" t="s">
        <v>4</v>
      </c>
      <c r="D8" s="3379"/>
      <c r="E8" s="3379"/>
      <c r="F8" s="3379"/>
      <c r="G8" s="3379"/>
      <c r="H8" s="3379"/>
      <c r="I8" s="3379"/>
      <c r="J8" s="3379"/>
      <c r="K8" s="3379"/>
      <c r="L8" s="3379"/>
      <c r="M8" s="3379"/>
      <c r="N8" s="3380">
        <f>N9+N33+N30</f>
        <v>315.44</v>
      </c>
      <c r="O8" s="3379"/>
      <c r="P8" s="3379"/>
      <c r="Q8" s="3380">
        <f>Q9+Q33+Q30</f>
        <v>0</v>
      </c>
    </row>
    <row r="9" spans="1:19">
      <c r="A9" s="3382" t="s">
        <v>3123</v>
      </c>
      <c r="B9" s="3382"/>
      <c r="C9" s="3382" t="s">
        <v>5</v>
      </c>
      <c r="D9" s="3382"/>
      <c r="E9" s="3382"/>
      <c r="F9" s="3382"/>
      <c r="G9" s="3382"/>
      <c r="H9" s="3382"/>
      <c r="I9" s="3382"/>
      <c r="J9" s="3382"/>
      <c r="K9" s="3382"/>
      <c r="L9" s="3382"/>
      <c r="M9" s="3382"/>
      <c r="N9" s="3383">
        <f>N10+N18</f>
        <v>67.5</v>
      </c>
      <c r="O9" s="3382"/>
      <c r="P9" s="3382"/>
      <c r="Q9" s="3383">
        <f>Q10+Q18</f>
        <v>0</v>
      </c>
    </row>
    <row r="10" spans="1:19">
      <c r="A10" s="1314" t="s">
        <v>3124</v>
      </c>
      <c r="B10" s="1547" t="s">
        <v>2937</v>
      </c>
      <c r="C10" s="1547" t="s">
        <v>2938</v>
      </c>
      <c r="D10" s="1547"/>
      <c r="E10" s="3384"/>
      <c r="F10" s="3384"/>
      <c r="G10" s="3384"/>
      <c r="H10" s="3384"/>
      <c r="I10" s="3384"/>
      <c r="J10" s="3384"/>
      <c r="K10" s="1317"/>
      <c r="L10" s="1702">
        <f t="shared" ref="L10:L50" si="0">K10/100000</f>
        <v>0</v>
      </c>
      <c r="M10" s="1317"/>
      <c r="N10" s="3385">
        <f>SUM(N11:N17)</f>
        <v>50</v>
      </c>
      <c r="O10" s="3386"/>
      <c r="P10" s="3308"/>
      <c r="Q10" s="3385">
        <f>SUM(Q11:Q17)</f>
        <v>0</v>
      </c>
    </row>
    <row r="11" spans="1:19">
      <c r="A11" s="1314" t="s">
        <v>4805</v>
      </c>
      <c r="B11" s="1547"/>
      <c r="C11" s="2399" t="s">
        <v>5572</v>
      </c>
      <c r="D11" s="1547" t="s">
        <v>293</v>
      </c>
      <c r="E11" s="3384"/>
      <c r="F11" s="3384"/>
      <c r="G11" s="3384"/>
      <c r="H11" s="3384"/>
      <c r="I11" s="3384"/>
      <c r="J11" s="3384"/>
      <c r="K11" s="1317"/>
      <c r="L11" s="1702">
        <f t="shared" si="0"/>
        <v>0</v>
      </c>
      <c r="M11" s="1317"/>
      <c r="N11" s="3385">
        <f t="shared" ref="N11:N17" si="1">L11*M11</f>
        <v>0</v>
      </c>
      <c r="O11" s="3386"/>
      <c r="P11" s="3308">
        <f>'Abs8. IDSP'!Q38</f>
        <v>0</v>
      </c>
      <c r="Q11" s="3326">
        <f>'Abs8. IDSP'!R38</f>
        <v>0</v>
      </c>
    </row>
    <row r="12" spans="1:19">
      <c r="A12" s="1314" t="s">
        <v>4806</v>
      </c>
      <c r="B12" s="1547"/>
      <c r="C12" s="2399" t="s">
        <v>5278</v>
      </c>
      <c r="D12" s="1547" t="s">
        <v>114</v>
      </c>
      <c r="E12" s="3384"/>
      <c r="F12" s="3384"/>
      <c r="G12" s="3384"/>
      <c r="H12" s="3384"/>
      <c r="I12" s="3384"/>
      <c r="J12" s="3384"/>
      <c r="K12" s="1317"/>
      <c r="L12" s="1702">
        <f t="shared" si="0"/>
        <v>0</v>
      </c>
      <c r="M12" s="1317"/>
      <c r="N12" s="3385">
        <f t="shared" si="1"/>
        <v>0</v>
      </c>
      <c r="O12" s="3386"/>
      <c r="P12" s="3308">
        <f>'Abs9. NVBDCP'!Q138</f>
        <v>0</v>
      </c>
      <c r="Q12" s="3326">
        <f>'Abs9. NVBDCP'!R138</f>
        <v>0</v>
      </c>
    </row>
    <row r="13" spans="1:19" s="3927" customFormat="1" ht="74.25" customHeight="1">
      <c r="A13" s="3887" t="s">
        <v>4807</v>
      </c>
      <c r="B13" s="3792"/>
      <c r="C13" s="3935" t="s">
        <v>5280</v>
      </c>
      <c r="D13" s="3792" t="s">
        <v>146</v>
      </c>
      <c r="E13" s="4051"/>
      <c r="F13" s="4051"/>
      <c r="G13" s="4051"/>
      <c r="H13" s="4051"/>
      <c r="I13" s="4051"/>
      <c r="J13" s="4051">
        <v>1</v>
      </c>
      <c r="K13" s="3739">
        <v>5000000</v>
      </c>
      <c r="L13" s="3808">
        <f t="shared" si="0"/>
        <v>50</v>
      </c>
      <c r="M13" s="3739">
        <v>1</v>
      </c>
      <c r="N13" s="4052">
        <f t="shared" si="1"/>
        <v>50</v>
      </c>
      <c r="O13" s="4053" t="s">
        <v>6961</v>
      </c>
      <c r="P13" s="4054">
        <f>'Abs10. NLEP'!Q50</f>
        <v>0</v>
      </c>
      <c r="Q13" s="4055">
        <f>'Abs10. NLEP'!R50</f>
        <v>0</v>
      </c>
    </row>
    <row r="14" spans="1:19">
      <c r="A14" s="1314" t="s">
        <v>4808</v>
      </c>
      <c r="B14" s="1547"/>
      <c r="C14" s="2399" t="s">
        <v>5279</v>
      </c>
      <c r="D14" s="1547" t="s">
        <v>4674</v>
      </c>
      <c r="E14" s="3384"/>
      <c r="F14" s="3384"/>
      <c r="G14" s="3384"/>
      <c r="H14" s="3384"/>
      <c r="I14" s="3384"/>
      <c r="J14" s="3384"/>
      <c r="K14" s="1317"/>
      <c r="L14" s="1702">
        <f t="shared" si="0"/>
        <v>0</v>
      </c>
      <c r="M14" s="1317"/>
      <c r="N14" s="3385">
        <f t="shared" si="1"/>
        <v>0</v>
      </c>
      <c r="O14" s="3386"/>
      <c r="P14" s="3308">
        <f>'Abs11. NTEP'!Q67</f>
        <v>0</v>
      </c>
      <c r="Q14" s="3326">
        <f>'Abs11. NTEP'!R67</f>
        <v>0</v>
      </c>
    </row>
    <row r="15" spans="1:19">
      <c r="A15" s="1314" t="s">
        <v>5584</v>
      </c>
      <c r="B15" s="1547"/>
      <c r="C15" s="2399" t="s">
        <v>5283</v>
      </c>
      <c r="D15" s="1547" t="s">
        <v>3316</v>
      </c>
      <c r="E15" s="3384"/>
      <c r="F15" s="3384"/>
      <c r="G15" s="3384"/>
      <c r="H15" s="3384"/>
      <c r="I15" s="3384"/>
      <c r="J15" s="3384"/>
      <c r="K15" s="1317"/>
      <c r="L15" s="1702">
        <f t="shared" si="0"/>
        <v>0</v>
      </c>
      <c r="M15" s="1317"/>
      <c r="N15" s="3385">
        <f t="shared" si="1"/>
        <v>0</v>
      </c>
      <c r="O15" s="3386"/>
      <c r="P15" s="3308">
        <f>'Abs12. NVHCP'!Q48</f>
        <v>0</v>
      </c>
      <c r="Q15" s="3326">
        <f>'Abs12. NVHCP'!R48</f>
        <v>0</v>
      </c>
    </row>
    <row r="16" spans="1:19">
      <c r="A16" s="1314" t="s">
        <v>5585</v>
      </c>
      <c r="B16" s="1547"/>
      <c r="C16" s="2399" t="s">
        <v>5281</v>
      </c>
      <c r="D16" s="1547" t="s">
        <v>3986</v>
      </c>
      <c r="E16" s="3384"/>
      <c r="F16" s="3384"/>
      <c r="G16" s="3384"/>
      <c r="H16" s="3384"/>
      <c r="I16" s="3384"/>
      <c r="J16" s="3384"/>
      <c r="K16" s="1317"/>
      <c r="L16" s="1702">
        <f t="shared" si="0"/>
        <v>0</v>
      </c>
      <c r="M16" s="1317"/>
      <c r="N16" s="3385">
        <f t="shared" si="1"/>
        <v>0</v>
      </c>
      <c r="O16" s="3386"/>
      <c r="P16" s="3308">
        <f>'Abs13. NRCP'!Q20</f>
        <v>0</v>
      </c>
      <c r="Q16" s="3326">
        <f>'Abs13. NRCP'!R20</f>
        <v>0</v>
      </c>
    </row>
    <row r="17" spans="1:17">
      <c r="A17" s="1314" t="s">
        <v>5586</v>
      </c>
      <c r="B17" s="1547"/>
      <c r="C17" s="2399" t="s">
        <v>5573</v>
      </c>
      <c r="D17" s="1547" t="s">
        <v>4544</v>
      </c>
      <c r="E17" s="3384"/>
      <c r="F17" s="3384"/>
      <c r="G17" s="3384"/>
      <c r="H17" s="3384"/>
      <c r="I17" s="3384"/>
      <c r="J17" s="3384"/>
      <c r="K17" s="1317"/>
      <c r="L17" s="1702">
        <f t="shared" si="0"/>
        <v>0</v>
      </c>
      <c r="M17" s="1317"/>
      <c r="N17" s="3385">
        <f t="shared" si="1"/>
        <v>0</v>
      </c>
      <c r="O17" s="3386"/>
      <c r="P17" s="3308">
        <f>'Abs14. PPCL'!Q21</f>
        <v>0</v>
      </c>
      <c r="Q17" s="3326">
        <f>'Abs14. PPCL'!R21</f>
        <v>0</v>
      </c>
    </row>
    <row r="18" spans="1:17" ht="33">
      <c r="A18" s="1314" t="s">
        <v>3125</v>
      </c>
      <c r="B18" s="1547"/>
      <c r="C18" s="1547" t="s">
        <v>2939</v>
      </c>
      <c r="D18" s="1547"/>
      <c r="E18" s="3384"/>
      <c r="F18" s="3384"/>
      <c r="G18" s="3384"/>
      <c r="H18" s="3384"/>
      <c r="I18" s="3384"/>
      <c r="J18" s="3384"/>
      <c r="K18" s="1317"/>
      <c r="L18" s="1702">
        <f t="shared" si="0"/>
        <v>0</v>
      </c>
      <c r="M18" s="1317"/>
      <c r="N18" s="3385">
        <f>SUM(N19:N29)</f>
        <v>17.5</v>
      </c>
      <c r="O18" s="3386"/>
      <c r="P18" s="3308"/>
      <c r="Q18" s="3385">
        <f>SUM(Q19:Q29)</f>
        <v>0</v>
      </c>
    </row>
    <row r="19" spans="1:17" ht="33">
      <c r="A19" s="1314" t="s">
        <v>5288</v>
      </c>
      <c r="B19" s="1547"/>
      <c r="C19" s="1547" t="s">
        <v>5574</v>
      </c>
      <c r="D19" s="1547" t="s">
        <v>86</v>
      </c>
      <c r="E19" s="3384"/>
      <c r="F19" s="3384"/>
      <c r="G19" s="3384"/>
      <c r="H19" s="3384"/>
      <c r="I19" s="3384"/>
      <c r="J19" s="1317"/>
      <c r="K19" s="1317">
        <v>1750000</v>
      </c>
      <c r="L19" s="1702">
        <f t="shared" si="0"/>
        <v>17.5</v>
      </c>
      <c r="M19" s="1317">
        <v>1</v>
      </c>
      <c r="N19" s="3385">
        <f t="shared" ref="N19:N29" si="2">L19*M19</f>
        <v>17.5</v>
      </c>
      <c r="O19" s="3387" t="s">
        <v>6623</v>
      </c>
      <c r="P19" s="3386"/>
      <c r="Q19" s="3388"/>
    </row>
    <row r="20" spans="1:17" hidden="1">
      <c r="A20" s="1314" t="s">
        <v>5289</v>
      </c>
      <c r="B20" s="1547"/>
      <c r="C20" s="1547" t="s">
        <v>5284</v>
      </c>
      <c r="D20" s="1547" t="s">
        <v>150</v>
      </c>
      <c r="E20" s="3384"/>
      <c r="F20" s="3384"/>
      <c r="G20" s="3384"/>
      <c r="H20" s="3384"/>
      <c r="I20" s="3384"/>
      <c r="J20" s="3384"/>
      <c r="K20" s="1317"/>
      <c r="L20" s="1702">
        <f t="shared" si="0"/>
        <v>0</v>
      </c>
      <c r="M20" s="1317"/>
      <c r="N20" s="3385">
        <f t="shared" si="2"/>
        <v>0</v>
      </c>
      <c r="O20" s="3386"/>
      <c r="P20" s="3386"/>
      <c r="Q20" s="3388"/>
    </row>
    <row r="21" spans="1:17" hidden="1">
      <c r="A21" s="1314" t="s">
        <v>5290</v>
      </c>
      <c r="B21" s="1547"/>
      <c r="C21" s="1547" t="s">
        <v>5286</v>
      </c>
      <c r="D21" s="1547" t="s">
        <v>399</v>
      </c>
      <c r="E21" s="3384"/>
      <c r="F21" s="3384"/>
      <c r="G21" s="3384"/>
      <c r="H21" s="3384"/>
      <c r="I21" s="3384"/>
      <c r="J21" s="3384"/>
      <c r="K21" s="1317"/>
      <c r="L21" s="1702">
        <f t="shared" si="0"/>
        <v>0</v>
      </c>
      <c r="M21" s="1317"/>
      <c r="N21" s="3385">
        <f t="shared" si="2"/>
        <v>0</v>
      </c>
      <c r="O21" s="3386"/>
      <c r="P21" s="3386"/>
      <c r="Q21" s="3388"/>
    </row>
    <row r="22" spans="1:17" hidden="1">
      <c r="A22" s="1314" t="s">
        <v>5291</v>
      </c>
      <c r="B22" s="1547"/>
      <c r="C22" s="1547" t="s">
        <v>5285</v>
      </c>
      <c r="D22" s="1547" t="s">
        <v>152</v>
      </c>
      <c r="E22" s="3384"/>
      <c r="F22" s="3384"/>
      <c r="G22" s="3384"/>
      <c r="H22" s="3384"/>
      <c r="I22" s="3384"/>
      <c r="J22" s="3384"/>
      <c r="K22" s="1317"/>
      <c r="L22" s="1702">
        <f t="shared" si="0"/>
        <v>0</v>
      </c>
      <c r="M22" s="1317"/>
      <c r="N22" s="3385">
        <f t="shared" si="2"/>
        <v>0</v>
      </c>
      <c r="O22" s="3386"/>
      <c r="P22" s="3386"/>
      <c r="Q22" s="3388"/>
    </row>
    <row r="23" spans="1:17" hidden="1">
      <c r="A23" s="1314" t="s">
        <v>5292</v>
      </c>
      <c r="B23" s="1547"/>
      <c r="C23" s="1547" t="s">
        <v>5287</v>
      </c>
      <c r="D23" s="1547" t="s">
        <v>415</v>
      </c>
      <c r="E23" s="3384"/>
      <c r="F23" s="3384"/>
      <c r="G23" s="3384"/>
      <c r="H23" s="3384"/>
      <c r="I23" s="3384"/>
      <c r="J23" s="3384"/>
      <c r="K23" s="1317"/>
      <c r="L23" s="1702">
        <f t="shared" si="0"/>
        <v>0</v>
      </c>
      <c r="M23" s="1317"/>
      <c r="N23" s="3385">
        <f t="shared" si="2"/>
        <v>0</v>
      </c>
      <c r="O23" s="3386"/>
      <c r="P23" s="3386"/>
      <c r="Q23" s="3388"/>
    </row>
    <row r="24" spans="1:17" hidden="1">
      <c r="A24" s="1314" t="s">
        <v>5293</v>
      </c>
      <c r="B24" s="1547"/>
      <c r="C24" s="1547" t="s">
        <v>5575</v>
      </c>
      <c r="D24" s="1547" t="s">
        <v>4915</v>
      </c>
      <c r="E24" s="3384"/>
      <c r="F24" s="3384"/>
      <c r="G24" s="3384"/>
      <c r="H24" s="3384"/>
      <c r="I24" s="3384"/>
      <c r="J24" s="3384"/>
      <c r="K24" s="1317"/>
      <c r="L24" s="1702">
        <f t="shared" si="0"/>
        <v>0</v>
      </c>
      <c r="M24" s="1317"/>
      <c r="N24" s="3385">
        <f t="shared" si="2"/>
        <v>0</v>
      </c>
      <c r="O24" s="3386"/>
      <c r="P24" s="3386"/>
      <c r="Q24" s="3388"/>
    </row>
    <row r="25" spans="1:17" hidden="1">
      <c r="A25" s="1314" t="s">
        <v>5294</v>
      </c>
      <c r="B25" s="1547"/>
      <c r="C25" s="1547" t="s">
        <v>5576</v>
      </c>
      <c r="D25" s="1547" t="s">
        <v>4124</v>
      </c>
      <c r="E25" s="3384"/>
      <c r="F25" s="3384"/>
      <c r="G25" s="3384"/>
      <c r="H25" s="3384"/>
      <c r="I25" s="3384"/>
      <c r="J25" s="3384"/>
      <c r="K25" s="1317"/>
      <c r="L25" s="1702">
        <f t="shared" si="0"/>
        <v>0</v>
      </c>
      <c r="M25" s="1317"/>
      <c r="N25" s="3385">
        <f t="shared" si="2"/>
        <v>0</v>
      </c>
      <c r="O25" s="3386"/>
      <c r="P25" s="3386"/>
      <c r="Q25" s="3388"/>
    </row>
    <row r="26" spans="1:17" hidden="1">
      <c r="A26" s="1314" t="s">
        <v>5580</v>
      </c>
      <c r="B26" s="1547"/>
      <c r="C26" s="1547" t="s">
        <v>5577</v>
      </c>
      <c r="D26" s="1547" t="s">
        <v>1020</v>
      </c>
      <c r="E26" s="3384"/>
      <c r="F26" s="3384"/>
      <c r="G26" s="3384"/>
      <c r="H26" s="3384"/>
      <c r="I26" s="3384"/>
      <c r="J26" s="3384"/>
      <c r="K26" s="1317"/>
      <c r="L26" s="1702">
        <f t="shared" si="0"/>
        <v>0</v>
      </c>
      <c r="M26" s="1317"/>
      <c r="N26" s="3385">
        <f t="shared" si="2"/>
        <v>0</v>
      </c>
      <c r="O26" s="3386"/>
      <c r="P26" s="3386"/>
      <c r="Q26" s="3388"/>
    </row>
    <row r="27" spans="1:17" hidden="1">
      <c r="A27" s="1314" t="s">
        <v>5581</v>
      </c>
      <c r="B27" s="1547"/>
      <c r="C27" s="1547" t="s">
        <v>5578</v>
      </c>
      <c r="D27" s="1547" t="s">
        <v>1034</v>
      </c>
      <c r="E27" s="3384"/>
      <c r="F27" s="3384"/>
      <c r="G27" s="3384"/>
      <c r="H27" s="3384"/>
      <c r="I27" s="3384"/>
      <c r="J27" s="3384"/>
      <c r="K27" s="1317"/>
      <c r="L27" s="1702">
        <f t="shared" si="0"/>
        <v>0</v>
      </c>
      <c r="M27" s="1317"/>
      <c r="N27" s="3385">
        <f t="shared" si="2"/>
        <v>0</v>
      </c>
      <c r="O27" s="3386"/>
      <c r="P27" s="3386"/>
      <c r="Q27" s="3388"/>
    </row>
    <row r="28" spans="1:17" hidden="1">
      <c r="A28" s="1314" t="s">
        <v>5582</v>
      </c>
      <c r="B28" s="1547"/>
      <c r="C28" s="1547" t="s">
        <v>5579</v>
      </c>
      <c r="D28" s="1547" t="s">
        <v>312</v>
      </c>
      <c r="E28" s="3384"/>
      <c r="F28" s="3384"/>
      <c r="G28" s="3384"/>
      <c r="H28" s="3384"/>
      <c r="I28" s="3384"/>
      <c r="J28" s="3384"/>
      <c r="K28" s="1317"/>
      <c r="L28" s="1702">
        <f t="shared" si="0"/>
        <v>0</v>
      </c>
      <c r="M28" s="1317"/>
      <c r="N28" s="3385">
        <f t="shared" si="2"/>
        <v>0</v>
      </c>
      <c r="O28" s="3386"/>
      <c r="P28" s="3386"/>
      <c r="Q28" s="3388"/>
    </row>
    <row r="29" spans="1:17" hidden="1">
      <c r="A29" s="1314" t="s">
        <v>5583</v>
      </c>
      <c r="B29" s="1547"/>
      <c r="C29" s="1547" t="s">
        <v>5282</v>
      </c>
      <c r="D29" s="1547" t="s">
        <v>314</v>
      </c>
      <c r="E29" s="3384"/>
      <c r="F29" s="3384"/>
      <c r="G29" s="3384"/>
      <c r="H29" s="3384"/>
      <c r="I29" s="3384"/>
      <c r="J29" s="3384"/>
      <c r="K29" s="1317"/>
      <c r="L29" s="1702">
        <f t="shared" si="0"/>
        <v>0</v>
      </c>
      <c r="M29" s="1317"/>
      <c r="N29" s="3385">
        <f t="shared" si="2"/>
        <v>0</v>
      </c>
      <c r="O29" s="3386"/>
      <c r="P29" s="3386"/>
      <c r="Q29" s="3388"/>
    </row>
    <row r="30" spans="1:17">
      <c r="A30" s="3389" t="s">
        <v>3126</v>
      </c>
      <c r="B30" s="3390"/>
      <c r="C30" s="3391" t="s">
        <v>42</v>
      </c>
      <c r="D30" s="3391"/>
      <c r="E30" s="3392"/>
      <c r="F30" s="3392"/>
      <c r="G30" s="3392"/>
      <c r="H30" s="3392"/>
      <c r="I30" s="3392"/>
      <c r="J30" s="3392"/>
      <c r="K30" s="3392"/>
      <c r="L30" s="2152"/>
      <c r="M30" s="3393"/>
      <c r="N30" s="2152">
        <f>N31+N32</f>
        <v>16.940000000000001</v>
      </c>
      <c r="O30" s="3394"/>
      <c r="P30" s="3394"/>
      <c r="Q30" s="2152">
        <f>Q31+Q32</f>
        <v>0</v>
      </c>
    </row>
    <row r="31" spans="1:17">
      <c r="A31" s="3286" t="s">
        <v>3127</v>
      </c>
      <c r="B31" s="1311"/>
      <c r="C31" s="1943" t="s">
        <v>2940</v>
      </c>
      <c r="D31" s="1943" t="s">
        <v>118</v>
      </c>
      <c r="E31" s="1744"/>
      <c r="F31" s="1744"/>
      <c r="G31" s="1744"/>
      <c r="H31" s="1744"/>
      <c r="I31" s="1744"/>
      <c r="J31" s="1744"/>
      <c r="K31" s="1317"/>
      <c r="L31" s="1702">
        <f t="shared" si="0"/>
        <v>0</v>
      </c>
      <c r="M31" s="1317"/>
      <c r="N31" s="3385">
        <f>L31*M31</f>
        <v>0</v>
      </c>
      <c r="O31" s="3395"/>
      <c r="P31" s="3395"/>
      <c r="Q31" s="3396"/>
    </row>
    <row r="32" spans="1:17" s="3998" customFormat="1" ht="99">
      <c r="A32" s="3990" t="s">
        <v>3128</v>
      </c>
      <c r="B32" s="3978"/>
      <c r="C32" s="3991" t="s">
        <v>2941</v>
      </c>
      <c r="D32" s="3991" t="s">
        <v>91</v>
      </c>
      <c r="E32" s="3992"/>
      <c r="F32" s="3992"/>
      <c r="G32" s="3992"/>
      <c r="H32" s="3992"/>
      <c r="I32" s="3992"/>
      <c r="J32" s="3993" t="s">
        <v>6624</v>
      </c>
      <c r="K32" s="3653">
        <v>15400</v>
      </c>
      <c r="L32" s="3654">
        <f t="shared" si="0"/>
        <v>0.154</v>
      </c>
      <c r="M32" s="3653">
        <v>110</v>
      </c>
      <c r="N32" s="3994">
        <f>L32*M32</f>
        <v>16.940000000000001</v>
      </c>
      <c r="O32" s="3995" t="s">
        <v>6875</v>
      </c>
      <c r="P32" s="3996"/>
      <c r="Q32" s="3997"/>
    </row>
    <row r="33" spans="1:17">
      <c r="A33" s="3382" t="s">
        <v>3129</v>
      </c>
      <c r="B33" s="3382"/>
      <c r="C33" s="3382" t="s">
        <v>45</v>
      </c>
      <c r="D33" s="3382"/>
      <c r="E33" s="3398"/>
      <c r="F33" s="3398"/>
      <c r="G33" s="3398"/>
      <c r="H33" s="3398"/>
      <c r="I33" s="3398"/>
      <c r="J33" s="3398"/>
      <c r="K33" s="3398"/>
      <c r="L33" s="3382"/>
      <c r="M33" s="3398"/>
      <c r="N33" s="3383">
        <f>SUM(N34:N37)</f>
        <v>231</v>
      </c>
      <c r="O33" s="3398"/>
      <c r="P33" s="3398"/>
      <c r="Q33" s="3383">
        <f>SUM(Q34:Q37)</f>
        <v>0</v>
      </c>
    </row>
    <row r="34" spans="1:17" ht="198">
      <c r="A34" s="1314" t="s">
        <v>3130</v>
      </c>
      <c r="B34" s="1314" t="s">
        <v>2942</v>
      </c>
      <c r="C34" s="1314" t="s">
        <v>2943</v>
      </c>
      <c r="D34" s="1314" t="s">
        <v>5341</v>
      </c>
      <c r="E34" s="1348"/>
      <c r="F34" s="1348"/>
      <c r="G34" s="1348"/>
      <c r="H34" s="1348"/>
      <c r="I34" s="1348"/>
      <c r="J34" s="1348" t="s">
        <v>2985</v>
      </c>
      <c r="K34" s="1317">
        <v>210000</v>
      </c>
      <c r="L34" s="1702">
        <f t="shared" si="0"/>
        <v>2.1</v>
      </c>
      <c r="M34" s="1317">
        <v>110</v>
      </c>
      <c r="N34" s="3385">
        <f>L34*M34</f>
        <v>231</v>
      </c>
      <c r="O34" s="3397" t="s">
        <v>6723</v>
      </c>
      <c r="P34" s="1348"/>
      <c r="Q34" s="3388"/>
    </row>
    <row r="35" spans="1:17" ht="33">
      <c r="A35" s="1314" t="s">
        <v>3131</v>
      </c>
      <c r="B35" s="1314" t="s">
        <v>2944</v>
      </c>
      <c r="C35" s="1314" t="s">
        <v>2945</v>
      </c>
      <c r="D35" s="1314" t="s">
        <v>5341</v>
      </c>
      <c r="E35" s="1348"/>
      <c r="F35" s="1348"/>
      <c r="G35" s="1348"/>
      <c r="H35" s="1348"/>
      <c r="I35" s="1348"/>
      <c r="J35" s="1348"/>
      <c r="K35" s="1317"/>
      <c r="L35" s="1702">
        <f t="shared" si="0"/>
        <v>0</v>
      </c>
      <c r="M35" s="1317"/>
      <c r="N35" s="3385">
        <f>L35*M35</f>
        <v>0</v>
      </c>
      <c r="O35" s="1348"/>
      <c r="P35" s="1348"/>
      <c r="Q35" s="3388"/>
    </row>
    <row r="36" spans="1:17">
      <c r="A36" s="1314" t="s">
        <v>3132</v>
      </c>
      <c r="B36" s="1314" t="s">
        <v>2946</v>
      </c>
      <c r="C36" s="1314" t="s">
        <v>2947</v>
      </c>
      <c r="D36" s="1314" t="s">
        <v>5341</v>
      </c>
      <c r="E36" s="1348"/>
      <c r="F36" s="1348"/>
      <c r="G36" s="1348"/>
      <c r="H36" s="1348"/>
      <c r="I36" s="1348"/>
      <c r="J36" s="1348"/>
      <c r="K36" s="1317"/>
      <c r="L36" s="1702">
        <f t="shared" si="0"/>
        <v>0</v>
      </c>
      <c r="M36" s="1317"/>
      <c r="N36" s="3385">
        <f>L36*M36</f>
        <v>0</v>
      </c>
      <c r="O36" s="1348"/>
      <c r="P36" s="1348"/>
      <c r="Q36" s="3388"/>
    </row>
    <row r="37" spans="1:17">
      <c r="A37" s="1314" t="s">
        <v>3133</v>
      </c>
      <c r="B37" s="1322"/>
      <c r="C37" s="1547" t="s">
        <v>307</v>
      </c>
      <c r="D37" s="1314" t="s">
        <v>5341</v>
      </c>
      <c r="E37" s="1316"/>
      <c r="F37" s="1316"/>
      <c r="G37" s="1316"/>
      <c r="H37" s="1316"/>
      <c r="I37" s="1316"/>
      <c r="J37" s="1316"/>
      <c r="K37" s="1317"/>
      <c r="L37" s="1702">
        <f t="shared" si="0"/>
        <v>0</v>
      </c>
      <c r="M37" s="1317"/>
      <c r="N37" s="3385">
        <f>L37*M37</f>
        <v>0</v>
      </c>
      <c r="O37" s="1348"/>
      <c r="P37" s="1348"/>
      <c r="Q37" s="3388"/>
    </row>
    <row r="38" spans="1:17">
      <c r="A38" s="3379" t="s">
        <v>3134</v>
      </c>
      <c r="B38" s="3379"/>
      <c r="C38" s="3379" t="s">
        <v>6</v>
      </c>
      <c r="D38" s="3379"/>
      <c r="E38" s="3399"/>
      <c r="F38" s="3399"/>
      <c r="G38" s="3399"/>
      <c r="H38" s="3399"/>
      <c r="I38" s="3399"/>
      <c r="J38" s="3399"/>
      <c r="K38" s="3399"/>
      <c r="L38" s="3379"/>
      <c r="M38" s="3399"/>
      <c r="N38" s="3380">
        <f>N39+N42+N45</f>
        <v>261</v>
      </c>
      <c r="O38" s="3399"/>
      <c r="P38" s="3399"/>
      <c r="Q38" s="3380">
        <f>Q39+Q42+Q45</f>
        <v>0</v>
      </c>
    </row>
    <row r="39" spans="1:17">
      <c r="A39" s="3382" t="s">
        <v>3135</v>
      </c>
      <c r="B39" s="3382"/>
      <c r="C39" s="3382" t="s">
        <v>7</v>
      </c>
      <c r="D39" s="3382"/>
      <c r="E39" s="3398"/>
      <c r="F39" s="3398"/>
      <c r="G39" s="3398"/>
      <c r="H39" s="3398"/>
      <c r="I39" s="3398"/>
      <c r="J39" s="3398"/>
      <c r="K39" s="3398"/>
      <c r="L39" s="3382"/>
      <c r="M39" s="3398"/>
      <c r="N39" s="3383">
        <f>SUM(N40:N41)</f>
        <v>0</v>
      </c>
      <c r="O39" s="3398"/>
      <c r="P39" s="3398"/>
      <c r="Q39" s="3383">
        <f>SUM(Q40:Q41)</f>
        <v>0</v>
      </c>
    </row>
    <row r="40" spans="1:17" ht="33">
      <c r="A40" s="1314" t="s">
        <v>3136</v>
      </c>
      <c r="B40" s="1314" t="s">
        <v>2948</v>
      </c>
      <c r="C40" s="1314" t="s">
        <v>2949</v>
      </c>
      <c r="D40" s="1314" t="s">
        <v>5341</v>
      </c>
      <c r="E40" s="1348"/>
      <c r="F40" s="1348"/>
      <c r="G40" s="1348"/>
      <c r="H40" s="1348"/>
      <c r="I40" s="1348"/>
      <c r="J40" s="1348"/>
      <c r="K40" s="1317"/>
      <c r="L40" s="1702">
        <f t="shared" si="0"/>
        <v>0</v>
      </c>
      <c r="M40" s="1317"/>
      <c r="N40" s="3385">
        <f>L40*M40</f>
        <v>0</v>
      </c>
      <c r="O40" s="1348"/>
      <c r="P40" s="1348"/>
      <c r="Q40" s="3388"/>
    </row>
    <row r="41" spans="1:17">
      <c r="A41" s="1314" t="s">
        <v>3137</v>
      </c>
      <c r="B41" s="1322"/>
      <c r="C41" s="1547" t="s">
        <v>307</v>
      </c>
      <c r="D41" s="1314" t="s">
        <v>5341</v>
      </c>
      <c r="E41" s="1316"/>
      <c r="F41" s="1316"/>
      <c r="G41" s="1316"/>
      <c r="H41" s="1316"/>
      <c r="I41" s="1316"/>
      <c r="J41" s="1316"/>
      <c r="K41" s="1317"/>
      <c r="L41" s="1702">
        <f t="shared" si="0"/>
        <v>0</v>
      </c>
      <c r="M41" s="1317"/>
      <c r="N41" s="3385">
        <f>L41*M41</f>
        <v>0</v>
      </c>
      <c r="O41" s="1348"/>
      <c r="P41" s="1348"/>
      <c r="Q41" s="3388"/>
    </row>
    <row r="42" spans="1:17">
      <c r="A42" s="3382" t="s">
        <v>3138</v>
      </c>
      <c r="B42" s="3382"/>
      <c r="C42" s="3382" t="s">
        <v>8</v>
      </c>
      <c r="D42" s="3382"/>
      <c r="E42" s="3398"/>
      <c r="F42" s="3398"/>
      <c r="G42" s="3398"/>
      <c r="H42" s="3398"/>
      <c r="I42" s="3398"/>
      <c r="J42" s="3398"/>
      <c r="K42" s="3398"/>
      <c r="L42" s="3382"/>
      <c r="M42" s="3398"/>
      <c r="N42" s="3383">
        <f>SUM(N43:N44)</f>
        <v>30</v>
      </c>
      <c r="O42" s="3398"/>
      <c r="P42" s="3398"/>
      <c r="Q42" s="3383">
        <f>SUM(Q43:Q44)</f>
        <v>0</v>
      </c>
    </row>
    <row r="43" spans="1:17" s="3998" customFormat="1" ht="66">
      <c r="A43" s="3999" t="s">
        <v>3139</v>
      </c>
      <c r="B43" s="3999" t="s">
        <v>2950</v>
      </c>
      <c r="C43" s="3999" t="s">
        <v>2951</v>
      </c>
      <c r="D43" s="3999" t="s">
        <v>5341</v>
      </c>
      <c r="E43" s="3995"/>
      <c r="F43" s="3995"/>
      <c r="G43" s="3995"/>
      <c r="H43" s="3995"/>
      <c r="I43" s="3995"/>
      <c r="J43" s="3995" t="s">
        <v>6625</v>
      </c>
      <c r="K43" s="3653">
        <v>500</v>
      </c>
      <c r="L43" s="3654">
        <f t="shared" si="0"/>
        <v>5.0000000000000001E-3</v>
      </c>
      <c r="M43" s="3653">
        <v>6000</v>
      </c>
      <c r="N43" s="3994">
        <f>L43*M43</f>
        <v>30</v>
      </c>
      <c r="O43" s="3995" t="s">
        <v>6876</v>
      </c>
      <c r="P43" s="3995"/>
      <c r="Q43" s="3997"/>
    </row>
    <row r="44" spans="1:17">
      <c r="A44" s="1314" t="s">
        <v>3140</v>
      </c>
      <c r="B44" s="1314"/>
      <c r="C44" s="1314" t="s">
        <v>307</v>
      </c>
      <c r="D44" s="1314" t="s">
        <v>5341</v>
      </c>
      <c r="E44" s="1348"/>
      <c r="F44" s="1348"/>
      <c r="G44" s="1348"/>
      <c r="H44" s="1348"/>
      <c r="I44" s="1348"/>
      <c r="J44" s="1348"/>
      <c r="K44" s="1317"/>
      <c r="L44" s="1702">
        <f t="shared" si="0"/>
        <v>0</v>
      </c>
      <c r="M44" s="1317"/>
      <c r="N44" s="3385">
        <f>L44*M44</f>
        <v>0</v>
      </c>
      <c r="O44" s="1348"/>
      <c r="P44" s="1348"/>
      <c r="Q44" s="3388"/>
    </row>
    <row r="45" spans="1:17">
      <c r="A45" s="3382" t="s">
        <v>3141</v>
      </c>
      <c r="B45" s="3382"/>
      <c r="C45" s="3382" t="s">
        <v>9</v>
      </c>
      <c r="D45" s="3382"/>
      <c r="E45" s="3398"/>
      <c r="F45" s="3398"/>
      <c r="G45" s="3398"/>
      <c r="H45" s="3398"/>
      <c r="I45" s="3398"/>
      <c r="J45" s="3398"/>
      <c r="K45" s="3398"/>
      <c r="L45" s="3382"/>
      <c r="M45" s="3398"/>
      <c r="N45" s="3383">
        <f>SUM(N46:N50)</f>
        <v>231</v>
      </c>
      <c r="O45" s="3398"/>
      <c r="P45" s="3398"/>
      <c r="Q45" s="3383">
        <f>SUM(Q46:Q50)</f>
        <v>0</v>
      </c>
    </row>
    <row r="46" spans="1:17" ht="49.5">
      <c r="A46" s="1314" t="s">
        <v>3142</v>
      </c>
      <c r="B46" s="1314" t="s">
        <v>2952</v>
      </c>
      <c r="C46" s="1314" t="s">
        <v>2953</v>
      </c>
      <c r="D46" s="1314" t="s">
        <v>5341</v>
      </c>
      <c r="E46" s="1348"/>
      <c r="F46" s="1348"/>
      <c r="G46" s="1348"/>
      <c r="H46" s="1348"/>
      <c r="I46" s="1348"/>
      <c r="J46" s="3397" t="s">
        <v>6626</v>
      </c>
      <c r="K46" s="1554">
        <v>12000</v>
      </c>
      <c r="L46" s="1702">
        <f t="shared" si="0"/>
        <v>0.12</v>
      </c>
      <c r="M46" s="1554">
        <v>500</v>
      </c>
      <c r="N46" s="3385">
        <f>L46*M46</f>
        <v>60</v>
      </c>
      <c r="O46" s="3397" t="s">
        <v>6630</v>
      </c>
      <c r="P46" s="1348"/>
      <c r="Q46" s="3388"/>
    </row>
    <row r="47" spans="1:17" ht="99">
      <c r="A47" s="1314" t="s">
        <v>3143</v>
      </c>
      <c r="B47" s="1314" t="s">
        <v>2954</v>
      </c>
      <c r="C47" s="1314" t="s">
        <v>5295</v>
      </c>
      <c r="D47" s="1314" t="s">
        <v>5341</v>
      </c>
      <c r="E47" s="1348"/>
      <c r="F47" s="1348"/>
      <c r="G47" s="1348"/>
      <c r="H47" s="1348"/>
      <c r="I47" s="1348"/>
      <c r="J47" s="3397" t="s">
        <v>6627</v>
      </c>
      <c r="K47" s="1554">
        <v>10000</v>
      </c>
      <c r="L47" s="1702">
        <f t="shared" si="0"/>
        <v>0.1</v>
      </c>
      <c r="M47" s="1554">
        <v>1512</v>
      </c>
      <c r="N47" s="3385">
        <f>L47*M47</f>
        <v>151.20000000000002</v>
      </c>
      <c r="O47" s="3397" t="s">
        <v>6631</v>
      </c>
      <c r="P47" s="1348"/>
      <c r="Q47" s="3388"/>
    </row>
    <row r="48" spans="1:17" s="1668" customFormat="1" ht="33">
      <c r="A48" s="1308" t="s">
        <v>3144</v>
      </c>
      <c r="B48" s="1308" t="s">
        <v>3078</v>
      </c>
      <c r="C48" s="1308" t="s">
        <v>3079</v>
      </c>
      <c r="D48" s="1314" t="s">
        <v>5341</v>
      </c>
      <c r="E48" s="1326"/>
      <c r="F48" s="1326"/>
      <c r="G48" s="1326"/>
      <c r="H48" s="1326"/>
      <c r="I48" s="1326"/>
      <c r="J48" s="1329"/>
      <c r="K48" s="1554"/>
      <c r="L48" s="1702">
        <f t="shared" si="0"/>
        <v>0</v>
      </c>
      <c r="M48" s="1554"/>
      <c r="N48" s="2197">
        <f>L48*M48</f>
        <v>0</v>
      </c>
      <c r="O48" s="3397"/>
      <c r="P48" s="2127"/>
      <c r="Q48" s="3396"/>
    </row>
    <row r="49" spans="1:17" s="1668" customFormat="1" ht="66">
      <c r="A49" s="1308" t="s">
        <v>4556</v>
      </c>
      <c r="B49" s="1308"/>
      <c r="C49" s="1308" t="s">
        <v>4561</v>
      </c>
      <c r="D49" s="1308" t="s">
        <v>5342</v>
      </c>
      <c r="E49" s="1326"/>
      <c r="F49" s="1326"/>
      <c r="G49" s="1326"/>
      <c r="H49" s="1326"/>
      <c r="I49" s="1326"/>
      <c r="J49" s="3400" t="s">
        <v>6628</v>
      </c>
      <c r="K49" s="1554">
        <v>250</v>
      </c>
      <c r="L49" s="1702">
        <f t="shared" si="0"/>
        <v>2.5000000000000001E-3</v>
      </c>
      <c r="M49" s="1317">
        <v>5280</v>
      </c>
      <c r="N49" s="2197">
        <f>L49*M49</f>
        <v>13.200000000000001</v>
      </c>
      <c r="O49" s="3397" t="s">
        <v>6632</v>
      </c>
      <c r="P49" s="2127"/>
      <c r="Q49" s="3396"/>
    </row>
    <row r="50" spans="1:17" ht="33">
      <c r="A50" s="1277" t="s">
        <v>4560</v>
      </c>
      <c r="B50" s="1322"/>
      <c r="C50" s="1547" t="s">
        <v>307</v>
      </c>
      <c r="D50" s="1547"/>
      <c r="E50" s="1316"/>
      <c r="F50" s="1316"/>
      <c r="G50" s="1316"/>
      <c r="H50" s="1316"/>
      <c r="I50" s="1316"/>
      <c r="J50" s="1329" t="s">
        <v>6629</v>
      </c>
      <c r="K50" s="1554">
        <v>1500</v>
      </c>
      <c r="L50" s="1702">
        <f t="shared" si="0"/>
        <v>1.4999999999999999E-2</v>
      </c>
      <c r="M50" s="1317">
        <v>440</v>
      </c>
      <c r="N50" s="2197">
        <f>L50*M50</f>
        <v>6.6</v>
      </c>
      <c r="O50" s="1348" t="s">
        <v>6633</v>
      </c>
      <c r="P50" s="1348"/>
      <c r="Q50" s="3388"/>
    </row>
    <row r="51" spans="1:17">
      <c r="A51" s="3379" t="s">
        <v>3145</v>
      </c>
      <c r="B51" s="3379"/>
      <c r="C51" s="3379" t="s">
        <v>10</v>
      </c>
      <c r="D51" s="3379"/>
      <c r="E51" s="3399"/>
      <c r="F51" s="3399"/>
      <c r="G51" s="3399"/>
      <c r="H51" s="3399"/>
      <c r="I51" s="3399"/>
      <c r="J51" s="3399"/>
      <c r="K51" s="3399"/>
      <c r="L51" s="3379"/>
      <c r="M51" s="3399"/>
      <c r="N51" s="3380">
        <f>N52+N64</f>
        <v>296.34596900000003</v>
      </c>
      <c r="O51" s="3399"/>
      <c r="P51" s="3399"/>
      <c r="Q51" s="3380">
        <f>Q52+Q64</f>
        <v>0</v>
      </c>
    </row>
    <row r="52" spans="1:17">
      <c r="A52" s="3382" t="s">
        <v>3146</v>
      </c>
      <c r="B52" s="3382"/>
      <c r="C52" s="3382" t="s">
        <v>11</v>
      </c>
      <c r="D52" s="3382"/>
      <c r="E52" s="3398"/>
      <c r="F52" s="3398"/>
      <c r="G52" s="3398"/>
      <c r="H52" s="3398"/>
      <c r="I52" s="3398"/>
      <c r="J52" s="3398"/>
      <c r="K52" s="3398"/>
      <c r="L52" s="3382"/>
      <c r="M52" s="3398"/>
      <c r="N52" s="3383">
        <f>N53+N57+N60</f>
        <v>270.79597000000001</v>
      </c>
      <c r="O52" s="3398"/>
      <c r="P52" s="3398"/>
      <c r="Q52" s="3383">
        <f>Q53+Q57+Q60</f>
        <v>0</v>
      </c>
    </row>
    <row r="53" spans="1:17">
      <c r="A53" s="1519" t="s">
        <v>3147</v>
      </c>
      <c r="B53" s="1519" t="s">
        <v>2955</v>
      </c>
      <c r="C53" s="1519" t="s">
        <v>2956</v>
      </c>
      <c r="D53" s="1519"/>
      <c r="E53" s="3401"/>
      <c r="F53" s="3401"/>
      <c r="G53" s="3401"/>
      <c r="H53" s="3401"/>
      <c r="I53" s="3401"/>
      <c r="J53" s="3401"/>
      <c r="K53" s="3401"/>
      <c r="L53" s="1519"/>
      <c r="M53" s="3401"/>
      <c r="N53" s="1678">
        <f>SUM(N54:N56)</f>
        <v>220.75996999999998</v>
      </c>
      <c r="O53" s="3401"/>
      <c r="P53" s="3401"/>
      <c r="Q53" s="1678">
        <f>SUM(Q54:Q56)</f>
        <v>0</v>
      </c>
    </row>
    <row r="54" spans="1:17" ht="214.5">
      <c r="A54" s="1314" t="s">
        <v>3148</v>
      </c>
      <c r="B54" s="1314" t="s">
        <v>2957</v>
      </c>
      <c r="C54" s="1314" t="s">
        <v>2958</v>
      </c>
      <c r="D54" s="1314" t="s">
        <v>5343</v>
      </c>
      <c r="E54" s="1348"/>
      <c r="F54" s="1348"/>
      <c r="G54" s="1348"/>
      <c r="H54" s="1348"/>
      <c r="I54" s="1348"/>
      <c r="J54" s="1348" t="s">
        <v>6634</v>
      </c>
      <c r="K54" s="1317">
        <v>24000</v>
      </c>
      <c r="L54" s="1702">
        <f t="shared" ref="L54:L56" si="3">K54/100000</f>
        <v>0.24</v>
      </c>
      <c r="M54" s="1317">
        <v>700</v>
      </c>
      <c r="N54" s="3385">
        <f>L54*M54</f>
        <v>168</v>
      </c>
      <c r="O54" s="3402" t="s">
        <v>6724</v>
      </c>
      <c r="P54" s="1348"/>
      <c r="Q54" s="3388"/>
    </row>
    <row r="55" spans="1:17" ht="115.5">
      <c r="A55" s="1314" t="s">
        <v>3149</v>
      </c>
      <c r="B55" s="1314"/>
      <c r="C55" s="1314" t="s">
        <v>3884</v>
      </c>
      <c r="D55" s="1314" t="s">
        <v>5343</v>
      </c>
      <c r="E55" s="1348"/>
      <c r="F55" s="1348"/>
      <c r="G55" s="1348"/>
      <c r="H55" s="1348"/>
      <c r="I55" s="1348"/>
      <c r="J55" s="1348"/>
      <c r="K55" s="1317">
        <v>2829000</v>
      </c>
      <c r="L55" s="1702">
        <f t="shared" si="3"/>
        <v>28.29</v>
      </c>
      <c r="M55" s="1317">
        <v>1</v>
      </c>
      <c r="N55" s="3385">
        <f>L55*M55</f>
        <v>28.29</v>
      </c>
      <c r="O55" s="1827" t="s">
        <v>6635</v>
      </c>
      <c r="P55" s="1348"/>
      <c r="Q55" s="3388"/>
    </row>
    <row r="56" spans="1:17" s="3998" customFormat="1" ht="247.5">
      <c r="A56" s="3999" t="s">
        <v>3150</v>
      </c>
      <c r="B56" s="3999" t="s">
        <v>2959</v>
      </c>
      <c r="C56" s="3999" t="s">
        <v>2960</v>
      </c>
      <c r="D56" s="3999" t="s">
        <v>5343</v>
      </c>
      <c r="E56" s="3995"/>
      <c r="F56" s="3995"/>
      <c r="G56" s="3995"/>
      <c r="H56" s="3995"/>
      <c r="I56" s="3995"/>
      <c r="J56" s="3995" t="s">
        <v>3848</v>
      </c>
      <c r="K56" s="3653">
        <v>3495.71</v>
      </c>
      <c r="L56" s="3654">
        <f t="shared" si="3"/>
        <v>3.4957099999999998E-2</v>
      </c>
      <c r="M56" s="3653">
        <v>700</v>
      </c>
      <c r="N56" s="3994">
        <f>L56*M56</f>
        <v>24.46997</v>
      </c>
      <c r="O56" s="4000" t="s">
        <v>6877</v>
      </c>
      <c r="P56" s="3995"/>
      <c r="Q56" s="3997"/>
    </row>
    <row r="57" spans="1:17">
      <c r="A57" s="1519" t="s">
        <v>3151</v>
      </c>
      <c r="B57" s="1519" t="s">
        <v>2961</v>
      </c>
      <c r="C57" s="1519" t="s">
        <v>2962</v>
      </c>
      <c r="D57" s="1519"/>
      <c r="E57" s="3401"/>
      <c r="F57" s="3401"/>
      <c r="G57" s="3401"/>
      <c r="H57" s="3401"/>
      <c r="I57" s="3401"/>
      <c r="J57" s="3401"/>
      <c r="K57" s="1538"/>
      <c r="L57" s="1678"/>
      <c r="M57" s="1538"/>
      <c r="N57" s="1678">
        <f>SUM(N58:N59)</f>
        <v>30.240000000000002</v>
      </c>
      <c r="O57" s="3401"/>
      <c r="P57" s="3401"/>
      <c r="Q57" s="1678">
        <f>SUM(Q58:Q59)</f>
        <v>0</v>
      </c>
    </row>
    <row r="58" spans="1:17" s="1668" customFormat="1" ht="49.5">
      <c r="A58" s="3403" t="s">
        <v>4782</v>
      </c>
      <c r="B58" s="3403"/>
      <c r="C58" s="1528" t="s">
        <v>5296</v>
      </c>
      <c r="D58" s="1314" t="s">
        <v>5343</v>
      </c>
      <c r="E58" s="1553"/>
      <c r="F58" s="1553"/>
      <c r="G58" s="1553"/>
      <c r="H58" s="1553"/>
      <c r="I58" s="1553"/>
      <c r="J58" s="1553" t="s">
        <v>6636</v>
      </c>
      <c r="K58" s="1554">
        <v>126000</v>
      </c>
      <c r="L58" s="1702">
        <f t="shared" ref="L58:L59" si="4">K58/100000</f>
        <v>1.26</v>
      </c>
      <c r="M58" s="1317">
        <v>24</v>
      </c>
      <c r="N58" s="3385">
        <f>L58*M58</f>
        <v>30.240000000000002</v>
      </c>
      <c r="O58" s="1556" t="s">
        <v>6637</v>
      </c>
      <c r="P58" s="1553"/>
      <c r="Q58" s="3396"/>
    </row>
    <row r="59" spans="1:17" s="1668" customFormat="1">
      <c r="A59" s="3403" t="s">
        <v>4783</v>
      </c>
      <c r="B59" s="3403"/>
      <c r="C59" s="1528" t="s">
        <v>3319</v>
      </c>
      <c r="D59" s="1314" t="s">
        <v>5343</v>
      </c>
      <c r="E59" s="1553"/>
      <c r="F59" s="1553"/>
      <c r="G59" s="1553"/>
      <c r="H59" s="1553"/>
      <c r="I59" s="1553"/>
      <c r="J59" s="1553"/>
      <c r="K59" s="1317"/>
      <c r="L59" s="1702">
        <f t="shared" si="4"/>
        <v>0</v>
      </c>
      <c r="M59" s="1317"/>
      <c r="N59" s="3385">
        <f>L59*M59</f>
        <v>0</v>
      </c>
      <c r="O59" s="1553"/>
      <c r="P59" s="1553"/>
      <c r="Q59" s="3396"/>
    </row>
    <row r="60" spans="1:17">
      <c r="A60" s="1519" t="s">
        <v>3152</v>
      </c>
      <c r="B60" s="1519"/>
      <c r="C60" s="1519" t="s">
        <v>4836</v>
      </c>
      <c r="D60" s="1519"/>
      <c r="E60" s="3401"/>
      <c r="F60" s="3401"/>
      <c r="G60" s="3401"/>
      <c r="H60" s="3401"/>
      <c r="I60" s="3401"/>
      <c r="J60" s="3401"/>
      <c r="K60" s="3401"/>
      <c r="L60" s="1519"/>
      <c r="M60" s="3401"/>
      <c r="N60" s="1678">
        <f>SUM(N61:N63)</f>
        <v>19.795999999999999</v>
      </c>
      <c r="O60" s="3401"/>
      <c r="P60" s="3401"/>
      <c r="Q60" s="1678">
        <f>SUM(Q61:Q63)</f>
        <v>0</v>
      </c>
    </row>
    <row r="61" spans="1:17" ht="132">
      <c r="A61" s="1533" t="s">
        <v>3153</v>
      </c>
      <c r="B61" s="1699" t="s">
        <v>2963</v>
      </c>
      <c r="C61" s="1699" t="s">
        <v>4837</v>
      </c>
      <c r="D61" s="1314" t="s">
        <v>5343</v>
      </c>
      <c r="E61" s="1931"/>
      <c r="F61" s="1931"/>
      <c r="G61" s="1931"/>
      <c r="H61" s="1931"/>
      <c r="I61" s="1931"/>
      <c r="J61" s="1931" t="s">
        <v>3848</v>
      </c>
      <c r="K61" s="3404">
        <v>1979600</v>
      </c>
      <c r="L61" s="1702">
        <f t="shared" ref="L61:L63" si="5">K61/100000</f>
        <v>19.795999999999999</v>
      </c>
      <c r="M61" s="1317">
        <v>1</v>
      </c>
      <c r="N61" s="3385">
        <f>L61*M61</f>
        <v>19.795999999999999</v>
      </c>
      <c r="O61" s="3405" t="s">
        <v>6701</v>
      </c>
      <c r="P61" s="1711"/>
      <c r="Q61" s="3388"/>
    </row>
    <row r="62" spans="1:17">
      <c r="A62" s="1533" t="s">
        <v>5297</v>
      </c>
      <c r="B62" s="1699"/>
      <c r="C62" s="1699" t="s">
        <v>367</v>
      </c>
      <c r="D62" s="1314" t="s">
        <v>5343</v>
      </c>
      <c r="E62" s="1931"/>
      <c r="F62" s="1931"/>
      <c r="G62" s="1931"/>
      <c r="H62" s="1931"/>
      <c r="I62" s="1931"/>
      <c r="J62" s="1931"/>
      <c r="K62" s="1317"/>
      <c r="L62" s="1702">
        <f t="shared" si="5"/>
        <v>0</v>
      </c>
      <c r="M62" s="1317"/>
      <c r="N62" s="3385">
        <f>L62*M62</f>
        <v>0</v>
      </c>
      <c r="O62" s="1711"/>
      <c r="P62" s="1711"/>
      <c r="Q62" s="3388"/>
    </row>
    <row r="63" spans="1:17">
      <c r="A63" s="1533" t="s">
        <v>5298</v>
      </c>
      <c r="B63" s="1699"/>
      <c r="C63" s="1699" t="s">
        <v>4514</v>
      </c>
      <c r="D63" s="1314" t="s">
        <v>5343</v>
      </c>
      <c r="E63" s="1931"/>
      <c r="F63" s="1931"/>
      <c r="G63" s="1931"/>
      <c r="H63" s="1931"/>
      <c r="I63" s="1931"/>
      <c r="J63" s="1931"/>
      <c r="K63" s="1317"/>
      <c r="L63" s="1702">
        <f t="shared" si="5"/>
        <v>0</v>
      </c>
      <c r="M63" s="1317"/>
      <c r="N63" s="3385">
        <f>L63*M63</f>
        <v>0</v>
      </c>
      <c r="O63" s="1711"/>
      <c r="P63" s="1711"/>
      <c r="Q63" s="3388"/>
    </row>
    <row r="64" spans="1:17">
      <c r="A64" s="3382" t="s">
        <v>3154</v>
      </c>
      <c r="B64" s="3382"/>
      <c r="C64" s="3382" t="s">
        <v>12</v>
      </c>
      <c r="D64" s="3382"/>
      <c r="E64" s="3398"/>
      <c r="F64" s="3398"/>
      <c r="G64" s="3398"/>
      <c r="H64" s="3398"/>
      <c r="I64" s="3398"/>
      <c r="J64" s="3398"/>
      <c r="K64" s="3398"/>
      <c r="L64" s="3382"/>
      <c r="M64" s="3398"/>
      <c r="N64" s="3383">
        <f>N65</f>
        <v>25.549999000000003</v>
      </c>
      <c r="O64" s="3398"/>
      <c r="P64" s="3398"/>
      <c r="Q64" s="3383">
        <f>Q65</f>
        <v>0</v>
      </c>
    </row>
    <row r="65" spans="1:17">
      <c r="A65" s="1519" t="s">
        <v>3155</v>
      </c>
      <c r="B65" s="1519" t="s">
        <v>2964</v>
      </c>
      <c r="C65" s="1519" t="s">
        <v>2965</v>
      </c>
      <c r="D65" s="1519"/>
      <c r="E65" s="3401"/>
      <c r="F65" s="3401"/>
      <c r="G65" s="3401"/>
      <c r="H65" s="3401"/>
      <c r="I65" s="3401"/>
      <c r="J65" s="3401"/>
      <c r="K65" s="3401"/>
      <c r="L65" s="1519"/>
      <c r="M65" s="3401"/>
      <c r="N65" s="1678">
        <f>SUM(N66:N69)</f>
        <v>25.549999000000003</v>
      </c>
      <c r="O65" s="3401"/>
      <c r="P65" s="3401"/>
      <c r="Q65" s="1678">
        <f>SUM(Q66:Q69)</f>
        <v>0</v>
      </c>
    </row>
    <row r="66" spans="1:17" ht="49.5">
      <c r="A66" s="1314" t="s">
        <v>3156</v>
      </c>
      <c r="B66" s="1314" t="s">
        <v>2966</v>
      </c>
      <c r="C66" s="1314" t="s">
        <v>2967</v>
      </c>
      <c r="D66" s="1314" t="s">
        <v>5343</v>
      </c>
      <c r="E66" s="1348"/>
      <c r="F66" s="1348"/>
      <c r="G66" s="1348"/>
      <c r="H66" s="1348"/>
      <c r="I66" s="1348"/>
      <c r="J66" s="3397" t="s">
        <v>6638</v>
      </c>
      <c r="K66" s="1554">
        <v>5000</v>
      </c>
      <c r="L66" s="1702">
        <f t="shared" ref="L66:L69" si="6">K66/100000</f>
        <v>0.05</v>
      </c>
      <c r="M66" s="1554">
        <v>101</v>
      </c>
      <c r="N66" s="3385">
        <f>L66*M66</f>
        <v>5.0500000000000007</v>
      </c>
      <c r="O66" s="3397" t="s">
        <v>6640</v>
      </c>
      <c r="P66" s="1348"/>
      <c r="Q66" s="3388"/>
    </row>
    <row r="67" spans="1:17" ht="33">
      <c r="A67" s="1314" t="s">
        <v>3157</v>
      </c>
      <c r="B67" s="1314" t="s">
        <v>2968</v>
      </c>
      <c r="C67" s="1314" t="s">
        <v>2969</v>
      </c>
      <c r="D67" s="1314" t="s">
        <v>5343</v>
      </c>
      <c r="E67" s="1348"/>
      <c r="F67" s="1348"/>
      <c r="G67" s="1348"/>
      <c r="H67" s="1348"/>
      <c r="I67" s="1348"/>
      <c r="J67" s="1348"/>
      <c r="K67" s="1317"/>
      <c r="L67" s="1702">
        <f t="shared" si="6"/>
        <v>0</v>
      </c>
      <c r="M67" s="1317"/>
      <c r="N67" s="3385">
        <f>L67*M67</f>
        <v>0</v>
      </c>
      <c r="O67" s="1348"/>
      <c r="P67" s="1348"/>
      <c r="Q67" s="3388"/>
    </row>
    <row r="68" spans="1:17">
      <c r="A68" s="1314" t="s">
        <v>4008</v>
      </c>
      <c r="B68" s="1314"/>
      <c r="C68" s="3406" t="s">
        <v>606</v>
      </c>
      <c r="D68" s="1314" t="s">
        <v>5343</v>
      </c>
      <c r="E68" s="1348"/>
      <c r="F68" s="1348"/>
      <c r="G68" s="1348"/>
      <c r="H68" s="1348"/>
      <c r="I68" s="1348"/>
      <c r="J68" s="1348"/>
      <c r="K68" s="1317"/>
      <c r="L68" s="1702">
        <f t="shared" si="6"/>
        <v>0</v>
      </c>
      <c r="M68" s="1317"/>
      <c r="N68" s="3385">
        <f>L68*M68</f>
        <v>0</v>
      </c>
      <c r="O68" s="1348"/>
      <c r="P68" s="1348"/>
      <c r="Q68" s="3388"/>
    </row>
    <row r="69" spans="1:17" ht="99">
      <c r="A69" s="3286" t="s">
        <v>3158</v>
      </c>
      <c r="B69" s="1311"/>
      <c r="C69" s="1943" t="s">
        <v>5587</v>
      </c>
      <c r="D69" s="1314" t="s">
        <v>5343</v>
      </c>
      <c r="E69" s="1744"/>
      <c r="F69" s="1744"/>
      <c r="G69" s="1744"/>
      <c r="H69" s="1744"/>
      <c r="I69" s="1744"/>
      <c r="J69" s="1329" t="s">
        <v>6639</v>
      </c>
      <c r="K69" s="1554">
        <v>52564.1</v>
      </c>
      <c r="L69" s="1702">
        <f t="shared" si="6"/>
        <v>0.52564100000000002</v>
      </c>
      <c r="M69" s="1554">
        <v>39</v>
      </c>
      <c r="N69" s="3385">
        <f>L69*M69</f>
        <v>20.499999000000003</v>
      </c>
      <c r="O69" s="3397" t="s">
        <v>6641</v>
      </c>
      <c r="P69" s="3407" t="s">
        <v>5299</v>
      </c>
      <c r="Q69" s="3396"/>
    </row>
    <row r="70" spans="1:17">
      <c r="A70" s="3379" t="s">
        <v>3159</v>
      </c>
      <c r="B70" s="3379"/>
      <c r="C70" s="3379" t="s">
        <v>2971</v>
      </c>
      <c r="D70" s="3379"/>
      <c r="E70" s="3399"/>
      <c r="F70" s="3399"/>
      <c r="G70" s="3399"/>
      <c r="H70" s="3399"/>
      <c r="I70" s="3399"/>
      <c r="J70" s="3399"/>
      <c r="K70" s="3399"/>
      <c r="L70" s="3379"/>
      <c r="M70" s="3399"/>
      <c r="N70" s="3380">
        <f>N71+N74+N75+N76</f>
        <v>162.15</v>
      </c>
      <c r="O70" s="3399"/>
      <c r="P70" s="3399"/>
      <c r="Q70" s="3380">
        <f>Q71+Q74+Q75+Q76</f>
        <v>0</v>
      </c>
    </row>
    <row r="71" spans="1:17">
      <c r="A71" s="3382" t="s">
        <v>3160</v>
      </c>
      <c r="B71" s="3382" t="s">
        <v>2972</v>
      </c>
      <c r="C71" s="3382" t="s">
        <v>2973</v>
      </c>
      <c r="D71" s="3382"/>
      <c r="E71" s="3398"/>
      <c r="F71" s="3398"/>
      <c r="G71" s="3398"/>
      <c r="H71" s="3398"/>
      <c r="I71" s="3398"/>
      <c r="J71" s="3398"/>
      <c r="K71" s="3398"/>
      <c r="L71" s="3382"/>
      <c r="M71" s="3398"/>
      <c r="N71" s="3383">
        <f>SUM(N72:N73)</f>
        <v>120</v>
      </c>
      <c r="O71" s="3398"/>
      <c r="P71" s="3398"/>
      <c r="Q71" s="3383">
        <f>SUM(Q72:Q73)</f>
        <v>0</v>
      </c>
    </row>
    <row r="72" spans="1:17" ht="49.5">
      <c r="A72" s="3408" t="s">
        <v>3161</v>
      </c>
      <c r="B72" s="1314" t="s">
        <v>2974</v>
      </c>
      <c r="C72" s="1314" t="s">
        <v>2975</v>
      </c>
      <c r="D72" s="1314" t="s">
        <v>5341</v>
      </c>
      <c r="E72" s="1348"/>
      <c r="F72" s="1348"/>
      <c r="G72" s="1348"/>
      <c r="H72" s="1348"/>
      <c r="I72" s="1348"/>
      <c r="J72" s="3397" t="s">
        <v>6624</v>
      </c>
      <c r="K72" s="1554">
        <v>150000</v>
      </c>
      <c r="L72" s="1702">
        <f t="shared" ref="L72:L76" si="7">K72/100000</f>
        <v>1.5</v>
      </c>
      <c r="M72" s="1554">
        <v>20</v>
      </c>
      <c r="N72" s="3385">
        <f>L72*M72</f>
        <v>30</v>
      </c>
      <c r="O72" s="3397" t="s">
        <v>6642</v>
      </c>
      <c r="P72" s="1348"/>
      <c r="Q72" s="3388"/>
    </row>
    <row r="73" spans="1:17" ht="49.5">
      <c r="A73" s="3408" t="s">
        <v>3162</v>
      </c>
      <c r="B73" s="1314" t="s">
        <v>2976</v>
      </c>
      <c r="C73" s="1314" t="s">
        <v>2977</v>
      </c>
      <c r="D73" s="1314" t="s">
        <v>5341</v>
      </c>
      <c r="E73" s="1348"/>
      <c r="F73" s="1348"/>
      <c r="G73" s="1348"/>
      <c r="H73" s="1348"/>
      <c r="I73" s="1348"/>
      <c r="J73" s="3397" t="s">
        <v>6624</v>
      </c>
      <c r="K73" s="3397">
        <v>100000</v>
      </c>
      <c r="L73" s="1702">
        <f t="shared" si="7"/>
        <v>1</v>
      </c>
      <c r="M73" s="1554">
        <v>90</v>
      </c>
      <c r="N73" s="3385">
        <f>L73*M73</f>
        <v>90</v>
      </c>
      <c r="O73" s="3397" t="s">
        <v>6643</v>
      </c>
      <c r="P73" s="1348"/>
      <c r="Q73" s="3388"/>
    </row>
    <row r="74" spans="1:17">
      <c r="A74" s="3382" t="s">
        <v>3163</v>
      </c>
      <c r="B74" s="3382" t="s">
        <v>2978</v>
      </c>
      <c r="C74" s="3382" t="s">
        <v>2979</v>
      </c>
      <c r="D74" s="3409" t="s">
        <v>5341</v>
      </c>
      <c r="E74" s="3398"/>
      <c r="F74" s="3398"/>
      <c r="G74" s="3398"/>
      <c r="H74" s="3398"/>
      <c r="I74" s="3398"/>
      <c r="J74" s="3398"/>
      <c r="K74" s="3398"/>
      <c r="L74" s="3383">
        <f t="shared" si="7"/>
        <v>0</v>
      </c>
      <c r="M74" s="3398"/>
      <c r="N74" s="3383">
        <f>L74*M74</f>
        <v>0</v>
      </c>
      <c r="O74" s="1348"/>
      <c r="P74" s="3398"/>
      <c r="Q74" s="3410"/>
    </row>
    <row r="75" spans="1:17">
      <c r="A75" s="3382" t="s">
        <v>3164</v>
      </c>
      <c r="B75" s="3382" t="s">
        <v>2980</v>
      </c>
      <c r="C75" s="3382" t="s">
        <v>2981</v>
      </c>
      <c r="D75" s="3409" t="s">
        <v>5341</v>
      </c>
      <c r="E75" s="3398"/>
      <c r="F75" s="3398"/>
      <c r="G75" s="3398"/>
      <c r="H75" s="3398"/>
      <c r="I75" s="3398"/>
      <c r="J75" s="3398"/>
      <c r="K75" s="3398"/>
      <c r="L75" s="3383">
        <f t="shared" si="7"/>
        <v>0</v>
      </c>
      <c r="M75" s="3398"/>
      <c r="N75" s="3383">
        <f>L75*M75</f>
        <v>0</v>
      </c>
      <c r="O75" s="1348"/>
      <c r="P75" s="3398"/>
      <c r="Q75" s="3410"/>
    </row>
    <row r="76" spans="1:17" ht="49.5">
      <c r="A76" s="3382" t="s">
        <v>3165</v>
      </c>
      <c r="B76" s="3382" t="s">
        <v>2982</v>
      </c>
      <c r="C76" s="3382" t="s">
        <v>2983</v>
      </c>
      <c r="D76" s="3409" t="s">
        <v>5343</v>
      </c>
      <c r="E76" s="3398"/>
      <c r="F76" s="3398"/>
      <c r="G76" s="3398"/>
      <c r="H76" s="3398"/>
      <c r="I76" s="3398"/>
      <c r="J76" s="3411" t="s">
        <v>6644</v>
      </c>
      <c r="K76" s="3411">
        <v>5000</v>
      </c>
      <c r="L76" s="3383">
        <f t="shared" si="7"/>
        <v>0.05</v>
      </c>
      <c r="M76" s="3398">
        <v>843</v>
      </c>
      <c r="N76" s="3383">
        <f>L76*M76</f>
        <v>42.150000000000006</v>
      </c>
      <c r="O76" s="3397" t="s">
        <v>6645</v>
      </c>
      <c r="P76" s="3398"/>
      <c r="Q76" s="3410"/>
    </row>
    <row r="77" spans="1:17">
      <c r="A77" s="3379" t="s">
        <v>3166</v>
      </c>
      <c r="B77" s="3379"/>
      <c r="C77" s="3379" t="s">
        <v>14</v>
      </c>
      <c r="D77" s="3379"/>
      <c r="E77" s="3399"/>
      <c r="F77" s="3399"/>
      <c r="G77" s="3399"/>
      <c r="H77" s="3399"/>
      <c r="I77" s="3399"/>
      <c r="J77" s="3399"/>
      <c r="K77" s="3399"/>
      <c r="L77" s="3379"/>
      <c r="M77" s="3399"/>
      <c r="N77" s="3380">
        <f>N78+N84+N88</f>
        <v>232</v>
      </c>
      <c r="O77" s="3399"/>
      <c r="P77" s="3399"/>
      <c r="Q77" s="3380">
        <f>Q78+Q84+Q88</f>
        <v>0</v>
      </c>
    </row>
    <row r="78" spans="1:17">
      <c r="A78" s="3382" t="s">
        <v>3167</v>
      </c>
      <c r="B78" s="3382"/>
      <c r="C78" s="3382" t="s">
        <v>15</v>
      </c>
      <c r="D78" s="3382"/>
      <c r="E78" s="3398"/>
      <c r="F78" s="3398"/>
      <c r="G78" s="3398"/>
      <c r="H78" s="3398"/>
      <c r="I78" s="3398"/>
      <c r="J78" s="3398"/>
      <c r="K78" s="3398"/>
      <c r="L78" s="3382"/>
      <c r="M78" s="3398"/>
      <c r="N78" s="3383">
        <f>SUM(N79:N83)</f>
        <v>222</v>
      </c>
      <c r="O78" s="3398"/>
      <c r="P78" s="3398"/>
      <c r="Q78" s="3383">
        <f>SUM(Q79:Q83)</f>
        <v>0</v>
      </c>
    </row>
    <row r="79" spans="1:17">
      <c r="A79" s="1314" t="s">
        <v>3168</v>
      </c>
      <c r="B79" s="1322" t="s">
        <v>2984</v>
      </c>
      <c r="C79" s="1547" t="s">
        <v>2985</v>
      </c>
      <c r="D79" s="1314" t="s">
        <v>5341</v>
      </c>
      <c r="E79" s="1316"/>
      <c r="F79" s="1316"/>
      <c r="G79" s="1316"/>
      <c r="H79" s="1316"/>
      <c r="I79" s="1316"/>
      <c r="J79" s="1316"/>
      <c r="K79" s="1317"/>
      <c r="L79" s="1702">
        <f t="shared" ref="L79:L83" si="8">K79/100000</f>
        <v>0</v>
      </c>
      <c r="M79" s="1317"/>
      <c r="N79" s="3385">
        <f>L79*M79</f>
        <v>0</v>
      </c>
      <c r="O79" s="1348"/>
      <c r="P79" s="1348"/>
      <c r="Q79" s="3388"/>
    </row>
    <row r="80" spans="1:17">
      <c r="A80" s="1314" t="s">
        <v>3169</v>
      </c>
      <c r="B80" s="1322" t="s">
        <v>2986</v>
      </c>
      <c r="C80" s="1547" t="s">
        <v>2987</v>
      </c>
      <c r="D80" s="1314" t="s">
        <v>5341</v>
      </c>
      <c r="E80" s="1316"/>
      <c r="F80" s="1316"/>
      <c r="G80" s="1316"/>
      <c r="H80" s="1316"/>
      <c r="I80" s="1316"/>
      <c r="J80" s="1316"/>
      <c r="K80" s="1317"/>
      <c r="L80" s="1702">
        <f t="shared" si="8"/>
        <v>0</v>
      </c>
      <c r="M80" s="1317"/>
      <c r="N80" s="3385">
        <f>L80*M80</f>
        <v>0</v>
      </c>
      <c r="O80" s="1348"/>
      <c r="P80" s="1348"/>
      <c r="Q80" s="3388"/>
    </row>
    <row r="81" spans="1:17">
      <c r="A81" s="1314" t="s">
        <v>3170</v>
      </c>
      <c r="B81" s="1322" t="s">
        <v>2986</v>
      </c>
      <c r="C81" s="1547" t="s">
        <v>2988</v>
      </c>
      <c r="D81" s="1314" t="s">
        <v>5341</v>
      </c>
      <c r="E81" s="1316"/>
      <c r="F81" s="1316"/>
      <c r="G81" s="1316"/>
      <c r="H81" s="1316"/>
      <c r="I81" s="1316"/>
      <c r="J81" s="1316"/>
      <c r="K81" s="1317"/>
      <c r="L81" s="1702">
        <f t="shared" si="8"/>
        <v>0</v>
      </c>
      <c r="M81" s="1317"/>
      <c r="N81" s="3385">
        <f>L81*M81</f>
        <v>0</v>
      </c>
      <c r="O81" s="1348"/>
      <c r="P81" s="1348"/>
      <c r="Q81" s="3388"/>
    </row>
    <row r="82" spans="1:17" ht="82.5">
      <c r="A82" s="1314" t="s">
        <v>3171</v>
      </c>
      <c r="B82" s="1314" t="s">
        <v>2989</v>
      </c>
      <c r="C82" s="1314" t="s">
        <v>2990</v>
      </c>
      <c r="D82" s="1314" t="s">
        <v>5341</v>
      </c>
      <c r="E82" s="1348"/>
      <c r="F82" s="1348"/>
      <c r="G82" s="1348"/>
      <c r="H82" s="1348"/>
      <c r="I82" s="1348"/>
      <c r="J82" s="3397" t="s">
        <v>6624</v>
      </c>
      <c r="K82" s="1554">
        <v>185000</v>
      </c>
      <c r="L82" s="1702">
        <f t="shared" si="8"/>
        <v>1.85</v>
      </c>
      <c r="M82" s="1554">
        <v>120</v>
      </c>
      <c r="N82" s="3385">
        <f>L82*M82</f>
        <v>222</v>
      </c>
      <c r="O82" s="3397" t="s">
        <v>6646</v>
      </c>
      <c r="P82" s="1348"/>
      <c r="Q82" s="3388"/>
    </row>
    <row r="83" spans="1:17">
      <c r="A83" s="1314" t="s">
        <v>5300</v>
      </c>
      <c r="B83" s="1314"/>
      <c r="C83" s="1314" t="s">
        <v>1310</v>
      </c>
      <c r="D83" s="1314" t="s">
        <v>5341</v>
      </c>
      <c r="E83" s="1348"/>
      <c r="F83" s="1348"/>
      <c r="G83" s="1348"/>
      <c r="H83" s="1348"/>
      <c r="I83" s="1348"/>
      <c r="J83" s="1348"/>
      <c r="K83" s="1317"/>
      <c r="L83" s="1702">
        <f t="shared" si="8"/>
        <v>0</v>
      </c>
      <c r="M83" s="1317"/>
      <c r="N83" s="3385">
        <f>L83*M83</f>
        <v>0</v>
      </c>
      <c r="O83" s="1348"/>
      <c r="P83" s="1348"/>
      <c r="Q83" s="3388"/>
    </row>
    <row r="84" spans="1:17">
      <c r="A84" s="3382" t="s">
        <v>3172</v>
      </c>
      <c r="B84" s="3382"/>
      <c r="C84" s="3382" t="s">
        <v>16</v>
      </c>
      <c r="D84" s="3382"/>
      <c r="E84" s="3398"/>
      <c r="F84" s="3398"/>
      <c r="G84" s="3398"/>
      <c r="H84" s="3398"/>
      <c r="I84" s="3398"/>
      <c r="J84" s="3398"/>
      <c r="K84" s="3398"/>
      <c r="L84" s="3382"/>
      <c r="M84" s="3398"/>
      <c r="N84" s="3383">
        <f>SUM(N85:N87)</f>
        <v>0</v>
      </c>
      <c r="O84" s="3398"/>
      <c r="P84" s="3398"/>
      <c r="Q84" s="3383">
        <f>SUM(Q85:Q87)</f>
        <v>0</v>
      </c>
    </row>
    <row r="85" spans="1:17">
      <c r="A85" s="1314" t="s">
        <v>3173</v>
      </c>
      <c r="B85" s="1314" t="s">
        <v>2991</v>
      </c>
      <c r="C85" s="1314" t="s">
        <v>2985</v>
      </c>
      <c r="D85" s="1314" t="s">
        <v>5341</v>
      </c>
      <c r="E85" s="1348"/>
      <c r="F85" s="1348"/>
      <c r="G85" s="1348"/>
      <c r="H85" s="1348"/>
      <c r="I85" s="1348"/>
      <c r="J85" s="1348"/>
      <c r="K85" s="1317"/>
      <c r="L85" s="1702">
        <f t="shared" ref="L85:L87" si="9">K85/100000</f>
        <v>0</v>
      </c>
      <c r="M85" s="1317"/>
      <c r="N85" s="3385">
        <f>L85*M85</f>
        <v>0</v>
      </c>
      <c r="O85" s="1348"/>
      <c r="P85" s="1348"/>
      <c r="Q85" s="3388"/>
    </row>
    <row r="86" spans="1:17">
      <c r="A86" s="1314" t="s">
        <v>3174</v>
      </c>
      <c r="B86" s="1314" t="s">
        <v>2992</v>
      </c>
      <c r="C86" s="1314" t="s">
        <v>2987</v>
      </c>
      <c r="D86" s="1314" t="s">
        <v>5341</v>
      </c>
      <c r="E86" s="1348"/>
      <c r="F86" s="1348"/>
      <c r="G86" s="1348"/>
      <c r="H86" s="1348"/>
      <c r="I86" s="1348"/>
      <c r="J86" s="1348"/>
      <c r="K86" s="1317"/>
      <c r="L86" s="1702">
        <f t="shared" si="9"/>
        <v>0</v>
      </c>
      <c r="M86" s="1317"/>
      <c r="N86" s="3385">
        <f>L86*M86</f>
        <v>0</v>
      </c>
      <c r="O86" s="1348"/>
      <c r="P86" s="1348"/>
      <c r="Q86" s="3388"/>
    </row>
    <row r="87" spans="1:17">
      <c r="A87" s="1314" t="s">
        <v>3175</v>
      </c>
      <c r="B87" s="1314" t="s">
        <v>2993</v>
      </c>
      <c r="C87" s="1314" t="s">
        <v>2994</v>
      </c>
      <c r="D87" s="1314" t="s">
        <v>5341</v>
      </c>
      <c r="E87" s="1348"/>
      <c r="F87" s="1348"/>
      <c r="G87" s="1348"/>
      <c r="H87" s="1348"/>
      <c r="I87" s="1348"/>
      <c r="J87" s="1348"/>
      <c r="K87" s="1317"/>
      <c r="L87" s="1702">
        <f t="shared" si="9"/>
        <v>0</v>
      </c>
      <c r="M87" s="1317"/>
      <c r="N87" s="3385">
        <f>L87*M87</f>
        <v>0</v>
      </c>
      <c r="O87" s="1348"/>
      <c r="P87" s="1348"/>
      <c r="Q87" s="3388"/>
    </row>
    <row r="88" spans="1:17">
      <c r="A88" s="3382" t="s">
        <v>3176</v>
      </c>
      <c r="B88" s="3382"/>
      <c r="C88" s="3382" t="s">
        <v>17</v>
      </c>
      <c r="D88" s="3382"/>
      <c r="E88" s="3398"/>
      <c r="F88" s="3398"/>
      <c r="G88" s="3398"/>
      <c r="H88" s="3398"/>
      <c r="I88" s="3398"/>
      <c r="J88" s="3398"/>
      <c r="K88" s="3398"/>
      <c r="L88" s="3382"/>
      <c r="M88" s="3398"/>
      <c r="N88" s="3383">
        <f>N89+N90</f>
        <v>10</v>
      </c>
      <c r="O88" s="3398"/>
      <c r="P88" s="3398"/>
      <c r="Q88" s="3383">
        <f>Q89+Q90</f>
        <v>0</v>
      </c>
    </row>
    <row r="89" spans="1:17" ht="49.5">
      <c r="A89" s="1308" t="s">
        <v>3177</v>
      </c>
      <c r="B89" s="1322"/>
      <c r="C89" s="1547" t="s">
        <v>3922</v>
      </c>
      <c r="D89" s="1314" t="s">
        <v>5342</v>
      </c>
      <c r="E89" s="1316"/>
      <c r="F89" s="1316"/>
      <c r="G89" s="1316"/>
      <c r="H89" s="1316"/>
      <c r="I89" s="1316"/>
      <c r="J89" s="1329" t="s">
        <v>6647</v>
      </c>
      <c r="K89" s="1554">
        <v>100000</v>
      </c>
      <c r="L89" s="1702">
        <f t="shared" ref="L89:L90" si="10">K89/100000</f>
        <v>1</v>
      </c>
      <c r="M89" s="1317">
        <v>10</v>
      </c>
      <c r="N89" s="3385">
        <f>L89*M89</f>
        <v>10</v>
      </c>
      <c r="O89" s="3397" t="s">
        <v>6648</v>
      </c>
      <c r="P89" s="1348"/>
      <c r="Q89" s="3388"/>
    </row>
    <row r="90" spans="1:17">
      <c r="A90" s="1314" t="s">
        <v>4009</v>
      </c>
      <c r="B90" s="3412"/>
      <c r="C90" s="1547" t="s">
        <v>3869</v>
      </c>
      <c r="D90" s="1314" t="s">
        <v>5341</v>
      </c>
      <c r="E90" s="1316"/>
      <c r="F90" s="1316"/>
      <c r="G90" s="1316"/>
      <c r="H90" s="1316"/>
      <c r="I90" s="1316"/>
      <c r="J90" s="1316"/>
      <c r="K90" s="1317"/>
      <c r="L90" s="1702">
        <f t="shared" si="10"/>
        <v>0</v>
      </c>
      <c r="M90" s="1317"/>
      <c r="N90" s="3385">
        <f>L90*M90</f>
        <v>0</v>
      </c>
      <c r="O90" s="1348"/>
      <c r="P90" s="1348"/>
      <c r="Q90" s="3388"/>
    </row>
    <row r="91" spans="1:17">
      <c r="A91" s="3379" t="s">
        <v>3178</v>
      </c>
      <c r="B91" s="3379"/>
      <c r="C91" s="3379" t="s">
        <v>18</v>
      </c>
      <c r="D91" s="3379"/>
      <c r="E91" s="3399"/>
      <c r="F91" s="3399"/>
      <c r="G91" s="3399"/>
      <c r="H91" s="3399"/>
      <c r="I91" s="3399"/>
      <c r="J91" s="3399"/>
      <c r="K91" s="3399"/>
      <c r="L91" s="3379"/>
      <c r="M91" s="3399"/>
      <c r="N91" s="3380">
        <f>N92+N103+N115</f>
        <v>558.26967000000002</v>
      </c>
      <c r="O91" s="3399"/>
      <c r="P91" s="3399"/>
      <c r="Q91" s="3380">
        <f>Q92+Q103+Q115</f>
        <v>0</v>
      </c>
    </row>
    <row r="92" spans="1:17">
      <c r="A92" s="3382" t="s">
        <v>3179</v>
      </c>
      <c r="B92" s="3382"/>
      <c r="C92" s="3382" t="s">
        <v>1585</v>
      </c>
      <c r="D92" s="3382"/>
      <c r="E92" s="3398"/>
      <c r="F92" s="3398"/>
      <c r="G92" s="3398"/>
      <c r="H92" s="3398"/>
      <c r="I92" s="3398"/>
      <c r="J92" s="3398"/>
      <c r="K92" s="3398"/>
      <c r="L92" s="3382"/>
      <c r="M92" s="3398"/>
      <c r="N92" s="3383">
        <f>SUM(N93:N99)</f>
        <v>62.26</v>
      </c>
      <c r="O92" s="3398"/>
      <c r="P92" s="3398"/>
      <c r="Q92" s="3383">
        <f>SUM(Q93:Q99)</f>
        <v>0</v>
      </c>
    </row>
    <row r="93" spans="1:17" s="1668" customFormat="1">
      <c r="A93" s="1308" t="s">
        <v>3180</v>
      </c>
      <c r="B93" s="3413"/>
      <c r="C93" s="3406" t="s">
        <v>4558</v>
      </c>
      <c r="D93" s="1314" t="s">
        <v>5342</v>
      </c>
      <c r="E93" s="3414"/>
      <c r="F93" s="3414"/>
      <c r="G93" s="3414"/>
      <c r="H93" s="3414"/>
      <c r="I93" s="3414"/>
      <c r="J93" s="3414"/>
      <c r="K93" s="1317"/>
      <c r="L93" s="1702">
        <f t="shared" ref="L93:L102" si="11">K93/100000</f>
        <v>0</v>
      </c>
      <c r="M93" s="1317"/>
      <c r="N93" s="2197">
        <f t="shared" ref="N93:N98" si="12">L93*M93</f>
        <v>0</v>
      </c>
      <c r="O93" s="3414"/>
      <c r="P93" s="3414"/>
      <c r="Q93" s="3415"/>
    </row>
    <row r="94" spans="1:17">
      <c r="A94" s="1314" t="s">
        <v>3181</v>
      </c>
      <c r="B94" s="1314" t="s">
        <v>2995</v>
      </c>
      <c r="C94" s="1314" t="s">
        <v>2996</v>
      </c>
      <c r="D94" s="1314" t="s">
        <v>5344</v>
      </c>
      <c r="E94" s="1348"/>
      <c r="F94" s="1348"/>
      <c r="G94" s="1348"/>
      <c r="H94" s="1348"/>
      <c r="I94" s="1348"/>
      <c r="J94" s="1348"/>
      <c r="K94" s="1317"/>
      <c r="L94" s="1702">
        <f t="shared" si="11"/>
        <v>0</v>
      </c>
      <c r="M94" s="1317"/>
      <c r="N94" s="3385">
        <f t="shared" si="12"/>
        <v>0</v>
      </c>
      <c r="O94" s="1348"/>
      <c r="P94" s="1348"/>
      <c r="Q94" s="3388"/>
    </row>
    <row r="95" spans="1:17">
      <c r="A95" s="1314" t="s">
        <v>3182</v>
      </c>
      <c r="B95" s="1314" t="s">
        <v>2997</v>
      </c>
      <c r="C95" s="1314" t="s">
        <v>2998</v>
      </c>
      <c r="D95" s="1314" t="s">
        <v>5344</v>
      </c>
      <c r="E95" s="1348"/>
      <c r="F95" s="1348"/>
      <c r="G95" s="1348"/>
      <c r="H95" s="1348"/>
      <c r="I95" s="1348"/>
      <c r="J95" s="1348"/>
      <c r="K95" s="1317"/>
      <c r="L95" s="1702">
        <f t="shared" si="11"/>
        <v>0</v>
      </c>
      <c r="M95" s="1317"/>
      <c r="N95" s="3385">
        <f t="shared" si="12"/>
        <v>0</v>
      </c>
      <c r="O95" s="1348"/>
      <c r="P95" s="1348"/>
      <c r="Q95" s="3388"/>
    </row>
    <row r="96" spans="1:17">
      <c r="A96" s="1314" t="s">
        <v>3307</v>
      </c>
      <c r="B96" s="1314" t="s">
        <v>2999</v>
      </c>
      <c r="C96" s="1314" t="s">
        <v>3000</v>
      </c>
      <c r="D96" s="1314" t="s">
        <v>5344</v>
      </c>
      <c r="E96" s="1348"/>
      <c r="F96" s="1348"/>
      <c r="G96" s="1348"/>
      <c r="H96" s="1348"/>
      <c r="I96" s="1348"/>
      <c r="J96" s="1348"/>
      <c r="K96" s="1317"/>
      <c r="L96" s="1702">
        <f t="shared" si="11"/>
        <v>0</v>
      </c>
      <c r="M96" s="1317"/>
      <c r="N96" s="3385">
        <f t="shared" si="12"/>
        <v>0</v>
      </c>
      <c r="O96" s="1348"/>
      <c r="P96" s="1348"/>
      <c r="Q96" s="3388"/>
    </row>
    <row r="97" spans="1:17">
      <c r="A97" s="1314" t="s">
        <v>4557</v>
      </c>
      <c r="B97" s="1314"/>
      <c r="C97" s="1314" t="s">
        <v>5302</v>
      </c>
      <c r="D97" s="1314" t="s">
        <v>5344</v>
      </c>
      <c r="E97" s="1348"/>
      <c r="F97" s="1348"/>
      <c r="G97" s="1348"/>
      <c r="H97" s="1348"/>
      <c r="I97" s="1348"/>
      <c r="J97" s="1348"/>
      <c r="K97" s="1317"/>
      <c r="L97" s="1702">
        <f t="shared" si="11"/>
        <v>0</v>
      </c>
      <c r="M97" s="1317"/>
      <c r="N97" s="3385">
        <f t="shared" si="12"/>
        <v>0</v>
      </c>
      <c r="O97" s="1348"/>
      <c r="P97" s="1348"/>
      <c r="Q97" s="3388"/>
    </row>
    <row r="98" spans="1:17" ht="49.5">
      <c r="A98" s="1314" t="s">
        <v>5301</v>
      </c>
      <c r="B98" s="1314"/>
      <c r="C98" s="1314" t="s">
        <v>1310</v>
      </c>
      <c r="D98" s="1314" t="s">
        <v>5344</v>
      </c>
      <c r="E98" s="1348"/>
      <c r="F98" s="1348"/>
      <c r="G98" s="1348"/>
      <c r="H98" s="1348"/>
      <c r="I98" s="1348"/>
      <c r="J98" s="1348" t="s">
        <v>6649</v>
      </c>
      <c r="K98" s="1317">
        <v>1650</v>
      </c>
      <c r="L98" s="1702">
        <f t="shared" si="11"/>
        <v>1.6500000000000001E-2</v>
      </c>
      <c r="M98" s="1317">
        <v>440</v>
      </c>
      <c r="N98" s="3385">
        <f t="shared" si="12"/>
        <v>7.2600000000000007</v>
      </c>
      <c r="O98" s="3397" t="s">
        <v>6725</v>
      </c>
      <c r="P98" s="1348"/>
      <c r="Q98" s="3388"/>
    </row>
    <row r="99" spans="1:17" s="3419" customFormat="1">
      <c r="A99" s="3413" t="s">
        <v>5305</v>
      </c>
      <c r="B99" s="3413" t="s">
        <v>3191</v>
      </c>
      <c r="C99" s="3413" t="s">
        <v>4949</v>
      </c>
      <c r="D99" s="3413"/>
      <c r="E99" s="2896"/>
      <c r="F99" s="2896"/>
      <c r="G99" s="2896"/>
      <c r="H99" s="2896"/>
      <c r="I99" s="2896"/>
      <c r="J99" s="2896"/>
      <c r="K99" s="2896"/>
      <c r="L99" s="1702">
        <f t="shared" si="11"/>
        <v>0</v>
      </c>
      <c r="M99" s="3416"/>
      <c r="N99" s="3417">
        <f>N100+N101+N102</f>
        <v>55</v>
      </c>
      <c r="O99" s="3418"/>
      <c r="P99" s="3418"/>
      <c r="Q99" s="3417">
        <f>Q100+Q101+Q102</f>
        <v>0</v>
      </c>
    </row>
    <row r="100" spans="1:17" ht="66">
      <c r="A100" s="1308" t="s">
        <v>5306</v>
      </c>
      <c r="B100" s="1314" t="s">
        <v>4577</v>
      </c>
      <c r="C100" s="1308" t="s">
        <v>4575</v>
      </c>
      <c r="D100" s="1308" t="s">
        <v>5342</v>
      </c>
      <c r="E100" s="1350"/>
      <c r="F100" s="1350"/>
      <c r="G100" s="1350"/>
      <c r="H100" s="1350"/>
      <c r="I100" s="1350"/>
      <c r="J100" s="1350" t="s">
        <v>6650</v>
      </c>
      <c r="K100" s="1317">
        <v>50000</v>
      </c>
      <c r="L100" s="1702">
        <f t="shared" si="11"/>
        <v>0.5</v>
      </c>
      <c r="M100" s="1317">
        <v>110</v>
      </c>
      <c r="N100" s="3385">
        <f>L100*M100</f>
        <v>55</v>
      </c>
      <c r="O100" s="3397" t="s">
        <v>6651</v>
      </c>
      <c r="P100" s="1348"/>
      <c r="Q100" s="3388"/>
    </row>
    <row r="101" spans="1:17" ht="49.5">
      <c r="A101" s="1314" t="s">
        <v>5307</v>
      </c>
      <c r="B101" s="1314" t="s">
        <v>4578</v>
      </c>
      <c r="C101" s="1308" t="s">
        <v>4576</v>
      </c>
      <c r="D101" s="1308" t="s">
        <v>5341</v>
      </c>
      <c r="E101" s="1350"/>
      <c r="F101" s="1350"/>
      <c r="G101" s="1350"/>
      <c r="H101" s="1350"/>
      <c r="I101" s="1350"/>
      <c r="J101" s="1350"/>
      <c r="K101" s="1317"/>
      <c r="L101" s="1702">
        <f t="shared" si="11"/>
        <v>0</v>
      </c>
      <c r="M101" s="1317"/>
      <c r="N101" s="3385">
        <f>L101*M101</f>
        <v>0</v>
      </c>
      <c r="O101" s="1348"/>
      <c r="P101" s="1348"/>
      <c r="Q101" s="3388"/>
    </row>
    <row r="102" spans="1:17">
      <c r="A102" s="1314" t="s">
        <v>5308</v>
      </c>
      <c r="B102" s="1314" t="s">
        <v>4579</v>
      </c>
      <c r="C102" s="1308" t="s">
        <v>2970</v>
      </c>
      <c r="D102" s="1308" t="s">
        <v>5341</v>
      </c>
      <c r="E102" s="1350"/>
      <c r="F102" s="1350"/>
      <c r="G102" s="1350"/>
      <c r="H102" s="1350"/>
      <c r="I102" s="1350"/>
      <c r="J102" s="1350"/>
      <c r="K102" s="1317"/>
      <c r="L102" s="1702">
        <f t="shared" si="11"/>
        <v>0</v>
      </c>
      <c r="M102" s="1317"/>
      <c r="N102" s="3385">
        <f>L102*M102</f>
        <v>0</v>
      </c>
      <c r="O102" s="1348"/>
      <c r="P102" s="1348"/>
      <c r="Q102" s="3388"/>
    </row>
    <row r="103" spans="1:17">
      <c r="A103" s="3382" t="s">
        <v>3183</v>
      </c>
      <c r="B103" s="3382"/>
      <c r="C103" s="3382" t="s">
        <v>4562</v>
      </c>
      <c r="D103" s="3382"/>
      <c r="E103" s="3398"/>
      <c r="F103" s="3398"/>
      <c r="G103" s="3398"/>
      <c r="H103" s="3398"/>
      <c r="I103" s="3398"/>
      <c r="J103" s="3398"/>
      <c r="K103" s="3398"/>
      <c r="L103" s="3382"/>
      <c r="M103" s="3398"/>
      <c r="N103" s="3383">
        <f>N104+N108+N111+N112</f>
        <v>357.26</v>
      </c>
      <c r="O103" s="3398"/>
      <c r="P103" s="3398"/>
      <c r="Q103" s="3383">
        <f>Q104+Q108+Q111+Q112</f>
        <v>0</v>
      </c>
    </row>
    <row r="104" spans="1:17" s="3420" customFormat="1">
      <c r="A104" s="2893" t="s">
        <v>3184</v>
      </c>
      <c r="B104" s="2893"/>
      <c r="C104" s="2893" t="s">
        <v>4559</v>
      </c>
      <c r="D104" s="2893"/>
      <c r="E104" s="2901"/>
      <c r="F104" s="2901"/>
      <c r="G104" s="2901"/>
      <c r="H104" s="2901"/>
      <c r="I104" s="2901"/>
      <c r="J104" s="2901"/>
      <c r="K104" s="2901"/>
      <c r="L104" s="1702">
        <f t="shared" ref="L104:L107" si="13">K104/100000</f>
        <v>0</v>
      </c>
      <c r="M104" s="3416"/>
      <c r="N104" s="3417">
        <f>SUM(N105:N107)</f>
        <v>330</v>
      </c>
      <c r="O104" s="2901"/>
      <c r="P104" s="2901"/>
      <c r="Q104" s="3417">
        <f>SUM(Q105:Q107)</f>
        <v>0</v>
      </c>
    </row>
    <row r="105" spans="1:17" s="3998" customFormat="1" ht="148.5">
      <c r="A105" s="3999" t="s">
        <v>4567</v>
      </c>
      <c r="B105" s="3999" t="s">
        <v>3001</v>
      </c>
      <c r="C105" s="3999" t="s">
        <v>4572</v>
      </c>
      <c r="D105" s="3999" t="s">
        <v>5342</v>
      </c>
      <c r="E105" s="3995"/>
      <c r="F105" s="3995"/>
      <c r="G105" s="3995"/>
      <c r="H105" s="3995"/>
      <c r="I105" s="3995"/>
      <c r="J105" s="3995" t="s">
        <v>6480</v>
      </c>
      <c r="K105" s="3653">
        <v>600000</v>
      </c>
      <c r="L105" s="3654">
        <f t="shared" si="13"/>
        <v>6</v>
      </c>
      <c r="M105" s="3653">
        <v>55</v>
      </c>
      <c r="N105" s="3994">
        <f>L105*M105</f>
        <v>330</v>
      </c>
      <c r="O105" s="3995" t="s">
        <v>6878</v>
      </c>
      <c r="P105" s="3995"/>
      <c r="Q105" s="3997"/>
    </row>
    <row r="106" spans="1:17" s="1668" customFormat="1" ht="49.5">
      <c r="A106" s="1308" t="s">
        <v>4568</v>
      </c>
      <c r="B106" s="1308" t="s">
        <v>4565</v>
      </c>
      <c r="C106" s="1308" t="s">
        <v>4566</v>
      </c>
      <c r="D106" s="1308" t="s">
        <v>5342</v>
      </c>
      <c r="E106" s="2127"/>
      <c r="F106" s="2127"/>
      <c r="G106" s="2127"/>
      <c r="H106" s="2127"/>
      <c r="I106" s="2127"/>
      <c r="J106" s="2127"/>
      <c r="K106" s="1317"/>
      <c r="L106" s="1702">
        <f t="shared" si="13"/>
        <v>0</v>
      </c>
      <c r="M106" s="1317"/>
      <c r="N106" s="2197">
        <f>L106*M106</f>
        <v>0</v>
      </c>
      <c r="O106" s="2127"/>
      <c r="P106" s="2127"/>
      <c r="Q106" s="3396"/>
    </row>
    <row r="107" spans="1:17" s="1668" customFormat="1">
      <c r="A107" s="1308" t="s">
        <v>5303</v>
      </c>
      <c r="B107" s="1308"/>
      <c r="C107" s="1308" t="s">
        <v>3869</v>
      </c>
      <c r="D107" s="1308" t="s">
        <v>5341</v>
      </c>
      <c r="E107" s="2127"/>
      <c r="F107" s="2127"/>
      <c r="G107" s="2127"/>
      <c r="H107" s="2127"/>
      <c r="I107" s="2127"/>
      <c r="J107" s="2127"/>
      <c r="K107" s="1317"/>
      <c r="L107" s="1702">
        <f t="shared" si="13"/>
        <v>0</v>
      </c>
      <c r="M107" s="1317"/>
      <c r="N107" s="2197">
        <f>L107*M107</f>
        <v>0</v>
      </c>
      <c r="O107" s="2127"/>
      <c r="P107" s="2127"/>
      <c r="Q107" s="3396"/>
    </row>
    <row r="108" spans="1:17" s="3419" customFormat="1">
      <c r="A108" s="3421" t="s">
        <v>3185</v>
      </c>
      <c r="B108" s="3421"/>
      <c r="C108" s="3422" t="s">
        <v>1790</v>
      </c>
      <c r="D108" s="3422"/>
      <c r="E108" s="3423"/>
      <c r="F108" s="3423"/>
      <c r="G108" s="3423"/>
      <c r="H108" s="3423"/>
      <c r="I108" s="3423"/>
      <c r="J108" s="3423"/>
      <c r="K108" s="3423"/>
      <c r="L108" s="3424"/>
      <c r="M108" s="3425"/>
      <c r="N108" s="3424">
        <f>SUM(N109:N110)</f>
        <v>3.5</v>
      </c>
      <c r="O108" s="3423"/>
      <c r="P108" s="3423"/>
      <c r="Q108" s="3424">
        <f>SUM(Q109:Q110)</f>
        <v>0</v>
      </c>
    </row>
    <row r="109" spans="1:17" s="3998" customFormat="1" ht="49.5">
      <c r="A109" s="3999" t="s">
        <v>4569</v>
      </c>
      <c r="B109" s="3999" t="s">
        <v>3002</v>
      </c>
      <c r="C109" s="3999" t="s">
        <v>3003</v>
      </c>
      <c r="D109" s="3999" t="s">
        <v>5343</v>
      </c>
      <c r="E109" s="3995"/>
      <c r="F109" s="3995"/>
      <c r="G109" s="3995"/>
      <c r="H109" s="3995"/>
      <c r="I109" s="3995"/>
      <c r="J109" s="3995" t="s">
        <v>6069</v>
      </c>
      <c r="K109" s="3653">
        <v>500</v>
      </c>
      <c r="L109" s="3654">
        <f t="shared" ref="L109:L111" si="14">K109/100000</f>
        <v>5.0000000000000001E-3</v>
      </c>
      <c r="M109" s="3653">
        <v>700</v>
      </c>
      <c r="N109" s="3994">
        <f>L109*M109</f>
        <v>3.5</v>
      </c>
      <c r="O109" s="3995" t="s">
        <v>6879</v>
      </c>
      <c r="P109" s="3995"/>
      <c r="Q109" s="3997"/>
    </row>
    <row r="110" spans="1:17">
      <c r="A110" s="1314" t="s">
        <v>4570</v>
      </c>
      <c r="B110" s="1314" t="s">
        <v>3004</v>
      </c>
      <c r="C110" s="1314" t="s">
        <v>5304</v>
      </c>
      <c r="D110" s="1314" t="s">
        <v>5343</v>
      </c>
      <c r="E110" s="1348"/>
      <c r="F110" s="1348"/>
      <c r="G110" s="1348"/>
      <c r="H110" s="1348"/>
      <c r="I110" s="1348"/>
      <c r="J110" s="1348"/>
      <c r="K110" s="1317"/>
      <c r="L110" s="1702">
        <f t="shared" si="14"/>
        <v>0</v>
      </c>
      <c r="M110" s="1317"/>
      <c r="N110" s="3385">
        <f>L110*M110</f>
        <v>0</v>
      </c>
      <c r="O110" s="1348"/>
      <c r="P110" s="1348"/>
      <c r="Q110" s="3388"/>
    </row>
    <row r="111" spans="1:17" s="3419" customFormat="1">
      <c r="A111" s="2893" t="s">
        <v>3186</v>
      </c>
      <c r="B111" s="3426" t="s">
        <v>3005</v>
      </c>
      <c r="C111" s="3426" t="s">
        <v>1877</v>
      </c>
      <c r="D111" s="3426" t="s">
        <v>5341</v>
      </c>
      <c r="E111" s="3427"/>
      <c r="F111" s="3427"/>
      <c r="G111" s="3427"/>
      <c r="H111" s="3427"/>
      <c r="I111" s="3427"/>
      <c r="J111" s="3427"/>
      <c r="K111" s="1317"/>
      <c r="L111" s="1702">
        <f t="shared" si="14"/>
        <v>0</v>
      </c>
      <c r="M111" s="1317"/>
      <c r="N111" s="3428">
        <f>L111*M111</f>
        <v>0</v>
      </c>
      <c r="O111" s="3427"/>
      <c r="P111" s="3427"/>
      <c r="Q111" s="3429"/>
    </row>
    <row r="112" spans="1:17" s="1668" customFormat="1">
      <c r="A112" s="3430" t="s">
        <v>3187</v>
      </c>
      <c r="B112" s="3431"/>
      <c r="C112" s="1894" t="s">
        <v>4573</v>
      </c>
      <c r="D112" s="1894"/>
      <c r="E112" s="3432"/>
      <c r="F112" s="3432"/>
      <c r="G112" s="3432"/>
      <c r="H112" s="3432"/>
      <c r="I112" s="3432"/>
      <c r="J112" s="3432"/>
      <c r="K112" s="3432"/>
      <c r="L112" s="3433"/>
      <c r="M112" s="3434"/>
      <c r="N112" s="3433">
        <f>SUM(N113:N114)</f>
        <v>23.76</v>
      </c>
      <c r="O112" s="3432"/>
      <c r="P112" s="3432"/>
      <c r="Q112" s="3433">
        <f>SUM(Q113:Q114)</f>
        <v>0</v>
      </c>
    </row>
    <row r="113" spans="1:17" s="3998" customFormat="1" ht="66">
      <c r="A113" s="4001" t="s">
        <v>3188</v>
      </c>
      <c r="B113" s="3999"/>
      <c r="C113" s="3999" t="s">
        <v>4571</v>
      </c>
      <c r="D113" s="3999" t="s">
        <v>5342</v>
      </c>
      <c r="E113" s="3995"/>
      <c r="F113" s="3995"/>
      <c r="G113" s="3995"/>
      <c r="H113" s="3995"/>
      <c r="I113" s="3995"/>
      <c r="J113" s="3995" t="s">
        <v>6624</v>
      </c>
      <c r="K113" s="3653">
        <v>20000</v>
      </c>
      <c r="L113" s="3654">
        <f t="shared" ref="L113:L114" si="15">K113/100000</f>
        <v>0.2</v>
      </c>
      <c r="M113" s="3653">
        <v>110</v>
      </c>
      <c r="N113" s="3994">
        <f>L113*M113</f>
        <v>22</v>
      </c>
      <c r="O113" s="3995" t="s">
        <v>6880</v>
      </c>
      <c r="P113" s="3995"/>
      <c r="Q113" s="3997"/>
    </row>
    <row r="114" spans="1:17" s="1668" customFormat="1" ht="33">
      <c r="A114" s="2893" t="s">
        <v>3189</v>
      </c>
      <c r="B114" s="1308"/>
      <c r="C114" s="1308" t="s">
        <v>4574</v>
      </c>
      <c r="D114" s="1308" t="s">
        <v>5342</v>
      </c>
      <c r="E114" s="2127"/>
      <c r="F114" s="2127"/>
      <c r="G114" s="2127"/>
      <c r="H114" s="2127"/>
      <c r="I114" s="2127"/>
      <c r="J114" s="2127" t="s">
        <v>6652</v>
      </c>
      <c r="K114" s="1317">
        <v>1600</v>
      </c>
      <c r="L114" s="1702">
        <f t="shared" si="15"/>
        <v>1.6E-2</v>
      </c>
      <c r="M114" s="1317">
        <v>110</v>
      </c>
      <c r="N114" s="2197">
        <f>L114*M114</f>
        <v>1.76</v>
      </c>
      <c r="O114" s="3397" t="s">
        <v>6726</v>
      </c>
      <c r="P114" s="2127"/>
      <c r="Q114" s="3396"/>
    </row>
    <row r="115" spans="1:17" s="3435" customFormat="1">
      <c r="A115" s="3382" t="s">
        <v>3190</v>
      </c>
      <c r="B115" s="3382" t="s">
        <v>3297</v>
      </c>
      <c r="C115" s="3382" t="s">
        <v>4929</v>
      </c>
      <c r="D115" s="3382"/>
      <c r="E115" s="3398"/>
      <c r="F115" s="3398"/>
      <c r="G115" s="3398"/>
      <c r="H115" s="3398"/>
      <c r="I115" s="3398"/>
      <c r="J115" s="3398"/>
      <c r="K115" s="3398"/>
      <c r="L115" s="3382"/>
      <c r="M115" s="3398"/>
      <c r="N115" s="3383">
        <f>SUM(N116:N117)</f>
        <v>138.74967000000001</v>
      </c>
      <c r="O115" s="3398"/>
      <c r="P115" s="3398"/>
      <c r="Q115" s="3383">
        <f>SUM(Q116:Q117)</f>
        <v>0</v>
      </c>
    </row>
    <row r="116" spans="1:17" s="3376" customFormat="1" ht="132">
      <c r="A116" s="3436" t="s">
        <v>4596</v>
      </c>
      <c r="B116" s="1311" t="s">
        <v>3923</v>
      </c>
      <c r="C116" s="1943" t="s">
        <v>3925</v>
      </c>
      <c r="D116" s="1943" t="s">
        <v>5340</v>
      </c>
      <c r="E116" s="2401"/>
      <c r="F116" s="2401"/>
      <c r="G116" s="2401"/>
      <c r="H116" s="2401"/>
      <c r="I116" s="2401"/>
      <c r="J116" s="2401" t="s">
        <v>6274</v>
      </c>
      <c r="K116" s="1554">
        <v>15635.8</v>
      </c>
      <c r="L116" s="1702">
        <f t="shared" ref="L116:L117" si="16">K116/100000</f>
        <v>0.156358</v>
      </c>
      <c r="M116" s="1317">
        <v>865</v>
      </c>
      <c r="N116" s="3428">
        <f>L116*M116</f>
        <v>135.24967000000001</v>
      </c>
      <c r="O116" s="3437" t="s">
        <v>6654</v>
      </c>
      <c r="P116" s="1347"/>
      <c r="Q116" s="3388"/>
    </row>
    <row r="117" spans="1:17" s="4005" customFormat="1" ht="49.5">
      <c r="A117" s="3990" t="s">
        <v>5309</v>
      </c>
      <c r="B117" s="3978" t="s">
        <v>3924</v>
      </c>
      <c r="C117" s="3999" t="s">
        <v>1310</v>
      </c>
      <c r="D117" s="3999" t="s">
        <v>3296</v>
      </c>
      <c r="E117" s="4002"/>
      <c r="F117" s="4002"/>
      <c r="G117" s="4002"/>
      <c r="H117" s="4002"/>
      <c r="I117" s="4002"/>
      <c r="J117" s="4002" t="s">
        <v>6653</v>
      </c>
      <c r="K117" s="3653">
        <v>250</v>
      </c>
      <c r="L117" s="3654">
        <f t="shared" si="16"/>
        <v>2.5000000000000001E-3</v>
      </c>
      <c r="M117" s="3653">
        <v>1400</v>
      </c>
      <c r="N117" s="4003">
        <f>L117*M117</f>
        <v>3.5</v>
      </c>
      <c r="O117" s="3995" t="s">
        <v>6881</v>
      </c>
      <c r="P117" s="4004"/>
      <c r="Q117" s="3997"/>
    </row>
    <row r="118" spans="1:17">
      <c r="A118" s="3379" t="s">
        <v>3192</v>
      </c>
      <c r="B118" s="3379"/>
      <c r="C118" s="3379" t="s">
        <v>20</v>
      </c>
      <c r="D118" s="3379"/>
      <c r="E118" s="3399"/>
      <c r="F118" s="3399"/>
      <c r="G118" s="3399"/>
      <c r="H118" s="3399"/>
      <c r="I118" s="3399"/>
      <c r="J118" s="3399"/>
      <c r="K118" s="3399"/>
      <c r="L118" s="3379"/>
      <c r="M118" s="3399"/>
      <c r="N118" s="3380">
        <f>N119</f>
        <v>0</v>
      </c>
      <c r="O118" s="3399"/>
      <c r="P118" s="3399"/>
      <c r="Q118" s="3380">
        <f>Q119</f>
        <v>0</v>
      </c>
    </row>
    <row r="119" spans="1:17">
      <c r="A119" s="1314" t="s">
        <v>3193</v>
      </c>
      <c r="B119" s="1314"/>
      <c r="C119" s="1314" t="s">
        <v>4446</v>
      </c>
      <c r="D119" s="1314" t="s">
        <v>5341</v>
      </c>
      <c r="E119" s="1348"/>
      <c r="F119" s="1348"/>
      <c r="G119" s="1348"/>
      <c r="H119" s="1348"/>
      <c r="I119" s="1348"/>
      <c r="J119" s="1348"/>
      <c r="K119" s="1317"/>
      <c r="L119" s="1702">
        <f t="shared" ref="L119" si="17">K119/100000</f>
        <v>0</v>
      </c>
      <c r="M119" s="1317"/>
      <c r="N119" s="3385">
        <f>L119*M119</f>
        <v>0</v>
      </c>
      <c r="O119" s="1348"/>
      <c r="P119" s="1348"/>
      <c r="Q119" s="3388"/>
    </row>
    <row r="120" spans="1:17">
      <c r="A120" s="3379" t="s">
        <v>3194</v>
      </c>
      <c r="B120" s="3379"/>
      <c r="C120" s="3379" t="s">
        <v>21</v>
      </c>
      <c r="D120" s="3379"/>
      <c r="E120" s="3399"/>
      <c r="F120" s="3399"/>
      <c r="G120" s="3399"/>
      <c r="H120" s="3399"/>
      <c r="I120" s="3399"/>
      <c r="J120" s="3399"/>
      <c r="K120" s="3399"/>
      <c r="L120" s="3379"/>
      <c r="M120" s="3399"/>
      <c r="N120" s="3380">
        <f>N121+N169+N170+N171</f>
        <v>2973.8878680000003</v>
      </c>
      <c r="O120" s="3399"/>
      <c r="P120" s="3399"/>
      <c r="Q120" s="3380">
        <f>Q121+Q169+Q170+Q171</f>
        <v>0</v>
      </c>
    </row>
    <row r="121" spans="1:17">
      <c r="A121" s="3382" t="s">
        <v>3195</v>
      </c>
      <c r="B121" s="3382"/>
      <c r="C121" s="3382" t="s">
        <v>41</v>
      </c>
      <c r="D121" s="3382"/>
      <c r="E121" s="3398"/>
      <c r="F121" s="3398"/>
      <c r="G121" s="3398"/>
      <c r="H121" s="3398"/>
      <c r="I121" s="3398"/>
      <c r="J121" s="3398"/>
      <c r="K121" s="3398"/>
      <c r="L121" s="3382"/>
      <c r="M121" s="3398"/>
      <c r="N121" s="3383">
        <f>N122+N126+N130+N134+N138+N142+N150+N152+N162+N166</f>
        <v>2939.1957940000002</v>
      </c>
      <c r="O121" s="3398"/>
      <c r="P121" s="3398"/>
      <c r="Q121" s="3383">
        <f>Q122+Q126+Q130+Q134+Q138+Q142+Q150+Q152+Q162+Q166</f>
        <v>0</v>
      </c>
    </row>
    <row r="122" spans="1:17">
      <c r="A122" s="1519" t="s">
        <v>3196</v>
      </c>
      <c r="B122" s="1519" t="s">
        <v>3007</v>
      </c>
      <c r="C122" s="1519" t="s">
        <v>3008</v>
      </c>
      <c r="D122" s="1519"/>
      <c r="E122" s="3401"/>
      <c r="F122" s="3401"/>
      <c r="G122" s="3401"/>
      <c r="H122" s="3401"/>
      <c r="I122" s="3401"/>
      <c r="J122" s="3401"/>
      <c r="K122" s="3401"/>
      <c r="L122" s="1519"/>
      <c r="M122" s="3401"/>
      <c r="N122" s="1678">
        <f>SUM(N123:N125)</f>
        <v>690</v>
      </c>
      <c r="O122" s="3401"/>
      <c r="P122" s="3401"/>
      <c r="Q122" s="1678">
        <f>SUM(Q123:Q125)</f>
        <v>0</v>
      </c>
    </row>
    <row r="123" spans="1:17" ht="66">
      <c r="A123" s="1314" t="s">
        <v>3197</v>
      </c>
      <c r="B123" s="1314" t="s">
        <v>3009</v>
      </c>
      <c r="C123" s="1314" t="s">
        <v>2985</v>
      </c>
      <c r="D123" s="1314" t="s">
        <v>5345</v>
      </c>
      <c r="E123" s="1348"/>
      <c r="F123" s="1348"/>
      <c r="G123" s="1348"/>
      <c r="H123" s="1348"/>
      <c r="I123" s="1348"/>
      <c r="J123" s="1348" t="s">
        <v>6625</v>
      </c>
      <c r="K123" s="2179">
        <v>138000</v>
      </c>
      <c r="L123" s="1702">
        <f t="shared" ref="L123:L125" si="18">K123/100000</f>
        <v>1.38</v>
      </c>
      <c r="M123" s="1317">
        <v>500</v>
      </c>
      <c r="N123" s="3385">
        <f>L123*M123</f>
        <v>690</v>
      </c>
      <c r="O123" s="1348" t="s">
        <v>6655</v>
      </c>
      <c r="P123" s="1348"/>
      <c r="Q123" s="3388"/>
    </row>
    <row r="124" spans="1:17">
      <c r="A124" s="1314" t="s">
        <v>3198</v>
      </c>
      <c r="B124" s="1314" t="s">
        <v>3010</v>
      </c>
      <c r="C124" s="1314" t="s">
        <v>2987</v>
      </c>
      <c r="D124" s="1314" t="s">
        <v>5345</v>
      </c>
      <c r="E124" s="1348"/>
      <c r="F124" s="1348"/>
      <c r="G124" s="1348"/>
      <c r="H124" s="1348"/>
      <c r="I124" s="1348"/>
      <c r="J124" s="1348"/>
      <c r="K124" s="1317"/>
      <c r="L124" s="1702">
        <f t="shared" si="18"/>
        <v>0</v>
      </c>
      <c r="M124" s="1317"/>
      <c r="N124" s="3385">
        <f>L124*M124</f>
        <v>0</v>
      </c>
      <c r="O124" s="1348"/>
      <c r="P124" s="1348"/>
      <c r="Q124" s="3388"/>
    </row>
    <row r="125" spans="1:17">
      <c r="A125" s="1314" t="s">
        <v>3199</v>
      </c>
      <c r="B125" s="1314" t="s">
        <v>3011</v>
      </c>
      <c r="C125" s="1314" t="s">
        <v>2988</v>
      </c>
      <c r="D125" s="1314" t="s">
        <v>5345</v>
      </c>
      <c r="E125" s="1348"/>
      <c r="F125" s="1348"/>
      <c r="G125" s="1348"/>
      <c r="H125" s="1348"/>
      <c r="I125" s="1348"/>
      <c r="J125" s="1348"/>
      <c r="K125" s="1317"/>
      <c r="L125" s="1702">
        <f t="shared" si="18"/>
        <v>0</v>
      </c>
      <c r="M125" s="1317"/>
      <c r="N125" s="3385">
        <f>L125*M125</f>
        <v>0</v>
      </c>
      <c r="O125" s="1348"/>
      <c r="P125" s="1348"/>
      <c r="Q125" s="3388"/>
    </row>
    <row r="126" spans="1:17">
      <c r="A126" s="1519" t="s">
        <v>3200</v>
      </c>
      <c r="B126" s="1519" t="s">
        <v>3012</v>
      </c>
      <c r="C126" s="1519" t="s">
        <v>3013</v>
      </c>
      <c r="D126" s="1519"/>
      <c r="E126" s="3401"/>
      <c r="F126" s="3401"/>
      <c r="G126" s="3401"/>
      <c r="H126" s="3401"/>
      <c r="I126" s="3401"/>
      <c r="J126" s="3401"/>
      <c r="K126" s="3401"/>
      <c r="L126" s="1519"/>
      <c r="M126" s="3401"/>
      <c r="N126" s="1678">
        <f>SUM(N127:N129)</f>
        <v>428.84927399999998</v>
      </c>
      <c r="O126" s="3401"/>
      <c r="P126" s="3401"/>
      <c r="Q126" s="1678">
        <f>SUM(Q127:Q129)</f>
        <v>0</v>
      </c>
    </row>
    <row r="127" spans="1:17" s="3998" customFormat="1" ht="82.5">
      <c r="A127" s="3999" t="s">
        <v>3201</v>
      </c>
      <c r="B127" s="3999" t="s">
        <v>3014</v>
      </c>
      <c r="C127" s="3999" t="s">
        <v>2985</v>
      </c>
      <c r="D127" s="3999" t="s">
        <v>5345</v>
      </c>
      <c r="E127" s="3995"/>
      <c r="F127" s="3995"/>
      <c r="G127" s="3995"/>
      <c r="H127" s="3995"/>
      <c r="I127" s="3995"/>
      <c r="J127" s="3995" t="s">
        <v>6702</v>
      </c>
      <c r="K127" s="4006">
        <v>102106.97</v>
      </c>
      <c r="L127" s="3654">
        <f t="shared" ref="L127:L129" si="19">K127/100000</f>
        <v>1.0210697</v>
      </c>
      <c r="M127" s="3653">
        <v>420</v>
      </c>
      <c r="N127" s="3994">
        <f>L127*M127</f>
        <v>428.84927399999998</v>
      </c>
      <c r="O127" s="3995" t="s">
        <v>6938</v>
      </c>
      <c r="P127" s="3995"/>
      <c r="Q127" s="3997"/>
    </row>
    <row r="128" spans="1:17">
      <c r="A128" s="1314" t="s">
        <v>3202</v>
      </c>
      <c r="B128" s="1314" t="s">
        <v>3015</v>
      </c>
      <c r="C128" s="1314" t="s">
        <v>2987</v>
      </c>
      <c r="D128" s="1314" t="s">
        <v>5345</v>
      </c>
      <c r="E128" s="1348"/>
      <c r="F128" s="1348"/>
      <c r="G128" s="1348"/>
      <c r="H128" s="1348"/>
      <c r="I128" s="1348"/>
      <c r="J128" s="1348"/>
      <c r="K128" s="1317"/>
      <c r="L128" s="1702">
        <f t="shared" si="19"/>
        <v>0</v>
      </c>
      <c r="M128" s="1317"/>
      <c r="N128" s="3385">
        <f>L128*M128</f>
        <v>0</v>
      </c>
      <c r="O128" s="1348"/>
      <c r="P128" s="1348"/>
      <c r="Q128" s="3388"/>
    </row>
    <row r="129" spans="1:17">
      <c r="A129" s="1314" t="s">
        <v>3203</v>
      </c>
      <c r="B129" s="1314" t="s">
        <v>3016</v>
      </c>
      <c r="C129" s="1314" t="s">
        <v>2988</v>
      </c>
      <c r="D129" s="1314" t="s">
        <v>5345</v>
      </c>
      <c r="E129" s="1348"/>
      <c r="F129" s="1348"/>
      <c r="G129" s="1348"/>
      <c r="H129" s="1348"/>
      <c r="I129" s="1348"/>
      <c r="J129" s="1348"/>
      <c r="K129" s="1317"/>
      <c r="L129" s="1702">
        <f t="shared" si="19"/>
        <v>0</v>
      </c>
      <c r="M129" s="1317"/>
      <c r="N129" s="3385">
        <f>L129*M129</f>
        <v>0</v>
      </c>
      <c r="O129" s="1348"/>
      <c r="P129" s="1348"/>
      <c r="Q129" s="3388"/>
    </row>
    <row r="130" spans="1:17">
      <c r="A130" s="1519" t="s">
        <v>3204</v>
      </c>
      <c r="B130" s="1519" t="s">
        <v>3017</v>
      </c>
      <c r="C130" s="1519" t="s">
        <v>3018</v>
      </c>
      <c r="D130" s="1519"/>
      <c r="E130" s="3401"/>
      <c r="F130" s="3401"/>
      <c r="G130" s="3401"/>
      <c r="H130" s="3401"/>
      <c r="I130" s="3401"/>
      <c r="J130" s="3401"/>
      <c r="K130" s="3401"/>
      <c r="L130" s="1519"/>
      <c r="M130" s="3401"/>
      <c r="N130" s="1678">
        <f>SUM(N131:N133)</f>
        <v>181.92860000000002</v>
      </c>
      <c r="O130" s="3401"/>
      <c r="P130" s="3401"/>
      <c r="Q130" s="1678">
        <f>SUM(Q131:Q133)</f>
        <v>0</v>
      </c>
    </row>
    <row r="131" spans="1:17" ht="82.5">
      <c r="A131" s="1314" t="s">
        <v>3205</v>
      </c>
      <c r="B131" s="1314" t="s">
        <v>3019</v>
      </c>
      <c r="C131" s="1314" t="s">
        <v>2985</v>
      </c>
      <c r="D131" s="1314" t="s">
        <v>5345</v>
      </c>
      <c r="E131" s="1348"/>
      <c r="F131" s="1348"/>
      <c r="G131" s="1348"/>
      <c r="H131" s="1348"/>
      <c r="I131" s="1348"/>
      <c r="J131" s="3397" t="s">
        <v>6656</v>
      </c>
      <c r="K131" s="3438">
        <v>129949</v>
      </c>
      <c r="L131" s="1702">
        <f t="shared" ref="L131:L133" si="20">K131/100000</f>
        <v>1.29949</v>
      </c>
      <c r="M131" s="1554">
        <v>140</v>
      </c>
      <c r="N131" s="3385">
        <f>L131*M131</f>
        <v>181.92860000000002</v>
      </c>
      <c r="O131" s="3397" t="s">
        <v>6657</v>
      </c>
      <c r="P131" s="1348"/>
      <c r="Q131" s="3388"/>
    </row>
    <row r="132" spans="1:17">
      <c r="A132" s="1314" t="s">
        <v>3206</v>
      </c>
      <c r="B132" s="1314" t="s">
        <v>3020</v>
      </c>
      <c r="C132" s="1314" t="s">
        <v>2987</v>
      </c>
      <c r="D132" s="1314" t="s">
        <v>5345</v>
      </c>
      <c r="E132" s="1348"/>
      <c r="F132" s="1348"/>
      <c r="G132" s="1348"/>
      <c r="H132" s="1348"/>
      <c r="I132" s="1348"/>
      <c r="J132" s="1348"/>
      <c r="K132" s="1317"/>
      <c r="L132" s="1702">
        <f t="shared" si="20"/>
        <v>0</v>
      </c>
      <c r="M132" s="1317"/>
      <c r="N132" s="3385">
        <f>L132*M132</f>
        <v>0</v>
      </c>
      <c r="O132" s="1348"/>
      <c r="P132" s="1348"/>
      <c r="Q132" s="3388"/>
    </row>
    <row r="133" spans="1:17">
      <c r="A133" s="1314" t="s">
        <v>3207</v>
      </c>
      <c r="B133" s="1314" t="s">
        <v>3021</v>
      </c>
      <c r="C133" s="1314" t="s">
        <v>2988</v>
      </c>
      <c r="D133" s="1314" t="s">
        <v>5345</v>
      </c>
      <c r="E133" s="1348"/>
      <c r="F133" s="1348"/>
      <c r="G133" s="1348"/>
      <c r="H133" s="1348"/>
      <c r="I133" s="1348"/>
      <c r="J133" s="1348"/>
      <c r="K133" s="1317"/>
      <c r="L133" s="1702">
        <f t="shared" si="20"/>
        <v>0</v>
      </c>
      <c r="M133" s="1317"/>
      <c r="N133" s="3385">
        <f>L133*M133</f>
        <v>0</v>
      </c>
      <c r="O133" s="1348"/>
      <c r="P133" s="1348"/>
      <c r="Q133" s="3388"/>
    </row>
    <row r="134" spans="1:17">
      <c r="A134" s="1519" t="s">
        <v>3208</v>
      </c>
      <c r="B134" s="1519" t="s">
        <v>3022</v>
      </c>
      <c r="C134" s="1519" t="s">
        <v>552</v>
      </c>
      <c r="D134" s="1519"/>
      <c r="E134" s="3401"/>
      <c r="F134" s="3401"/>
      <c r="G134" s="3401"/>
      <c r="H134" s="3401"/>
      <c r="I134" s="3401"/>
      <c r="J134" s="3401"/>
      <c r="K134" s="3401"/>
      <c r="L134" s="1519"/>
      <c r="M134" s="3401"/>
      <c r="N134" s="1678">
        <f>SUM(N135:N137)</f>
        <v>173.88</v>
      </c>
      <c r="O134" s="3401"/>
      <c r="P134" s="3401"/>
      <c r="Q134" s="1678">
        <f>SUM(Q135:Q137)</f>
        <v>0</v>
      </c>
    </row>
    <row r="135" spans="1:17" ht="82.5">
      <c r="A135" s="1314" t="s">
        <v>3209</v>
      </c>
      <c r="B135" s="1314" t="s">
        <v>3023</v>
      </c>
      <c r="C135" s="1314" t="s">
        <v>2985</v>
      </c>
      <c r="D135" s="1314" t="s">
        <v>5345</v>
      </c>
      <c r="E135" s="1348"/>
      <c r="F135" s="1348"/>
      <c r="G135" s="1348"/>
      <c r="H135" s="1348"/>
      <c r="I135" s="1348"/>
      <c r="J135" s="3397" t="s">
        <v>6658</v>
      </c>
      <c r="K135" s="1554">
        <v>124200</v>
      </c>
      <c r="L135" s="1702">
        <f t="shared" ref="L135:L137" si="21">K135/100000</f>
        <v>1.242</v>
      </c>
      <c r="M135" s="1554">
        <v>140</v>
      </c>
      <c r="N135" s="3385">
        <f>L135*M135</f>
        <v>173.88</v>
      </c>
      <c r="O135" s="3397" t="s">
        <v>6659</v>
      </c>
      <c r="P135" s="1348"/>
      <c r="Q135" s="3388"/>
    </row>
    <row r="136" spans="1:17">
      <c r="A136" s="1314" t="s">
        <v>3210</v>
      </c>
      <c r="B136" s="1314" t="s">
        <v>3024</v>
      </c>
      <c r="C136" s="1314" t="s">
        <v>2987</v>
      </c>
      <c r="D136" s="1314" t="s">
        <v>5345</v>
      </c>
      <c r="E136" s="1348"/>
      <c r="F136" s="1348"/>
      <c r="G136" s="1348"/>
      <c r="H136" s="1348"/>
      <c r="I136" s="1348"/>
      <c r="J136" s="1348"/>
      <c r="K136" s="1317"/>
      <c r="L136" s="1702">
        <f t="shared" si="21"/>
        <v>0</v>
      </c>
      <c r="M136" s="1317"/>
      <c r="N136" s="3385">
        <f>L136*M136</f>
        <v>0</v>
      </c>
      <c r="O136" s="1348"/>
      <c r="P136" s="1348"/>
      <c r="Q136" s="3388"/>
    </row>
    <row r="137" spans="1:17">
      <c r="A137" s="1314" t="s">
        <v>3211</v>
      </c>
      <c r="B137" s="1314" t="s">
        <v>3025</v>
      </c>
      <c r="C137" s="1314" t="s">
        <v>2988</v>
      </c>
      <c r="D137" s="1314" t="s">
        <v>5345</v>
      </c>
      <c r="E137" s="1348"/>
      <c r="F137" s="1348"/>
      <c r="G137" s="1348"/>
      <c r="H137" s="1348"/>
      <c r="I137" s="1348"/>
      <c r="J137" s="1348"/>
      <c r="K137" s="1317"/>
      <c r="L137" s="1702">
        <f t="shared" si="21"/>
        <v>0</v>
      </c>
      <c r="M137" s="1317"/>
      <c r="N137" s="3385">
        <f>L137*M137</f>
        <v>0</v>
      </c>
      <c r="O137" s="1348"/>
      <c r="P137" s="1348"/>
      <c r="Q137" s="3388"/>
    </row>
    <row r="138" spans="1:17">
      <c r="A138" s="1519" t="s">
        <v>3212</v>
      </c>
      <c r="B138" s="1519" t="s">
        <v>3026</v>
      </c>
      <c r="C138" s="1519" t="s">
        <v>3027</v>
      </c>
      <c r="D138" s="1519"/>
      <c r="E138" s="3401"/>
      <c r="F138" s="3401"/>
      <c r="G138" s="3401"/>
      <c r="H138" s="3401"/>
      <c r="I138" s="3401"/>
      <c r="J138" s="3401"/>
      <c r="K138" s="3401"/>
      <c r="L138" s="1519"/>
      <c r="M138" s="3401"/>
      <c r="N138" s="1678">
        <f>SUM(N139:N141)</f>
        <v>41.85</v>
      </c>
      <c r="O138" s="3401"/>
      <c r="P138" s="3401"/>
      <c r="Q138" s="1678">
        <f>SUM(Q139:Q141)</f>
        <v>0</v>
      </c>
    </row>
    <row r="139" spans="1:17">
      <c r="A139" s="1314" t="s">
        <v>3213</v>
      </c>
      <c r="B139" s="1314" t="s">
        <v>3028</v>
      </c>
      <c r="C139" s="1314" t="s">
        <v>3029</v>
      </c>
      <c r="D139" s="1314" t="s">
        <v>5345</v>
      </c>
      <c r="E139" s="1348"/>
      <c r="F139" s="1348"/>
      <c r="G139" s="1348"/>
      <c r="H139" s="1348"/>
      <c r="I139" s="1348"/>
      <c r="J139" s="1348"/>
      <c r="K139" s="1317"/>
      <c r="L139" s="1702">
        <f t="shared" ref="L139:L141" si="22">K139/100000</f>
        <v>0</v>
      </c>
      <c r="M139" s="1317"/>
      <c r="N139" s="3385">
        <f>L139*M139</f>
        <v>0</v>
      </c>
      <c r="O139" s="1348"/>
      <c r="P139" s="1348"/>
      <c r="Q139" s="3388"/>
    </row>
    <row r="140" spans="1:17">
      <c r="A140" s="1314" t="s">
        <v>3214</v>
      </c>
      <c r="B140" s="1314" t="s">
        <v>3030</v>
      </c>
      <c r="C140" s="1314" t="s">
        <v>639</v>
      </c>
      <c r="D140" s="1314" t="s">
        <v>5345</v>
      </c>
      <c r="E140" s="1348"/>
      <c r="F140" s="1348"/>
      <c r="G140" s="1348"/>
      <c r="H140" s="1348"/>
      <c r="I140" s="1348"/>
      <c r="J140" s="1348"/>
      <c r="K140" s="1317"/>
      <c r="L140" s="1702">
        <f t="shared" si="22"/>
        <v>0</v>
      </c>
      <c r="M140" s="1317"/>
      <c r="N140" s="3385">
        <f>L140*M140</f>
        <v>0</v>
      </c>
      <c r="O140" s="1348"/>
      <c r="P140" s="1348"/>
      <c r="Q140" s="3388"/>
    </row>
    <row r="141" spans="1:17">
      <c r="A141" s="1314" t="s">
        <v>3215</v>
      </c>
      <c r="B141" s="1314" t="s">
        <v>3031</v>
      </c>
      <c r="C141" s="1314" t="s">
        <v>1310</v>
      </c>
      <c r="D141" s="1314" t="s">
        <v>5345</v>
      </c>
      <c r="E141" s="1348"/>
      <c r="F141" s="1348"/>
      <c r="G141" s="1348"/>
      <c r="H141" s="1348"/>
      <c r="I141" s="1348"/>
      <c r="J141" s="1348" t="s">
        <v>6660</v>
      </c>
      <c r="K141" s="1317">
        <v>135000</v>
      </c>
      <c r="L141" s="1702">
        <f t="shared" si="22"/>
        <v>1.35</v>
      </c>
      <c r="M141" s="1317">
        <v>31</v>
      </c>
      <c r="N141" s="3385">
        <f>L141*M141</f>
        <v>41.85</v>
      </c>
      <c r="O141" s="1348"/>
      <c r="P141" s="1348"/>
      <c r="Q141" s="3388"/>
    </row>
    <row r="142" spans="1:17">
      <c r="A142" s="1519" t="s">
        <v>3216</v>
      </c>
      <c r="B142" s="1519" t="s">
        <v>3032</v>
      </c>
      <c r="C142" s="1519" t="s">
        <v>3033</v>
      </c>
      <c r="D142" s="1519"/>
      <c r="E142" s="3401"/>
      <c r="F142" s="3401"/>
      <c r="G142" s="3401"/>
      <c r="H142" s="3401"/>
      <c r="I142" s="3401"/>
      <c r="J142" s="3401"/>
      <c r="K142" s="3401"/>
      <c r="L142" s="1519"/>
      <c r="M142" s="3401"/>
      <c r="N142" s="1678">
        <f>SUM(N143:N149)</f>
        <v>0</v>
      </c>
      <c r="O142" s="3401"/>
      <c r="P142" s="3401"/>
      <c r="Q142" s="1678">
        <f>SUM(Q143:Q149)</f>
        <v>0</v>
      </c>
    </row>
    <row r="143" spans="1:17" hidden="1">
      <c r="A143" s="1314" t="s">
        <v>3217</v>
      </c>
      <c r="B143" s="1314" t="s">
        <v>3034</v>
      </c>
      <c r="C143" s="1314" t="s">
        <v>3035</v>
      </c>
      <c r="D143" s="1314" t="s">
        <v>5345</v>
      </c>
      <c r="E143" s="1348"/>
      <c r="F143" s="1348"/>
      <c r="G143" s="1348"/>
      <c r="H143" s="1348"/>
      <c r="I143" s="1348"/>
      <c r="J143" s="1348"/>
      <c r="K143" s="1317"/>
      <c r="L143" s="1702">
        <f t="shared" ref="L143:L149" si="23">K143/100000</f>
        <v>0</v>
      </c>
      <c r="M143" s="1317"/>
      <c r="N143" s="3385">
        <f t="shared" ref="N143:N149" si="24">L143*M143</f>
        <v>0</v>
      </c>
      <c r="O143" s="1348"/>
      <c r="P143" s="1348"/>
      <c r="Q143" s="3388"/>
    </row>
    <row r="144" spans="1:17" hidden="1">
      <c r="A144" s="1314" t="s">
        <v>3218</v>
      </c>
      <c r="B144" s="1314" t="s">
        <v>3036</v>
      </c>
      <c r="C144" s="1314" t="s">
        <v>556</v>
      </c>
      <c r="D144" s="1314" t="s">
        <v>5345</v>
      </c>
      <c r="E144" s="1348"/>
      <c r="F144" s="1348"/>
      <c r="G144" s="1348"/>
      <c r="H144" s="1348"/>
      <c r="I144" s="1348"/>
      <c r="J144" s="1348"/>
      <c r="K144" s="1317"/>
      <c r="L144" s="1702">
        <f t="shared" si="23"/>
        <v>0</v>
      </c>
      <c r="M144" s="1317"/>
      <c r="N144" s="3385">
        <f t="shared" si="24"/>
        <v>0</v>
      </c>
      <c r="O144" s="1348"/>
      <c r="P144" s="1348"/>
      <c r="Q144" s="3388"/>
    </row>
    <row r="145" spans="1:17" hidden="1">
      <c r="A145" s="1314" t="s">
        <v>3219</v>
      </c>
      <c r="B145" s="1314" t="s">
        <v>3037</v>
      </c>
      <c r="C145" s="1314" t="s">
        <v>3038</v>
      </c>
      <c r="D145" s="1314" t="s">
        <v>5345</v>
      </c>
      <c r="E145" s="1348"/>
      <c r="F145" s="1348"/>
      <c r="G145" s="1348"/>
      <c r="H145" s="1348"/>
      <c r="I145" s="1348"/>
      <c r="J145" s="1348"/>
      <c r="K145" s="1317"/>
      <c r="L145" s="1702">
        <f t="shared" si="23"/>
        <v>0</v>
      </c>
      <c r="M145" s="1317"/>
      <c r="N145" s="3385">
        <f t="shared" si="24"/>
        <v>0</v>
      </c>
      <c r="O145" s="1348"/>
      <c r="P145" s="1348"/>
      <c r="Q145" s="3388"/>
    </row>
    <row r="146" spans="1:17" hidden="1">
      <c r="A146" s="1314" t="s">
        <v>3220</v>
      </c>
      <c r="B146" s="1314" t="s">
        <v>3039</v>
      </c>
      <c r="C146" s="1314" t="s">
        <v>3040</v>
      </c>
      <c r="D146" s="1314" t="s">
        <v>5345</v>
      </c>
      <c r="E146" s="1348"/>
      <c r="F146" s="1348"/>
      <c r="G146" s="1348"/>
      <c r="H146" s="1348"/>
      <c r="I146" s="1348"/>
      <c r="J146" s="1348"/>
      <c r="K146" s="1317"/>
      <c r="L146" s="1702">
        <f t="shared" si="23"/>
        <v>0</v>
      </c>
      <c r="M146" s="1317"/>
      <c r="N146" s="3385">
        <f t="shared" si="24"/>
        <v>0</v>
      </c>
      <c r="O146" s="1348"/>
      <c r="P146" s="1348"/>
      <c r="Q146" s="3388"/>
    </row>
    <row r="147" spans="1:17" hidden="1">
      <c r="A147" s="1314" t="s">
        <v>3221</v>
      </c>
      <c r="B147" s="1314" t="s">
        <v>3041</v>
      </c>
      <c r="C147" s="1314" t="s">
        <v>3042</v>
      </c>
      <c r="D147" s="1314" t="s">
        <v>5345</v>
      </c>
      <c r="E147" s="1348"/>
      <c r="F147" s="1348"/>
      <c r="G147" s="1348"/>
      <c r="H147" s="1348"/>
      <c r="I147" s="1348"/>
      <c r="J147" s="1348"/>
      <c r="K147" s="1317"/>
      <c r="L147" s="1702">
        <f t="shared" si="23"/>
        <v>0</v>
      </c>
      <c r="M147" s="1317"/>
      <c r="N147" s="3385">
        <f t="shared" si="24"/>
        <v>0</v>
      </c>
      <c r="O147" s="1348"/>
      <c r="P147" s="1348"/>
      <c r="Q147" s="3388"/>
    </row>
    <row r="148" spans="1:17" hidden="1">
      <c r="A148" s="1314" t="s">
        <v>3222</v>
      </c>
      <c r="B148" s="1314" t="s">
        <v>3043</v>
      </c>
      <c r="C148" s="1314" t="s">
        <v>3044</v>
      </c>
      <c r="D148" s="1314" t="s">
        <v>5345</v>
      </c>
      <c r="E148" s="1348"/>
      <c r="F148" s="1348"/>
      <c r="G148" s="1348"/>
      <c r="H148" s="1348"/>
      <c r="I148" s="1348"/>
      <c r="J148" s="1348"/>
      <c r="K148" s="1317"/>
      <c r="L148" s="1702">
        <f t="shared" si="23"/>
        <v>0</v>
      </c>
      <c r="M148" s="1317"/>
      <c r="N148" s="3385">
        <f t="shared" si="24"/>
        <v>0</v>
      </c>
      <c r="O148" s="1348"/>
      <c r="P148" s="1348"/>
      <c r="Q148" s="3388"/>
    </row>
    <row r="149" spans="1:17" hidden="1">
      <c r="A149" s="1314" t="s">
        <v>3223</v>
      </c>
      <c r="B149" s="1314" t="s">
        <v>3045</v>
      </c>
      <c r="C149" s="1314" t="s">
        <v>478</v>
      </c>
      <c r="D149" s="1314" t="s">
        <v>5345</v>
      </c>
      <c r="E149" s="1348"/>
      <c r="F149" s="1348"/>
      <c r="G149" s="1348"/>
      <c r="H149" s="1348"/>
      <c r="I149" s="1348"/>
      <c r="J149" s="1348"/>
      <c r="K149" s="1317"/>
      <c r="L149" s="1702">
        <f t="shared" si="23"/>
        <v>0</v>
      </c>
      <c r="M149" s="1317"/>
      <c r="N149" s="3385">
        <f t="shared" si="24"/>
        <v>0</v>
      </c>
      <c r="O149" s="1348"/>
      <c r="P149" s="1348"/>
      <c r="Q149" s="3388"/>
    </row>
    <row r="150" spans="1:17">
      <c r="A150" s="1519" t="s">
        <v>3224</v>
      </c>
      <c r="B150" s="1519"/>
      <c r="C150" s="1519" t="s">
        <v>505</v>
      </c>
      <c r="D150" s="1519"/>
      <c r="E150" s="3401"/>
      <c r="F150" s="3401"/>
      <c r="G150" s="3401"/>
      <c r="H150" s="3401"/>
      <c r="I150" s="3401"/>
      <c r="J150" s="3401"/>
      <c r="K150" s="3401"/>
      <c r="L150" s="1519"/>
      <c r="M150" s="3401"/>
      <c r="N150" s="1678">
        <f>N151</f>
        <v>0</v>
      </c>
      <c r="O150" s="3401"/>
      <c r="P150" s="3401"/>
      <c r="Q150" s="1678">
        <f>Q151</f>
        <v>0</v>
      </c>
    </row>
    <row r="151" spans="1:17">
      <c r="A151" s="1314" t="s">
        <v>3225</v>
      </c>
      <c r="B151" s="1314" t="s">
        <v>3045</v>
      </c>
      <c r="C151" s="1314" t="s">
        <v>3046</v>
      </c>
      <c r="D151" s="1314" t="s">
        <v>5345</v>
      </c>
      <c r="E151" s="1348"/>
      <c r="F151" s="1348"/>
      <c r="G151" s="1348"/>
      <c r="H151" s="1348"/>
      <c r="I151" s="1348"/>
      <c r="J151" s="1348"/>
      <c r="K151" s="1317"/>
      <c r="L151" s="1702">
        <f t="shared" ref="L151" si="25">K151/100000</f>
        <v>0</v>
      </c>
      <c r="M151" s="1317"/>
      <c r="N151" s="3385">
        <f>L151*M151</f>
        <v>0</v>
      </c>
      <c r="O151" s="1348"/>
      <c r="P151" s="1348"/>
      <c r="Q151" s="3388"/>
    </row>
    <row r="152" spans="1:17">
      <c r="A152" s="1519" t="s">
        <v>3226</v>
      </c>
      <c r="B152" s="1519"/>
      <c r="C152" s="1519" t="s">
        <v>524</v>
      </c>
      <c r="D152" s="1519"/>
      <c r="E152" s="3401"/>
      <c r="F152" s="3401"/>
      <c r="G152" s="3401"/>
      <c r="H152" s="3401"/>
      <c r="I152" s="3401"/>
      <c r="J152" s="3401"/>
      <c r="K152" s="3401"/>
      <c r="L152" s="1519"/>
      <c r="M152" s="3401"/>
      <c r="N152" s="1678">
        <f>N153+N156+N159</f>
        <v>834.59992000000011</v>
      </c>
      <c r="O152" s="3401"/>
      <c r="P152" s="3401"/>
      <c r="Q152" s="1678">
        <f>Q153+Q156+Q159</f>
        <v>0</v>
      </c>
    </row>
    <row r="153" spans="1:17" s="3419" customFormat="1">
      <c r="A153" s="3426" t="s">
        <v>3227</v>
      </c>
      <c r="B153" s="3439" t="s">
        <v>3047</v>
      </c>
      <c r="C153" s="3439" t="s">
        <v>3048</v>
      </c>
      <c r="D153" s="3439"/>
      <c r="E153" s="3440"/>
      <c r="F153" s="3440"/>
      <c r="G153" s="3440"/>
      <c r="H153" s="3440"/>
      <c r="I153" s="3440"/>
      <c r="J153" s="3440"/>
      <c r="K153" s="3440"/>
      <c r="L153" s="1702">
        <f t="shared" ref="L153:L161" si="26">K153/100000</f>
        <v>0</v>
      </c>
      <c r="M153" s="3440"/>
      <c r="N153" s="3428">
        <f>SUM(N154:N155)</f>
        <v>834.59992000000011</v>
      </c>
      <c r="O153" s="3441"/>
      <c r="P153" s="3441"/>
      <c r="Q153" s="3428">
        <f>SUM(Q154:Q155)</f>
        <v>0</v>
      </c>
    </row>
    <row r="154" spans="1:17" ht="115.5">
      <c r="A154" s="1314" t="s">
        <v>3228</v>
      </c>
      <c r="B154" s="1314" t="s">
        <v>3049</v>
      </c>
      <c r="C154" s="1314" t="s">
        <v>3050</v>
      </c>
      <c r="D154" s="1314" t="s">
        <v>5345</v>
      </c>
      <c r="E154" s="1348"/>
      <c r="F154" s="1348"/>
      <c r="G154" s="1348"/>
      <c r="H154" s="1348"/>
      <c r="I154" s="1348"/>
      <c r="J154" s="3397" t="s">
        <v>6661</v>
      </c>
      <c r="K154" s="1554">
        <v>308571.40000000002</v>
      </c>
      <c r="L154" s="1702">
        <f t="shared" si="26"/>
        <v>3.0857140000000003</v>
      </c>
      <c r="M154" s="1554">
        <v>140</v>
      </c>
      <c r="N154" s="3385">
        <f t="shared" ref="N154:N161" si="27">L154*M154</f>
        <v>431.99996000000004</v>
      </c>
      <c r="O154" s="3397" t="s">
        <v>6663</v>
      </c>
      <c r="P154" s="1348"/>
      <c r="Q154" s="3388"/>
    </row>
    <row r="155" spans="1:17" ht="99">
      <c r="A155" s="1314" t="s">
        <v>3229</v>
      </c>
      <c r="B155" s="1314" t="s">
        <v>3051</v>
      </c>
      <c r="C155" s="1314" t="s">
        <v>3052</v>
      </c>
      <c r="D155" s="1314" t="s">
        <v>5345</v>
      </c>
      <c r="E155" s="1348"/>
      <c r="F155" s="1348"/>
      <c r="G155" s="1348"/>
      <c r="H155" s="1348"/>
      <c r="I155" s="1348"/>
      <c r="J155" s="1348" t="s">
        <v>6662</v>
      </c>
      <c r="K155" s="3442">
        <v>287571.40000000002</v>
      </c>
      <c r="L155" s="1702">
        <f t="shared" si="26"/>
        <v>2.8757140000000003</v>
      </c>
      <c r="M155" s="1317">
        <v>140</v>
      </c>
      <c r="N155" s="3385">
        <f t="shared" si="27"/>
        <v>402.59996000000007</v>
      </c>
      <c r="O155" s="3397" t="s">
        <v>6664</v>
      </c>
      <c r="P155" s="1348"/>
      <c r="Q155" s="3388"/>
    </row>
    <row r="156" spans="1:17" s="3419" customFormat="1">
      <c r="A156" s="3426" t="s">
        <v>3230</v>
      </c>
      <c r="B156" s="3439" t="s">
        <v>3053</v>
      </c>
      <c r="C156" s="3439" t="s">
        <v>3054</v>
      </c>
      <c r="D156" s="3439"/>
      <c r="E156" s="3440"/>
      <c r="F156" s="3440"/>
      <c r="G156" s="3440"/>
      <c r="H156" s="3440"/>
      <c r="I156" s="3440"/>
      <c r="J156" s="3440"/>
      <c r="K156" s="3440"/>
      <c r="L156" s="1702">
        <f t="shared" si="26"/>
        <v>0</v>
      </c>
      <c r="M156" s="3440"/>
      <c r="N156" s="3428">
        <f>SUM(N157:N158)</f>
        <v>0</v>
      </c>
      <c r="O156" s="3441"/>
      <c r="P156" s="3441"/>
      <c r="Q156" s="3428">
        <f>SUM(Q157:Q158)</f>
        <v>0</v>
      </c>
    </row>
    <row r="157" spans="1:17">
      <c r="A157" s="1314" t="s">
        <v>3231</v>
      </c>
      <c r="B157" s="1314" t="s">
        <v>3055</v>
      </c>
      <c r="C157" s="1314" t="s">
        <v>3050</v>
      </c>
      <c r="D157" s="1314" t="s">
        <v>5345</v>
      </c>
      <c r="E157" s="1348"/>
      <c r="F157" s="1348"/>
      <c r="G157" s="1348"/>
      <c r="H157" s="1348"/>
      <c r="I157" s="1348"/>
      <c r="J157" s="1348"/>
      <c r="K157" s="1317"/>
      <c r="L157" s="1702">
        <f t="shared" si="26"/>
        <v>0</v>
      </c>
      <c r="M157" s="1317"/>
      <c r="N157" s="3385">
        <f t="shared" si="27"/>
        <v>0</v>
      </c>
      <c r="O157" s="1348"/>
      <c r="P157" s="1348"/>
      <c r="Q157" s="3388"/>
    </row>
    <row r="158" spans="1:17">
      <c r="A158" s="1314" t="s">
        <v>3232</v>
      </c>
      <c r="B158" s="1314" t="s">
        <v>3056</v>
      </c>
      <c r="C158" s="1314" t="s">
        <v>3052</v>
      </c>
      <c r="D158" s="1314" t="s">
        <v>5345</v>
      </c>
      <c r="E158" s="1348"/>
      <c r="F158" s="1348"/>
      <c r="G158" s="1348"/>
      <c r="H158" s="1348"/>
      <c r="I158" s="1348"/>
      <c r="J158" s="1348"/>
      <c r="K158" s="1317"/>
      <c r="L158" s="1702">
        <f t="shared" si="26"/>
        <v>0</v>
      </c>
      <c r="M158" s="1317"/>
      <c r="N158" s="3385">
        <f t="shared" si="27"/>
        <v>0</v>
      </c>
      <c r="O158" s="1348"/>
      <c r="P158" s="1348"/>
      <c r="Q158" s="3388"/>
    </row>
    <row r="159" spans="1:17" s="3419" customFormat="1">
      <c r="A159" s="3426" t="s">
        <v>3233</v>
      </c>
      <c r="B159" s="3439" t="s">
        <v>3057</v>
      </c>
      <c r="C159" s="3439" t="s">
        <v>3058</v>
      </c>
      <c r="D159" s="3439"/>
      <c r="E159" s="3440"/>
      <c r="F159" s="3440"/>
      <c r="G159" s="3440"/>
      <c r="H159" s="3440"/>
      <c r="I159" s="3440"/>
      <c r="J159" s="3440"/>
      <c r="K159" s="3440"/>
      <c r="L159" s="1702">
        <f t="shared" si="26"/>
        <v>0</v>
      </c>
      <c r="M159" s="3440"/>
      <c r="N159" s="3428">
        <f>SUM(N160:N161)</f>
        <v>0</v>
      </c>
      <c r="O159" s="3441"/>
      <c r="P159" s="3441"/>
      <c r="Q159" s="3428">
        <f>SUM(Q160:Q161)</f>
        <v>0</v>
      </c>
    </row>
    <row r="160" spans="1:17">
      <c r="A160" s="1314" t="s">
        <v>3234</v>
      </c>
      <c r="B160" s="1314" t="s">
        <v>3059</v>
      </c>
      <c r="C160" s="1314" t="s">
        <v>3050</v>
      </c>
      <c r="D160" s="1314" t="s">
        <v>5345</v>
      </c>
      <c r="E160" s="1348"/>
      <c r="F160" s="1348"/>
      <c r="G160" s="1348"/>
      <c r="H160" s="1348"/>
      <c r="I160" s="1348"/>
      <c r="J160" s="1348"/>
      <c r="K160" s="1317"/>
      <c r="L160" s="1702">
        <f t="shared" si="26"/>
        <v>0</v>
      </c>
      <c r="M160" s="1317"/>
      <c r="N160" s="3385">
        <f t="shared" si="27"/>
        <v>0</v>
      </c>
      <c r="O160" s="1348"/>
      <c r="P160" s="1348"/>
      <c r="Q160" s="3388"/>
    </row>
    <row r="161" spans="1:17">
      <c r="A161" s="1314" t="s">
        <v>3235</v>
      </c>
      <c r="B161" s="1314" t="s">
        <v>3059</v>
      </c>
      <c r="C161" s="1314" t="s">
        <v>3052</v>
      </c>
      <c r="D161" s="1314" t="s">
        <v>5345</v>
      </c>
      <c r="E161" s="1348"/>
      <c r="F161" s="1348"/>
      <c r="G161" s="1348"/>
      <c r="H161" s="1348"/>
      <c r="I161" s="1348"/>
      <c r="J161" s="1348"/>
      <c r="K161" s="1317"/>
      <c r="L161" s="1702">
        <f t="shared" si="26"/>
        <v>0</v>
      </c>
      <c r="M161" s="1317"/>
      <c r="N161" s="3385">
        <f t="shared" si="27"/>
        <v>0</v>
      </c>
      <c r="O161" s="1348"/>
      <c r="P161" s="1348"/>
      <c r="Q161" s="3388"/>
    </row>
    <row r="162" spans="1:17">
      <c r="A162" s="1519" t="s">
        <v>3236</v>
      </c>
      <c r="B162" s="1519"/>
      <c r="C162" s="1519" t="s">
        <v>673</v>
      </c>
      <c r="D162" s="1519"/>
      <c r="E162" s="3401"/>
      <c r="F162" s="3401"/>
      <c r="G162" s="3401"/>
      <c r="H162" s="3401"/>
      <c r="I162" s="3401"/>
      <c r="J162" s="3401"/>
      <c r="K162" s="3401"/>
      <c r="L162" s="1519"/>
      <c r="M162" s="3401"/>
      <c r="N162" s="1678">
        <f>N163</f>
        <v>55.5</v>
      </c>
      <c r="O162" s="3401"/>
      <c r="P162" s="3401"/>
      <c r="Q162" s="1678">
        <f>Q163</f>
        <v>0</v>
      </c>
    </row>
    <row r="163" spans="1:17" s="3419" customFormat="1">
      <c r="A163" s="3426" t="s">
        <v>3237</v>
      </c>
      <c r="B163" s="3439" t="s">
        <v>3060</v>
      </c>
      <c r="C163" s="3439" t="s">
        <v>3061</v>
      </c>
      <c r="D163" s="3439"/>
      <c r="E163" s="3440"/>
      <c r="F163" s="3440"/>
      <c r="G163" s="3440"/>
      <c r="H163" s="3440"/>
      <c r="I163" s="3440"/>
      <c r="J163" s="3440"/>
      <c r="K163" s="3440"/>
      <c r="L163" s="1702">
        <f t="shared" ref="L163:L165" si="28">K163/100000</f>
        <v>0</v>
      </c>
      <c r="M163" s="3440"/>
      <c r="N163" s="3428">
        <f>SUM(N164:N165)</f>
        <v>55.5</v>
      </c>
      <c r="O163" s="3441"/>
      <c r="P163" s="3441"/>
      <c r="Q163" s="3428">
        <f>SUM(Q164:Q165)</f>
        <v>0</v>
      </c>
    </row>
    <row r="164" spans="1:17" ht="33">
      <c r="A164" s="1314" t="s">
        <v>3238</v>
      </c>
      <c r="B164" s="1314" t="s">
        <v>3062</v>
      </c>
      <c r="C164" s="1314" t="s">
        <v>2985</v>
      </c>
      <c r="D164" s="1314" t="s">
        <v>5345</v>
      </c>
      <c r="E164" s="1348"/>
      <c r="F164" s="1348"/>
      <c r="G164" s="1348"/>
      <c r="H164" s="1348"/>
      <c r="I164" s="1348"/>
      <c r="J164" s="1348" t="s">
        <v>6665</v>
      </c>
      <c r="K164" s="1317">
        <v>150000</v>
      </c>
      <c r="L164" s="1702">
        <f t="shared" si="28"/>
        <v>1.5</v>
      </c>
      <c r="M164" s="1317">
        <v>37</v>
      </c>
      <c r="N164" s="3385">
        <f>L164*M164</f>
        <v>55.5</v>
      </c>
      <c r="O164" s="3397" t="s">
        <v>6666</v>
      </c>
      <c r="P164" s="1348"/>
      <c r="Q164" s="3388"/>
    </row>
    <row r="165" spans="1:17">
      <c r="A165" s="1314" t="s">
        <v>3239</v>
      </c>
      <c r="B165" s="1314" t="s">
        <v>3030</v>
      </c>
      <c r="C165" s="1314" t="s">
        <v>2987</v>
      </c>
      <c r="D165" s="1314" t="s">
        <v>5345</v>
      </c>
      <c r="E165" s="1348"/>
      <c r="F165" s="1348"/>
      <c r="G165" s="1348"/>
      <c r="H165" s="1348"/>
      <c r="I165" s="1348"/>
      <c r="J165" s="1348"/>
      <c r="K165" s="1317"/>
      <c r="L165" s="1702">
        <f t="shared" si="28"/>
        <v>0</v>
      </c>
      <c r="M165" s="1317"/>
      <c r="N165" s="3385">
        <f>L165*M165</f>
        <v>0</v>
      </c>
      <c r="O165" s="1348"/>
      <c r="P165" s="1348"/>
      <c r="Q165" s="3388"/>
    </row>
    <row r="166" spans="1:17">
      <c r="A166" s="1519" t="s">
        <v>3240</v>
      </c>
      <c r="B166" s="1519"/>
      <c r="C166" s="1519" t="s">
        <v>2432</v>
      </c>
      <c r="D166" s="1519"/>
      <c r="E166" s="3401"/>
      <c r="F166" s="3401"/>
      <c r="G166" s="3401"/>
      <c r="H166" s="3401"/>
      <c r="I166" s="3401"/>
      <c r="J166" s="3401"/>
      <c r="K166" s="3401"/>
      <c r="L166" s="1519"/>
      <c r="M166" s="3401"/>
      <c r="N166" s="1678">
        <f>SUM(N167:N168)</f>
        <v>532.58799999999997</v>
      </c>
      <c r="O166" s="3401"/>
      <c r="P166" s="3401"/>
      <c r="Q166" s="1678">
        <f>SUM(Q167:Q168)</f>
        <v>0</v>
      </c>
    </row>
    <row r="167" spans="1:17" ht="132">
      <c r="A167" s="1314" t="s">
        <v>3241</v>
      </c>
      <c r="B167" s="1314" t="s">
        <v>3063</v>
      </c>
      <c r="C167" s="1314" t="s">
        <v>3064</v>
      </c>
      <c r="D167" s="1314" t="s">
        <v>5345</v>
      </c>
      <c r="E167" s="1348"/>
      <c r="F167" s="1348"/>
      <c r="G167" s="1348"/>
      <c r="H167" s="1348"/>
      <c r="I167" s="1348"/>
      <c r="J167" s="1348" t="s">
        <v>6667</v>
      </c>
      <c r="K167" s="1317">
        <v>91607</v>
      </c>
      <c r="L167" s="1702">
        <f t="shared" ref="L167:L168" si="29">K167/100000</f>
        <v>0.91607000000000005</v>
      </c>
      <c r="M167" s="1317">
        <v>280</v>
      </c>
      <c r="N167" s="3385">
        <f>L167*M167</f>
        <v>256.49959999999999</v>
      </c>
      <c r="O167" s="3397" t="s">
        <v>6669</v>
      </c>
      <c r="P167" s="1348"/>
      <c r="Q167" s="3388"/>
    </row>
    <row r="168" spans="1:17" ht="132">
      <c r="A168" s="1314" t="s">
        <v>3242</v>
      </c>
      <c r="B168" s="1314" t="s">
        <v>3065</v>
      </c>
      <c r="C168" s="1314" t="s">
        <v>3066</v>
      </c>
      <c r="D168" s="1314" t="s">
        <v>5345</v>
      </c>
      <c r="E168" s="1348"/>
      <c r="F168" s="1348"/>
      <c r="G168" s="1348"/>
      <c r="H168" s="1348"/>
      <c r="I168" s="1348"/>
      <c r="J168" s="1348" t="s">
        <v>6668</v>
      </c>
      <c r="K168" s="1317">
        <v>197206</v>
      </c>
      <c r="L168" s="1702">
        <f t="shared" si="29"/>
        <v>1.9720599999999999</v>
      </c>
      <c r="M168" s="1317">
        <v>140</v>
      </c>
      <c r="N168" s="3385">
        <f>L168*M168</f>
        <v>276.08839999999998</v>
      </c>
      <c r="O168" s="3443" t="s">
        <v>6794</v>
      </c>
      <c r="P168" s="1348"/>
      <c r="Q168" s="3388"/>
    </row>
    <row r="169" spans="1:17" s="3998" customFormat="1" ht="49.5">
      <c r="A169" s="4007" t="s">
        <v>3243</v>
      </c>
      <c r="B169" s="4007"/>
      <c r="C169" s="4007" t="s">
        <v>716</v>
      </c>
      <c r="D169" s="4008" t="s">
        <v>5345</v>
      </c>
      <c r="E169" s="4009"/>
      <c r="F169" s="4009"/>
      <c r="G169" s="4009"/>
      <c r="H169" s="4009"/>
      <c r="I169" s="4009"/>
      <c r="J169" s="4009" t="s">
        <v>6702</v>
      </c>
      <c r="K169" s="4010">
        <v>15276</v>
      </c>
      <c r="L169" s="4011">
        <f>K169/100000</f>
        <v>0.15276000000000001</v>
      </c>
      <c r="M169" s="4012">
        <v>8</v>
      </c>
      <c r="N169" s="4011">
        <f>L169*M169</f>
        <v>1.2220800000000001</v>
      </c>
      <c r="O169" s="4009" t="s">
        <v>6882</v>
      </c>
      <c r="P169" s="4009"/>
      <c r="Q169" s="4013"/>
    </row>
    <row r="170" spans="1:17" ht="33">
      <c r="A170" s="3382" t="s">
        <v>3244</v>
      </c>
      <c r="B170" s="3382"/>
      <c r="C170" s="3382" t="s">
        <v>718</v>
      </c>
      <c r="D170" s="3409" t="s">
        <v>5345</v>
      </c>
      <c r="E170" s="3398"/>
      <c r="F170" s="3398"/>
      <c r="G170" s="3398"/>
      <c r="H170" s="3398"/>
      <c r="I170" s="3398"/>
      <c r="J170" s="3398"/>
      <c r="K170" s="3444"/>
      <c r="L170" s="3383">
        <f>K170/100000</f>
        <v>0</v>
      </c>
      <c r="M170" s="3445"/>
      <c r="N170" s="3383">
        <f>L170*M170</f>
        <v>0</v>
      </c>
      <c r="O170" s="3398"/>
      <c r="P170" s="3398"/>
      <c r="Q170" s="3410"/>
    </row>
    <row r="171" spans="1:17">
      <c r="A171" s="3382" t="s">
        <v>3245</v>
      </c>
      <c r="B171" s="3382"/>
      <c r="C171" s="3382" t="s">
        <v>3067</v>
      </c>
      <c r="D171" s="3382"/>
      <c r="E171" s="3398"/>
      <c r="F171" s="3398"/>
      <c r="G171" s="3398"/>
      <c r="H171" s="3398"/>
      <c r="I171" s="3398"/>
      <c r="J171" s="3398"/>
      <c r="K171" s="3398"/>
      <c r="L171" s="3383"/>
      <c r="M171" s="3410"/>
      <c r="N171" s="3383">
        <f>SUM(N172:N173)</f>
        <v>33.469994</v>
      </c>
      <c r="O171" s="3398"/>
      <c r="P171" s="3398"/>
      <c r="Q171" s="3383">
        <f>SUM(Q172:Q173)</f>
        <v>0</v>
      </c>
    </row>
    <row r="172" spans="1:17" ht="49.5">
      <c r="A172" s="1308" t="s">
        <v>3246</v>
      </c>
      <c r="B172" s="1322"/>
      <c r="C172" s="1547" t="s">
        <v>5318</v>
      </c>
      <c r="D172" s="1547" t="s">
        <v>5342</v>
      </c>
      <c r="E172" s="1316"/>
      <c r="F172" s="1316"/>
      <c r="G172" s="1316"/>
      <c r="H172" s="1316"/>
      <c r="I172" s="1316"/>
      <c r="J172" s="1316" t="s">
        <v>6624</v>
      </c>
      <c r="K172" s="1317">
        <v>100000</v>
      </c>
      <c r="L172" s="1702">
        <f t="shared" ref="L172:L173" si="30">K172/100000</f>
        <v>1</v>
      </c>
      <c r="M172" s="1554">
        <v>30</v>
      </c>
      <c r="N172" s="3385">
        <f>L172*M172</f>
        <v>30</v>
      </c>
      <c r="O172" s="3397" t="s">
        <v>6670</v>
      </c>
      <c r="P172" s="1348"/>
      <c r="Q172" s="3388"/>
    </row>
    <row r="173" spans="1:17" s="3998" customFormat="1" ht="115.5">
      <c r="A173" s="3999" t="s">
        <v>3930</v>
      </c>
      <c r="B173" s="4014"/>
      <c r="C173" s="4015" t="s">
        <v>606</v>
      </c>
      <c r="D173" s="4015" t="s">
        <v>3296</v>
      </c>
      <c r="E173" s="3993"/>
      <c r="F173" s="3993"/>
      <c r="G173" s="3993"/>
      <c r="H173" s="3993"/>
      <c r="I173" s="3993"/>
      <c r="J173" s="3993" t="s">
        <v>6652</v>
      </c>
      <c r="K173" s="3653">
        <v>3154.54</v>
      </c>
      <c r="L173" s="3654">
        <f t="shared" si="30"/>
        <v>3.1545400000000001E-2</v>
      </c>
      <c r="M173" s="3653">
        <v>110</v>
      </c>
      <c r="N173" s="3994">
        <f>L173*M173</f>
        <v>3.4699940000000002</v>
      </c>
      <c r="O173" s="3995" t="s">
        <v>6883</v>
      </c>
      <c r="P173" s="3995"/>
      <c r="Q173" s="3997"/>
    </row>
    <row r="174" spans="1:17">
      <c r="A174" s="3379" t="s">
        <v>3247</v>
      </c>
      <c r="B174" s="3379"/>
      <c r="C174" s="3379" t="s">
        <v>52</v>
      </c>
      <c r="D174" s="3379"/>
      <c r="E174" s="3399"/>
      <c r="F174" s="3399"/>
      <c r="G174" s="3399"/>
      <c r="H174" s="3399"/>
      <c r="I174" s="3399"/>
      <c r="J174" s="3399"/>
      <c r="K174" s="3399"/>
      <c r="L174" s="3379"/>
      <c r="M174" s="3399"/>
      <c r="N174" s="3380">
        <f>N175+N178</f>
        <v>82.124996600000003</v>
      </c>
      <c r="O174" s="3399"/>
      <c r="P174" s="3399"/>
      <c r="Q174" s="3380">
        <f>Q175+Q178</f>
        <v>0</v>
      </c>
    </row>
    <row r="175" spans="1:17" ht="33">
      <c r="A175" s="3382" t="s">
        <v>3248</v>
      </c>
      <c r="B175" s="3382"/>
      <c r="C175" s="3382" t="s">
        <v>22</v>
      </c>
      <c r="D175" s="3382"/>
      <c r="E175" s="3398"/>
      <c r="F175" s="3398"/>
      <c r="G175" s="3398"/>
      <c r="H175" s="3398"/>
      <c r="I175" s="3398"/>
      <c r="J175" s="3398"/>
      <c r="K175" s="3398"/>
      <c r="L175" s="3382"/>
      <c r="M175" s="3398"/>
      <c r="N175" s="3383">
        <f>SUM(N176:N177)</f>
        <v>0</v>
      </c>
      <c r="O175" s="3398"/>
      <c r="P175" s="3398"/>
      <c r="Q175" s="3383">
        <f>SUM(Q176:Q177)</f>
        <v>0</v>
      </c>
    </row>
    <row r="176" spans="1:17">
      <c r="A176" s="1314" t="s">
        <v>3249</v>
      </c>
      <c r="B176" s="1322" t="s">
        <v>3068</v>
      </c>
      <c r="C176" s="1529" t="s">
        <v>3069</v>
      </c>
      <c r="D176" s="1529" t="s">
        <v>5341</v>
      </c>
      <c r="E176" s="1316"/>
      <c r="F176" s="1316"/>
      <c r="G176" s="1316"/>
      <c r="H176" s="1316"/>
      <c r="I176" s="1316"/>
      <c r="J176" s="1316"/>
      <c r="K176" s="1317"/>
      <c r="L176" s="1702">
        <f t="shared" ref="L176:L177" si="31">K176/100000</f>
        <v>0</v>
      </c>
      <c r="M176" s="1317"/>
      <c r="N176" s="3385">
        <f>L176*M176</f>
        <v>0</v>
      </c>
      <c r="O176" s="1348"/>
      <c r="P176" s="1348"/>
      <c r="Q176" s="3388"/>
    </row>
    <row r="177" spans="1:17">
      <c r="A177" s="1314" t="s">
        <v>3250</v>
      </c>
      <c r="B177" s="1322"/>
      <c r="C177" s="1529" t="s">
        <v>2970</v>
      </c>
      <c r="D177" s="1529" t="s">
        <v>5341</v>
      </c>
      <c r="E177" s="1316"/>
      <c r="F177" s="1316"/>
      <c r="G177" s="1316"/>
      <c r="H177" s="1316"/>
      <c r="I177" s="1316"/>
      <c r="J177" s="1316"/>
      <c r="K177" s="1317"/>
      <c r="L177" s="1702">
        <f t="shared" si="31"/>
        <v>0</v>
      </c>
      <c r="M177" s="1317"/>
      <c r="N177" s="3385">
        <f>L177*M177</f>
        <v>0</v>
      </c>
      <c r="O177" s="1348"/>
      <c r="P177" s="1348"/>
      <c r="Q177" s="3388"/>
    </row>
    <row r="178" spans="1:17">
      <c r="A178" s="3382" t="s">
        <v>3251</v>
      </c>
      <c r="B178" s="3382" t="s">
        <v>3252</v>
      </c>
      <c r="C178" s="3382" t="s">
        <v>5310</v>
      </c>
      <c r="D178" s="3382"/>
      <c r="E178" s="3398"/>
      <c r="F178" s="3398"/>
      <c r="G178" s="3398"/>
      <c r="H178" s="3398"/>
      <c r="I178" s="3398"/>
      <c r="J178" s="3398"/>
      <c r="K178" s="3398"/>
      <c r="L178" s="3382"/>
      <c r="M178" s="3398"/>
      <c r="N178" s="3383">
        <f>SUM(N179:N185)+SUM(N189:N194)</f>
        <v>82.124996600000003</v>
      </c>
      <c r="O178" s="3398"/>
      <c r="P178" s="3398"/>
      <c r="Q178" s="3383">
        <f>SUM(Q179:Q185)+SUM(Q189:Q194)</f>
        <v>0</v>
      </c>
    </row>
    <row r="179" spans="1:17" ht="49.5">
      <c r="A179" s="1314" t="s">
        <v>5322</v>
      </c>
      <c r="B179" s="1314" t="s">
        <v>5311</v>
      </c>
      <c r="C179" s="1314" t="s">
        <v>3070</v>
      </c>
      <c r="D179" s="1529" t="s">
        <v>5341</v>
      </c>
      <c r="E179" s="1348"/>
      <c r="F179" s="1348"/>
      <c r="G179" s="1348"/>
      <c r="H179" s="1348"/>
      <c r="I179" s="1348"/>
      <c r="J179" s="1348" t="s">
        <v>6671</v>
      </c>
      <c r="K179" s="1317">
        <v>1000</v>
      </c>
      <c r="L179" s="1702">
        <f t="shared" ref="L179:L194" si="32">K179/100000</f>
        <v>0.01</v>
      </c>
      <c r="M179" s="1317">
        <v>1118</v>
      </c>
      <c r="N179" s="3385">
        <f t="shared" ref="N179:N189" si="33">L179*M179</f>
        <v>11.18</v>
      </c>
      <c r="O179" s="3397" t="s">
        <v>6674</v>
      </c>
      <c r="P179" s="1348"/>
      <c r="Q179" s="3388"/>
    </row>
    <row r="180" spans="1:17">
      <c r="A180" s="1314" t="s">
        <v>5323</v>
      </c>
      <c r="B180" s="1314" t="s">
        <v>5312</v>
      </c>
      <c r="C180" s="1314" t="s">
        <v>3071</v>
      </c>
      <c r="D180" s="1529" t="s">
        <v>5341</v>
      </c>
      <c r="E180" s="1348"/>
      <c r="F180" s="1348"/>
      <c r="G180" s="1348"/>
      <c r="H180" s="1348"/>
      <c r="I180" s="1348"/>
      <c r="J180" s="1348"/>
      <c r="K180" s="1317"/>
      <c r="L180" s="1702">
        <f t="shared" si="32"/>
        <v>0</v>
      </c>
      <c r="M180" s="1317"/>
      <c r="N180" s="3385">
        <f t="shared" si="33"/>
        <v>0</v>
      </c>
      <c r="O180" s="3397"/>
      <c r="P180" s="1348"/>
      <c r="Q180" s="3388"/>
    </row>
    <row r="181" spans="1:17">
      <c r="A181" s="1314" t="s">
        <v>5324</v>
      </c>
      <c r="B181" s="1314" t="s">
        <v>5313</v>
      </c>
      <c r="C181" s="1314" t="s">
        <v>3072</v>
      </c>
      <c r="D181" s="1529" t="s">
        <v>5341</v>
      </c>
      <c r="E181" s="1348"/>
      <c r="F181" s="1348"/>
      <c r="G181" s="1348"/>
      <c r="H181" s="1348"/>
      <c r="I181" s="1348"/>
      <c r="J181" s="1348"/>
      <c r="K181" s="1317"/>
      <c r="L181" s="1702">
        <f t="shared" si="32"/>
        <v>0</v>
      </c>
      <c r="M181" s="1317"/>
      <c r="N181" s="3385">
        <f t="shared" si="33"/>
        <v>0</v>
      </c>
      <c r="O181" s="3397"/>
      <c r="P181" s="1348"/>
      <c r="Q181" s="3388"/>
    </row>
    <row r="182" spans="1:17" ht="49.5">
      <c r="A182" s="1314" t="s">
        <v>5325</v>
      </c>
      <c r="B182" s="1314" t="s">
        <v>5314</v>
      </c>
      <c r="C182" s="1314" t="s">
        <v>3073</v>
      </c>
      <c r="D182" s="1529" t="s">
        <v>5341</v>
      </c>
      <c r="E182" s="1348"/>
      <c r="F182" s="1348"/>
      <c r="G182" s="1348"/>
      <c r="H182" s="1348"/>
      <c r="I182" s="1348"/>
      <c r="J182" s="1348" t="s">
        <v>6672</v>
      </c>
      <c r="K182" s="1317">
        <v>5000</v>
      </c>
      <c r="L182" s="1702">
        <f t="shared" si="32"/>
        <v>0.05</v>
      </c>
      <c r="M182" s="1317">
        <v>110</v>
      </c>
      <c r="N182" s="3385">
        <f t="shared" si="33"/>
        <v>5.5</v>
      </c>
      <c r="O182" s="3397" t="s">
        <v>6675</v>
      </c>
      <c r="P182" s="1348"/>
      <c r="Q182" s="3388"/>
    </row>
    <row r="183" spans="1:17" ht="33">
      <c r="A183" s="1314" t="s">
        <v>5326</v>
      </c>
      <c r="B183" s="1314" t="s">
        <v>5315</v>
      </c>
      <c r="C183" s="1314" t="s">
        <v>5317</v>
      </c>
      <c r="D183" s="1529" t="s">
        <v>5341</v>
      </c>
      <c r="E183" s="1348"/>
      <c r="F183" s="1348"/>
      <c r="G183" s="1348"/>
      <c r="H183" s="1348"/>
      <c r="I183" s="1348"/>
      <c r="J183" s="1348"/>
      <c r="K183" s="1317"/>
      <c r="L183" s="1702">
        <f t="shared" si="32"/>
        <v>0</v>
      </c>
      <c r="M183" s="1317"/>
      <c r="N183" s="3385">
        <f t="shared" si="33"/>
        <v>0</v>
      </c>
      <c r="O183" s="3397"/>
      <c r="P183" s="1348"/>
      <c r="Q183" s="3388"/>
    </row>
    <row r="184" spans="1:17" ht="82.5">
      <c r="A184" s="1314" t="s">
        <v>5327</v>
      </c>
      <c r="B184" s="1314" t="s">
        <v>5316</v>
      </c>
      <c r="C184" s="1314" t="s">
        <v>3075</v>
      </c>
      <c r="D184" s="1529" t="s">
        <v>5346</v>
      </c>
      <c r="E184" s="1348"/>
      <c r="F184" s="1348"/>
      <c r="G184" s="1348"/>
      <c r="H184" s="1348"/>
      <c r="I184" s="1348"/>
      <c r="J184" s="1348" t="s">
        <v>6673</v>
      </c>
      <c r="K184" s="1317">
        <v>1000</v>
      </c>
      <c r="L184" s="1702">
        <f t="shared" si="32"/>
        <v>0.01</v>
      </c>
      <c r="M184" s="1317">
        <v>380</v>
      </c>
      <c r="N184" s="3385">
        <f t="shared" si="33"/>
        <v>3.8000000000000003</v>
      </c>
      <c r="O184" s="3397" t="s">
        <v>6676</v>
      </c>
      <c r="P184" s="1348"/>
      <c r="Q184" s="3388"/>
    </row>
    <row r="185" spans="1:17" ht="33">
      <c r="A185" s="1314" t="s">
        <v>5328</v>
      </c>
      <c r="B185" s="1314" t="s">
        <v>3253</v>
      </c>
      <c r="C185" s="1314" t="s">
        <v>3921</v>
      </c>
      <c r="D185" s="1314"/>
      <c r="E185" s="1348"/>
      <c r="F185" s="1348"/>
      <c r="G185" s="1348"/>
      <c r="H185" s="1348"/>
      <c r="I185" s="1348"/>
      <c r="J185" s="3427"/>
      <c r="K185" s="3427"/>
      <c r="L185" s="1702">
        <f t="shared" si="32"/>
        <v>0</v>
      </c>
      <c r="M185" s="3440"/>
      <c r="N185" s="3428">
        <f>SUM(N186:N188)</f>
        <v>23.375</v>
      </c>
      <c r="O185" s="1348"/>
      <c r="P185" s="1348"/>
      <c r="Q185" s="3429">
        <f>SUM(Q186:Q188)</f>
        <v>0</v>
      </c>
    </row>
    <row r="186" spans="1:17" ht="82.5">
      <c r="A186" s="1314" t="s">
        <v>5329</v>
      </c>
      <c r="B186" s="1314" t="s">
        <v>4588</v>
      </c>
      <c r="C186" s="1314" t="s">
        <v>3920</v>
      </c>
      <c r="D186" s="1314" t="s">
        <v>5342</v>
      </c>
      <c r="E186" s="1348"/>
      <c r="F186" s="1348"/>
      <c r="G186" s="1348"/>
      <c r="H186" s="1348"/>
      <c r="I186" s="1348"/>
      <c r="J186" s="1348" t="s">
        <v>6673</v>
      </c>
      <c r="K186" s="1554">
        <v>8500</v>
      </c>
      <c r="L186" s="1702">
        <f t="shared" si="32"/>
        <v>8.5000000000000006E-2</v>
      </c>
      <c r="M186" s="1317">
        <v>275</v>
      </c>
      <c r="N186" s="3385">
        <f>L186*M186</f>
        <v>23.375</v>
      </c>
      <c r="O186" s="3397" t="s">
        <v>6677</v>
      </c>
      <c r="P186" s="1348"/>
      <c r="Q186" s="3388"/>
    </row>
    <row r="187" spans="1:17">
      <c r="A187" s="1314" t="s">
        <v>5330</v>
      </c>
      <c r="B187" s="1314" t="s">
        <v>4589</v>
      </c>
      <c r="C187" s="1314" t="s">
        <v>4399</v>
      </c>
      <c r="D187" s="1314" t="s">
        <v>5342</v>
      </c>
      <c r="E187" s="1348"/>
      <c r="F187" s="1348"/>
      <c r="G187" s="1348"/>
      <c r="H187" s="1348"/>
      <c r="I187" s="1348"/>
      <c r="J187" s="1348" t="s">
        <v>6634</v>
      </c>
      <c r="K187" s="1554"/>
      <c r="L187" s="1702">
        <f t="shared" si="32"/>
        <v>0</v>
      </c>
      <c r="M187" s="1317"/>
      <c r="N187" s="3385">
        <f>L187*M187</f>
        <v>0</v>
      </c>
      <c r="O187" s="3397"/>
      <c r="P187" s="1348"/>
      <c r="Q187" s="3388"/>
    </row>
    <row r="188" spans="1:17">
      <c r="A188" s="1314" t="s">
        <v>5331</v>
      </c>
      <c r="B188" s="1314" t="s">
        <v>4590</v>
      </c>
      <c r="C188" s="1314" t="s">
        <v>5319</v>
      </c>
      <c r="D188" s="1314" t="s">
        <v>5342</v>
      </c>
      <c r="E188" s="1348"/>
      <c r="F188" s="1348"/>
      <c r="G188" s="1348"/>
      <c r="H188" s="1348"/>
      <c r="I188" s="1348"/>
      <c r="J188" s="1348"/>
      <c r="K188" s="1554"/>
      <c r="L188" s="1702">
        <f t="shared" si="32"/>
        <v>0</v>
      </c>
      <c r="M188" s="1317"/>
      <c r="N188" s="3385">
        <f>L188*M188</f>
        <v>0</v>
      </c>
      <c r="O188" s="1348"/>
      <c r="P188" s="1348"/>
      <c r="Q188" s="3388"/>
    </row>
    <row r="189" spans="1:17" ht="33">
      <c r="A189" s="1314" t="s">
        <v>5332</v>
      </c>
      <c r="B189" s="1314" t="s">
        <v>5321</v>
      </c>
      <c r="C189" s="1314" t="s">
        <v>5320</v>
      </c>
      <c r="D189" s="1314" t="s">
        <v>5342</v>
      </c>
      <c r="E189" s="1348"/>
      <c r="F189" s="1348"/>
      <c r="G189" s="1348"/>
      <c r="H189" s="1348"/>
      <c r="I189" s="1348"/>
      <c r="J189" s="1348"/>
      <c r="K189" s="1317"/>
      <c r="L189" s="1702">
        <f t="shared" si="32"/>
        <v>0</v>
      </c>
      <c r="M189" s="1317"/>
      <c r="N189" s="3385">
        <f t="shared" si="33"/>
        <v>0</v>
      </c>
      <c r="O189" s="1348"/>
      <c r="P189" s="1348"/>
      <c r="Q189" s="3388"/>
    </row>
    <row r="190" spans="1:17" s="3998" customFormat="1" ht="49.5">
      <c r="A190" s="3999" t="s">
        <v>5333</v>
      </c>
      <c r="B190" s="3999" t="s">
        <v>4591</v>
      </c>
      <c r="C190" s="3999" t="s">
        <v>3074</v>
      </c>
      <c r="D190" s="3999" t="s">
        <v>4720</v>
      </c>
      <c r="E190" s="3995"/>
      <c r="F190" s="3995"/>
      <c r="G190" s="3995"/>
      <c r="H190" s="3995"/>
      <c r="I190" s="3995"/>
      <c r="J190" s="3995" t="s">
        <v>6884</v>
      </c>
      <c r="K190" s="3653">
        <v>266000</v>
      </c>
      <c r="L190" s="3654">
        <f t="shared" si="32"/>
        <v>2.66</v>
      </c>
      <c r="M190" s="3653">
        <v>1</v>
      </c>
      <c r="N190" s="3994">
        <f>L190*M190</f>
        <v>2.66</v>
      </c>
      <c r="O190" s="3995" t="s">
        <v>6885</v>
      </c>
      <c r="P190" s="3995"/>
      <c r="Q190" s="3997"/>
    </row>
    <row r="191" spans="1:17" ht="82.5">
      <c r="A191" s="1314" t="s">
        <v>5334</v>
      </c>
      <c r="B191" s="1314" t="s">
        <v>4592</v>
      </c>
      <c r="C191" s="1314" t="s">
        <v>4046</v>
      </c>
      <c r="D191" s="1308" t="s">
        <v>4720</v>
      </c>
      <c r="E191" s="1348"/>
      <c r="F191" s="1348"/>
      <c r="G191" s="1348"/>
      <c r="H191" s="1348"/>
      <c r="I191" s="1348"/>
      <c r="J191" s="1348" t="s">
        <v>6673</v>
      </c>
      <c r="K191" s="1317">
        <v>104000</v>
      </c>
      <c r="L191" s="1702">
        <f t="shared" si="32"/>
        <v>1.04</v>
      </c>
      <c r="M191" s="1317">
        <v>4</v>
      </c>
      <c r="N191" s="3385">
        <f>L191*M191</f>
        <v>4.16</v>
      </c>
      <c r="O191" s="3397" t="s">
        <v>6795</v>
      </c>
      <c r="P191" s="1348"/>
      <c r="Q191" s="3388"/>
    </row>
    <row r="192" spans="1:17">
      <c r="A192" s="1314" t="s">
        <v>5335</v>
      </c>
      <c r="B192" s="1314" t="s">
        <v>4593</v>
      </c>
      <c r="C192" s="1314" t="s">
        <v>4047</v>
      </c>
      <c r="D192" s="1308" t="s">
        <v>4720</v>
      </c>
      <c r="E192" s="1348"/>
      <c r="F192" s="1348"/>
      <c r="G192" s="1348"/>
      <c r="H192" s="1348"/>
      <c r="I192" s="1348"/>
      <c r="J192" s="1348"/>
      <c r="K192" s="1317"/>
      <c r="L192" s="1702">
        <f t="shared" si="32"/>
        <v>0</v>
      </c>
      <c r="M192" s="1317"/>
      <c r="N192" s="3385">
        <f>L192*M192</f>
        <v>0</v>
      </c>
      <c r="O192" s="1348"/>
      <c r="P192" s="1348"/>
      <c r="Q192" s="3388"/>
    </row>
    <row r="193" spans="1:17">
      <c r="A193" s="1314" t="s">
        <v>5336</v>
      </c>
      <c r="B193" s="1314" t="s">
        <v>4595</v>
      </c>
      <c r="C193" s="1314" t="s">
        <v>4048</v>
      </c>
      <c r="D193" s="1308" t="s">
        <v>4720</v>
      </c>
      <c r="E193" s="1348"/>
      <c r="F193" s="1348"/>
      <c r="G193" s="1348"/>
      <c r="H193" s="1348"/>
      <c r="I193" s="1348"/>
      <c r="J193" s="1348"/>
      <c r="K193" s="1317"/>
      <c r="L193" s="1702">
        <f t="shared" si="32"/>
        <v>0</v>
      </c>
      <c r="M193" s="1317"/>
      <c r="N193" s="3385">
        <f>L193*M193</f>
        <v>0</v>
      </c>
      <c r="O193" s="1348"/>
      <c r="P193" s="1348"/>
      <c r="Q193" s="3388"/>
    </row>
    <row r="194" spans="1:17" s="3998" customFormat="1" ht="66">
      <c r="A194" s="3999" t="s">
        <v>5337</v>
      </c>
      <c r="B194" s="3999" t="s">
        <v>4594</v>
      </c>
      <c r="C194" s="3999" t="s">
        <v>4045</v>
      </c>
      <c r="D194" s="3999" t="s">
        <v>3296</v>
      </c>
      <c r="E194" s="3995"/>
      <c r="F194" s="3995"/>
      <c r="G194" s="3995"/>
      <c r="H194" s="3995"/>
      <c r="I194" s="3995"/>
      <c r="J194" s="3995" t="s">
        <v>6193</v>
      </c>
      <c r="K194" s="3653">
        <v>61666.66</v>
      </c>
      <c r="L194" s="3654">
        <f t="shared" si="32"/>
        <v>0.61666660000000006</v>
      </c>
      <c r="M194" s="3653">
        <v>51</v>
      </c>
      <c r="N194" s="3994">
        <f>L194*M194</f>
        <v>31.449996600000002</v>
      </c>
      <c r="O194" s="3995" t="s">
        <v>6886</v>
      </c>
      <c r="P194" s="3995"/>
      <c r="Q194" s="3997"/>
    </row>
    <row r="195" spans="1:17">
      <c r="A195" s="3379" t="s">
        <v>3254</v>
      </c>
      <c r="B195" s="3379"/>
      <c r="C195" s="3379" t="s">
        <v>23</v>
      </c>
      <c r="D195" s="3379"/>
      <c r="E195" s="3399"/>
      <c r="F195" s="3399"/>
      <c r="G195" s="3399"/>
      <c r="H195" s="3399"/>
      <c r="I195" s="3399"/>
      <c r="J195" s="3399"/>
      <c r="K195" s="3399"/>
      <c r="L195" s="3379"/>
      <c r="M195" s="3399"/>
      <c r="N195" s="3380">
        <f>N196+N199</f>
        <v>0</v>
      </c>
      <c r="O195" s="3399"/>
      <c r="P195" s="3399"/>
      <c r="Q195" s="3446">
        <f>Q196+Q199</f>
        <v>0</v>
      </c>
    </row>
    <row r="196" spans="1:17">
      <c r="A196" s="3382" t="s">
        <v>3255</v>
      </c>
      <c r="B196" s="3382"/>
      <c r="C196" s="3382" t="s">
        <v>24</v>
      </c>
      <c r="D196" s="3382"/>
      <c r="E196" s="3398"/>
      <c r="F196" s="3398"/>
      <c r="G196" s="3398"/>
      <c r="H196" s="3398"/>
      <c r="I196" s="3398"/>
      <c r="J196" s="3398"/>
      <c r="K196" s="3398"/>
      <c r="L196" s="3382"/>
      <c r="M196" s="3398"/>
      <c r="N196" s="3383">
        <f>SUM(N197:N198)</f>
        <v>0</v>
      </c>
      <c r="O196" s="3398"/>
      <c r="P196" s="3398"/>
      <c r="Q196" s="3410">
        <f>SUM(Q197:Q198)</f>
        <v>0</v>
      </c>
    </row>
    <row r="197" spans="1:17" ht="33">
      <c r="A197" s="1314" t="s">
        <v>3256</v>
      </c>
      <c r="B197" s="3447"/>
      <c r="C197" s="1699" t="s">
        <v>1170</v>
      </c>
      <c r="D197" s="1699" t="s">
        <v>118</v>
      </c>
      <c r="E197" s="2276"/>
      <c r="F197" s="2276"/>
      <c r="G197" s="2276"/>
      <c r="H197" s="2276"/>
      <c r="I197" s="2276"/>
      <c r="J197" s="2276"/>
      <c r="K197" s="1317"/>
      <c r="L197" s="1702">
        <f t="shared" ref="L197:L198" si="34">K197/100000</f>
        <v>0</v>
      </c>
      <c r="M197" s="1317"/>
      <c r="N197" s="3385">
        <f>L197*M197</f>
        <v>0</v>
      </c>
      <c r="O197" s="3448"/>
      <c r="P197" s="3448"/>
      <c r="Q197" s="3388"/>
    </row>
    <row r="198" spans="1:17">
      <c r="A198" s="1314" t="s">
        <v>3257</v>
      </c>
      <c r="B198" s="3447"/>
      <c r="C198" s="1699" t="s">
        <v>1171</v>
      </c>
      <c r="D198" s="1699" t="s">
        <v>131</v>
      </c>
      <c r="E198" s="2276"/>
      <c r="F198" s="2276"/>
      <c r="G198" s="2276"/>
      <c r="H198" s="2276"/>
      <c r="I198" s="2276"/>
      <c r="J198" s="2276"/>
      <c r="K198" s="1317"/>
      <c r="L198" s="1702">
        <f t="shared" si="34"/>
        <v>0</v>
      </c>
      <c r="M198" s="1317"/>
      <c r="N198" s="3385">
        <f>L198*M198</f>
        <v>0</v>
      </c>
      <c r="O198" s="3448"/>
      <c r="P198" s="3448"/>
      <c r="Q198" s="3388"/>
    </row>
    <row r="199" spans="1:17">
      <c r="A199" s="3382" t="s">
        <v>3258</v>
      </c>
      <c r="B199" s="3382"/>
      <c r="C199" s="3382" t="s">
        <v>25</v>
      </c>
      <c r="D199" s="3382"/>
      <c r="E199" s="3398"/>
      <c r="F199" s="3398"/>
      <c r="G199" s="3398"/>
      <c r="H199" s="3398"/>
      <c r="I199" s="3398"/>
      <c r="J199" s="3398"/>
      <c r="K199" s="3398"/>
      <c r="L199" s="3382"/>
      <c r="M199" s="3398"/>
      <c r="N199" s="3383">
        <f>N200+N201</f>
        <v>0</v>
      </c>
      <c r="O199" s="3398"/>
      <c r="P199" s="3398"/>
      <c r="Q199" s="3410">
        <f>Q200+Q201</f>
        <v>0</v>
      </c>
    </row>
    <row r="200" spans="1:17">
      <c r="A200" s="1314" t="s">
        <v>3259</v>
      </c>
      <c r="B200" s="1314" t="s">
        <v>3076</v>
      </c>
      <c r="C200" s="1314" t="s">
        <v>3077</v>
      </c>
      <c r="D200" s="1314" t="s">
        <v>3296</v>
      </c>
      <c r="E200" s="1348"/>
      <c r="F200" s="1348"/>
      <c r="G200" s="1348"/>
      <c r="H200" s="1348"/>
      <c r="I200" s="1348"/>
      <c r="J200" s="1348"/>
      <c r="K200" s="1317"/>
      <c r="L200" s="1702">
        <f t="shared" ref="L200:L201" si="35">K200/100000</f>
        <v>0</v>
      </c>
      <c r="M200" s="1317"/>
      <c r="N200" s="3385">
        <f>L200*M200</f>
        <v>0</v>
      </c>
      <c r="O200" s="1348"/>
      <c r="P200" s="1348"/>
      <c r="Q200" s="3388"/>
    </row>
    <row r="201" spans="1:17">
      <c r="A201" s="1314" t="s">
        <v>3260</v>
      </c>
      <c r="B201" s="1314" t="s">
        <v>3260</v>
      </c>
      <c r="C201" s="1314" t="s">
        <v>307</v>
      </c>
      <c r="D201" s="1314" t="s">
        <v>3296</v>
      </c>
      <c r="E201" s="1348"/>
      <c r="F201" s="1348"/>
      <c r="G201" s="1348"/>
      <c r="H201" s="1348"/>
      <c r="I201" s="1348"/>
      <c r="J201" s="1348"/>
      <c r="K201" s="1317"/>
      <c r="L201" s="1702">
        <f t="shared" si="35"/>
        <v>0</v>
      </c>
      <c r="M201" s="1317"/>
      <c r="N201" s="3385">
        <f>L201*M201</f>
        <v>0</v>
      </c>
      <c r="O201" s="1348"/>
      <c r="P201" s="1348"/>
      <c r="Q201" s="3388"/>
    </row>
    <row r="202" spans="1:17">
      <c r="A202" s="3286" t="s">
        <v>3261</v>
      </c>
      <c r="B202" s="1311" t="s">
        <v>3261</v>
      </c>
      <c r="C202" s="1943" t="s">
        <v>26</v>
      </c>
      <c r="D202" s="1943"/>
      <c r="E202" s="3449"/>
      <c r="F202" s="3449"/>
      <c r="G202" s="3449"/>
      <c r="H202" s="3449"/>
      <c r="I202" s="3449"/>
      <c r="J202" s="3449"/>
      <c r="K202" s="3449"/>
      <c r="L202" s="3450"/>
      <c r="M202" s="3451"/>
      <c r="N202" s="3450"/>
      <c r="O202" s="3452"/>
      <c r="P202" s="3453" t="s">
        <v>5299</v>
      </c>
      <c r="Q202" s="3454"/>
    </row>
    <row r="203" spans="1:17">
      <c r="A203" s="3286" t="s">
        <v>3262</v>
      </c>
      <c r="B203" s="1311" t="s">
        <v>3262</v>
      </c>
      <c r="C203" s="1943" t="s">
        <v>27</v>
      </c>
      <c r="D203" s="1943"/>
      <c r="E203" s="3449"/>
      <c r="F203" s="3449"/>
      <c r="G203" s="3449"/>
      <c r="H203" s="3449"/>
      <c r="I203" s="3449"/>
      <c r="J203" s="3449"/>
      <c r="K203" s="3449"/>
      <c r="L203" s="3450"/>
      <c r="M203" s="3451"/>
      <c r="N203" s="3450"/>
      <c r="O203" s="3452"/>
      <c r="P203" s="3453" t="s">
        <v>5299</v>
      </c>
      <c r="Q203" s="3454"/>
    </row>
    <row r="204" spans="1:17">
      <c r="A204" s="3379" t="s">
        <v>3263</v>
      </c>
      <c r="B204" s="3379"/>
      <c r="C204" s="3379" t="s">
        <v>28</v>
      </c>
      <c r="D204" s="3379"/>
      <c r="E204" s="3399"/>
      <c r="F204" s="3399"/>
      <c r="G204" s="3399"/>
      <c r="H204" s="3399"/>
      <c r="I204" s="3399"/>
      <c r="J204" s="3399"/>
      <c r="K204" s="3399"/>
      <c r="L204" s="3379"/>
      <c r="M204" s="3399"/>
      <c r="N204" s="3380">
        <f>SUM(N205:N206)</f>
        <v>38.5</v>
      </c>
      <c r="O204" s="3399"/>
      <c r="P204" s="3399"/>
      <c r="Q204" s="3446">
        <f>SUM(Q205:Q206)</f>
        <v>0</v>
      </c>
    </row>
    <row r="205" spans="1:17" ht="33">
      <c r="A205" s="1314" t="s">
        <v>3264</v>
      </c>
      <c r="B205" s="1314" t="s">
        <v>3080</v>
      </c>
      <c r="C205" s="1314" t="s">
        <v>5338</v>
      </c>
      <c r="D205" s="1314" t="s">
        <v>3296</v>
      </c>
      <c r="E205" s="1348"/>
      <c r="F205" s="1348"/>
      <c r="G205" s="1348"/>
      <c r="H205" s="1348"/>
      <c r="I205" s="1348"/>
      <c r="J205" s="1348" t="s">
        <v>6652</v>
      </c>
      <c r="K205" s="1317">
        <v>10000</v>
      </c>
      <c r="L205" s="1702">
        <f t="shared" ref="L205:L206" si="36">K205/100000</f>
        <v>0.1</v>
      </c>
      <c r="M205" s="1317">
        <v>110</v>
      </c>
      <c r="N205" s="3385">
        <f>L205*M205</f>
        <v>11</v>
      </c>
      <c r="O205" s="3397" t="s">
        <v>6678</v>
      </c>
      <c r="P205" s="1348"/>
      <c r="Q205" s="3388"/>
    </row>
    <row r="206" spans="1:17" ht="33">
      <c r="A206" s="1314" t="s">
        <v>3265</v>
      </c>
      <c r="B206" s="1314" t="s">
        <v>3266</v>
      </c>
      <c r="C206" s="1547" t="s">
        <v>3932</v>
      </c>
      <c r="D206" s="1547" t="s">
        <v>5342</v>
      </c>
      <c r="E206" s="3455"/>
      <c r="F206" s="3455"/>
      <c r="G206" s="3455"/>
      <c r="H206" s="3455"/>
      <c r="I206" s="3455"/>
      <c r="J206" s="3455" t="s">
        <v>6652</v>
      </c>
      <c r="K206" s="1317">
        <v>25000</v>
      </c>
      <c r="L206" s="1702">
        <f t="shared" si="36"/>
        <v>0.25</v>
      </c>
      <c r="M206" s="1317">
        <v>110</v>
      </c>
      <c r="N206" s="3385">
        <f>L206*M206</f>
        <v>27.5</v>
      </c>
      <c r="O206" s="3397" t="s">
        <v>6679</v>
      </c>
      <c r="P206" s="3427"/>
      <c r="Q206" s="3388"/>
    </row>
    <row r="207" spans="1:17">
      <c r="A207" s="3379" t="s">
        <v>3267</v>
      </c>
      <c r="B207" s="3379"/>
      <c r="C207" s="3379" t="s">
        <v>29</v>
      </c>
      <c r="D207" s="3379"/>
      <c r="E207" s="3399"/>
      <c r="F207" s="3399"/>
      <c r="G207" s="3399"/>
      <c r="H207" s="3399"/>
      <c r="I207" s="3399"/>
      <c r="J207" s="3399"/>
      <c r="K207" s="3399"/>
      <c r="L207" s="3379"/>
      <c r="M207" s="3399"/>
      <c r="N207" s="3380">
        <f>SUM(N208:N209)</f>
        <v>53.5</v>
      </c>
      <c r="O207" s="3399"/>
      <c r="P207" s="3399"/>
      <c r="Q207" s="3446">
        <f>SUM(Q208:Q209)</f>
        <v>0</v>
      </c>
    </row>
    <row r="208" spans="1:17" ht="82.5">
      <c r="A208" s="1314" t="s">
        <v>3268</v>
      </c>
      <c r="B208" s="3412"/>
      <c r="C208" s="1547" t="s">
        <v>3081</v>
      </c>
      <c r="D208" s="1547" t="s">
        <v>3296</v>
      </c>
      <c r="E208" s="3455"/>
      <c r="F208" s="3455"/>
      <c r="G208" s="3455"/>
      <c r="H208" s="3455"/>
      <c r="I208" s="3455"/>
      <c r="J208" s="3455"/>
      <c r="K208" s="1317">
        <v>2600000</v>
      </c>
      <c r="L208" s="1702">
        <f t="shared" ref="L208:L209" si="37">K208/100000</f>
        <v>26</v>
      </c>
      <c r="M208" s="1317">
        <v>1</v>
      </c>
      <c r="N208" s="3385">
        <f>L208*M208</f>
        <v>26</v>
      </c>
      <c r="O208" s="3397" t="s">
        <v>6680</v>
      </c>
      <c r="P208" s="3427"/>
      <c r="Q208" s="3388"/>
    </row>
    <row r="209" spans="1:17" ht="66">
      <c r="A209" s="1314" t="s">
        <v>3931</v>
      </c>
      <c r="B209" s="3412"/>
      <c r="C209" s="1547" t="s">
        <v>2863</v>
      </c>
      <c r="D209" s="1547" t="s">
        <v>5342</v>
      </c>
      <c r="E209" s="3455"/>
      <c r="F209" s="3455"/>
      <c r="G209" s="3455"/>
      <c r="H209" s="3455"/>
      <c r="I209" s="3455"/>
      <c r="J209" s="3455" t="s">
        <v>6652</v>
      </c>
      <c r="K209" s="1317">
        <v>25000</v>
      </c>
      <c r="L209" s="1702">
        <f t="shared" si="37"/>
        <v>0.25</v>
      </c>
      <c r="M209" s="1317">
        <v>110</v>
      </c>
      <c r="N209" s="3385">
        <f>L209*M209</f>
        <v>27.5</v>
      </c>
      <c r="O209" s="1348" t="s">
        <v>6681</v>
      </c>
      <c r="P209" s="3427"/>
      <c r="Q209" s="3388"/>
    </row>
    <row r="210" spans="1:17">
      <c r="A210" s="3379" t="s">
        <v>3269</v>
      </c>
      <c r="B210" s="3379"/>
      <c r="C210" s="3379" t="s">
        <v>30</v>
      </c>
      <c r="D210" s="3379"/>
      <c r="E210" s="3399"/>
      <c r="F210" s="3399"/>
      <c r="G210" s="3399"/>
      <c r="H210" s="3399"/>
      <c r="I210" s="3399"/>
      <c r="J210" s="3399"/>
      <c r="K210" s="3399"/>
      <c r="L210" s="3379"/>
      <c r="M210" s="3399"/>
      <c r="N210" s="3380">
        <f>N211+N216+N222</f>
        <v>38.679994600000001</v>
      </c>
      <c r="O210" s="3399"/>
      <c r="P210" s="3399"/>
      <c r="Q210" s="3446">
        <f>Q211+Q216+Q222</f>
        <v>0</v>
      </c>
    </row>
    <row r="211" spans="1:17">
      <c r="A211" s="3382" t="s">
        <v>3270</v>
      </c>
      <c r="B211" s="3382"/>
      <c r="C211" s="3382" t="s">
        <v>30</v>
      </c>
      <c r="D211" s="3382"/>
      <c r="E211" s="3398"/>
      <c r="F211" s="3398"/>
      <c r="G211" s="3398"/>
      <c r="H211" s="3398"/>
      <c r="I211" s="3398"/>
      <c r="J211" s="3398"/>
      <c r="K211" s="3398"/>
      <c r="L211" s="3382"/>
      <c r="M211" s="3398"/>
      <c r="N211" s="3383">
        <f>SUM(N212:N215)</f>
        <v>8.1299969999999995</v>
      </c>
      <c r="O211" s="3398"/>
      <c r="P211" s="3398"/>
      <c r="Q211" s="3410">
        <f>SUM(Q212:Q215)</f>
        <v>0</v>
      </c>
    </row>
    <row r="212" spans="1:17" ht="82.5">
      <c r="A212" s="1314" t="s">
        <v>3271</v>
      </c>
      <c r="B212" s="1322"/>
      <c r="C212" s="1547" t="s">
        <v>4049</v>
      </c>
      <c r="D212" s="1547" t="s">
        <v>4720</v>
      </c>
      <c r="E212" s="1316"/>
      <c r="F212" s="1316"/>
      <c r="G212" s="1316"/>
      <c r="H212" s="1316"/>
      <c r="I212" s="1316"/>
      <c r="J212" s="1329" t="s">
        <v>6682</v>
      </c>
      <c r="K212" s="1554">
        <v>65333.3</v>
      </c>
      <c r="L212" s="1702">
        <f t="shared" ref="L212:L215" si="38">K212/100000</f>
        <v>0.65333300000000005</v>
      </c>
      <c r="M212" s="1554">
        <v>9</v>
      </c>
      <c r="N212" s="3385">
        <f>L212*M212</f>
        <v>5.8799970000000004</v>
      </c>
      <c r="O212" s="3397" t="s">
        <v>6796</v>
      </c>
      <c r="P212" s="1348"/>
      <c r="Q212" s="3388"/>
    </row>
    <row r="213" spans="1:17">
      <c r="A213" s="1314" t="s">
        <v>4051</v>
      </c>
      <c r="B213" s="1322"/>
      <c r="C213" s="1547" t="s">
        <v>4608</v>
      </c>
      <c r="D213" s="1547" t="s">
        <v>4720</v>
      </c>
      <c r="E213" s="1316"/>
      <c r="F213" s="1316"/>
      <c r="G213" s="1316"/>
      <c r="H213" s="1316"/>
      <c r="I213" s="1316"/>
      <c r="J213" s="1316"/>
      <c r="K213" s="1317"/>
      <c r="L213" s="1702">
        <f t="shared" si="38"/>
        <v>0</v>
      </c>
      <c r="M213" s="1317"/>
      <c r="N213" s="3385">
        <f>L213*M213</f>
        <v>0</v>
      </c>
      <c r="O213" s="1348"/>
      <c r="P213" s="1348"/>
      <c r="Q213" s="3388"/>
    </row>
    <row r="214" spans="1:17">
      <c r="A214" s="1314" t="s">
        <v>4052</v>
      </c>
      <c r="B214" s="1322"/>
      <c r="C214" s="1547" t="s">
        <v>4050</v>
      </c>
      <c r="D214" s="1547" t="s">
        <v>4720</v>
      </c>
      <c r="E214" s="1316"/>
      <c r="F214" s="1316"/>
      <c r="G214" s="1316"/>
      <c r="H214" s="1316"/>
      <c r="I214" s="1316"/>
      <c r="J214" s="1316"/>
      <c r="K214" s="1317"/>
      <c r="L214" s="1702">
        <f t="shared" si="38"/>
        <v>0</v>
      </c>
      <c r="M214" s="1317"/>
      <c r="N214" s="3385">
        <f>L214*M214</f>
        <v>0</v>
      </c>
      <c r="O214" s="1348"/>
      <c r="P214" s="1348"/>
      <c r="Q214" s="3388"/>
    </row>
    <row r="215" spans="1:17" ht="49.5">
      <c r="A215" s="1314" t="s">
        <v>4053</v>
      </c>
      <c r="B215" s="1322"/>
      <c r="C215" s="1547" t="s">
        <v>1243</v>
      </c>
      <c r="D215" s="1547" t="s">
        <v>4720</v>
      </c>
      <c r="E215" s="1316"/>
      <c r="F215" s="1316"/>
      <c r="G215" s="1316"/>
      <c r="H215" s="1316"/>
      <c r="I215" s="1316"/>
      <c r="J215" s="1316" t="s">
        <v>6652</v>
      </c>
      <c r="K215" s="1317">
        <v>25000</v>
      </c>
      <c r="L215" s="1702">
        <f t="shared" si="38"/>
        <v>0.25</v>
      </c>
      <c r="M215" s="1317">
        <v>9</v>
      </c>
      <c r="N215" s="3385">
        <f>L215*M215</f>
        <v>2.25</v>
      </c>
      <c r="O215" s="3456" t="s">
        <v>6797</v>
      </c>
      <c r="P215" s="1348"/>
      <c r="Q215" s="3388"/>
    </row>
    <row r="216" spans="1:17">
      <c r="A216" s="3382" t="s">
        <v>3272</v>
      </c>
      <c r="B216" s="3382"/>
      <c r="C216" s="3382" t="s">
        <v>31</v>
      </c>
      <c r="D216" s="3382"/>
      <c r="E216" s="3398"/>
      <c r="F216" s="3398"/>
      <c r="G216" s="3398"/>
      <c r="H216" s="3398"/>
      <c r="I216" s="3398"/>
      <c r="J216" s="3398"/>
      <c r="K216" s="3398"/>
      <c r="L216" s="3382"/>
      <c r="M216" s="3398"/>
      <c r="N216" s="3383">
        <f>SUM(N217:N221)</f>
        <v>30.549997600000005</v>
      </c>
      <c r="O216" s="3398"/>
      <c r="P216" s="3398"/>
      <c r="Q216" s="3410">
        <f>SUM(Q217:Q221)</f>
        <v>0</v>
      </c>
    </row>
    <row r="217" spans="1:17" ht="99">
      <c r="A217" s="1314" t="s">
        <v>3273</v>
      </c>
      <c r="B217" s="1322"/>
      <c r="C217" s="1331" t="s">
        <v>1252</v>
      </c>
      <c r="D217" s="1547" t="s">
        <v>4720</v>
      </c>
      <c r="E217" s="1316"/>
      <c r="F217" s="1316"/>
      <c r="G217" s="1316"/>
      <c r="H217" s="1316"/>
      <c r="I217" s="1316"/>
      <c r="J217" s="3457" t="s">
        <v>6683</v>
      </c>
      <c r="K217" s="1554">
        <v>142857.14000000001</v>
      </c>
      <c r="L217" s="1702">
        <f t="shared" ref="L217:L221" si="39">K217/100000</f>
        <v>1.4285714</v>
      </c>
      <c r="M217" s="1554">
        <v>14</v>
      </c>
      <c r="N217" s="3385">
        <f t="shared" ref="N217:N222" si="40">L217*M217</f>
        <v>19.999999600000002</v>
      </c>
      <c r="O217" s="3397" t="s">
        <v>6798</v>
      </c>
      <c r="P217" s="1348"/>
      <c r="Q217" s="3388"/>
    </row>
    <row r="218" spans="1:17" s="3998" customFormat="1" ht="82.5">
      <c r="A218" s="3999" t="s">
        <v>3274</v>
      </c>
      <c r="B218" s="4014"/>
      <c r="C218" s="4016" t="s">
        <v>4054</v>
      </c>
      <c r="D218" s="4015" t="s">
        <v>4720</v>
      </c>
      <c r="E218" s="3993"/>
      <c r="F218" s="3993"/>
      <c r="G218" s="3993"/>
      <c r="H218" s="3993"/>
      <c r="I218" s="3993"/>
      <c r="J218" s="3993" t="s">
        <v>6652</v>
      </c>
      <c r="K218" s="3653">
        <v>7318.18</v>
      </c>
      <c r="L218" s="3654">
        <f t="shared" si="39"/>
        <v>7.3181800000000005E-2</v>
      </c>
      <c r="M218" s="3653">
        <v>110</v>
      </c>
      <c r="N218" s="3994">
        <f t="shared" si="40"/>
        <v>8.0499980000000004</v>
      </c>
      <c r="O218" s="3995" t="s">
        <v>6887</v>
      </c>
      <c r="P218" s="3995"/>
      <c r="Q218" s="3997"/>
    </row>
    <row r="219" spans="1:17" ht="66">
      <c r="A219" s="1314" t="s">
        <v>4056</v>
      </c>
      <c r="B219" s="1322"/>
      <c r="C219" s="3458" t="s">
        <v>1255</v>
      </c>
      <c r="D219" s="1547" t="s">
        <v>4720</v>
      </c>
      <c r="E219" s="1316"/>
      <c r="F219" s="1316"/>
      <c r="G219" s="1316"/>
      <c r="H219" s="1316"/>
      <c r="I219" s="1316"/>
      <c r="J219" s="1329" t="s">
        <v>6652</v>
      </c>
      <c r="K219" s="1554">
        <v>10000</v>
      </c>
      <c r="L219" s="1702">
        <f t="shared" si="39"/>
        <v>0.1</v>
      </c>
      <c r="M219" s="1554">
        <v>25</v>
      </c>
      <c r="N219" s="3385">
        <f t="shared" si="40"/>
        <v>2.5</v>
      </c>
      <c r="O219" s="3456" t="s">
        <v>6799</v>
      </c>
      <c r="P219" s="1348"/>
      <c r="Q219" s="3388"/>
    </row>
    <row r="220" spans="1:17">
      <c r="A220" s="1314" t="s">
        <v>4057</v>
      </c>
      <c r="B220" s="1322"/>
      <c r="C220" s="1736" t="s">
        <v>4055</v>
      </c>
      <c r="D220" s="1547" t="s">
        <v>4720</v>
      </c>
      <c r="E220" s="1316"/>
      <c r="F220" s="1316"/>
      <c r="G220" s="1316"/>
      <c r="H220" s="1316"/>
      <c r="I220" s="1316"/>
      <c r="J220" s="1316"/>
      <c r="K220" s="1317"/>
      <c r="L220" s="1702">
        <f t="shared" si="39"/>
        <v>0</v>
      </c>
      <c r="M220" s="1317"/>
      <c r="N220" s="3385">
        <f t="shared" si="40"/>
        <v>0</v>
      </c>
      <c r="O220" s="1348"/>
      <c r="P220" s="1348"/>
      <c r="Q220" s="3388"/>
    </row>
    <row r="221" spans="1:17">
      <c r="A221" s="1314" t="s">
        <v>4058</v>
      </c>
      <c r="B221" s="1322"/>
      <c r="C221" s="1736" t="s">
        <v>1261</v>
      </c>
      <c r="D221" s="1547" t="s">
        <v>4720</v>
      </c>
      <c r="E221" s="1316"/>
      <c r="F221" s="1316"/>
      <c r="G221" s="1316"/>
      <c r="H221" s="1316"/>
      <c r="I221" s="1316"/>
      <c r="J221" s="1316"/>
      <c r="K221" s="1317"/>
      <c r="L221" s="1702">
        <f t="shared" si="39"/>
        <v>0</v>
      </c>
      <c r="M221" s="1317"/>
      <c r="N221" s="3385">
        <f t="shared" si="40"/>
        <v>0</v>
      </c>
      <c r="O221" s="1348"/>
      <c r="P221" s="1348"/>
      <c r="Q221" s="3388"/>
    </row>
    <row r="222" spans="1:17">
      <c r="A222" s="3382" t="s">
        <v>3275</v>
      </c>
      <c r="B222" s="3382"/>
      <c r="C222" s="3382" t="s">
        <v>2970</v>
      </c>
      <c r="D222" s="3382"/>
      <c r="E222" s="3398"/>
      <c r="F222" s="3398"/>
      <c r="G222" s="3398"/>
      <c r="H222" s="3398"/>
      <c r="I222" s="3398"/>
      <c r="J222" s="3398"/>
      <c r="K222" s="3444"/>
      <c r="L222" s="2152">
        <f>K222/100000</f>
        <v>0</v>
      </c>
      <c r="M222" s="3459"/>
      <c r="N222" s="2152">
        <f t="shared" si="40"/>
        <v>0</v>
      </c>
      <c r="O222" s="3398"/>
      <c r="P222" s="3398"/>
      <c r="Q222" s="3460"/>
    </row>
    <row r="223" spans="1:17">
      <c r="A223" s="3379" t="s">
        <v>3276</v>
      </c>
      <c r="B223" s="3379"/>
      <c r="C223" s="3379" t="s">
        <v>3082</v>
      </c>
      <c r="D223" s="3379"/>
      <c r="E223" s="3399"/>
      <c r="F223" s="3399"/>
      <c r="G223" s="3399"/>
      <c r="H223" s="3399"/>
      <c r="I223" s="3399"/>
      <c r="J223" s="3399"/>
      <c r="K223" s="3399"/>
      <c r="L223" s="3379"/>
      <c r="M223" s="3399"/>
      <c r="N223" s="3380">
        <f>N225</f>
        <v>6.6</v>
      </c>
      <c r="O223" s="3399"/>
      <c r="P223" s="3399"/>
      <c r="Q223" s="3446">
        <f>Q225</f>
        <v>0</v>
      </c>
    </row>
    <row r="224" spans="1:17" ht="33">
      <c r="A224" s="3286" t="s">
        <v>3277</v>
      </c>
      <c r="B224" s="3447"/>
      <c r="C224" s="1943" t="s">
        <v>3083</v>
      </c>
      <c r="D224" s="1943"/>
      <c r="E224" s="3449"/>
      <c r="F224" s="3449"/>
      <c r="G224" s="3449"/>
      <c r="H224" s="3449"/>
      <c r="I224" s="3449"/>
      <c r="J224" s="3449"/>
      <c r="K224" s="3449"/>
      <c r="L224" s="3450"/>
      <c r="M224" s="3451"/>
      <c r="N224" s="3450"/>
      <c r="O224" s="3452"/>
      <c r="P224" s="3453" t="s">
        <v>5299</v>
      </c>
      <c r="Q224" s="3454"/>
    </row>
    <row r="225" spans="1:17">
      <c r="A225" s="3382" t="s">
        <v>3278</v>
      </c>
      <c r="B225" s="3382"/>
      <c r="C225" s="3382" t="s">
        <v>32</v>
      </c>
      <c r="D225" s="3382"/>
      <c r="E225" s="3398"/>
      <c r="F225" s="3398"/>
      <c r="G225" s="3398"/>
      <c r="H225" s="3398"/>
      <c r="I225" s="3398"/>
      <c r="J225" s="3398"/>
      <c r="K225" s="3398"/>
      <c r="L225" s="3382"/>
      <c r="M225" s="3398"/>
      <c r="N225" s="3383">
        <f>N226</f>
        <v>6.6</v>
      </c>
      <c r="O225" s="3398"/>
      <c r="P225" s="3398"/>
      <c r="Q225" s="3410">
        <f>Q226</f>
        <v>0</v>
      </c>
    </row>
    <row r="226" spans="1:17" ht="49.5">
      <c r="A226" s="1314" t="s">
        <v>3279</v>
      </c>
      <c r="B226" s="1322"/>
      <c r="C226" s="1547" t="s">
        <v>3084</v>
      </c>
      <c r="D226" s="1547" t="s">
        <v>5341</v>
      </c>
      <c r="E226" s="1316"/>
      <c r="F226" s="1316"/>
      <c r="G226" s="1316"/>
      <c r="H226" s="1316"/>
      <c r="I226" s="1316"/>
      <c r="J226" s="1316" t="s">
        <v>6652</v>
      </c>
      <c r="K226" s="1317">
        <v>6000</v>
      </c>
      <c r="L226" s="1702">
        <f t="shared" ref="L226" si="41">K226/100000</f>
        <v>0.06</v>
      </c>
      <c r="M226" s="1317">
        <v>110</v>
      </c>
      <c r="N226" s="3385">
        <f>L226*M226</f>
        <v>6.6</v>
      </c>
      <c r="O226" s="3397" t="s">
        <v>6684</v>
      </c>
      <c r="P226" s="1348"/>
      <c r="Q226" s="3388"/>
    </row>
    <row r="227" spans="1:17">
      <c r="A227" s="3379" t="s">
        <v>3280</v>
      </c>
      <c r="B227" s="3379"/>
      <c r="C227" s="3379" t="s">
        <v>33</v>
      </c>
      <c r="D227" s="3379"/>
      <c r="E227" s="3399"/>
      <c r="F227" s="3399"/>
      <c r="G227" s="3399"/>
      <c r="H227" s="3399"/>
      <c r="I227" s="3399"/>
      <c r="J227" s="3399"/>
      <c r="K227" s="3399"/>
      <c r="L227" s="3379"/>
      <c r="M227" s="3399"/>
      <c r="N227" s="3380">
        <f>SUM(N228:N229)</f>
        <v>0</v>
      </c>
      <c r="O227" s="3399"/>
      <c r="P227" s="3399"/>
      <c r="Q227" s="3446">
        <f>SUM(Q228:Q229)</f>
        <v>0</v>
      </c>
    </row>
    <row r="228" spans="1:17" ht="33">
      <c r="A228" s="1314" t="s">
        <v>3281</v>
      </c>
      <c r="B228" s="1314"/>
      <c r="C228" s="1314" t="s">
        <v>5339</v>
      </c>
      <c r="D228" s="1314" t="s">
        <v>5342</v>
      </c>
      <c r="E228" s="1348"/>
      <c r="F228" s="1348"/>
      <c r="G228" s="1348"/>
      <c r="H228" s="1348"/>
      <c r="I228" s="1348"/>
      <c r="J228" s="1348"/>
      <c r="K228" s="1317"/>
      <c r="L228" s="1702">
        <f t="shared" ref="L228:L229" si="42">K228/100000</f>
        <v>0</v>
      </c>
      <c r="M228" s="1317"/>
      <c r="N228" s="3385">
        <f>L228*M228</f>
        <v>0</v>
      </c>
      <c r="O228" s="1348"/>
      <c r="P228" s="1348"/>
      <c r="Q228" s="3388"/>
    </row>
    <row r="229" spans="1:17">
      <c r="A229" s="1314" t="s">
        <v>3929</v>
      </c>
      <c r="B229" s="1314"/>
      <c r="C229" s="1314" t="s">
        <v>307</v>
      </c>
      <c r="D229" s="1314" t="s">
        <v>5341</v>
      </c>
      <c r="E229" s="1348"/>
      <c r="F229" s="1348"/>
      <c r="G229" s="1348"/>
      <c r="H229" s="1348"/>
      <c r="I229" s="1348"/>
      <c r="J229" s="1348"/>
      <c r="K229" s="1317"/>
      <c r="L229" s="1702">
        <f t="shared" si="42"/>
        <v>0</v>
      </c>
      <c r="M229" s="1317"/>
      <c r="N229" s="3385">
        <f>L229*M229</f>
        <v>0</v>
      </c>
      <c r="O229" s="1348"/>
      <c r="P229" s="1348"/>
      <c r="Q229" s="3388"/>
    </row>
    <row r="230" spans="1:17">
      <c r="A230" s="3379" t="s">
        <v>3282</v>
      </c>
      <c r="B230" s="3379"/>
      <c r="C230" s="3379" t="s">
        <v>34</v>
      </c>
      <c r="D230" s="3379"/>
      <c r="E230" s="3399"/>
      <c r="F230" s="3399"/>
      <c r="G230" s="3399"/>
      <c r="H230" s="3399"/>
      <c r="I230" s="3399"/>
      <c r="J230" s="3399"/>
      <c r="K230" s="3399"/>
      <c r="L230" s="3379"/>
      <c r="M230" s="3399"/>
      <c r="N230" s="3380">
        <f>N231+N257</f>
        <v>389.140376</v>
      </c>
      <c r="O230" s="3399"/>
      <c r="P230" s="3399"/>
      <c r="Q230" s="3446">
        <f>Q231+Q257</f>
        <v>0</v>
      </c>
    </row>
    <row r="231" spans="1:17">
      <c r="A231" s="3382" t="s">
        <v>3283</v>
      </c>
      <c r="B231" s="3382"/>
      <c r="C231" s="2668" t="s">
        <v>2154</v>
      </c>
      <c r="D231" s="2668"/>
      <c r="E231" s="3398"/>
      <c r="F231" s="3398"/>
      <c r="G231" s="3398"/>
      <c r="H231" s="3398"/>
      <c r="I231" s="3398"/>
      <c r="J231" s="3398"/>
      <c r="K231" s="3398"/>
      <c r="L231" s="3382"/>
      <c r="M231" s="3398"/>
      <c r="N231" s="3383">
        <f>N232+N233+N239+N245+N250</f>
        <v>132.92989</v>
      </c>
      <c r="O231" s="3398"/>
      <c r="P231" s="3398"/>
      <c r="Q231" s="3410">
        <f>Q232+Q233+Q239+Q245+Q250</f>
        <v>0</v>
      </c>
    </row>
    <row r="232" spans="1:17">
      <c r="A232" s="1519" t="s">
        <v>3284</v>
      </c>
      <c r="B232" s="1519"/>
      <c r="C232" s="1519" t="s">
        <v>35</v>
      </c>
      <c r="D232" s="1519"/>
      <c r="E232" s="3401"/>
      <c r="F232" s="3401"/>
      <c r="G232" s="3401"/>
      <c r="H232" s="3401"/>
      <c r="I232" s="3401"/>
      <c r="J232" s="3401"/>
      <c r="K232" s="1538"/>
      <c r="L232" s="3461"/>
      <c r="M232" s="1538"/>
      <c r="N232" s="1678">
        <f>L232*M232</f>
        <v>0</v>
      </c>
      <c r="O232" s="3401"/>
      <c r="P232" s="3401"/>
      <c r="Q232" s="1725"/>
    </row>
    <row r="233" spans="1:17">
      <c r="A233" s="1519" t="s">
        <v>3933</v>
      </c>
      <c r="B233" s="1519"/>
      <c r="C233" s="1519" t="s">
        <v>37</v>
      </c>
      <c r="D233" s="1519"/>
      <c r="E233" s="3401"/>
      <c r="F233" s="3401"/>
      <c r="G233" s="3401"/>
      <c r="H233" s="3401"/>
      <c r="I233" s="3401"/>
      <c r="J233" s="3401"/>
      <c r="K233" s="3401"/>
      <c r="L233" s="1519"/>
      <c r="M233" s="3401"/>
      <c r="N233" s="1678">
        <f>N234+N235+N238</f>
        <v>25.55</v>
      </c>
      <c r="O233" s="3401"/>
      <c r="P233" s="3401"/>
      <c r="Q233" s="1725">
        <f>Q234+Q235+Q238</f>
        <v>0</v>
      </c>
    </row>
    <row r="234" spans="1:17" ht="49.5">
      <c r="A234" s="1314" t="s">
        <v>4385</v>
      </c>
      <c r="B234" s="1314" t="s">
        <v>3085</v>
      </c>
      <c r="C234" s="1314" t="s">
        <v>3086</v>
      </c>
      <c r="D234" s="3462" t="s">
        <v>5347</v>
      </c>
      <c r="E234" s="3463"/>
      <c r="F234" s="1348"/>
      <c r="G234" s="1348"/>
      <c r="H234" s="1348"/>
      <c r="I234" s="1348"/>
      <c r="J234" s="1348" t="s">
        <v>6685</v>
      </c>
      <c r="K234" s="1317">
        <v>25000</v>
      </c>
      <c r="L234" s="1702">
        <f t="shared" ref="L234" si="43">K234/100000</f>
        <v>0.25</v>
      </c>
      <c r="M234" s="1317">
        <v>9</v>
      </c>
      <c r="N234" s="3385">
        <f>L234*M234</f>
        <v>2.25</v>
      </c>
      <c r="O234" s="3397" t="s">
        <v>6800</v>
      </c>
      <c r="P234" s="1348"/>
      <c r="Q234" s="3388"/>
    </row>
    <row r="235" spans="1:17" s="1668" customFormat="1">
      <c r="A235" s="3464" t="s">
        <v>4386</v>
      </c>
      <c r="B235" s="3464" t="s">
        <v>3087</v>
      </c>
      <c r="C235" s="3465" t="s">
        <v>2200</v>
      </c>
      <c r="D235" s="3465"/>
      <c r="E235" s="3466"/>
      <c r="F235" s="3466"/>
      <c r="G235" s="3466"/>
      <c r="H235" s="3466"/>
      <c r="I235" s="3466"/>
      <c r="J235" s="3466"/>
      <c r="K235" s="3466"/>
      <c r="L235" s="3467"/>
      <c r="M235" s="3468"/>
      <c r="N235" s="3467">
        <f>N236+N237</f>
        <v>18.8</v>
      </c>
      <c r="O235" s="3466"/>
      <c r="P235" s="3466"/>
      <c r="Q235" s="3469">
        <f>Q236+Q237</f>
        <v>0</v>
      </c>
    </row>
    <row r="236" spans="1:17" s="1668" customFormat="1" ht="49.5">
      <c r="A236" s="1308" t="s">
        <v>4563</v>
      </c>
      <c r="B236" s="1308"/>
      <c r="C236" s="1308" t="s">
        <v>3088</v>
      </c>
      <c r="D236" s="1308" t="s">
        <v>5345</v>
      </c>
      <c r="E236" s="2127"/>
      <c r="F236" s="2127"/>
      <c r="G236" s="2127"/>
      <c r="H236" s="2127"/>
      <c r="I236" s="2127"/>
      <c r="J236" s="3397" t="s">
        <v>6652</v>
      </c>
      <c r="K236" s="1554">
        <v>8000</v>
      </c>
      <c r="L236" s="1702">
        <f t="shared" ref="L236:L238" si="44">K236/100000</f>
        <v>0.08</v>
      </c>
      <c r="M236" s="1554">
        <v>110</v>
      </c>
      <c r="N236" s="2197">
        <f>L236*M236</f>
        <v>8.8000000000000007</v>
      </c>
      <c r="O236" s="3397" t="s">
        <v>6686</v>
      </c>
      <c r="P236" s="2127"/>
      <c r="Q236" s="3396"/>
    </row>
    <row r="237" spans="1:17" s="1668" customFormat="1" ht="33">
      <c r="A237" s="1308" t="s">
        <v>4564</v>
      </c>
      <c r="B237" s="1308"/>
      <c r="C237" s="3470" t="s">
        <v>2421</v>
      </c>
      <c r="D237" s="1308" t="s">
        <v>5348</v>
      </c>
      <c r="E237" s="2127"/>
      <c r="F237" s="2127"/>
      <c r="G237" s="2127"/>
      <c r="H237" s="2127"/>
      <c r="I237" s="2127"/>
      <c r="J237" s="2127" t="s">
        <v>6652</v>
      </c>
      <c r="K237" s="1317">
        <v>40000</v>
      </c>
      <c r="L237" s="1702">
        <f t="shared" si="44"/>
        <v>0.4</v>
      </c>
      <c r="M237" s="1317">
        <v>25</v>
      </c>
      <c r="N237" s="2197">
        <f>L237*M237</f>
        <v>10</v>
      </c>
      <c r="O237" s="3397" t="s">
        <v>6687</v>
      </c>
      <c r="P237" s="2127"/>
      <c r="Q237" s="3396"/>
    </row>
    <row r="238" spans="1:17" ht="33">
      <c r="A238" s="1308" t="s">
        <v>4387</v>
      </c>
      <c r="B238" s="1308"/>
      <c r="C238" s="1308" t="s">
        <v>2970</v>
      </c>
      <c r="D238" s="1308" t="s">
        <v>5345</v>
      </c>
      <c r="E238" s="1348"/>
      <c r="F238" s="1348"/>
      <c r="G238" s="1348"/>
      <c r="H238" s="1348"/>
      <c r="I238" s="1348"/>
      <c r="J238" s="3397" t="s">
        <v>6629</v>
      </c>
      <c r="K238" s="1554">
        <v>50000</v>
      </c>
      <c r="L238" s="1702">
        <f t="shared" si="44"/>
        <v>0.5</v>
      </c>
      <c r="M238" s="1554">
        <v>9</v>
      </c>
      <c r="N238" s="3385">
        <f>L238*M238</f>
        <v>4.5</v>
      </c>
      <c r="O238" s="3397" t="s">
        <v>6727</v>
      </c>
      <c r="P238" s="1348"/>
      <c r="Q238" s="3388"/>
    </row>
    <row r="239" spans="1:17">
      <c r="A239" s="1519" t="s">
        <v>3934</v>
      </c>
      <c r="B239" s="1519"/>
      <c r="C239" s="1519" t="s">
        <v>36</v>
      </c>
      <c r="D239" s="1519"/>
      <c r="E239" s="3401"/>
      <c r="F239" s="3401"/>
      <c r="G239" s="3401"/>
      <c r="H239" s="3401"/>
      <c r="I239" s="3401"/>
      <c r="J239" s="3401"/>
      <c r="K239" s="3401"/>
      <c r="L239" s="1519"/>
      <c r="M239" s="3401"/>
      <c r="N239" s="1678">
        <f>SUM(N240:N244)</f>
        <v>74.400000000000006</v>
      </c>
      <c r="O239" s="3401"/>
      <c r="P239" s="3401"/>
      <c r="Q239" s="1725">
        <f>SUM(Q240:Q244)</f>
        <v>0</v>
      </c>
    </row>
    <row r="240" spans="1:17" ht="33">
      <c r="A240" s="1308" t="s">
        <v>4388</v>
      </c>
      <c r="B240" s="1308" t="s">
        <v>3085</v>
      </c>
      <c r="C240" s="1314" t="s">
        <v>3086</v>
      </c>
      <c r="D240" s="3462" t="s">
        <v>5347</v>
      </c>
      <c r="E240" s="1348"/>
      <c r="F240" s="1348"/>
      <c r="G240" s="1348"/>
      <c r="H240" s="1348"/>
      <c r="I240" s="1348"/>
      <c r="J240" s="1348"/>
      <c r="K240" s="1317"/>
      <c r="L240" s="1702">
        <f t="shared" ref="L240:L244" si="45">K240/100000</f>
        <v>0</v>
      </c>
      <c r="M240" s="1317"/>
      <c r="N240" s="3385">
        <f>L240*M240</f>
        <v>0</v>
      </c>
      <c r="O240" s="1348"/>
      <c r="P240" s="1348"/>
      <c r="Q240" s="3388"/>
    </row>
    <row r="241" spans="1:17" ht="33">
      <c r="A241" s="1308" t="s">
        <v>4389</v>
      </c>
      <c r="B241" s="1308" t="s">
        <v>3098</v>
      </c>
      <c r="C241" s="1314" t="s">
        <v>3832</v>
      </c>
      <c r="D241" s="1308" t="s">
        <v>5345</v>
      </c>
      <c r="E241" s="1348"/>
      <c r="F241" s="1348"/>
      <c r="G241" s="1348"/>
      <c r="H241" s="1348"/>
      <c r="I241" s="1348"/>
      <c r="J241" s="1348" t="s">
        <v>6688</v>
      </c>
      <c r="K241" s="1317">
        <v>35000</v>
      </c>
      <c r="L241" s="1702">
        <f t="shared" si="45"/>
        <v>0.35</v>
      </c>
      <c r="M241" s="1317">
        <v>12</v>
      </c>
      <c r="N241" s="3385">
        <f>L241*M241</f>
        <v>4.1999999999999993</v>
      </c>
      <c r="O241" s="3397" t="s">
        <v>6690</v>
      </c>
      <c r="P241" s="1348"/>
      <c r="Q241" s="3388"/>
    </row>
    <row r="242" spans="1:17" ht="49.5">
      <c r="A242" s="1308" t="s">
        <v>4390</v>
      </c>
      <c r="B242" s="1308" t="s">
        <v>3106</v>
      </c>
      <c r="C242" s="1314" t="s">
        <v>3833</v>
      </c>
      <c r="D242" s="1308" t="s">
        <v>5345</v>
      </c>
      <c r="E242" s="1348"/>
      <c r="F242" s="1348"/>
      <c r="G242" s="1348"/>
      <c r="H242" s="1348"/>
      <c r="I242" s="1348"/>
      <c r="J242" s="1348" t="s">
        <v>6321</v>
      </c>
      <c r="K242" s="2179">
        <v>300000</v>
      </c>
      <c r="L242" s="1702">
        <f t="shared" si="45"/>
        <v>3</v>
      </c>
      <c r="M242" s="1317">
        <v>22</v>
      </c>
      <c r="N242" s="3385">
        <f>L242*M242</f>
        <v>66</v>
      </c>
      <c r="O242" s="3397" t="s">
        <v>6691</v>
      </c>
      <c r="P242" s="1348"/>
      <c r="Q242" s="3388"/>
    </row>
    <row r="243" spans="1:17" ht="33">
      <c r="A243" s="1308" t="s">
        <v>4391</v>
      </c>
      <c r="B243" s="1308" t="s">
        <v>3112</v>
      </c>
      <c r="C243" s="1314" t="s">
        <v>4397</v>
      </c>
      <c r="D243" s="1308" t="s">
        <v>5345</v>
      </c>
      <c r="E243" s="1348"/>
      <c r="F243" s="1348"/>
      <c r="G243" s="1348"/>
      <c r="H243" s="1348"/>
      <c r="I243" s="1348"/>
      <c r="J243" s="1348" t="s">
        <v>6689</v>
      </c>
      <c r="K243" s="1317">
        <v>35000</v>
      </c>
      <c r="L243" s="1702">
        <f t="shared" si="45"/>
        <v>0.35</v>
      </c>
      <c r="M243" s="1317">
        <v>12</v>
      </c>
      <c r="N243" s="3385">
        <f>L243*M243</f>
        <v>4.1999999999999993</v>
      </c>
      <c r="O243" s="3397" t="s">
        <v>6692</v>
      </c>
      <c r="P243" s="1348"/>
      <c r="Q243" s="3388"/>
    </row>
    <row r="244" spans="1:17">
      <c r="A244" s="1308" t="s">
        <v>4392</v>
      </c>
      <c r="B244" s="1308"/>
      <c r="C244" s="1314" t="s">
        <v>2970</v>
      </c>
      <c r="D244" s="1308" t="s">
        <v>5345</v>
      </c>
      <c r="E244" s="1348"/>
      <c r="F244" s="1348"/>
      <c r="G244" s="1348"/>
      <c r="H244" s="1348"/>
      <c r="I244" s="1348"/>
      <c r="J244" s="1348"/>
      <c r="K244" s="1317"/>
      <c r="L244" s="1702">
        <f t="shared" si="45"/>
        <v>0</v>
      </c>
      <c r="M244" s="1317"/>
      <c r="N244" s="3385">
        <f>L244*M244</f>
        <v>0</v>
      </c>
      <c r="O244" s="1348"/>
      <c r="P244" s="1348"/>
      <c r="Q244" s="3388"/>
    </row>
    <row r="245" spans="1:17">
      <c r="A245" s="1519" t="s">
        <v>3935</v>
      </c>
      <c r="B245" s="1519"/>
      <c r="C245" s="1519" t="s">
        <v>2134</v>
      </c>
      <c r="D245" s="1519"/>
      <c r="E245" s="3401"/>
      <c r="F245" s="3401"/>
      <c r="G245" s="3401"/>
      <c r="H245" s="3401"/>
      <c r="I245" s="3401"/>
      <c r="J245" s="3401"/>
      <c r="K245" s="3401"/>
      <c r="L245" s="1519"/>
      <c r="M245" s="3401"/>
      <c r="N245" s="1678">
        <f>SUM(N246:N249)</f>
        <v>11.2</v>
      </c>
      <c r="O245" s="3471"/>
      <c r="P245" s="3471"/>
      <c r="Q245" s="1725">
        <f>SUM(Q246:Q249)</f>
        <v>0</v>
      </c>
    </row>
    <row r="246" spans="1:17">
      <c r="A246" s="1308" t="s">
        <v>4393</v>
      </c>
      <c r="B246" s="3472"/>
      <c r="C246" s="3473" t="s">
        <v>3839</v>
      </c>
      <c r="D246" s="1308" t="s">
        <v>5345</v>
      </c>
      <c r="E246" s="1316"/>
      <c r="F246" s="1316"/>
      <c r="G246" s="1316"/>
      <c r="H246" s="1316"/>
      <c r="I246" s="1316"/>
      <c r="J246" s="1316"/>
      <c r="K246" s="1317"/>
      <c r="L246" s="1702">
        <f t="shared" ref="L246:L249" si="46">K246/100000</f>
        <v>0</v>
      </c>
      <c r="M246" s="1317"/>
      <c r="N246" s="3385">
        <f>L246*M246</f>
        <v>0</v>
      </c>
      <c r="O246" s="1348"/>
      <c r="P246" s="1348"/>
      <c r="Q246" s="3388"/>
    </row>
    <row r="247" spans="1:17" ht="33">
      <c r="A247" s="1308" t="s">
        <v>4394</v>
      </c>
      <c r="B247" s="1308" t="s">
        <v>3099</v>
      </c>
      <c r="C247" s="1308" t="s">
        <v>3834</v>
      </c>
      <c r="D247" s="1308" t="s">
        <v>5345</v>
      </c>
      <c r="E247" s="1348"/>
      <c r="F247" s="1348"/>
      <c r="G247" s="1348"/>
      <c r="H247" s="1348"/>
      <c r="I247" s="1348"/>
      <c r="J247" s="3400" t="s">
        <v>6693</v>
      </c>
      <c r="K247" s="1317">
        <v>50000</v>
      </c>
      <c r="L247" s="1702">
        <f t="shared" si="46"/>
        <v>0.5</v>
      </c>
      <c r="M247" s="1317">
        <v>12</v>
      </c>
      <c r="N247" s="3385">
        <f>L247*M247</f>
        <v>6</v>
      </c>
      <c r="O247" s="1348" t="s">
        <v>6694</v>
      </c>
      <c r="P247" s="1348"/>
      <c r="Q247" s="3388"/>
    </row>
    <row r="248" spans="1:17" ht="33">
      <c r="A248" s="1308" t="s">
        <v>4395</v>
      </c>
      <c r="B248" s="1308" t="s">
        <v>3107</v>
      </c>
      <c r="C248" s="1308" t="s">
        <v>3835</v>
      </c>
      <c r="D248" s="1308" t="s">
        <v>5345</v>
      </c>
      <c r="E248" s="1348"/>
      <c r="F248" s="1348"/>
      <c r="G248" s="1348"/>
      <c r="H248" s="1348"/>
      <c r="I248" s="1348"/>
      <c r="J248" s="3400" t="s">
        <v>6693</v>
      </c>
      <c r="K248" s="1317">
        <v>10000</v>
      </c>
      <c r="L248" s="1702">
        <f t="shared" si="46"/>
        <v>0.1</v>
      </c>
      <c r="M248" s="1317">
        <v>22</v>
      </c>
      <c r="N248" s="3385">
        <f>L248*M248</f>
        <v>2.2000000000000002</v>
      </c>
      <c r="O248" s="1348" t="s">
        <v>6695</v>
      </c>
      <c r="P248" s="1348"/>
      <c r="Q248" s="3388"/>
    </row>
    <row r="249" spans="1:17" ht="33">
      <c r="A249" s="1308" t="s">
        <v>4396</v>
      </c>
      <c r="B249" s="1308" t="s">
        <v>3113</v>
      </c>
      <c r="C249" s="1308" t="s">
        <v>4398</v>
      </c>
      <c r="D249" s="1308" t="s">
        <v>5345</v>
      </c>
      <c r="E249" s="1348"/>
      <c r="F249" s="1348"/>
      <c r="G249" s="1348"/>
      <c r="H249" s="1348"/>
      <c r="I249" s="1348"/>
      <c r="J249" s="3400" t="s">
        <v>6693</v>
      </c>
      <c r="K249" s="1317">
        <v>25000</v>
      </c>
      <c r="L249" s="1702">
        <f t="shared" si="46"/>
        <v>0.25</v>
      </c>
      <c r="M249" s="1317">
        <v>12</v>
      </c>
      <c r="N249" s="3385">
        <f>L249*M249</f>
        <v>3</v>
      </c>
      <c r="O249" s="1348" t="s">
        <v>6696</v>
      </c>
      <c r="P249" s="1348"/>
      <c r="Q249" s="3388"/>
    </row>
    <row r="250" spans="1:17">
      <c r="A250" s="1519" t="s">
        <v>3944</v>
      </c>
      <c r="B250" s="1519"/>
      <c r="C250" s="1519" t="s">
        <v>2307</v>
      </c>
      <c r="D250" s="1519"/>
      <c r="E250" s="3401"/>
      <c r="F250" s="3401"/>
      <c r="G250" s="3401"/>
      <c r="H250" s="3401"/>
      <c r="I250" s="3401"/>
      <c r="J250" s="3401"/>
      <c r="K250" s="3401"/>
      <c r="L250" s="1519"/>
      <c r="M250" s="3401"/>
      <c r="N250" s="1678">
        <f>N251</f>
        <v>21.779889999999998</v>
      </c>
      <c r="O250" s="3401"/>
      <c r="P250" s="3401"/>
      <c r="Q250" s="1725">
        <f>Q251</f>
        <v>0</v>
      </c>
    </row>
    <row r="251" spans="1:17" s="1668" customFormat="1">
      <c r="A251" s="1549" t="s">
        <v>3945</v>
      </c>
      <c r="B251" s="1549" t="s">
        <v>3089</v>
      </c>
      <c r="C251" s="1549" t="s">
        <v>3090</v>
      </c>
      <c r="D251" s="1549"/>
      <c r="E251" s="1821"/>
      <c r="F251" s="1821"/>
      <c r="G251" s="1821"/>
      <c r="H251" s="1821"/>
      <c r="I251" s="1821"/>
      <c r="J251" s="1821"/>
      <c r="K251" s="1821"/>
      <c r="L251" s="1702">
        <f t="shared" ref="L251:L254" si="47">K251/100000</f>
        <v>0</v>
      </c>
      <c r="M251" s="1821"/>
      <c r="N251" s="3417">
        <f>SUM(N252:N254)</f>
        <v>21.779889999999998</v>
      </c>
      <c r="O251" s="1821"/>
      <c r="P251" s="1821"/>
      <c r="Q251" s="3474">
        <f>SUM(Q252:Q254)</f>
        <v>0</v>
      </c>
    </row>
    <row r="252" spans="1:17" s="1668" customFormat="1">
      <c r="A252" s="1528" t="s">
        <v>3946</v>
      </c>
      <c r="B252" s="1308" t="s">
        <v>3091</v>
      </c>
      <c r="C252" s="1308" t="s">
        <v>3092</v>
      </c>
      <c r="D252" s="1308" t="s">
        <v>5345</v>
      </c>
      <c r="E252" s="2127"/>
      <c r="F252" s="2127"/>
      <c r="G252" s="2127"/>
      <c r="H252" s="2127"/>
      <c r="I252" s="2127"/>
      <c r="J252" s="2127"/>
      <c r="K252" s="1317"/>
      <c r="L252" s="1702">
        <f t="shared" si="47"/>
        <v>0</v>
      </c>
      <c r="M252" s="1317"/>
      <c r="N252" s="2197">
        <f>L252*M252</f>
        <v>0</v>
      </c>
      <c r="O252" s="2127"/>
      <c r="P252" s="2127"/>
      <c r="Q252" s="3396"/>
    </row>
    <row r="253" spans="1:17">
      <c r="A253" s="1528" t="s">
        <v>3947</v>
      </c>
      <c r="B253" s="1314" t="s">
        <v>3093</v>
      </c>
      <c r="C253" s="1314" t="s">
        <v>3094</v>
      </c>
      <c r="D253" s="1308" t="s">
        <v>5345</v>
      </c>
      <c r="E253" s="1348"/>
      <c r="F253" s="1348"/>
      <c r="G253" s="1348"/>
      <c r="H253" s="1348"/>
      <c r="I253" s="1348"/>
      <c r="J253" s="1348"/>
      <c r="K253" s="1317"/>
      <c r="L253" s="1702">
        <f t="shared" si="47"/>
        <v>0</v>
      </c>
      <c r="M253" s="1317"/>
      <c r="N253" s="3385">
        <f>L253*M253</f>
        <v>0</v>
      </c>
      <c r="O253" s="1348"/>
      <c r="P253" s="1348"/>
      <c r="Q253" s="3388"/>
    </row>
    <row r="254" spans="1:17" ht="82.5">
      <c r="A254" s="1528" t="s">
        <v>3948</v>
      </c>
      <c r="B254" s="1314"/>
      <c r="C254" s="1314" t="s">
        <v>2970</v>
      </c>
      <c r="D254" s="1308" t="s">
        <v>5345</v>
      </c>
      <c r="E254" s="1348"/>
      <c r="F254" s="1348"/>
      <c r="G254" s="1348"/>
      <c r="H254" s="1348"/>
      <c r="I254" s="1348"/>
      <c r="J254" s="1348" t="s">
        <v>6697</v>
      </c>
      <c r="K254" s="1317">
        <v>3553</v>
      </c>
      <c r="L254" s="1702">
        <f t="shared" si="47"/>
        <v>3.5529999999999999E-2</v>
      </c>
      <c r="M254" s="1317">
        <v>613</v>
      </c>
      <c r="N254" s="3385">
        <f>L254*M254</f>
        <v>21.779889999999998</v>
      </c>
      <c r="O254" s="3397" t="s">
        <v>6698</v>
      </c>
      <c r="P254" s="1348"/>
      <c r="Q254" s="3388"/>
    </row>
    <row r="255" spans="1:17">
      <c r="A255" s="3382" t="s">
        <v>3285</v>
      </c>
      <c r="B255" s="3382"/>
      <c r="C255" s="3382" t="s">
        <v>2907</v>
      </c>
      <c r="D255" s="3382"/>
      <c r="E255" s="3475"/>
      <c r="F255" s="3475"/>
      <c r="G255" s="3475"/>
      <c r="H255" s="3475"/>
      <c r="I255" s="3475"/>
      <c r="J255" s="3475"/>
      <c r="K255" s="3475"/>
      <c r="L255" s="3450"/>
      <c r="M255" s="3451"/>
      <c r="N255" s="3450"/>
      <c r="O255" s="3476"/>
      <c r="P255" s="3453" t="s">
        <v>5299</v>
      </c>
      <c r="Q255" s="3454"/>
    </row>
    <row r="256" spans="1:17">
      <c r="A256" s="3382" t="s">
        <v>3286</v>
      </c>
      <c r="B256" s="3382"/>
      <c r="C256" s="3382" t="s">
        <v>2909</v>
      </c>
      <c r="D256" s="3382"/>
      <c r="E256" s="3475"/>
      <c r="F256" s="3475"/>
      <c r="G256" s="3475"/>
      <c r="H256" s="3475"/>
      <c r="I256" s="3475"/>
      <c r="J256" s="3475"/>
      <c r="K256" s="3475"/>
      <c r="L256" s="3450"/>
      <c r="M256" s="3451"/>
      <c r="N256" s="3450"/>
      <c r="O256" s="3476"/>
      <c r="P256" s="3453" t="s">
        <v>5299</v>
      </c>
      <c r="Q256" s="3454"/>
    </row>
    <row r="257" spans="1:17">
      <c r="A257" s="3382" t="s">
        <v>3287</v>
      </c>
      <c r="B257" s="3382"/>
      <c r="C257" s="3382" t="s">
        <v>41</v>
      </c>
      <c r="D257" s="3382"/>
      <c r="E257" s="3398"/>
      <c r="F257" s="3398"/>
      <c r="G257" s="3398"/>
      <c r="H257" s="3398"/>
      <c r="I257" s="3398"/>
      <c r="J257" s="3398"/>
      <c r="K257" s="3398"/>
      <c r="L257" s="3382"/>
      <c r="M257" s="3398"/>
      <c r="N257" s="3383">
        <f>N258+N262+N265+N268+N269</f>
        <v>256.210486</v>
      </c>
      <c r="O257" s="3398"/>
      <c r="P257" s="3398"/>
      <c r="Q257" s="3410">
        <f>Q258+Q262+Q265+Q268+Q269</f>
        <v>0</v>
      </c>
    </row>
    <row r="258" spans="1:17">
      <c r="A258" s="1519" t="s">
        <v>3288</v>
      </c>
      <c r="B258" s="1519" t="s">
        <v>3095</v>
      </c>
      <c r="C258" s="1519" t="s">
        <v>3096</v>
      </c>
      <c r="D258" s="1519"/>
      <c r="E258" s="3401"/>
      <c r="F258" s="3401"/>
      <c r="G258" s="3401"/>
      <c r="H258" s="3401"/>
      <c r="I258" s="3401"/>
      <c r="J258" s="3401"/>
      <c r="K258" s="3401"/>
      <c r="L258" s="1519"/>
      <c r="M258" s="3401"/>
      <c r="N258" s="1678">
        <f>SUM(N259:N261)</f>
        <v>18.874199999999998</v>
      </c>
      <c r="O258" s="3401"/>
      <c r="P258" s="3401"/>
      <c r="Q258" s="1725">
        <f>SUM(Q259:Q261)</f>
        <v>0</v>
      </c>
    </row>
    <row r="259" spans="1:17" s="3998" customFormat="1" ht="198">
      <c r="A259" s="3999" t="s">
        <v>3936</v>
      </c>
      <c r="B259" s="3999" t="s">
        <v>3097</v>
      </c>
      <c r="C259" s="3999" t="s">
        <v>41</v>
      </c>
      <c r="D259" s="3999" t="s">
        <v>5345</v>
      </c>
      <c r="E259" s="3995"/>
      <c r="F259" s="3995"/>
      <c r="G259" s="3995"/>
      <c r="H259" s="3995"/>
      <c r="I259" s="3995"/>
      <c r="J259" s="3995" t="s">
        <v>6699</v>
      </c>
      <c r="K259" s="4017">
        <v>471855</v>
      </c>
      <c r="L259" s="3654">
        <f t="shared" ref="L259:L261" si="48">K259/100000</f>
        <v>4.7185499999999996</v>
      </c>
      <c r="M259" s="3653">
        <v>4</v>
      </c>
      <c r="N259" s="3994">
        <f>L259*M259</f>
        <v>18.874199999999998</v>
      </c>
      <c r="O259" s="3995" t="s">
        <v>6888</v>
      </c>
      <c r="P259" s="3995"/>
      <c r="Q259" s="3997"/>
    </row>
    <row r="260" spans="1:17">
      <c r="A260" s="1308" t="s">
        <v>3937</v>
      </c>
      <c r="B260" s="1314" t="s">
        <v>3100</v>
      </c>
      <c r="C260" s="1314" t="s">
        <v>3101</v>
      </c>
      <c r="D260" s="1308" t="s">
        <v>5345</v>
      </c>
      <c r="E260" s="1348"/>
      <c r="F260" s="1348"/>
      <c r="G260" s="1348"/>
      <c r="H260" s="1348"/>
      <c r="I260" s="1348"/>
      <c r="J260" s="1348"/>
      <c r="K260" s="1317"/>
      <c r="L260" s="1702">
        <f t="shared" si="48"/>
        <v>0</v>
      </c>
      <c r="M260" s="1317"/>
      <c r="N260" s="3385">
        <f>L260*M260</f>
        <v>0</v>
      </c>
      <c r="O260" s="1348"/>
      <c r="P260" s="1348"/>
      <c r="Q260" s="3388"/>
    </row>
    <row r="261" spans="1:17">
      <c r="A261" s="1314" t="s">
        <v>3938</v>
      </c>
      <c r="B261" s="1314" t="s">
        <v>3102</v>
      </c>
      <c r="C261" s="1314" t="s">
        <v>2970</v>
      </c>
      <c r="D261" s="1308" t="s">
        <v>5345</v>
      </c>
      <c r="E261" s="1348"/>
      <c r="F261" s="1348"/>
      <c r="G261" s="1348"/>
      <c r="H261" s="1348"/>
      <c r="I261" s="1348"/>
      <c r="J261" s="1348"/>
      <c r="K261" s="1317"/>
      <c r="L261" s="1702">
        <f t="shared" si="48"/>
        <v>0</v>
      </c>
      <c r="M261" s="1317"/>
      <c r="N261" s="3385">
        <f>L261*M261</f>
        <v>0</v>
      </c>
      <c r="O261" s="1348"/>
      <c r="P261" s="1348"/>
      <c r="Q261" s="3388"/>
    </row>
    <row r="262" spans="1:17">
      <c r="A262" s="1519" t="s">
        <v>3836</v>
      </c>
      <c r="B262" s="1519" t="s">
        <v>3103</v>
      </c>
      <c r="C262" s="1519" t="s">
        <v>3104</v>
      </c>
      <c r="D262" s="1519"/>
      <c r="E262" s="3401"/>
      <c r="F262" s="3401"/>
      <c r="G262" s="3401"/>
      <c r="H262" s="3401"/>
      <c r="I262" s="3401"/>
      <c r="J262" s="3401"/>
      <c r="K262" s="3401"/>
      <c r="L262" s="1519"/>
      <c r="M262" s="3401"/>
      <c r="N262" s="1678">
        <f>SUM(N263:N264)</f>
        <v>55.193115999999996</v>
      </c>
      <c r="O262" s="3401"/>
      <c r="P262" s="3401"/>
      <c r="Q262" s="1725">
        <f>SUM(Q263:Q264)</f>
        <v>0</v>
      </c>
    </row>
    <row r="263" spans="1:17" s="3998" customFormat="1" ht="107.25" customHeight="1">
      <c r="A263" s="3999" t="s">
        <v>3939</v>
      </c>
      <c r="B263" s="3999" t="s">
        <v>3105</v>
      </c>
      <c r="C263" s="3999" t="s">
        <v>41</v>
      </c>
      <c r="D263" s="3999" t="s">
        <v>5345</v>
      </c>
      <c r="E263" s="3995"/>
      <c r="F263" s="3995"/>
      <c r="G263" s="3995"/>
      <c r="H263" s="3995"/>
      <c r="I263" s="3995"/>
      <c r="J263" s="3995" t="s">
        <v>6699</v>
      </c>
      <c r="K263" s="4018">
        <v>250877.8</v>
      </c>
      <c r="L263" s="3654">
        <f t="shared" ref="L263:L264" si="49">K263/100000</f>
        <v>2.508778</v>
      </c>
      <c r="M263" s="3653">
        <v>22</v>
      </c>
      <c r="N263" s="3994">
        <f>L263*M263</f>
        <v>55.193115999999996</v>
      </c>
      <c r="O263" s="3995" t="s">
        <v>6889</v>
      </c>
      <c r="P263" s="3995"/>
      <c r="Q263" s="3997"/>
    </row>
    <row r="264" spans="1:17">
      <c r="A264" s="1308" t="s">
        <v>3940</v>
      </c>
      <c r="B264" s="1314" t="s">
        <v>3108</v>
      </c>
      <c r="C264" s="1314" t="s">
        <v>2970</v>
      </c>
      <c r="D264" s="1308" t="s">
        <v>5345</v>
      </c>
      <c r="E264" s="1348"/>
      <c r="F264" s="1348"/>
      <c r="G264" s="1348"/>
      <c r="H264" s="1348"/>
      <c r="I264" s="1348"/>
      <c r="J264" s="1348"/>
      <c r="K264" s="1317"/>
      <c r="L264" s="1702">
        <f t="shared" si="49"/>
        <v>0</v>
      </c>
      <c r="M264" s="1317"/>
      <c r="N264" s="3385">
        <f>L264*M264</f>
        <v>0</v>
      </c>
      <c r="O264" s="1348"/>
      <c r="P264" s="1348"/>
      <c r="Q264" s="3388"/>
    </row>
    <row r="265" spans="1:17">
      <c r="A265" s="1519" t="s">
        <v>3837</v>
      </c>
      <c r="B265" s="1519" t="s">
        <v>3109</v>
      </c>
      <c r="C265" s="1519" t="s">
        <v>3110</v>
      </c>
      <c r="D265" s="1519"/>
      <c r="E265" s="3401"/>
      <c r="F265" s="3401"/>
      <c r="G265" s="3401"/>
      <c r="H265" s="3401"/>
      <c r="I265" s="3401"/>
      <c r="J265" s="3401"/>
      <c r="K265" s="3401"/>
      <c r="L265" s="1519"/>
      <c r="M265" s="3401"/>
      <c r="N265" s="1678">
        <f>SUM(N266:N267)</f>
        <v>9.9541199999999996</v>
      </c>
      <c r="O265" s="3401"/>
      <c r="P265" s="3401"/>
      <c r="Q265" s="1725">
        <f>SUM(Q266:Q267)</f>
        <v>0</v>
      </c>
    </row>
    <row r="266" spans="1:17" s="3998" customFormat="1" ht="181.5">
      <c r="A266" s="3999" t="s">
        <v>3941</v>
      </c>
      <c r="B266" s="3999" t="s">
        <v>3111</v>
      </c>
      <c r="C266" s="3999" t="s">
        <v>41</v>
      </c>
      <c r="D266" s="3999" t="s">
        <v>5345</v>
      </c>
      <c r="E266" s="3995"/>
      <c r="F266" s="3995"/>
      <c r="G266" s="3995"/>
      <c r="H266" s="3995"/>
      <c r="I266" s="3995"/>
      <c r="J266" s="3995" t="s">
        <v>6699</v>
      </c>
      <c r="K266" s="3653">
        <v>199082.4</v>
      </c>
      <c r="L266" s="3654">
        <f t="shared" ref="L266:L267" si="50">K266/100000</f>
        <v>1.9908239999999999</v>
      </c>
      <c r="M266" s="3653">
        <v>5</v>
      </c>
      <c r="N266" s="3994">
        <f>L266*M266</f>
        <v>9.9541199999999996</v>
      </c>
      <c r="O266" s="3995" t="s">
        <v>6890</v>
      </c>
      <c r="P266" s="3995"/>
      <c r="Q266" s="3997"/>
    </row>
    <row r="267" spans="1:17">
      <c r="A267" s="1308" t="s">
        <v>3942</v>
      </c>
      <c r="B267" s="1314" t="s">
        <v>3114</v>
      </c>
      <c r="C267" s="1314" t="s">
        <v>2970</v>
      </c>
      <c r="D267" s="1308" t="s">
        <v>5345</v>
      </c>
      <c r="E267" s="1348"/>
      <c r="F267" s="1348"/>
      <c r="G267" s="1348"/>
      <c r="H267" s="1348"/>
      <c r="I267" s="1348"/>
      <c r="J267" s="1348"/>
      <c r="K267" s="1317"/>
      <c r="L267" s="1702">
        <f t="shared" si="50"/>
        <v>0</v>
      </c>
      <c r="M267" s="1317"/>
      <c r="N267" s="3385">
        <f>L267*M267</f>
        <v>0</v>
      </c>
      <c r="O267" s="1348"/>
      <c r="P267" s="1348"/>
      <c r="Q267" s="3388"/>
    </row>
    <row r="268" spans="1:17" s="3998" customFormat="1" ht="132">
      <c r="A268" s="4019" t="s">
        <v>3838</v>
      </c>
      <c r="B268" s="4019"/>
      <c r="C268" s="4019" t="s">
        <v>38</v>
      </c>
      <c r="D268" s="3661" t="s">
        <v>5345</v>
      </c>
      <c r="E268" s="4020"/>
      <c r="F268" s="4020"/>
      <c r="G268" s="4020"/>
      <c r="H268" s="4020"/>
      <c r="I268" s="4020"/>
      <c r="J268" s="4020" t="s">
        <v>6699</v>
      </c>
      <c r="K268" s="4021">
        <v>32643</v>
      </c>
      <c r="L268" s="4003">
        <f>K268/100000</f>
        <v>0.32643</v>
      </c>
      <c r="M268" s="4021">
        <v>4</v>
      </c>
      <c r="N268" s="4003">
        <f>M268*L268</f>
        <v>1.30572</v>
      </c>
      <c r="O268" s="4020" t="s">
        <v>6891</v>
      </c>
      <c r="P268" s="4020"/>
      <c r="Q268" s="4022"/>
    </row>
    <row r="269" spans="1:17" ht="243.75" customHeight="1">
      <c r="A269" s="1519" t="s">
        <v>3943</v>
      </c>
      <c r="B269" s="1519"/>
      <c r="C269" s="1519" t="s">
        <v>39</v>
      </c>
      <c r="D269" s="2218" t="s">
        <v>5345</v>
      </c>
      <c r="E269" s="3401"/>
      <c r="F269" s="3401"/>
      <c r="G269" s="3401"/>
      <c r="H269" s="3401"/>
      <c r="I269" s="3401"/>
      <c r="J269" s="3401" t="s">
        <v>6667</v>
      </c>
      <c r="K269" s="1538">
        <v>15663</v>
      </c>
      <c r="L269" s="1678">
        <f>K269/100000</f>
        <v>0.15662999999999999</v>
      </c>
      <c r="M269" s="1538">
        <v>1091</v>
      </c>
      <c r="N269" s="1678">
        <f>M269*L269</f>
        <v>170.88333</v>
      </c>
      <c r="O269" s="3401" t="s">
        <v>6700</v>
      </c>
      <c r="P269" s="3401"/>
      <c r="Q269" s="1725"/>
    </row>
    <row r="270" spans="1:17">
      <c r="A270" s="3379" t="s">
        <v>3289</v>
      </c>
      <c r="B270" s="3379"/>
      <c r="C270" s="3379" t="s">
        <v>3115</v>
      </c>
      <c r="D270" s="3379"/>
      <c r="E270" s="3399"/>
      <c r="F270" s="3399"/>
      <c r="G270" s="3399"/>
      <c r="H270" s="3399"/>
      <c r="I270" s="3399"/>
      <c r="J270" s="3399"/>
      <c r="K270" s="3399"/>
      <c r="L270" s="3379"/>
      <c r="M270" s="3399"/>
      <c r="N270" s="3380">
        <f>SUM(N271:N272)</f>
        <v>0</v>
      </c>
      <c r="O270" s="3399"/>
      <c r="P270" s="3399"/>
      <c r="Q270" s="3446">
        <f>SUM(Q271:Q272)</f>
        <v>0</v>
      </c>
    </row>
    <row r="271" spans="1:17" ht="33">
      <c r="A271" s="1314" t="s">
        <v>3290</v>
      </c>
      <c r="B271" s="1529"/>
      <c r="C271" s="1855" t="s">
        <v>3926</v>
      </c>
      <c r="D271" s="1855" t="s">
        <v>5340</v>
      </c>
      <c r="E271" s="1350"/>
      <c r="F271" s="1350"/>
      <c r="G271" s="1350"/>
      <c r="H271" s="1350"/>
      <c r="I271" s="1350"/>
      <c r="J271" s="1350"/>
      <c r="K271" s="1317"/>
      <c r="L271" s="1702">
        <f t="shared" ref="L271:L272" si="51">K271/100000</f>
        <v>0</v>
      </c>
      <c r="M271" s="1317"/>
      <c r="N271" s="3385">
        <f>L271*M271</f>
        <v>0</v>
      </c>
      <c r="O271" s="1348"/>
      <c r="P271" s="1348"/>
      <c r="Q271" s="3388"/>
    </row>
    <row r="272" spans="1:17">
      <c r="A272" s="1314" t="s">
        <v>3927</v>
      </c>
      <c r="B272" s="1529"/>
      <c r="C272" s="1314" t="s">
        <v>2970</v>
      </c>
      <c r="D272" s="1314" t="s">
        <v>3296</v>
      </c>
      <c r="E272" s="1350"/>
      <c r="F272" s="1350"/>
      <c r="G272" s="1350"/>
      <c r="H272" s="1350"/>
      <c r="I272" s="1350"/>
      <c r="J272" s="1350"/>
      <c r="K272" s="1317"/>
      <c r="L272" s="1702">
        <f t="shared" si="51"/>
        <v>0</v>
      </c>
      <c r="M272" s="1317"/>
      <c r="N272" s="3385">
        <f>L272*M272</f>
        <v>0</v>
      </c>
      <c r="O272" s="1348"/>
      <c r="P272" s="1348"/>
      <c r="Q272" s="3388"/>
    </row>
    <row r="273" spans="1:17">
      <c r="A273" s="3379" t="s">
        <v>3291</v>
      </c>
      <c r="B273" s="3379"/>
      <c r="C273" s="3379" t="s">
        <v>3116</v>
      </c>
      <c r="D273" s="3379"/>
      <c r="E273" s="3399"/>
      <c r="F273" s="3399"/>
      <c r="G273" s="3399"/>
      <c r="H273" s="3399"/>
      <c r="I273" s="3399"/>
      <c r="J273" s="3399"/>
      <c r="K273" s="3399"/>
      <c r="L273" s="3379"/>
      <c r="M273" s="3399"/>
      <c r="N273" s="3380">
        <f>N274</f>
        <v>29.8</v>
      </c>
      <c r="O273" s="3399"/>
      <c r="P273" s="3399"/>
      <c r="Q273" s="3446">
        <f>Q274</f>
        <v>0</v>
      </c>
    </row>
    <row r="274" spans="1:17" s="3998" customFormat="1" ht="132">
      <c r="A274" s="3999" t="s">
        <v>3928</v>
      </c>
      <c r="B274" s="3657"/>
      <c r="C274" s="3657" t="s">
        <v>4400</v>
      </c>
      <c r="D274" s="3657" t="s">
        <v>3296</v>
      </c>
      <c r="E274" s="4023"/>
      <c r="F274" s="4023"/>
      <c r="G274" s="4023"/>
      <c r="H274" s="4023"/>
      <c r="I274" s="4023"/>
      <c r="J274" s="4023" t="s">
        <v>6652</v>
      </c>
      <c r="K274" s="3653">
        <v>2980000</v>
      </c>
      <c r="L274" s="3654">
        <f t="shared" ref="L274" si="52">K274/100000</f>
        <v>29.8</v>
      </c>
      <c r="M274" s="3653">
        <v>1</v>
      </c>
      <c r="N274" s="3994">
        <f>L274*M274</f>
        <v>29.8</v>
      </c>
      <c r="O274" s="3995" t="s">
        <v>6892</v>
      </c>
      <c r="P274" s="3995"/>
      <c r="Q274" s="3997"/>
    </row>
  </sheetData>
  <sheetProtection sheet="1" formatCells="0" formatColumns="0" formatRows="0" autoFilter="0"/>
  <autoFilter ref="A6:Q274"/>
  <mergeCells count="9">
    <mergeCell ref="J5:O5"/>
    <mergeCell ref="P5:Q5"/>
    <mergeCell ref="A1:Q1"/>
    <mergeCell ref="A5:A6"/>
    <mergeCell ref="B5:B6"/>
    <mergeCell ref="C5:C6"/>
    <mergeCell ref="E5:I5"/>
    <mergeCell ref="D5:D6"/>
    <mergeCell ref="A2:A4"/>
  </mergeCells>
  <phoneticPr fontId="27" type="noConversion"/>
  <pageMargins left="0.64" right="0" top="0.38" bottom="0.24" header="0.3" footer="0.3"/>
  <pageSetup paperSize="5" scale="70"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sheetPr codeName="Sheet22"/>
  <dimension ref="A1:S274"/>
  <sheetViews>
    <sheetView zoomScale="80" zoomScaleNormal="80" workbookViewId="0">
      <pane xSplit="4" ySplit="7" topLeftCell="J18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7109375" defaultRowHeight="15"/>
  <cols>
    <col min="1" max="1" width="12.42578125" style="398" customWidth="1"/>
    <col min="2" max="2" width="20.42578125" style="398" customWidth="1"/>
    <col min="3" max="3" width="51.85546875" style="398" customWidth="1"/>
    <col min="4" max="4" width="14.140625" style="398" bestFit="1" customWidth="1"/>
    <col min="5" max="5" width="19" style="398" customWidth="1"/>
    <col min="6" max="6" width="12.85546875" style="398" customWidth="1"/>
    <col min="7" max="7" width="14.85546875" style="398" customWidth="1"/>
    <col min="8" max="8" width="8.7109375" style="398"/>
    <col min="9" max="9" width="15.140625" style="398" customWidth="1"/>
    <col min="10" max="10" width="8.7109375" style="398"/>
    <col min="11" max="11" width="13.42578125" style="398" bestFit="1" customWidth="1"/>
    <col min="12" max="12" width="10.85546875" style="398" customWidth="1"/>
    <col min="13" max="13" width="8.7109375" style="398"/>
    <col min="14" max="14" width="8.85546875" style="452" customWidth="1"/>
    <col min="15" max="15" width="31.85546875" style="453" customWidth="1"/>
    <col min="16" max="16" width="34.140625" style="453" customWidth="1"/>
    <col min="17" max="17" width="11.42578125" style="614" customWidth="1"/>
    <col min="18" max="16384" width="8.7109375" style="398"/>
  </cols>
  <sheetData>
    <row r="1" spans="1:19" ht="12.95" customHeight="1">
      <c r="A1" s="4280" t="s">
        <v>3121</v>
      </c>
      <c r="B1" s="4280"/>
      <c r="C1" s="4280"/>
      <c r="D1" s="4280"/>
      <c r="E1" s="4280"/>
      <c r="F1" s="4280"/>
      <c r="G1" s="4280"/>
      <c r="H1" s="4280"/>
      <c r="I1" s="4280"/>
      <c r="J1" s="4280"/>
      <c r="K1" s="4280"/>
      <c r="L1" s="4280"/>
      <c r="M1" s="4280"/>
      <c r="N1" s="4280"/>
      <c r="O1" s="4280"/>
      <c r="P1" s="4280"/>
      <c r="Q1" s="4280"/>
    </row>
    <row r="2" spans="1:19" s="400" customFormat="1">
      <c r="A2" s="4281" t="str">
        <f>HYPERLINK("#Index!A4", "Index Pg")</f>
        <v>Index Pg</v>
      </c>
      <c r="B2" s="684" t="str">
        <f>HYPERLINK("#'Summary of Abstracts'!A2", "Summary of Abst.")</f>
        <v>Summary of Abst.</v>
      </c>
      <c r="C2" s="684" t="str">
        <f>HYPERLINK("#'NUHM Summary'!A4:A5", "NUHM Summary Sheet.")</f>
        <v>NUHM Summary Sheet.</v>
      </c>
      <c r="D2" s="401"/>
      <c r="E2" s="402" t="s">
        <v>5349</v>
      </c>
      <c r="F2" s="402" t="s">
        <v>5350</v>
      </c>
      <c r="G2" s="402" t="s">
        <v>5351</v>
      </c>
      <c r="H2" s="402" t="s">
        <v>5352</v>
      </c>
      <c r="I2" s="402" t="s">
        <v>5353</v>
      </c>
      <c r="J2" s="402" t="s">
        <v>5354</v>
      </c>
      <c r="K2" s="402" t="s">
        <v>5355</v>
      </c>
      <c r="L2" s="402" t="s">
        <v>5356</v>
      </c>
      <c r="M2" s="402" t="s">
        <v>5357</v>
      </c>
      <c r="N2" s="402" t="s">
        <v>5358</v>
      </c>
      <c r="O2" s="822"/>
      <c r="P2" s="822"/>
      <c r="Q2" s="854"/>
      <c r="R2" s="398"/>
      <c r="S2" s="398"/>
    </row>
    <row r="3" spans="1:19" s="400" customFormat="1">
      <c r="A3" s="4282"/>
      <c r="B3" s="403" t="str">
        <f>HYPERLINK("#'Budget Summary I'!A1:AL1", "Budget Summary I")</f>
        <v>Budget Summary I</v>
      </c>
      <c r="C3" s="404" t="s">
        <v>4599</v>
      </c>
      <c r="D3" s="405">
        <f>Q7</f>
        <v>0</v>
      </c>
      <c r="E3" s="406">
        <f>Q49</f>
        <v>0</v>
      </c>
      <c r="F3" s="406">
        <f>Q89</f>
        <v>0</v>
      </c>
      <c r="G3" s="406">
        <f>Q93+Q100+Q105+Q106+Q113+Q114+Q116</f>
        <v>0</v>
      </c>
      <c r="H3" s="406">
        <f>Q172</f>
        <v>0</v>
      </c>
      <c r="I3" s="406">
        <f>Q186+Q187+Q189+Q188</f>
        <v>0</v>
      </c>
      <c r="J3" s="823">
        <f>Q206</f>
        <v>0</v>
      </c>
      <c r="K3" s="824">
        <f>Q209</f>
        <v>0</v>
      </c>
      <c r="L3" s="824">
        <f>Q228</f>
        <v>0</v>
      </c>
      <c r="M3" s="824">
        <f>Q237</f>
        <v>0</v>
      </c>
      <c r="N3" s="825">
        <f>Q271</f>
        <v>0</v>
      </c>
      <c r="O3" s="855"/>
      <c r="P3" s="856"/>
      <c r="Q3" s="857"/>
      <c r="R3" s="398"/>
      <c r="S3" s="398"/>
    </row>
    <row r="4" spans="1:19" s="400" customFormat="1">
      <c r="A4" s="4283"/>
      <c r="B4" s="403" t="str">
        <f>HYPERLINK("#'Budget Summary II'!A3:B5", "Budget Summary II")</f>
        <v>Budget Summary II</v>
      </c>
      <c r="C4" s="404" t="s">
        <v>4600</v>
      </c>
      <c r="D4" s="405">
        <f>N7</f>
        <v>0</v>
      </c>
      <c r="E4" s="406">
        <f>N49</f>
        <v>0</v>
      </c>
      <c r="F4" s="406">
        <f>N89</f>
        <v>0</v>
      </c>
      <c r="G4" s="406">
        <f>N93+N100+N105+N106+N113+N114+N116</f>
        <v>0</v>
      </c>
      <c r="H4" s="406">
        <f>N172</f>
        <v>0</v>
      </c>
      <c r="I4" s="406">
        <f>N186+N187+N189+N188</f>
        <v>0</v>
      </c>
      <c r="J4" s="823">
        <f>N206</f>
        <v>0</v>
      </c>
      <c r="K4" s="824">
        <f>N209</f>
        <v>0</v>
      </c>
      <c r="L4" s="824">
        <f>N228</f>
        <v>0</v>
      </c>
      <c r="M4" s="824">
        <f>N237</f>
        <v>0</v>
      </c>
      <c r="N4" s="825">
        <f>N271</f>
        <v>0</v>
      </c>
      <c r="O4" s="855"/>
      <c r="P4" s="856"/>
      <c r="Q4" s="857"/>
      <c r="R4" s="398"/>
      <c r="S4" s="398"/>
    </row>
    <row r="5" spans="1:19" s="408" customFormat="1" ht="12.75" customHeight="1">
      <c r="A5" s="4284" t="s">
        <v>53</v>
      </c>
      <c r="B5" s="4284" t="s">
        <v>54</v>
      </c>
      <c r="C5" s="4284" t="s">
        <v>55</v>
      </c>
      <c r="D5" s="4284" t="s">
        <v>4663</v>
      </c>
      <c r="E5" s="4409" t="s">
        <v>4620</v>
      </c>
      <c r="F5" s="4409"/>
      <c r="G5" s="4409"/>
      <c r="H5" s="4409"/>
      <c r="I5" s="4409"/>
      <c r="J5" s="4454" t="s">
        <v>4631</v>
      </c>
      <c r="K5" s="4455"/>
      <c r="L5" s="4455"/>
      <c r="M5" s="4455"/>
      <c r="N5" s="4455"/>
      <c r="O5" s="4456"/>
      <c r="P5" s="4457" t="s">
        <v>4661</v>
      </c>
      <c r="Q5" s="4458"/>
      <c r="R5" s="407"/>
      <c r="S5" s="407"/>
    </row>
    <row r="6" spans="1:19" s="407" customFormat="1" ht="60">
      <c r="A6" s="4285"/>
      <c r="B6" s="4285"/>
      <c r="C6" s="4285"/>
      <c r="D6" s="4285"/>
      <c r="E6" s="464" t="s">
        <v>4621</v>
      </c>
      <c r="F6" s="464" t="s">
        <v>4629</v>
      </c>
      <c r="G6" s="464" t="s">
        <v>4622</v>
      </c>
      <c r="H6" s="464" t="s">
        <v>4630</v>
      </c>
      <c r="I6" s="464" t="s">
        <v>2534</v>
      </c>
      <c r="J6" s="465" t="s">
        <v>58</v>
      </c>
      <c r="K6" s="465" t="s">
        <v>59</v>
      </c>
      <c r="L6" s="622" t="s">
        <v>60</v>
      </c>
      <c r="M6" s="465" t="s">
        <v>61</v>
      </c>
      <c r="N6" s="622" t="s">
        <v>62</v>
      </c>
      <c r="O6" s="465" t="s">
        <v>63</v>
      </c>
      <c r="P6" s="467" t="s">
        <v>2536</v>
      </c>
      <c r="Q6" s="468" t="s">
        <v>4662</v>
      </c>
    </row>
    <row r="7" spans="1:19" s="411" customFormat="1">
      <c r="A7" s="141"/>
      <c r="B7" s="141"/>
      <c r="C7" s="141" t="s">
        <v>3949</v>
      </c>
      <c r="D7" s="141"/>
      <c r="E7" s="141"/>
      <c r="F7" s="141"/>
      <c r="G7" s="141"/>
      <c r="H7" s="141"/>
      <c r="I7" s="141"/>
      <c r="J7" s="141"/>
      <c r="K7" s="141"/>
      <c r="L7" s="141"/>
      <c r="M7" s="141"/>
      <c r="N7" s="826">
        <f>N8+N38+N51+N70+N77+N91+N118+N120+N174+N195+N204+N207+N210+N223+N227+N230+N270+N273</f>
        <v>0</v>
      </c>
      <c r="O7" s="141"/>
      <c r="P7" s="141"/>
      <c r="Q7" s="148">
        <f>Q8+Q38+Q51+Q70+Q77+Q91+Q118+Q120+Q174+Q195+Q204+Q207+Q210+Q223+Q227+Q230+Q270+Q273</f>
        <v>0</v>
      </c>
    </row>
    <row r="8" spans="1:19">
      <c r="A8" s="141" t="s">
        <v>3122</v>
      </c>
      <c r="B8" s="141"/>
      <c r="C8" s="141" t="s">
        <v>4</v>
      </c>
      <c r="D8" s="141"/>
      <c r="E8" s="141"/>
      <c r="F8" s="141"/>
      <c r="G8" s="141"/>
      <c r="H8" s="141"/>
      <c r="I8" s="141"/>
      <c r="J8" s="141"/>
      <c r="K8" s="141"/>
      <c r="L8" s="141"/>
      <c r="M8" s="141"/>
      <c r="N8" s="826">
        <f>N9+N33+N30</f>
        <v>0</v>
      </c>
      <c r="O8" s="141"/>
      <c r="P8" s="141"/>
      <c r="Q8" s="148">
        <f>Q9+Q33+Q30</f>
        <v>0</v>
      </c>
    </row>
    <row r="9" spans="1:19">
      <c r="A9" s="412" t="s">
        <v>3123</v>
      </c>
      <c r="B9" s="412"/>
      <c r="C9" s="412" t="s">
        <v>5</v>
      </c>
      <c r="D9" s="412"/>
      <c r="E9" s="412"/>
      <c r="F9" s="412"/>
      <c r="G9" s="412"/>
      <c r="H9" s="412"/>
      <c r="I9" s="412"/>
      <c r="J9" s="412"/>
      <c r="K9" s="412"/>
      <c r="L9" s="412"/>
      <c r="M9" s="412"/>
      <c r="N9" s="827">
        <f>N10+N18</f>
        <v>0</v>
      </c>
      <c r="O9" s="412"/>
      <c r="P9" s="412"/>
      <c r="Q9" s="149">
        <f>Q10+Q18</f>
        <v>0</v>
      </c>
    </row>
    <row r="10" spans="1:19">
      <c r="A10" s="78" t="s">
        <v>3124</v>
      </c>
      <c r="B10" s="414" t="s">
        <v>2937</v>
      </c>
      <c r="C10" s="414" t="s">
        <v>2938</v>
      </c>
      <c r="D10" s="414"/>
      <c r="E10" s="246"/>
      <c r="F10" s="246"/>
      <c r="G10" s="246"/>
      <c r="H10" s="246"/>
      <c r="I10" s="246"/>
      <c r="J10" s="246"/>
      <c r="K10" s="743"/>
      <c r="L10" s="200">
        <f t="shared" ref="L10:L50" si="0">K10/100000</f>
        <v>0</v>
      </c>
      <c r="M10" s="190"/>
      <c r="N10" s="828">
        <f>SUM(N11:N17)</f>
        <v>0</v>
      </c>
      <c r="O10" s="247"/>
      <c r="P10" s="592"/>
      <c r="Q10" s="151">
        <f>SUM(Q11:Q17)</f>
        <v>0</v>
      </c>
    </row>
    <row r="11" spans="1:19">
      <c r="A11" s="78" t="s">
        <v>4805</v>
      </c>
      <c r="B11" s="414"/>
      <c r="C11" s="415" t="s">
        <v>5572</v>
      </c>
      <c r="D11" s="414" t="s">
        <v>293</v>
      </c>
      <c r="E11" s="246"/>
      <c r="F11" s="246"/>
      <c r="G11" s="246"/>
      <c r="H11" s="246"/>
      <c r="I11" s="246"/>
      <c r="J11" s="246"/>
      <c r="K11" s="743"/>
      <c r="L11" s="200">
        <f t="shared" si="0"/>
        <v>0</v>
      </c>
      <c r="M11" s="190"/>
      <c r="N11" s="828">
        <f t="shared" ref="N11:N17" si="1">L11*M11</f>
        <v>0</v>
      </c>
      <c r="O11" s="247"/>
      <c r="P11" s="592">
        <f>'Abs8. IDSP'!Q40</f>
        <v>0</v>
      </c>
      <c r="Q11" s="593">
        <f>'Abs8. IDSP'!R40</f>
        <v>0</v>
      </c>
    </row>
    <row r="12" spans="1:19">
      <c r="A12" s="78" t="s">
        <v>4806</v>
      </c>
      <c r="B12" s="414"/>
      <c r="C12" s="415" t="s">
        <v>5278</v>
      </c>
      <c r="D12" s="414" t="s">
        <v>114</v>
      </c>
      <c r="E12" s="246"/>
      <c r="F12" s="246"/>
      <c r="G12" s="246"/>
      <c r="H12" s="246"/>
      <c r="I12" s="246"/>
      <c r="J12" s="246"/>
      <c r="K12" s="743"/>
      <c r="L12" s="200">
        <f t="shared" si="0"/>
        <v>0</v>
      </c>
      <c r="M12" s="190"/>
      <c r="N12" s="828">
        <f t="shared" si="1"/>
        <v>0</v>
      </c>
      <c r="O12" s="247"/>
      <c r="P12" s="592">
        <f>'Abs9. NVBDCP'!Q140</f>
        <v>0</v>
      </c>
      <c r="Q12" s="593">
        <f>'Abs9. NVBDCP'!R140</f>
        <v>0</v>
      </c>
    </row>
    <row r="13" spans="1:19">
      <c r="A13" s="78" t="s">
        <v>4807</v>
      </c>
      <c r="B13" s="414"/>
      <c r="C13" s="415" t="s">
        <v>5280</v>
      </c>
      <c r="D13" s="414" t="s">
        <v>146</v>
      </c>
      <c r="E13" s="246"/>
      <c r="F13" s="246"/>
      <c r="G13" s="246"/>
      <c r="H13" s="246"/>
      <c r="I13" s="246"/>
      <c r="J13" s="246"/>
      <c r="K13" s="743"/>
      <c r="L13" s="200">
        <f t="shared" si="0"/>
        <v>0</v>
      </c>
      <c r="M13" s="190"/>
      <c r="N13" s="828">
        <f t="shared" si="1"/>
        <v>0</v>
      </c>
      <c r="O13" s="247"/>
      <c r="P13" s="592">
        <f>'Abs10. NLEP'!Q52</f>
        <v>0</v>
      </c>
      <c r="Q13" s="593">
        <f>'Abs10. NLEP'!R52</f>
        <v>0</v>
      </c>
    </row>
    <row r="14" spans="1:19">
      <c r="A14" s="78" t="s">
        <v>4808</v>
      </c>
      <c r="B14" s="414"/>
      <c r="C14" s="415" t="s">
        <v>5279</v>
      </c>
      <c r="D14" s="414" t="s">
        <v>4674</v>
      </c>
      <c r="E14" s="246"/>
      <c r="F14" s="246"/>
      <c r="G14" s="246"/>
      <c r="H14" s="246"/>
      <c r="I14" s="246"/>
      <c r="J14" s="246"/>
      <c r="K14" s="743"/>
      <c r="L14" s="200">
        <f t="shared" si="0"/>
        <v>0</v>
      </c>
      <c r="M14" s="190"/>
      <c r="N14" s="828">
        <f t="shared" si="1"/>
        <v>0</v>
      </c>
      <c r="O14" s="247"/>
      <c r="P14" s="592">
        <f>'Abs11. NTEP'!Q69</f>
        <v>0</v>
      </c>
      <c r="Q14" s="593">
        <f>'Abs11. NTEP'!R69</f>
        <v>0</v>
      </c>
    </row>
    <row r="15" spans="1:19">
      <c r="A15" s="78" t="s">
        <v>5584</v>
      </c>
      <c r="B15" s="414"/>
      <c r="C15" s="415" t="s">
        <v>5283</v>
      </c>
      <c r="D15" s="414" t="s">
        <v>3316</v>
      </c>
      <c r="E15" s="246"/>
      <c r="F15" s="246"/>
      <c r="G15" s="246"/>
      <c r="H15" s="246"/>
      <c r="I15" s="246"/>
      <c r="J15" s="246"/>
      <c r="K15" s="743"/>
      <c r="L15" s="200">
        <f t="shared" si="0"/>
        <v>0</v>
      </c>
      <c r="M15" s="190"/>
      <c r="N15" s="828">
        <f t="shared" si="1"/>
        <v>0</v>
      </c>
      <c r="O15" s="247"/>
      <c r="P15" s="592">
        <f>'Abs12. NVHCP'!Q50</f>
        <v>0</v>
      </c>
      <c r="Q15" s="593">
        <f>'Abs12. NVHCP'!R50</f>
        <v>0</v>
      </c>
    </row>
    <row r="16" spans="1:19">
      <c r="A16" s="78" t="s">
        <v>5585</v>
      </c>
      <c r="B16" s="414"/>
      <c r="C16" s="415" t="s">
        <v>5281</v>
      </c>
      <c r="D16" s="414" t="s">
        <v>3986</v>
      </c>
      <c r="E16" s="246"/>
      <c r="F16" s="246"/>
      <c r="G16" s="246"/>
      <c r="H16" s="246"/>
      <c r="I16" s="246"/>
      <c r="J16" s="246"/>
      <c r="K16" s="743"/>
      <c r="L16" s="200">
        <f t="shared" si="0"/>
        <v>0</v>
      </c>
      <c r="M16" s="190"/>
      <c r="N16" s="828">
        <f t="shared" si="1"/>
        <v>0</v>
      </c>
      <c r="O16" s="247"/>
      <c r="P16" s="592">
        <f>'Abs13. NRCP'!Q22</f>
        <v>0</v>
      </c>
      <c r="Q16" s="593">
        <f>'Abs13. NRCP'!R22</f>
        <v>0</v>
      </c>
    </row>
    <row r="17" spans="1:17">
      <c r="A17" s="78" t="s">
        <v>5586</v>
      </c>
      <c r="B17" s="414"/>
      <c r="C17" s="415" t="s">
        <v>5573</v>
      </c>
      <c r="D17" s="414" t="s">
        <v>4544</v>
      </c>
      <c r="E17" s="246"/>
      <c r="F17" s="246"/>
      <c r="G17" s="246"/>
      <c r="H17" s="246"/>
      <c r="I17" s="246"/>
      <c r="J17" s="246"/>
      <c r="K17" s="743"/>
      <c r="L17" s="200">
        <f t="shared" si="0"/>
        <v>0</v>
      </c>
      <c r="M17" s="190"/>
      <c r="N17" s="828">
        <f t="shared" si="1"/>
        <v>0</v>
      </c>
      <c r="O17" s="247"/>
      <c r="P17" s="592">
        <f>'Abs14. PPCL'!Q23</f>
        <v>0</v>
      </c>
      <c r="Q17" s="593">
        <f>'Abs14. PPCL'!R23</f>
        <v>0</v>
      </c>
    </row>
    <row r="18" spans="1:17" ht="30">
      <c r="A18" s="78" t="s">
        <v>3125</v>
      </c>
      <c r="B18" s="414"/>
      <c r="C18" s="414" t="s">
        <v>2939</v>
      </c>
      <c r="D18" s="414"/>
      <c r="E18" s="246"/>
      <c r="F18" s="246"/>
      <c r="G18" s="246"/>
      <c r="H18" s="246"/>
      <c r="I18" s="246"/>
      <c r="J18" s="246"/>
      <c r="K18" s="743"/>
      <c r="L18" s="200">
        <f t="shared" si="0"/>
        <v>0</v>
      </c>
      <c r="M18" s="190"/>
      <c r="N18" s="828">
        <f>SUM(N19:N29)</f>
        <v>0</v>
      </c>
      <c r="O18" s="247"/>
      <c r="P18" s="592"/>
      <c r="Q18" s="828">
        <f>SUM(Q19:Q29)</f>
        <v>0</v>
      </c>
    </row>
    <row r="19" spans="1:17">
      <c r="A19" s="78" t="s">
        <v>5288</v>
      </c>
      <c r="B19" s="414"/>
      <c r="C19" s="414" t="s">
        <v>5574</v>
      </c>
      <c r="D19" s="414" t="s">
        <v>86</v>
      </c>
      <c r="E19" s="246"/>
      <c r="F19" s="246"/>
      <c r="G19" s="246"/>
      <c r="H19" s="246"/>
      <c r="I19" s="246"/>
      <c r="J19" s="246"/>
      <c r="K19" s="743"/>
      <c r="L19" s="200">
        <f t="shared" si="0"/>
        <v>0</v>
      </c>
      <c r="M19" s="190"/>
      <c r="N19" s="828">
        <f t="shared" ref="N19:N29" si="2">L19*M19</f>
        <v>0</v>
      </c>
      <c r="O19" s="247"/>
      <c r="P19" s="247"/>
      <c r="Q19" s="340"/>
    </row>
    <row r="20" spans="1:17">
      <c r="A20" s="78" t="s">
        <v>5289</v>
      </c>
      <c r="B20" s="414"/>
      <c r="C20" s="414" t="s">
        <v>5284</v>
      </c>
      <c r="D20" s="414" t="s">
        <v>150</v>
      </c>
      <c r="E20" s="246"/>
      <c r="F20" s="246"/>
      <c r="G20" s="246"/>
      <c r="H20" s="246"/>
      <c r="I20" s="246"/>
      <c r="J20" s="246"/>
      <c r="K20" s="743"/>
      <c r="L20" s="200">
        <f t="shared" si="0"/>
        <v>0</v>
      </c>
      <c r="M20" s="190"/>
      <c r="N20" s="828">
        <f t="shared" si="2"/>
        <v>0</v>
      </c>
      <c r="O20" s="247"/>
      <c r="P20" s="247"/>
      <c r="Q20" s="340"/>
    </row>
    <row r="21" spans="1:17">
      <c r="A21" s="78" t="s">
        <v>5290</v>
      </c>
      <c r="B21" s="414"/>
      <c r="C21" s="414" t="s">
        <v>5286</v>
      </c>
      <c r="D21" s="414" t="s">
        <v>399</v>
      </c>
      <c r="E21" s="246"/>
      <c r="F21" s="246"/>
      <c r="G21" s="246"/>
      <c r="H21" s="246"/>
      <c r="I21" s="246"/>
      <c r="J21" s="246"/>
      <c r="K21" s="743"/>
      <c r="L21" s="200">
        <f t="shared" si="0"/>
        <v>0</v>
      </c>
      <c r="M21" s="190"/>
      <c r="N21" s="828">
        <f t="shared" si="2"/>
        <v>0</v>
      </c>
      <c r="O21" s="247"/>
      <c r="P21" s="247"/>
      <c r="Q21" s="340"/>
    </row>
    <row r="22" spans="1:17">
      <c r="A22" s="78" t="s">
        <v>5291</v>
      </c>
      <c r="B22" s="414"/>
      <c r="C22" s="414" t="s">
        <v>5285</v>
      </c>
      <c r="D22" s="414" t="s">
        <v>152</v>
      </c>
      <c r="E22" s="246"/>
      <c r="F22" s="246"/>
      <c r="G22" s="246"/>
      <c r="H22" s="246"/>
      <c r="I22" s="246"/>
      <c r="J22" s="246"/>
      <c r="K22" s="743"/>
      <c r="L22" s="200">
        <f t="shared" si="0"/>
        <v>0</v>
      </c>
      <c r="M22" s="190"/>
      <c r="N22" s="828">
        <f t="shared" si="2"/>
        <v>0</v>
      </c>
      <c r="O22" s="247"/>
      <c r="P22" s="247"/>
      <c r="Q22" s="340"/>
    </row>
    <row r="23" spans="1:17">
      <c r="A23" s="78" t="s">
        <v>5292</v>
      </c>
      <c r="B23" s="414"/>
      <c r="C23" s="414" t="s">
        <v>5287</v>
      </c>
      <c r="D23" s="414" t="s">
        <v>415</v>
      </c>
      <c r="E23" s="246"/>
      <c r="F23" s="246"/>
      <c r="G23" s="246"/>
      <c r="H23" s="246"/>
      <c r="I23" s="246"/>
      <c r="J23" s="246"/>
      <c r="K23" s="743"/>
      <c r="L23" s="200">
        <f t="shared" si="0"/>
        <v>0</v>
      </c>
      <c r="M23" s="190"/>
      <c r="N23" s="828">
        <f t="shared" si="2"/>
        <v>0</v>
      </c>
      <c r="O23" s="247"/>
      <c r="P23" s="247"/>
      <c r="Q23" s="340"/>
    </row>
    <row r="24" spans="1:17">
      <c r="A24" s="78" t="s">
        <v>5293</v>
      </c>
      <c r="B24" s="414"/>
      <c r="C24" s="414" t="s">
        <v>5575</v>
      </c>
      <c r="D24" s="414" t="s">
        <v>4915</v>
      </c>
      <c r="E24" s="246"/>
      <c r="F24" s="246"/>
      <c r="G24" s="246"/>
      <c r="H24" s="246"/>
      <c r="I24" s="246"/>
      <c r="J24" s="246"/>
      <c r="K24" s="743"/>
      <c r="L24" s="200">
        <f t="shared" si="0"/>
        <v>0</v>
      </c>
      <c r="M24" s="190"/>
      <c r="N24" s="828">
        <f t="shared" si="2"/>
        <v>0</v>
      </c>
      <c r="O24" s="247"/>
      <c r="P24" s="247"/>
      <c r="Q24" s="340"/>
    </row>
    <row r="25" spans="1:17">
      <c r="A25" s="78" t="s">
        <v>5294</v>
      </c>
      <c r="B25" s="414"/>
      <c r="C25" s="414" t="s">
        <v>5576</v>
      </c>
      <c r="D25" s="414" t="s">
        <v>4124</v>
      </c>
      <c r="E25" s="246"/>
      <c r="F25" s="246"/>
      <c r="G25" s="246"/>
      <c r="H25" s="246"/>
      <c r="I25" s="246"/>
      <c r="J25" s="246"/>
      <c r="K25" s="743"/>
      <c r="L25" s="200">
        <f t="shared" si="0"/>
        <v>0</v>
      </c>
      <c r="M25" s="190"/>
      <c r="N25" s="828">
        <f t="shared" si="2"/>
        <v>0</v>
      </c>
      <c r="O25" s="247"/>
      <c r="P25" s="247"/>
      <c r="Q25" s="340"/>
    </row>
    <row r="26" spans="1:17">
      <c r="A26" s="78" t="s">
        <v>5580</v>
      </c>
      <c r="B26" s="414"/>
      <c r="C26" s="414" t="s">
        <v>5577</v>
      </c>
      <c r="D26" s="414" t="s">
        <v>1020</v>
      </c>
      <c r="E26" s="246"/>
      <c r="F26" s="246"/>
      <c r="G26" s="246"/>
      <c r="H26" s="246"/>
      <c r="I26" s="246"/>
      <c r="J26" s="246"/>
      <c r="K26" s="743"/>
      <c r="L26" s="200">
        <f t="shared" si="0"/>
        <v>0</v>
      </c>
      <c r="M26" s="190"/>
      <c r="N26" s="828">
        <f t="shared" si="2"/>
        <v>0</v>
      </c>
      <c r="O26" s="247"/>
      <c r="P26" s="247"/>
      <c r="Q26" s="340"/>
    </row>
    <row r="27" spans="1:17">
      <c r="A27" s="78" t="s">
        <v>5581</v>
      </c>
      <c r="B27" s="414"/>
      <c r="C27" s="414" t="s">
        <v>5578</v>
      </c>
      <c r="D27" s="414" t="s">
        <v>1034</v>
      </c>
      <c r="E27" s="246"/>
      <c r="F27" s="246"/>
      <c r="G27" s="246"/>
      <c r="H27" s="246"/>
      <c r="I27" s="246"/>
      <c r="J27" s="246"/>
      <c r="K27" s="743"/>
      <c r="L27" s="200">
        <f t="shared" si="0"/>
        <v>0</v>
      </c>
      <c r="M27" s="190"/>
      <c r="N27" s="828">
        <f t="shared" si="2"/>
        <v>0</v>
      </c>
      <c r="O27" s="247"/>
      <c r="P27" s="247"/>
      <c r="Q27" s="340"/>
    </row>
    <row r="28" spans="1:17">
      <c r="A28" s="78" t="s">
        <v>5582</v>
      </c>
      <c r="B28" s="414"/>
      <c r="C28" s="414" t="s">
        <v>5579</v>
      </c>
      <c r="D28" s="414" t="s">
        <v>312</v>
      </c>
      <c r="E28" s="246"/>
      <c r="F28" s="246"/>
      <c r="G28" s="246"/>
      <c r="H28" s="246"/>
      <c r="I28" s="246"/>
      <c r="J28" s="246"/>
      <c r="K28" s="743"/>
      <c r="L28" s="200">
        <f t="shared" si="0"/>
        <v>0</v>
      </c>
      <c r="M28" s="190"/>
      <c r="N28" s="828">
        <f t="shared" si="2"/>
        <v>0</v>
      </c>
      <c r="O28" s="247"/>
      <c r="P28" s="247"/>
      <c r="Q28" s="340"/>
    </row>
    <row r="29" spans="1:17">
      <c r="A29" s="78" t="s">
        <v>5583</v>
      </c>
      <c r="B29" s="414"/>
      <c r="C29" s="414" t="s">
        <v>5282</v>
      </c>
      <c r="D29" s="414" t="s">
        <v>314</v>
      </c>
      <c r="E29" s="246"/>
      <c r="F29" s="246"/>
      <c r="G29" s="246"/>
      <c r="H29" s="246"/>
      <c r="I29" s="246"/>
      <c r="J29" s="246"/>
      <c r="K29" s="743"/>
      <c r="L29" s="200">
        <f t="shared" si="0"/>
        <v>0</v>
      </c>
      <c r="M29" s="190"/>
      <c r="N29" s="828">
        <f t="shared" si="2"/>
        <v>0</v>
      </c>
      <c r="O29" s="247"/>
      <c r="P29" s="247"/>
      <c r="Q29" s="340"/>
    </row>
    <row r="30" spans="1:17">
      <c r="A30" s="416" t="s">
        <v>3126</v>
      </c>
      <c r="B30" s="417"/>
      <c r="C30" s="418" t="s">
        <v>42</v>
      </c>
      <c r="D30" s="418"/>
      <c r="E30" s="843"/>
      <c r="F30" s="843"/>
      <c r="G30" s="843"/>
      <c r="H30" s="843"/>
      <c r="I30" s="843"/>
      <c r="J30" s="843"/>
      <c r="K30" s="216"/>
      <c r="L30" s="301"/>
      <c r="M30" s="844"/>
      <c r="N30" s="301">
        <f>N31+N32</f>
        <v>0</v>
      </c>
      <c r="O30" s="253"/>
      <c r="P30" s="253"/>
      <c r="Q30" s="341">
        <f>Q31+Q32</f>
        <v>0</v>
      </c>
    </row>
    <row r="31" spans="1:17">
      <c r="A31" s="243" t="s">
        <v>3127</v>
      </c>
      <c r="B31" s="419"/>
      <c r="C31" s="235" t="s">
        <v>2940</v>
      </c>
      <c r="D31" s="235" t="s">
        <v>118</v>
      </c>
      <c r="E31" s="197"/>
      <c r="F31" s="197"/>
      <c r="G31" s="197"/>
      <c r="H31" s="197"/>
      <c r="I31" s="197"/>
      <c r="J31" s="197"/>
      <c r="K31" s="743"/>
      <c r="L31" s="200">
        <f t="shared" si="0"/>
        <v>0</v>
      </c>
      <c r="M31" s="190"/>
      <c r="N31" s="828">
        <f>L31*M31</f>
        <v>0</v>
      </c>
      <c r="O31" s="144"/>
      <c r="P31" s="144"/>
      <c r="Q31" s="342"/>
    </row>
    <row r="32" spans="1:17">
      <c r="A32" s="243" t="s">
        <v>3128</v>
      </c>
      <c r="B32" s="419"/>
      <c r="C32" s="235" t="s">
        <v>2941</v>
      </c>
      <c r="D32" s="235" t="s">
        <v>91</v>
      </c>
      <c r="E32" s="197"/>
      <c r="F32" s="197"/>
      <c r="G32" s="197"/>
      <c r="H32" s="197"/>
      <c r="I32" s="197"/>
      <c r="J32" s="197"/>
      <c r="K32" s="743"/>
      <c r="L32" s="200">
        <f t="shared" si="0"/>
        <v>0</v>
      </c>
      <c r="M32" s="190"/>
      <c r="N32" s="828">
        <f>L32*M32</f>
        <v>0</v>
      </c>
      <c r="O32" s="144"/>
      <c r="P32" s="144"/>
      <c r="Q32" s="342"/>
    </row>
    <row r="33" spans="1:17">
      <c r="A33" s="412" t="s">
        <v>3129</v>
      </c>
      <c r="B33" s="412"/>
      <c r="C33" s="412" t="s">
        <v>45</v>
      </c>
      <c r="D33" s="412"/>
      <c r="E33" s="138"/>
      <c r="F33" s="138"/>
      <c r="G33" s="138"/>
      <c r="H33" s="138"/>
      <c r="I33" s="138"/>
      <c r="J33" s="138"/>
      <c r="K33" s="138"/>
      <c r="L33" s="412"/>
      <c r="M33" s="138"/>
      <c r="N33" s="827">
        <f>SUM(N34:N37)</f>
        <v>0</v>
      </c>
      <c r="O33" s="138"/>
      <c r="P33" s="138"/>
      <c r="Q33" s="149">
        <f>SUM(Q34:Q37)</f>
        <v>0</v>
      </c>
    </row>
    <row r="34" spans="1:17">
      <c r="A34" s="78" t="s">
        <v>3130</v>
      </c>
      <c r="B34" s="78" t="s">
        <v>2942</v>
      </c>
      <c r="C34" s="78" t="s">
        <v>2943</v>
      </c>
      <c r="D34" s="78" t="s">
        <v>5341</v>
      </c>
      <c r="E34" s="62"/>
      <c r="F34" s="62"/>
      <c r="G34" s="62"/>
      <c r="H34" s="62"/>
      <c r="I34" s="62"/>
      <c r="J34" s="62"/>
      <c r="K34" s="743"/>
      <c r="L34" s="200">
        <f t="shared" si="0"/>
        <v>0</v>
      </c>
      <c r="M34" s="190"/>
      <c r="N34" s="828">
        <f>L34*M34</f>
        <v>0</v>
      </c>
      <c r="O34" s="62"/>
      <c r="P34" s="62"/>
      <c r="Q34" s="340"/>
    </row>
    <row r="35" spans="1:17" ht="30">
      <c r="A35" s="78" t="s">
        <v>3131</v>
      </c>
      <c r="B35" s="78" t="s">
        <v>2944</v>
      </c>
      <c r="C35" s="78" t="s">
        <v>2945</v>
      </c>
      <c r="D35" s="78" t="s">
        <v>5341</v>
      </c>
      <c r="E35" s="62"/>
      <c r="F35" s="62"/>
      <c r="G35" s="62"/>
      <c r="H35" s="62"/>
      <c r="I35" s="62"/>
      <c r="J35" s="62"/>
      <c r="K35" s="743"/>
      <c r="L35" s="200">
        <f t="shared" ref="L35:L37" si="3">K35/100000</f>
        <v>0</v>
      </c>
      <c r="M35" s="190"/>
      <c r="N35" s="828">
        <f>L35*M35</f>
        <v>0</v>
      </c>
      <c r="O35" s="62"/>
      <c r="P35" s="62"/>
      <c r="Q35" s="340"/>
    </row>
    <row r="36" spans="1:17">
      <c r="A36" s="78" t="s">
        <v>3132</v>
      </c>
      <c r="B36" s="78" t="s">
        <v>2946</v>
      </c>
      <c r="C36" s="78" t="s">
        <v>2947</v>
      </c>
      <c r="D36" s="78" t="s">
        <v>5341</v>
      </c>
      <c r="E36" s="62"/>
      <c r="F36" s="62"/>
      <c r="G36" s="62"/>
      <c r="H36" s="62"/>
      <c r="I36" s="62"/>
      <c r="J36" s="62"/>
      <c r="K36" s="743"/>
      <c r="L36" s="200">
        <f t="shared" si="3"/>
        <v>0</v>
      </c>
      <c r="M36" s="190"/>
      <c r="N36" s="828">
        <f>L36*M36</f>
        <v>0</v>
      </c>
      <c r="O36" s="62"/>
      <c r="P36" s="62"/>
      <c r="Q36" s="340"/>
    </row>
    <row r="37" spans="1:17">
      <c r="A37" s="78" t="s">
        <v>3133</v>
      </c>
      <c r="B37" s="133"/>
      <c r="C37" s="414" t="s">
        <v>307</v>
      </c>
      <c r="D37" s="78" t="s">
        <v>5341</v>
      </c>
      <c r="E37" s="130"/>
      <c r="F37" s="130"/>
      <c r="G37" s="130"/>
      <c r="H37" s="130"/>
      <c r="I37" s="130"/>
      <c r="J37" s="130"/>
      <c r="K37" s="743"/>
      <c r="L37" s="200">
        <f t="shared" si="3"/>
        <v>0</v>
      </c>
      <c r="M37" s="190"/>
      <c r="N37" s="828">
        <f>L37*M37</f>
        <v>0</v>
      </c>
      <c r="O37" s="62"/>
      <c r="P37" s="62"/>
      <c r="Q37" s="340"/>
    </row>
    <row r="38" spans="1:17">
      <c r="A38" s="141" t="s">
        <v>3134</v>
      </c>
      <c r="B38" s="141"/>
      <c r="C38" s="141" t="s">
        <v>6</v>
      </c>
      <c r="D38" s="141"/>
      <c r="E38" s="85"/>
      <c r="F38" s="85"/>
      <c r="G38" s="85"/>
      <c r="H38" s="85"/>
      <c r="I38" s="85"/>
      <c r="J38" s="85"/>
      <c r="K38" s="85"/>
      <c r="L38" s="141"/>
      <c r="M38" s="85"/>
      <c r="N38" s="826">
        <f>N39+N42+N45</f>
        <v>0</v>
      </c>
      <c r="O38" s="85"/>
      <c r="P38" s="85"/>
      <c r="Q38" s="148">
        <f>Q39+Q42+Q45</f>
        <v>0</v>
      </c>
    </row>
    <row r="39" spans="1:17">
      <c r="A39" s="412" t="s">
        <v>3135</v>
      </c>
      <c r="B39" s="412"/>
      <c r="C39" s="412" t="s">
        <v>7</v>
      </c>
      <c r="D39" s="412"/>
      <c r="E39" s="138"/>
      <c r="F39" s="138"/>
      <c r="G39" s="138"/>
      <c r="H39" s="138"/>
      <c r="I39" s="138"/>
      <c r="J39" s="138"/>
      <c r="K39" s="138"/>
      <c r="L39" s="412"/>
      <c r="M39" s="138"/>
      <c r="N39" s="827">
        <f>SUM(N40:N41)</f>
        <v>0</v>
      </c>
      <c r="O39" s="138"/>
      <c r="P39" s="138"/>
      <c r="Q39" s="149">
        <f>SUM(Q40:Q41)</f>
        <v>0</v>
      </c>
    </row>
    <row r="40" spans="1:17" ht="30">
      <c r="A40" s="78" t="s">
        <v>3136</v>
      </c>
      <c r="B40" s="78" t="s">
        <v>2948</v>
      </c>
      <c r="C40" s="78" t="s">
        <v>2949</v>
      </c>
      <c r="D40" s="78" t="s">
        <v>5341</v>
      </c>
      <c r="E40" s="62"/>
      <c r="F40" s="62"/>
      <c r="G40" s="62"/>
      <c r="H40" s="62"/>
      <c r="I40" s="62"/>
      <c r="J40" s="62"/>
      <c r="K40" s="743"/>
      <c r="L40" s="200">
        <f t="shared" si="0"/>
        <v>0</v>
      </c>
      <c r="M40" s="190"/>
      <c r="N40" s="828">
        <f>L40*M40</f>
        <v>0</v>
      </c>
      <c r="O40" s="62"/>
      <c r="P40" s="62"/>
      <c r="Q40" s="340"/>
    </row>
    <row r="41" spans="1:17">
      <c r="A41" s="78" t="s">
        <v>3137</v>
      </c>
      <c r="B41" s="133"/>
      <c r="C41" s="414" t="s">
        <v>307</v>
      </c>
      <c r="D41" s="78" t="s">
        <v>5341</v>
      </c>
      <c r="E41" s="130"/>
      <c r="F41" s="130"/>
      <c r="G41" s="130"/>
      <c r="H41" s="130"/>
      <c r="I41" s="130"/>
      <c r="J41" s="130"/>
      <c r="K41" s="743"/>
      <c r="L41" s="200">
        <f t="shared" si="0"/>
        <v>0</v>
      </c>
      <c r="M41" s="190"/>
      <c r="N41" s="828">
        <f>L41*M41</f>
        <v>0</v>
      </c>
      <c r="O41" s="62"/>
      <c r="P41" s="62"/>
      <c r="Q41" s="340"/>
    </row>
    <row r="42" spans="1:17">
      <c r="A42" s="412" t="s">
        <v>3138</v>
      </c>
      <c r="B42" s="412"/>
      <c r="C42" s="412" t="s">
        <v>8</v>
      </c>
      <c r="D42" s="412"/>
      <c r="E42" s="138"/>
      <c r="F42" s="138"/>
      <c r="G42" s="138"/>
      <c r="H42" s="138"/>
      <c r="I42" s="138"/>
      <c r="J42" s="138"/>
      <c r="K42" s="138"/>
      <c r="L42" s="412"/>
      <c r="M42" s="138"/>
      <c r="N42" s="827">
        <f>SUM(N43:N44)</f>
        <v>0</v>
      </c>
      <c r="O42" s="138"/>
      <c r="P42" s="138"/>
      <c r="Q42" s="149">
        <f>SUM(Q43:Q44)</f>
        <v>0</v>
      </c>
    </row>
    <row r="43" spans="1:17">
      <c r="A43" s="78" t="s">
        <v>3139</v>
      </c>
      <c r="B43" s="78" t="s">
        <v>2950</v>
      </c>
      <c r="C43" s="78" t="s">
        <v>2951</v>
      </c>
      <c r="D43" s="78" t="s">
        <v>5341</v>
      </c>
      <c r="E43" s="62"/>
      <c r="F43" s="62"/>
      <c r="G43" s="62"/>
      <c r="H43" s="62"/>
      <c r="I43" s="62"/>
      <c r="J43" s="62"/>
      <c r="K43" s="743"/>
      <c r="L43" s="200">
        <f t="shared" si="0"/>
        <v>0</v>
      </c>
      <c r="M43" s="190"/>
      <c r="N43" s="828">
        <f>L43*M43</f>
        <v>0</v>
      </c>
      <c r="O43" s="62"/>
      <c r="P43" s="62"/>
      <c r="Q43" s="340"/>
    </row>
    <row r="44" spans="1:17">
      <c r="A44" s="78" t="s">
        <v>3140</v>
      </c>
      <c r="B44" s="78"/>
      <c r="C44" s="78" t="s">
        <v>307</v>
      </c>
      <c r="D44" s="78" t="s">
        <v>5341</v>
      </c>
      <c r="E44" s="62"/>
      <c r="F44" s="62"/>
      <c r="G44" s="62"/>
      <c r="H44" s="62"/>
      <c r="I44" s="62"/>
      <c r="J44" s="62"/>
      <c r="K44" s="743"/>
      <c r="L44" s="200">
        <f t="shared" si="0"/>
        <v>0</v>
      </c>
      <c r="M44" s="190"/>
      <c r="N44" s="828">
        <f>L44*M44</f>
        <v>0</v>
      </c>
      <c r="O44" s="62"/>
      <c r="P44" s="62"/>
      <c r="Q44" s="340"/>
    </row>
    <row r="45" spans="1:17">
      <c r="A45" s="412" t="s">
        <v>3141</v>
      </c>
      <c r="B45" s="412"/>
      <c r="C45" s="412" t="s">
        <v>9</v>
      </c>
      <c r="D45" s="412"/>
      <c r="E45" s="138"/>
      <c r="F45" s="138"/>
      <c r="G45" s="138"/>
      <c r="H45" s="138"/>
      <c r="I45" s="138"/>
      <c r="J45" s="138"/>
      <c r="K45" s="138"/>
      <c r="L45" s="412"/>
      <c r="M45" s="138"/>
      <c r="N45" s="827">
        <f>SUM(N46:N50)</f>
        <v>0</v>
      </c>
      <c r="O45" s="138"/>
      <c r="P45" s="138"/>
      <c r="Q45" s="149">
        <f>SUM(Q46:Q50)</f>
        <v>0</v>
      </c>
    </row>
    <row r="46" spans="1:17">
      <c r="A46" s="78" t="s">
        <v>3142</v>
      </c>
      <c r="B46" s="78" t="s">
        <v>2952</v>
      </c>
      <c r="C46" s="78" t="s">
        <v>2953</v>
      </c>
      <c r="D46" s="78" t="s">
        <v>5341</v>
      </c>
      <c r="E46" s="62"/>
      <c r="F46" s="62"/>
      <c r="G46" s="62"/>
      <c r="H46" s="62"/>
      <c r="I46" s="62"/>
      <c r="J46" s="62"/>
      <c r="K46" s="743"/>
      <c r="L46" s="200">
        <f t="shared" si="0"/>
        <v>0</v>
      </c>
      <c r="M46" s="190"/>
      <c r="N46" s="828">
        <f>L46*M46</f>
        <v>0</v>
      </c>
      <c r="O46" s="62"/>
      <c r="P46" s="62"/>
      <c r="Q46" s="340"/>
    </row>
    <row r="47" spans="1:17" ht="45">
      <c r="A47" s="78" t="s">
        <v>3143</v>
      </c>
      <c r="B47" s="78" t="s">
        <v>2954</v>
      </c>
      <c r="C47" s="78" t="s">
        <v>5295</v>
      </c>
      <c r="D47" s="78" t="s">
        <v>5341</v>
      </c>
      <c r="E47" s="62"/>
      <c r="F47" s="62"/>
      <c r="G47" s="62"/>
      <c r="H47" s="62"/>
      <c r="I47" s="62"/>
      <c r="J47" s="62"/>
      <c r="K47" s="743"/>
      <c r="L47" s="200">
        <f t="shared" si="0"/>
        <v>0</v>
      </c>
      <c r="M47" s="190"/>
      <c r="N47" s="828">
        <f>L47*M47</f>
        <v>0</v>
      </c>
      <c r="O47" s="62"/>
      <c r="P47" s="62"/>
      <c r="Q47" s="340"/>
    </row>
    <row r="48" spans="1:17" s="400" customFormat="1" ht="30">
      <c r="A48" s="91" t="s">
        <v>3144</v>
      </c>
      <c r="B48" s="91" t="s">
        <v>3078</v>
      </c>
      <c r="C48" s="91" t="s">
        <v>3079</v>
      </c>
      <c r="D48" s="78" t="s">
        <v>5341</v>
      </c>
      <c r="E48" s="143"/>
      <c r="F48" s="143"/>
      <c r="G48" s="143"/>
      <c r="H48" s="143"/>
      <c r="I48" s="143"/>
      <c r="J48" s="143"/>
      <c r="K48" s="743"/>
      <c r="L48" s="200">
        <f t="shared" si="0"/>
        <v>0</v>
      </c>
      <c r="M48" s="190"/>
      <c r="N48" s="158">
        <f>L48*M48</f>
        <v>0</v>
      </c>
      <c r="O48" s="92"/>
      <c r="P48" s="92"/>
      <c r="Q48" s="342"/>
    </row>
    <row r="49" spans="1:17" s="400" customFormat="1">
      <c r="A49" s="91" t="s">
        <v>4556</v>
      </c>
      <c r="B49" s="91"/>
      <c r="C49" s="91" t="s">
        <v>4561</v>
      </c>
      <c r="D49" s="91" t="s">
        <v>5342</v>
      </c>
      <c r="E49" s="143"/>
      <c r="F49" s="143"/>
      <c r="G49" s="143"/>
      <c r="H49" s="143"/>
      <c r="I49" s="143"/>
      <c r="J49" s="143"/>
      <c r="K49" s="743"/>
      <c r="L49" s="200">
        <f t="shared" si="0"/>
        <v>0</v>
      </c>
      <c r="M49" s="190"/>
      <c r="N49" s="158">
        <f>L49*M49</f>
        <v>0</v>
      </c>
      <c r="O49" s="92"/>
      <c r="P49" s="92"/>
      <c r="Q49" s="342"/>
    </row>
    <row r="50" spans="1:17">
      <c r="A50" s="398" t="s">
        <v>4560</v>
      </c>
      <c r="B50" s="133"/>
      <c r="C50" s="414" t="s">
        <v>307</v>
      </c>
      <c r="D50" s="414"/>
      <c r="E50" s="130"/>
      <c r="F50" s="130"/>
      <c r="G50" s="130"/>
      <c r="H50" s="130"/>
      <c r="I50" s="130"/>
      <c r="J50" s="130"/>
      <c r="K50" s="743"/>
      <c r="L50" s="200">
        <f t="shared" si="0"/>
        <v>0</v>
      </c>
      <c r="M50" s="190"/>
      <c r="N50" s="158">
        <f>L50*M50</f>
        <v>0</v>
      </c>
      <c r="O50" s="62"/>
      <c r="P50" s="62"/>
      <c r="Q50" s="340"/>
    </row>
    <row r="51" spans="1:17">
      <c r="A51" s="141" t="s">
        <v>3145</v>
      </c>
      <c r="B51" s="141"/>
      <c r="C51" s="141" t="s">
        <v>10</v>
      </c>
      <c r="D51" s="141"/>
      <c r="E51" s="85"/>
      <c r="F51" s="85"/>
      <c r="G51" s="85"/>
      <c r="H51" s="85"/>
      <c r="I51" s="85"/>
      <c r="J51" s="85"/>
      <c r="K51" s="85"/>
      <c r="L51" s="141"/>
      <c r="M51" s="85"/>
      <c r="N51" s="826">
        <f>N52+N64</f>
        <v>0</v>
      </c>
      <c r="O51" s="85"/>
      <c r="P51" s="85"/>
      <c r="Q51" s="148">
        <f>Q52+Q64</f>
        <v>0</v>
      </c>
    </row>
    <row r="52" spans="1:17">
      <c r="A52" s="412" t="s">
        <v>3146</v>
      </c>
      <c r="B52" s="412"/>
      <c r="C52" s="412" t="s">
        <v>11</v>
      </c>
      <c r="D52" s="412"/>
      <c r="E52" s="138"/>
      <c r="F52" s="138"/>
      <c r="G52" s="138"/>
      <c r="H52" s="138"/>
      <c r="I52" s="138"/>
      <c r="J52" s="138"/>
      <c r="K52" s="138"/>
      <c r="L52" s="412"/>
      <c r="M52" s="138"/>
      <c r="N52" s="827">
        <f>N53+N57+N60</f>
        <v>0</v>
      </c>
      <c r="O52" s="138"/>
      <c r="P52" s="138"/>
      <c r="Q52" s="149">
        <f>Q53+Q57+Q60</f>
        <v>0</v>
      </c>
    </row>
    <row r="53" spans="1:17">
      <c r="A53" s="420" t="s">
        <v>3147</v>
      </c>
      <c r="B53" s="420" t="s">
        <v>2955</v>
      </c>
      <c r="C53" s="420" t="s">
        <v>2956</v>
      </c>
      <c r="D53" s="420"/>
      <c r="E53" s="86"/>
      <c r="F53" s="86"/>
      <c r="G53" s="86"/>
      <c r="H53" s="86"/>
      <c r="I53" s="86"/>
      <c r="J53" s="86"/>
      <c r="K53" s="86"/>
      <c r="L53" s="420"/>
      <c r="M53" s="86"/>
      <c r="N53" s="602">
        <f>SUM(N54:N56)</f>
        <v>0</v>
      </c>
      <c r="O53" s="86"/>
      <c r="P53" s="86"/>
      <c r="Q53" s="150">
        <f>SUM(Q54:Q56)</f>
        <v>0</v>
      </c>
    </row>
    <row r="54" spans="1:17">
      <c r="A54" s="78" t="s">
        <v>3148</v>
      </c>
      <c r="B54" s="78" t="s">
        <v>2957</v>
      </c>
      <c r="C54" s="78" t="s">
        <v>2958</v>
      </c>
      <c r="D54" s="78" t="s">
        <v>5343</v>
      </c>
      <c r="E54" s="62"/>
      <c r="F54" s="62"/>
      <c r="G54" s="62"/>
      <c r="H54" s="62"/>
      <c r="I54" s="62"/>
      <c r="J54" s="62"/>
      <c r="K54" s="743"/>
      <c r="L54" s="200">
        <f t="shared" ref="L54:L56" si="4">K54/100000</f>
        <v>0</v>
      </c>
      <c r="M54" s="190"/>
      <c r="N54" s="828">
        <f>L54*M54</f>
        <v>0</v>
      </c>
      <c r="O54" s="62"/>
      <c r="P54" s="62"/>
      <c r="Q54" s="340"/>
    </row>
    <row r="55" spans="1:17" ht="30">
      <c r="A55" s="78" t="s">
        <v>3149</v>
      </c>
      <c r="B55" s="78"/>
      <c r="C55" s="78" t="s">
        <v>3884</v>
      </c>
      <c r="D55" s="78" t="s">
        <v>5343</v>
      </c>
      <c r="E55" s="62"/>
      <c r="F55" s="62"/>
      <c r="G55" s="62"/>
      <c r="H55" s="62"/>
      <c r="I55" s="62"/>
      <c r="J55" s="62"/>
      <c r="K55" s="743"/>
      <c r="L55" s="200">
        <f t="shared" si="4"/>
        <v>0</v>
      </c>
      <c r="M55" s="190"/>
      <c r="N55" s="828">
        <f>L55*M55</f>
        <v>0</v>
      </c>
      <c r="O55" s="62"/>
      <c r="P55" s="62"/>
      <c r="Q55" s="340"/>
    </row>
    <row r="56" spans="1:17">
      <c r="A56" s="78" t="s">
        <v>3150</v>
      </c>
      <c r="B56" s="78" t="s">
        <v>2959</v>
      </c>
      <c r="C56" s="78" t="s">
        <v>2960</v>
      </c>
      <c r="D56" s="78" t="s">
        <v>5343</v>
      </c>
      <c r="E56" s="62"/>
      <c r="F56" s="62"/>
      <c r="G56" s="62"/>
      <c r="H56" s="62"/>
      <c r="I56" s="62"/>
      <c r="J56" s="62"/>
      <c r="K56" s="743"/>
      <c r="L56" s="200">
        <f t="shared" si="4"/>
        <v>0</v>
      </c>
      <c r="M56" s="190"/>
      <c r="N56" s="828">
        <f>L56*M56</f>
        <v>0</v>
      </c>
      <c r="O56" s="62"/>
      <c r="P56" s="62"/>
      <c r="Q56" s="340"/>
    </row>
    <row r="57" spans="1:17">
      <c r="A57" s="420" t="s">
        <v>3151</v>
      </c>
      <c r="B57" s="420" t="s">
        <v>2961</v>
      </c>
      <c r="C57" s="420" t="s">
        <v>2962</v>
      </c>
      <c r="D57" s="420"/>
      <c r="E57" s="86"/>
      <c r="F57" s="86"/>
      <c r="G57" s="86"/>
      <c r="H57" s="86"/>
      <c r="I57" s="86"/>
      <c r="J57" s="86"/>
      <c r="K57" s="162"/>
      <c r="L57" s="602"/>
      <c r="M57" s="128"/>
      <c r="N57" s="602">
        <f>SUM(N58:N59)</f>
        <v>0</v>
      </c>
      <c r="O57" s="86"/>
      <c r="P57" s="86"/>
      <c r="Q57" s="150">
        <f>SUM(Q58:Q59)</f>
        <v>0</v>
      </c>
    </row>
    <row r="58" spans="1:17" s="400" customFormat="1">
      <c r="A58" s="422" t="s">
        <v>4782</v>
      </c>
      <c r="B58" s="422"/>
      <c r="C58" s="157" t="s">
        <v>5296</v>
      </c>
      <c r="D58" s="78" t="s">
        <v>5343</v>
      </c>
      <c r="E58" s="160"/>
      <c r="F58" s="160"/>
      <c r="G58" s="160"/>
      <c r="H58" s="160"/>
      <c r="I58" s="160"/>
      <c r="J58" s="160"/>
      <c r="K58" s="743"/>
      <c r="L58" s="200">
        <f t="shared" ref="L58:L59" si="5">K58/100000</f>
        <v>0</v>
      </c>
      <c r="M58" s="190"/>
      <c r="N58" s="828">
        <f>L58*M58</f>
        <v>0</v>
      </c>
      <c r="O58" s="160"/>
      <c r="P58" s="160"/>
      <c r="Q58" s="342"/>
    </row>
    <row r="59" spans="1:17" s="400" customFormat="1">
      <c r="A59" s="422" t="s">
        <v>4783</v>
      </c>
      <c r="B59" s="422"/>
      <c r="C59" s="157" t="s">
        <v>3319</v>
      </c>
      <c r="D59" s="78" t="s">
        <v>5343</v>
      </c>
      <c r="E59" s="160"/>
      <c r="F59" s="160"/>
      <c r="G59" s="160"/>
      <c r="H59" s="160"/>
      <c r="I59" s="160"/>
      <c r="J59" s="160"/>
      <c r="K59" s="743"/>
      <c r="L59" s="200">
        <f t="shared" si="5"/>
        <v>0</v>
      </c>
      <c r="M59" s="190"/>
      <c r="N59" s="828">
        <f>L59*M59</f>
        <v>0</v>
      </c>
      <c r="O59" s="160"/>
      <c r="P59" s="160"/>
      <c r="Q59" s="342"/>
    </row>
    <row r="60" spans="1:17">
      <c r="A60" s="420" t="s">
        <v>3152</v>
      </c>
      <c r="B60" s="420"/>
      <c r="C60" s="420" t="s">
        <v>4836</v>
      </c>
      <c r="D60" s="420"/>
      <c r="E60" s="86"/>
      <c r="F60" s="86"/>
      <c r="G60" s="86"/>
      <c r="H60" s="86"/>
      <c r="I60" s="86"/>
      <c r="J60" s="86"/>
      <c r="K60" s="86"/>
      <c r="L60" s="420"/>
      <c r="M60" s="86"/>
      <c r="N60" s="602">
        <f>SUM(N61:N63)</f>
        <v>0</v>
      </c>
      <c r="O60" s="86"/>
      <c r="P60" s="86"/>
      <c r="Q60" s="343">
        <f>SUM(Q61:Q63)</f>
        <v>0</v>
      </c>
    </row>
    <row r="61" spans="1:17">
      <c r="A61" s="155" t="s">
        <v>3153</v>
      </c>
      <c r="B61" s="423" t="s">
        <v>2963</v>
      </c>
      <c r="C61" s="423" t="s">
        <v>4837</v>
      </c>
      <c r="D61" s="78" t="s">
        <v>5343</v>
      </c>
      <c r="E61" s="145"/>
      <c r="F61" s="145"/>
      <c r="G61" s="145"/>
      <c r="H61" s="145"/>
      <c r="I61" s="145"/>
      <c r="J61" s="145"/>
      <c r="K61" s="743"/>
      <c r="L61" s="200">
        <f t="shared" ref="L61:L63" si="6">K61/100000</f>
        <v>0</v>
      </c>
      <c r="M61" s="190"/>
      <c r="N61" s="828">
        <f>L61*M61</f>
        <v>0</v>
      </c>
      <c r="O61" s="83"/>
      <c r="P61" s="83"/>
      <c r="Q61" s="340"/>
    </row>
    <row r="62" spans="1:17">
      <c r="A62" s="155" t="s">
        <v>5297</v>
      </c>
      <c r="B62" s="423"/>
      <c r="C62" s="423" t="s">
        <v>367</v>
      </c>
      <c r="D62" s="78" t="s">
        <v>5343</v>
      </c>
      <c r="E62" s="145"/>
      <c r="F62" s="145"/>
      <c r="G62" s="145"/>
      <c r="H62" s="145"/>
      <c r="I62" s="145"/>
      <c r="J62" s="145"/>
      <c r="K62" s="743"/>
      <c r="L62" s="200">
        <f t="shared" si="6"/>
        <v>0</v>
      </c>
      <c r="M62" s="190"/>
      <c r="N62" s="828">
        <f>L62*M62</f>
        <v>0</v>
      </c>
      <c r="O62" s="83"/>
      <c r="P62" s="83"/>
      <c r="Q62" s="340"/>
    </row>
    <row r="63" spans="1:17">
      <c r="A63" s="155" t="s">
        <v>5298</v>
      </c>
      <c r="B63" s="423"/>
      <c r="C63" s="423" t="s">
        <v>4514</v>
      </c>
      <c r="D63" s="78" t="s">
        <v>5343</v>
      </c>
      <c r="E63" s="145"/>
      <c r="F63" s="145"/>
      <c r="G63" s="145"/>
      <c r="H63" s="145"/>
      <c r="I63" s="145"/>
      <c r="J63" s="145"/>
      <c r="K63" s="743"/>
      <c r="L63" s="200">
        <f t="shared" si="6"/>
        <v>0</v>
      </c>
      <c r="M63" s="190"/>
      <c r="N63" s="828">
        <f>L63*M63</f>
        <v>0</v>
      </c>
      <c r="O63" s="83"/>
      <c r="P63" s="83"/>
      <c r="Q63" s="340"/>
    </row>
    <row r="64" spans="1:17">
      <c r="A64" s="412" t="s">
        <v>3154</v>
      </c>
      <c r="B64" s="412"/>
      <c r="C64" s="412" t="s">
        <v>12</v>
      </c>
      <c r="D64" s="412"/>
      <c r="E64" s="138"/>
      <c r="F64" s="138"/>
      <c r="G64" s="138"/>
      <c r="H64" s="138"/>
      <c r="I64" s="138"/>
      <c r="J64" s="138"/>
      <c r="K64" s="138"/>
      <c r="L64" s="412"/>
      <c r="M64" s="138"/>
      <c r="N64" s="827">
        <f>N65</f>
        <v>0</v>
      </c>
      <c r="O64" s="138"/>
      <c r="P64" s="138"/>
      <c r="Q64" s="326">
        <f>Q65</f>
        <v>0</v>
      </c>
    </row>
    <row r="65" spans="1:17">
      <c r="A65" s="420" t="s">
        <v>3155</v>
      </c>
      <c r="B65" s="420" t="s">
        <v>2964</v>
      </c>
      <c r="C65" s="420" t="s">
        <v>2965</v>
      </c>
      <c r="D65" s="420"/>
      <c r="E65" s="86"/>
      <c r="F65" s="86"/>
      <c r="G65" s="86"/>
      <c r="H65" s="86"/>
      <c r="I65" s="86"/>
      <c r="J65" s="86"/>
      <c r="K65" s="86"/>
      <c r="L65" s="420"/>
      <c r="M65" s="86"/>
      <c r="N65" s="602">
        <f>SUM(N66:N69)</f>
        <v>0</v>
      </c>
      <c r="O65" s="86"/>
      <c r="P65" s="86"/>
      <c r="Q65" s="343">
        <f>SUM(Q66:Q69)</f>
        <v>0</v>
      </c>
    </row>
    <row r="66" spans="1:17">
      <c r="A66" s="78" t="s">
        <v>3156</v>
      </c>
      <c r="B66" s="78" t="s">
        <v>2966</v>
      </c>
      <c r="C66" s="78" t="s">
        <v>2967</v>
      </c>
      <c r="D66" s="78" t="s">
        <v>5343</v>
      </c>
      <c r="E66" s="62"/>
      <c r="F66" s="62"/>
      <c r="G66" s="62"/>
      <c r="H66" s="62"/>
      <c r="I66" s="62"/>
      <c r="J66" s="62"/>
      <c r="K66" s="743"/>
      <c r="L66" s="200">
        <f t="shared" ref="L66:L69" si="7">K66/100000</f>
        <v>0</v>
      </c>
      <c r="M66" s="190"/>
      <c r="N66" s="828">
        <f>L66*M66</f>
        <v>0</v>
      </c>
      <c r="O66" s="62"/>
      <c r="P66" s="62"/>
      <c r="Q66" s="340"/>
    </row>
    <row r="67" spans="1:17" ht="30">
      <c r="A67" s="78" t="s">
        <v>3157</v>
      </c>
      <c r="B67" s="78" t="s">
        <v>2968</v>
      </c>
      <c r="C67" s="78" t="s">
        <v>2969</v>
      </c>
      <c r="D67" s="78" t="s">
        <v>5343</v>
      </c>
      <c r="E67" s="62"/>
      <c r="F67" s="62"/>
      <c r="G67" s="62"/>
      <c r="H67" s="62"/>
      <c r="I67" s="62"/>
      <c r="J67" s="62"/>
      <c r="K67" s="743"/>
      <c r="L67" s="200">
        <f t="shared" si="7"/>
        <v>0</v>
      </c>
      <c r="M67" s="190"/>
      <c r="N67" s="828">
        <f>L67*M67</f>
        <v>0</v>
      </c>
      <c r="O67" s="62"/>
      <c r="P67" s="62"/>
      <c r="Q67" s="340"/>
    </row>
    <row r="68" spans="1:17">
      <c r="A68" s="78" t="s">
        <v>4008</v>
      </c>
      <c r="B68" s="78"/>
      <c r="C68" s="424" t="s">
        <v>606</v>
      </c>
      <c r="D68" s="78" t="s">
        <v>5343</v>
      </c>
      <c r="E68" s="62"/>
      <c r="F68" s="62"/>
      <c r="G68" s="62"/>
      <c r="H68" s="62"/>
      <c r="I68" s="62"/>
      <c r="J68" s="62"/>
      <c r="K68" s="743"/>
      <c r="L68" s="200">
        <f t="shared" si="7"/>
        <v>0</v>
      </c>
      <c r="M68" s="190"/>
      <c r="N68" s="828">
        <f>L68*M68</f>
        <v>0</v>
      </c>
      <c r="O68" s="62"/>
      <c r="P68" s="62"/>
      <c r="Q68" s="340"/>
    </row>
    <row r="69" spans="1:17">
      <c r="A69" s="243" t="s">
        <v>3158</v>
      </c>
      <c r="B69" s="419"/>
      <c r="C69" s="425" t="s">
        <v>5587</v>
      </c>
      <c r="D69" s="78" t="s">
        <v>5343</v>
      </c>
      <c r="E69" s="197"/>
      <c r="F69" s="197"/>
      <c r="G69" s="197"/>
      <c r="H69" s="197"/>
      <c r="I69" s="197"/>
      <c r="J69" s="197"/>
      <c r="K69" s="743"/>
      <c r="L69" s="200">
        <f t="shared" si="7"/>
        <v>0</v>
      </c>
      <c r="M69" s="190"/>
      <c r="N69" s="828">
        <f>L69*M69</f>
        <v>0</v>
      </c>
      <c r="O69" s="144"/>
      <c r="P69" s="846" t="s">
        <v>5299</v>
      </c>
      <c r="Q69" s="342"/>
    </row>
    <row r="70" spans="1:17">
      <c r="A70" s="141" t="s">
        <v>3159</v>
      </c>
      <c r="B70" s="141"/>
      <c r="C70" s="141" t="s">
        <v>2971</v>
      </c>
      <c r="D70" s="141"/>
      <c r="E70" s="85"/>
      <c r="F70" s="85"/>
      <c r="G70" s="85"/>
      <c r="H70" s="85"/>
      <c r="I70" s="85"/>
      <c r="J70" s="85"/>
      <c r="K70" s="85"/>
      <c r="L70" s="141"/>
      <c r="M70" s="85"/>
      <c r="N70" s="826">
        <f>N71+N74+N75+N76</f>
        <v>0</v>
      </c>
      <c r="O70" s="85"/>
      <c r="P70" s="85"/>
      <c r="Q70" s="339">
        <f>Q71+Q74+Q75+Q76</f>
        <v>0</v>
      </c>
    </row>
    <row r="71" spans="1:17">
      <c r="A71" s="412" t="s">
        <v>3160</v>
      </c>
      <c r="B71" s="412" t="s">
        <v>2972</v>
      </c>
      <c r="C71" s="412" t="s">
        <v>2973</v>
      </c>
      <c r="D71" s="412"/>
      <c r="E71" s="138"/>
      <c r="F71" s="138"/>
      <c r="G71" s="138"/>
      <c r="H71" s="138"/>
      <c r="I71" s="138"/>
      <c r="J71" s="138"/>
      <c r="K71" s="138"/>
      <c r="L71" s="412"/>
      <c r="M71" s="138"/>
      <c r="N71" s="827">
        <f>SUM(N72:N73)</f>
        <v>0</v>
      </c>
      <c r="O71" s="138"/>
      <c r="P71" s="138"/>
      <c r="Q71" s="326">
        <f>SUM(Q72:Q73)</f>
        <v>0</v>
      </c>
    </row>
    <row r="72" spans="1:17">
      <c r="A72" s="426" t="s">
        <v>3161</v>
      </c>
      <c r="B72" s="78" t="s">
        <v>2974</v>
      </c>
      <c r="C72" s="78" t="s">
        <v>2975</v>
      </c>
      <c r="D72" s="78" t="s">
        <v>5341</v>
      </c>
      <c r="E72" s="62"/>
      <c r="F72" s="62"/>
      <c r="G72" s="62"/>
      <c r="H72" s="62"/>
      <c r="I72" s="62"/>
      <c r="J72" s="62"/>
      <c r="K72" s="743"/>
      <c r="L72" s="200">
        <f t="shared" ref="L72:L73" si="8">K72/100000</f>
        <v>0</v>
      </c>
      <c r="M72" s="190"/>
      <c r="N72" s="828">
        <f>L72*M72</f>
        <v>0</v>
      </c>
      <c r="O72" s="62"/>
      <c r="P72" s="62"/>
      <c r="Q72" s="340"/>
    </row>
    <row r="73" spans="1:17">
      <c r="A73" s="426" t="s">
        <v>3162</v>
      </c>
      <c r="B73" s="78" t="s">
        <v>2976</v>
      </c>
      <c r="C73" s="78" t="s">
        <v>2977</v>
      </c>
      <c r="D73" s="78" t="s">
        <v>5341</v>
      </c>
      <c r="E73" s="62"/>
      <c r="F73" s="62"/>
      <c r="G73" s="62"/>
      <c r="H73" s="62"/>
      <c r="I73" s="62"/>
      <c r="J73" s="62"/>
      <c r="K73" s="743"/>
      <c r="L73" s="200">
        <f t="shared" si="8"/>
        <v>0</v>
      </c>
      <c r="M73" s="190"/>
      <c r="N73" s="828">
        <f>L73*M73</f>
        <v>0</v>
      </c>
      <c r="O73" s="62"/>
      <c r="P73" s="62"/>
      <c r="Q73" s="340"/>
    </row>
    <row r="74" spans="1:17">
      <c r="A74" s="412" t="s">
        <v>3163</v>
      </c>
      <c r="B74" s="412" t="s">
        <v>2978</v>
      </c>
      <c r="C74" s="412" t="s">
        <v>2979</v>
      </c>
      <c r="D74" s="78" t="s">
        <v>5341</v>
      </c>
      <c r="E74" s="138"/>
      <c r="F74" s="138"/>
      <c r="G74" s="138"/>
      <c r="H74" s="138"/>
      <c r="I74" s="138"/>
      <c r="J74" s="138"/>
      <c r="K74" s="245"/>
      <c r="L74" s="827">
        <f>K74/100000</f>
        <v>0</v>
      </c>
      <c r="M74" s="249"/>
      <c r="N74" s="827">
        <f>L74*M74</f>
        <v>0</v>
      </c>
      <c r="O74" s="138"/>
      <c r="P74" s="138"/>
      <c r="Q74" s="326"/>
    </row>
    <row r="75" spans="1:17">
      <c r="A75" s="412" t="s">
        <v>3164</v>
      </c>
      <c r="B75" s="412" t="s">
        <v>2980</v>
      </c>
      <c r="C75" s="412" t="s">
        <v>2981</v>
      </c>
      <c r="D75" s="78" t="s">
        <v>5341</v>
      </c>
      <c r="E75" s="138"/>
      <c r="F75" s="138"/>
      <c r="G75" s="138"/>
      <c r="H75" s="138"/>
      <c r="I75" s="138"/>
      <c r="J75" s="138"/>
      <c r="K75" s="245"/>
      <c r="L75" s="827">
        <f t="shared" ref="L75:L76" si="9">K75/100000</f>
        <v>0</v>
      </c>
      <c r="M75" s="249"/>
      <c r="N75" s="827">
        <f>L75*M75</f>
        <v>0</v>
      </c>
      <c r="O75" s="138"/>
      <c r="P75" s="138"/>
      <c r="Q75" s="326"/>
    </row>
    <row r="76" spans="1:17">
      <c r="A76" s="412" t="s">
        <v>3165</v>
      </c>
      <c r="B76" s="412" t="s">
        <v>2982</v>
      </c>
      <c r="C76" s="412" t="s">
        <v>2983</v>
      </c>
      <c r="D76" s="424" t="s">
        <v>5343</v>
      </c>
      <c r="E76" s="138"/>
      <c r="F76" s="138"/>
      <c r="G76" s="138"/>
      <c r="H76" s="138"/>
      <c r="I76" s="138"/>
      <c r="J76" s="138"/>
      <c r="K76" s="245"/>
      <c r="L76" s="827">
        <f t="shared" si="9"/>
        <v>0</v>
      </c>
      <c r="M76" s="249"/>
      <c r="N76" s="827">
        <f>L76*M76</f>
        <v>0</v>
      </c>
      <c r="O76" s="138"/>
      <c r="P76" s="138"/>
      <c r="Q76" s="326"/>
    </row>
    <row r="77" spans="1:17">
      <c r="A77" s="141" t="s">
        <v>3166</v>
      </c>
      <c r="B77" s="141"/>
      <c r="C77" s="141" t="s">
        <v>14</v>
      </c>
      <c r="D77" s="141"/>
      <c r="E77" s="85"/>
      <c r="F77" s="85"/>
      <c r="G77" s="85"/>
      <c r="H77" s="85"/>
      <c r="I77" s="85"/>
      <c r="J77" s="85"/>
      <c r="K77" s="85"/>
      <c r="L77" s="141"/>
      <c r="M77" s="85"/>
      <c r="N77" s="826">
        <f>N78+N84+N88</f>
        <v>0</v>
      </c>
      <c r="O77" s="85"/>
      <c r="P77" s="85"/>
      <c r="Q77" s="339">
        <f>Q78+Q84+Q88</f>
        <v>0</v>
      </c>
    </row>
    <row r="78" spans="1:17">
      <c r="A78" s="412" t="s">
        <v>3167</v>
      </c>
      <c r="B78" s="412"/>
      <c r="C78" s="412" t="s">
        <v>15</v>
      </c>
      <c r="D78" s="412"/>
      <c r="E78" s="138"/>
      <c r="F78" s="138"/>
      <c r="G78" s="138"/>
      <c r="H78" s="138"/>
      <c r="I78" s="138"/>
      <c r="J78" s="138"/>
      <c r="K78" s="138"/>
      <c r="L78" s="412"/>
      <c r="M78" s="138"/>
      <c r="N78" s="827">
        <f>SUM(N79:N83)</f>
        <v>0</v>
      </c>
      <c r="O78" s="138"/>
      <c r="P78" s="138"/>
      <c r="Q78" s="326">
        <f>SUM(Q79:Q83)</f>
        <v>0</v>
      </c>
    </row>
    <row r="79" spans="1:17">
      <c r="A79" s="78" t="s">
        <v>3168</v>
      </c>
      <c r="B79" s="133" t="s">
        <v>2984</v>
      </c>
      <c r="C79" s="414" t="s">
        <v>2985</v>
      </c>
      <c r="D79" s="78" t="s">
        <v>5341</v>
      </c>
      <c r="E79" s="130"/>
      <c r="F79" s="130"/>
      <c r="G79" s="130"/>
      <c r="H79" s="130"/>
      <c r="I79" s="130"/>
      <c r="J79" s="130"/>
      <c r="K79" s="743"/>
      <c r="L79" s="200">
        <f t="shared" ref="L79:L83" si="10">K79/100000</f>
        <v>0</v>
      </c>
      <c r="M79" s="190"/>
      <c r="N79" s="828">
        <f>L79*M79</f>
        <v>0</v>
      </c>
      <c r="O79" s="62"/>
      <c r="P79" s="62"/>
      <c r="Q79" s="340"/>
    </row>
    <row r="80" spans="1:17">
      <c r="A80" s="78" t="s">
        <v>3169</v>
      </c>
      <c r="B80" s="133" t="s">
        <v>2986</v>
      </c>
      <c r="C80" s="414" t="s">
        <v>2987</v>
      </c>
      <c r="D80" s="78" t="s">
        <v>5341</v>
      </c>
      <c r="E80" s="130"/>
      <c r="F80" s="130"/>
      <c r="G80" s="130"/>
      <c r="H80" s="130"/>
      <c r="I80" s="130"/>
      <c r="J80" s="130"/>
      <c r="K80" s="743"/>
      <c r="L80" s="200">
        <f t="shared" si="10"/>
        <v>0</v>
      </c>
      <c r="M80" s="190"/>
      <c r="N80" s="828">
        <f>L80*M80</f>
        <v>0</v>
      </c>
      <c r="O80" s="62"/>
      <c r="P80" s="62"/>
      <c r="Q80" s="340"/>
    </row>
    <row r="81" spans="1:17">
      <c r="A81" s="78" t="s">
        <v>3170</v>
      </c>
      <c r="B81" s="133" t="s">
        <v>2986</v>
      </c>
      <c r="C81" s="414" t="s">
        <v>2988</v>
      </c>
      <c r="D81" s="78" t="s">
        <v>5341</v>
      </c>
      <c r="E81" s="130"/>
      <c r="F81" s="130"/>
      <c r="G81" s="130"/>
      <c r="H81" s="130"/>
      <c r="I81" s="130"/>
      <c r="J81" s="130"/>
      <c r="K81" s="743"/>
      <c r="L81" s="200">
        <f t="shared" si="10"/>
        <v>0</v>
      </c>
      <c r="M81" s="190"/>
      <c r="N81" s="828">
        <f>L81*M81</f>
        <v>0</v>
      </c>
      <c r="O81" s="62"/>
      <c r="P81" s="62"/>
      <c r="Q81" s="340"/>
    </row>
    <row r="82" spans="1:17">
      <c r="A82" s="78" t="s">
        <v>3171</v>
      </c>
      <c r="B82" s="78" t="s">
        <v>2989</v>
      </c>
      <c r="C82" s="78" t="s">
        <v>2990</v>
      </c>
      <c r="D82" s="78" t="s">
        <v>5341</v>
      </c>
      <c r="E82" s="62"/>
      <c r="F82" s="62"/>
      <c r="G82" s="62"/>
      <c r="H82" s="62"/>
      <c r="I82" s="62"/>
      <c r="J82" s="62"/>
      <c r="K82" s="743"/>
      <c r="L82" s="200">
        <f t="shared" si="10"/>
        <v>0</v>
      </c>
      <c r="M82" s="190"/>
      <c r="N82" s="828">
        <f>L82*M82</f>
        <v>0</v>
      </c>
      <c r="O82" s="62"/>
      <c r="P82" s="62"/>
      <c r="Q82" s="340"/>
    </row>
    <row r="83" spans="1:17">
      <c r="A83" s="78" t="s">
        <v>5300</v>
      </c>
      <c r="B83" s="78"/>
      <c r="C83" s="78" t="s">
        <v>1310</v>
      </c>
      <c r="D83" s="78" t="s">
        <v>5341</v>
      </c>
      <c r="E83" s="62"/>
      <c r="F83" s="62"/>
      <c r="G83" s="62"/>
      <c r="H83" s="62"/>
      <c r="I83" s="62"/>
      <c r="J83" s="62"/>
      <c r="K83" s="743"/>
      <c r="L83" s="200">
        <f t="shared" si="10"/>
        <v>0</v>
      </c>
      <c r="M83" s="190"/>
      <c r="N83" s="828">
        <f>L83*M83</f>
        <v>0</v>
      </c>
      <c r="O83" s="62"/>
      <c r="P83" s="62"/>
      <c r="Q83" s="340"/>
    </row>
    <row r="84" spans="1:17">
      <c r="A84" s="412" t="s">
        <v>3172</v>
      </c>
      <c r="B84" s="412"/>
      <c r="C84" s="412" t="s">
        <v>16</v>
      </c>
      <c r="D84" s="412"/>
      <c r="E84" s="138"/>
      <c r="F84" s="138"/>
      <c r="G84" s="138"/>
      <c r="H84" s="138"/>
      <c r="I84" s="138"/>
      <c r="J84" s="138"/>
      <c r="K84" s="138"/>
      <c r="L84" s="412"/>
      <c r="M84" s="138"/>
      <c r="N84" s="827">
        <f>SUM(N85:N87)</f>
        <v>0</v>
      </c>
      <c r="O84" s="138"/>
      <c r="P84" s="138"/>
      <c r="Q84" s="326">
        <f>SUM(Q85:Q87)</f>
        <v>0</v>
      </c>
    </row>
    <row r="85" spans="1:17">
      <c r="A85" s="78" t="s">
        <v>3173</v>
      </c>
      <c r="B85" s="78" t="s">
        <v>2991</v>
      </c>
      <c r="C85" s="78" t="s">
        <v>2985</v>
      </c>
      <c r="D85" s="78" t="s">
        <v>5341</v>
      </c>
      <c r="E85" s="62"/>
      <c r="F85" s="62"/>
      <c r="G85" s="62"/>
      <c r="H85" s="62"/>
      <c r="I85" s="62"/>
      <c r="J85" s="62"/>
      <c r="K85" s="743"/>
      <c r="L85" s="200">
        <f t="shared" ref="L85:L87" si="11">K85/100000</f>
        <v>0</v>
      </c>
      <c r="M85" s="190"/>
      <c r="N85" s="828">
        <f>L85*M85</f>
        <v>0</v>
      </c>
      <c r="O85" s="62"/>
      <c r="P85" s="62"/>
      <c r="Q85" s="340"/>
    </row>
    <row r="86" spans="1:17">
      <c r="A86" s="78" t="s">
        <v>3174</v>
      </c>
      <c r="B86" s="78" t="s">
        <v>2992</v>
      </c>
      <c r="C86" s="78" t="s">
        <v>2987</v>
      </c>
      <c r="D86" s="78" t="s">
        <v>5341</v>
      </c>
      <c r="E86" s="62"/>
      <c r="F86" s="62"/>
      <c r="G86" s="62"/>
      <c r="H86" s="62"/>
      <c r="I86" s="62"/>
      <c r="J86" s="62"/>
      <c r="K86" s="743"/>
      <c r="L86" s="200">
        <f t="shared" si="11"/>
        <v>0</v>
      </c>
      <c r="M86" s="190"/>
      <c r="N86" s="828">
        <f>L86*M86</f>
        <v>0</v>
      </c>
      <c r="O86" s="62"/>
      <c r="P86" s="62"/>
      <c r="Q86" s="340"/>
    </row>
    <row r="87" spans="1:17">
      <c r="A87" s="78" t="s">
        <v>3175</v>
      </c>
      <c r="B87" s="78" t="s">
        <v>2993</v>
      </c>
      <c r="C87" s="78" t="s">
        <v>2994</v>
      </c>
      <c r="D87" s="78" t="s">
        <v>5341</v>
      </c>
      <c r="E87" s="62"/>
      <c r="F87" s="62"/>
      <c r="G87" s="62"/>
      <c r="H87" s="62"/>
      <c r="I87" s="62"/>
      <c r="J87" s="62"/>
      <c r="K87" s="743"/>
      <c r="L87" s="200">
        <f t="shared" si="11"/>
        <v>0</v>
      </c>
      <c r="M87" s="190"/>
      <c r="N87" s="828">
        <f>L87*M87</f>
        <v>0</v>
      </c>
      <c r="O87" s="62"/>
      <c r="P87" s="62"/>
      <c r="Q87" s="340"/>
    </row>
    <row r="88" spans="1:17">
      <c r="A88" s="412" t="s">
        <v>3176</v>
      </c>
      <c r="B88" s="412"/>
      <c r="C88" s="412" t="s">
        <v>17</v>
      </c>
      <c r="D88" s="412"/>
      <c r="E88" s="138"/>
      <c r="F88" s="138"/>
      <c r="G88" s="138"/>
      <c r="H88" s="138"/>
      <c r="I88" s="138"/>
      <c r="J88" s="138"/>
      <c r="K88" s="138"/>
      <c r="L88" s="412"/>
      <c r="M88" s="138"/>
      <c r="N88" s="827">
        <f>N89+N90</f>
        <v>0</v>
      </c>
      <c r="O88" s="138"/>
      <c r="P88" s="138"/>
      <c r="Q88" s="326">
        <f>Q89+Q90</f>
        <v>0</v>
      </c>
    </row>
    <row r="89" spans="1:17">
      <c r="A89" s="78" t="s">
        <v>3177</v>
      </c>
      <c r="B89" s="133"/>
      <c r="C89" s="414" t="s">
        <v>3922</v>
      </c>
      <c r="D89" s="78" t="s">
        <v>5342</v>
      </c>
      <c r="E89" s="130"/>
      <c r="F89" s="130"/>
      <c r="G89" s="130"/>
      <c r="H89" s="130"/>
      <c r="I89" s="130"/>
      <c r="J89" s="130"/>
      <c r="K89" s="743"/>
      <c r="L89" s="200">
        <f t="shared" ref="L89:L90" si="12">K89/100000</f>
        <v>0</v>
      </c>
      <c r="M89" s="190"/>
      <c r="N89" s="828">
        <f>L89*M89</f>
        <v>0</v>
      </c>
      <c r="O89" s="62"/>
      <c r="P89" s="62"/>
      <c r="Q89" s="340"/>
    </row>
    <row r="90" spans="1:17">
      <c r="A90" s="78" t="s">
        <v>4009</v>
      </c>
      <c r="B90" s="427"/>
      <c r="C90" s="414" t="s">
        <v>3869</v>
      </c>
      <c r="D90" s="78" t="s">
        <v>5341</v>
      </c>
      <c r="E90" s="130"/>
      <c r="F90" s="130"/>
      <c r="G90" s="130"/>
      <c r="H90" s="130"/>
      <c r="I90" s="130"/>
      <c r="J90" s="130"/>
      <c r="K90" s="743"/>
      <c r="L90" s="200">
        <f t="shared" si="12"/>
        <v>0</v>
      </c>
      <c r="M90" s="190"/>
      <c r="N90" s="828">
        <f>L90*M90</f>
        <v>0</v>
      </c>
      <c r="O90" s="62"/>
      <c r="P90" s="62"/>
      <c r="Q90" s="340"/>
    </row>
    <row r="91" spans="1:17">
      <c r="A91" s="141" t="s">
        <v>3178</v>
      </c>
      <c r="B91" s="141"/>
      <c r="C91" s="141" t="s">
        <v>18</v>
      </c>
      <c r="D91" s="141"/>
      <c r="E91" s="85"/>
      <c r="F91" s="85"/>
      <c r="G91" s="85"/>
      <c r="H91" s="85"/>
      <c r="I91" s="85"/>
      <c r="J91" s="85"/>
      <c r="K91" s="85"/>
      <c r="L91" s="141"/>
      <c r="M91" s="85"/>
      <c r="N91" s="826">
        <f>N92+N103+N115</f>
        <v>0</v>
      </c>
      <c r="O91" s="85"/>
      <c r="P91" s="85"/>
      <c r="Q91" s="339">
        <f>Q92+Q103+Q115</f>
        <v>0</v>
      </c>
    </row>
    <row r="92" spans="1:17">
      <c r="A92" s="412" t="s">
        <v>3179</v>
      </c>
      <c r="B92" s="412"/>
      <c r="C92" s="412" t="s">
        <v>1585</v>
      </c>
      <c r="D92" s="412"/>
      <c r="E92" s="138"/>
      <c r="F92" s="138"/>
      <c r="G92" s="138"/>
      <c r="H92" s="138"/>
      <c r="I92" s="138"/>
      <c r="J92" s="138"/>
      <c r="K92" s="138"/>
      <c r="L92" s="412"/>
      <c r="M92" s="138"/>
      <c r="N92" s="827">
        <f>SUM(N93:N99)</f>
        <v>0</v>
      </c>
      <c r="O92" s="138"/>
      <c r="P92" s="138"/>
      <c r="Q92" s="326">
        <f>SUM(Q93:Q99)</f>
        <v>0</v>
      </c>
    </row>
    <row r="93" spans="1:17" s="400" customFormat="1">
      <c r="A93" s="91" t="s">
        <v>3180</v>
      </c>
      <c r="B93" s="79"/>
      <c r="C93" s="424" t="s">
        <v>4558</v>
      </c>
      <c r="D93" s="78" t="s">
        <v>5342</v>
      </c>
      <c r="E93" s="77"/>
      <c r="F93" s="77"/>
      <c r="G93" s="77"/>
      <c r="H93" s="77"/>
      <c r="I93" s="77"/>
      <c r="J93" s="77"/>
      <c r="K93" s="743"/>
      <c r="L93" s="200">
        <f t="shared" ref="L93:L102" si="13">K93/100000</f>
        <v>0</v>
      </c>
      <c r="M93" s="190"/>
      <c r="N93" s="158">
        <f t="shared" ref="N93:N98" si="14">L93*M93</f>
        <v>0</v>
      </c>
      <c r="O93" s="77"/>
      <c r="P93" s="77"/>
      <c r="Q93" s="344"/>
    </row>
    <row r="94" spans="1:17">
      <c r="A94" s="78" t="s">
        <v>3181</v>
      </c>
      <c r="B94" s="78" t="s">
        <v>2995</v>
      </c>
      <c r="C94" s="78" t="s">
        <v>2996</v>
      </c>
      <c r="D94" s="78" t="s">
        <v>5344</v>
      </c>
      <c r="E94" s="62"/>
      <c r="F94" s="62"/>
      <c r="G94" s="62"/>
      <c r="H94" s="62"/>
      <c r="I94" s="62"/>
      <c r="J94" s="62"/>
      <c r="K94" s="743"/>
      <c r="L94" s="200">
        <f t="shared" si="13"/>
        <v>0</v>
      </c>
      <c r="M94" s="190"/>
      <c r="N94" s="828">
        <f t="shared" si="14"/>
        <v>0</v>
      </c>
      <c r="O94" s="62"/>
      <c r="P94" s="62"/>
      <c r="Q94" s="340"/>
    </row>
    <row r="95" spans="1:17">
      <c r="A95" s="78" t="s">
        <v>3182</v>
      </c>
      <c r="B95" s="78" t="s">
        <v>2997</v>
      </c>
      <c r="C95" s="78" t="s">
        <v>2998</v>
      </c>
      <c r="D95" s="78" t="s">
        <v>5344</v>
      </c>
      <c r="E95" s="62"/>
      <c r="F95" s="62"/>
      <c r="G95" s="62"/>
      <c r="H95" s="62"/>
      <c r="I95" s="62"/>
      <c r="J95" s="62"/>
      <c r="K95" s="743"/>
      <c r="L95" s="200">
        <f t="shared" si="13"/>
        <v>0</v>
      </c>
      <c r="M95" s="190"/>
      <c r="N95" s="828">
        <f t="shared" si="14"/>
        <v>0</v>
      </c>
      <c r="O95" s="62"/>
      <c r="P95" s="62"/>
      <c r="Q95" s="340"/>
    </row>
    <row r="96" spans="1:17">
      <c r="A96" s="78" t="s">
        <v>3307</v>
      </c>
      <c r="B96" s="78" t="s">
        <v>2999</v>
      </c>
      <c r="C96" s="78" t="s">
        <v>3000</v>
      </c>
      <c r="D96" s="78" t="s">
        <v>5344</v>
      </c>
      <c r="E96" s="62"/>
      <c r="F96" s="62"/>
      <c r="G96" s="62"/>
      <c r="H96" s="62"/>
      <c r="I96" s="62"/>
      <c r="J96" s="62"/>
      <c r="K96" s="743"/>
      <c r="L96" s="200">
        <f t="shared" si="13"/>
        <v>0</v>
      </c>
      <c r="M96" s="190"/>
      <c r="N96" s="828">
        <f t="shared" si="14"/>
        <v>0</v>
      </c>
      <c r="O96" s="62"/>
      <c r="P96" s="62"/>
      <c r="Q96" s="340"/>
    </row>
    <row r="97" spans="1:17">
      <c r="A97" s="78" t="s">
        <v>4557</v>
      </c>
      <c r="B97" s="78"/>
      <c r="C97" s="78" t="s">
        <v>5302</v>
      </c>
      <c r="D97" s="78" t="s">
        <v>5344</v>
      </c>
      <c r="E97" s="62"/>
      <c r="F97" s="62"/>
      <c r="G97" s="62"/>
      <c r="H97" s="62"/>
      <c r="I97" s="62"/>
      <c r="J97" s="62"/>
      <c r="K97" s="743"/>
      <c r="L97" s="200">
        <f t="shared" si="13"/>
        <v>0</v>
      </c>
      <c r="M97" s="190"/>
      <c r="N97" s="828">
        <f t="shared" si="14"/>
        <v>0</v>
      </c>
      <c r="O97" s="62"/>
      <c r="P97" s="62"/>
      <c r="Q97" s="340"/>
    </row>
    <row r="98" spans="1:17">
      <c r="A98" s="78" t="s">
        <v>5301</v>
      </c>
      <c r="B98" s="78"/>
      <c r="C98" s="78" t="s">
        <v>1310</v>
      </c>
      <c r="D98" s="78" t="s">
        <v>5344</v>
      </c>
      <c r="E98" s="62"/>
      <c r="F98" s="62"/>
      <c r="G98" s="62"/>
      <c r="H98" s="62"/>
      <c r="I98" s="62"/>
      <c r="J98" s="62"/>
      <c r="K98" s="743"/>
      <c r="L98" s="200">
        <f t="shared" si="13"/>
        <v>0</v>
      </c>
      <c r="M98" s="190"/>
      <c r="N98" s="828">
        <f t="shared" si="14"/>
        <v>0</v>
      </c>
      <c r="O98" s="62"/>
      <c r="P98" s="62"/>
      <c r="Q98" s="340"/>
    </row>
    <row r="99" spans="1:17" s="428" customFormat="1">
      <c r="A99" s="79" t="s">
        <v>5305</v>
      </c>
      <c r="B99" s="79" t="s">
        <v>3191</v>
      </c>
      <c r="C99" s="79" t="s">
        <v>4949</v>
      </c>
      <c r="D99" s="79"/>
      <c r="E99" s="71"/>
      <c r="F99" s="71"/>
      <c r="G99" s="71"/>
      <c r="H99" s="71"/>
      <c r="I99" s="71"/>
      <c r="J99" s="71"/>
      <c r="K99" s="743"/>
      <c r="L99" s="200">
        <f t="shared" si="13"/>
        <v>0</v>
      </c>
      <c r="M99" s="192"/>
      <c r="N99" s="830">
        <f>N100+N101+N102</f>
        <v>0</v>
      </c>
      <c r="O99" s="276"/>
      <c r="P99" s="276"/>
      <c r="Q99" s="675">
        <f>Q100+Q101+Q102</f>
        <v>0</v>
      </c>
    </row>
    <row r="100" spans="1:17" ht="30">
      <c r="A100" s="78" t="s">
        <v>5306</v>
      </c>
      <c r="B100" s="78" t="s">
        <v>4577</v>
      </c>
      <c r="C100" s="91" t="s">
        <v>4575</v>
      </c>
      <c r="D100" s="91" t="s">
        <v>5342</v>
      </c>
      <c r="E100" s="67"/>
      <c r="F100" s="67"/>
      <c r="G100" s="67"/>
      <c r="H100" s="67"/>
      <c r="I100" s="67"/>
      <c r="J100" s="67"/>
      <c r="K100" s="743"/>
      <c r="L100" s="200">
        <f t="shared" si="13"/>
        <v>0</v>
      </c>
      <c r="M100" s="190"/>
      <c r="N100" s="828">
        <f>L100*M100</f>
        <v>0</v>
      </c>
      <c r="O100" s="62"/>
      <c r="P100" s="62"/>
      <c r="Q100" s="340"/>
    </row>
    <row r="101" spans="1:17" ht="30">
      <c r="A101" s="78" t="s">
        <v>5307</v>
      </c>
      <c r="B101" s="78" t="s">
        <v>4578</v>
      </c>
      <c r="C101" s="91" t="s">
        <v>4576</v>
      </c>
      <c r="D101" s="91" t="s">
        <v>5341</v>
      </c>
      <c r="E101" s="67"/>
      <c r="F101" s="67"/>
      <c r="G101" s="67"/>
      <c r="H101" s="67"/>
      <c r="I101" s="67"/>
      <c r="J101" s="67"/>
      <c r="K101" s="743"/>
      <c r="L101" s="200">
        <f t="shared" si="13"/>
        <v>0</v>
      </c>
      <c r="M101" s="190"/>
      <c r="N101" s="828">
        <f>L101*M101</f>
        <v>0</v>
      </c>
      <c r="O101" s="62"/>
      <c r="P101" s="62"/>
      <c r="Q101" s="340"/>
    </row>
    <row r="102" spans="1:17">
      <c r="A102" s="78" t="s">
        <v>5308</v>
      </c>
      <c r="B102" s="78" t="s">
        <v>4579</v>
      </c>
      <c r="C102" s="91" t="s">
        <v>2970</v>
      </c>
      <c r="D102" s="91" t="s">
        <v>5341</v>
      </c>
      <c r="E102" s="67"/>
      <c r="F102" s="67"/>
      <c r="G102" s="67"/>
      <c r="H102" s="67"/>
      <c r="I102" s="67"/>
      <c r="J102" s="67"/>
      <c r="K102" s="743"/>
      <c r="L102" s="200">
        <f t="shared" si="13"/>
        <v>0</v>
      </c>
      <c r="M102" s="190"/>
      <c r="N102" s="828">
        <f>L102*M102</f>
        <v>0</v>
      </c>
      <c r="O102" s="62"/>
      <c r="P102" s="62"/>
      <c r="Q102" s="340"/>
    </row>
    <row r="103" spans="1:17">
      <c r="A103" s="412" t="s">
        <v>3183</v>
      </c>
      <c r="B103" s="412"/>
      <c r="C103" s="412" t="s">
        <v>4562</v>
      </c>
      <c r="D103" s="412"/>
      <c r="E103" s="138"/>
      <c r="F103" s="138"/>
      <c r="G103" s="138"/>
      <c r="H103" s="138"/>
      <c r="I103" s="138"/>
      <c r="J103" s="138"/>
      <c r="K103" s="138"/>
      <c r="L103" s="412"/>
      <c r="M103" s="138"/>
      <c r="N103" s="827">
        <f>N104+N108+N111+N112</f>
        <v>0</v>
      </c>
      <c r="O103" s="138"/>
      <c r="P103" s="138"/>
      <c r="Q103" s="326">
        <f>Q104+Q108+Q111+Q112</f>
        <v>0</v>
      </c>
    </row>
    <row r="104" spans="1:17" s="430" customFormat="1">
      <c r="A104" s="429" t="s">
        <v>3184</v>
      </c>
      <c r="B104" s="429"/>
      <c r="C104" s="429" t="s">
        <v>4559</v>
      </c>
      <c r="D104" s="429"/>
      <c r="E104" s="72"/>
      <c r="F104" s="72"/>
      <c r="G104" s="72"/>
      <c r="H104" s="72"/>
      <c r="I104" s="72"/>
      <c r="J104" s="72"/>
      <c r="K104" s="743"/>
      <c r="L104" s="200">
        <f t="shared" ref="L104:L107" si="15">K104/100000</f>
        <v>0</v>
      </c>
      <c r="M104" s="192"/>
      <c r="N104" s="830">
        <f>SUM(N105:N107)</f>
        <v>0</v>
      </c>
      <c r="O104" s="72"/>
      <c r="P104" s="72"/>
      <c r="Q104" s="675">
        <f>SUM(Q105:Q107)</f>
        <v>0</v>
      </c>
    </row>
    <row r="105" spans="1:17" s="400" customFormat="1">
      <c r="A105" s="91" t="s">
        <v>4567</v>
      </c>
      <c r="B105" s="91" t="s">
        <v>3001</v>
      </c>
      <c r="C105" s="91" t="s">
        <v>4572</v>
      </c>
      <c r="D105" s="91" t="s">
        <v>5342</v>
      </c>
      <c r="E105" s="92"/>
      <c r="F105" s="92"/>
      <c r="G105" s="92"/>
      <c r="H105" s="92"/>
      <c r="I105" s="92"/>
      <c r="J105" s="92"/>
      <c r="K105" s="743"/>
      <c r="L105" s="200">
        <f t="shared" si="15"/>
        <v>0</v>
      </c>
      <c r="M105" s="190"/>
      <c r="N105" s="158">
        <f>L105*M105</f>
        <v>0</v>
      </c>
      <c r="O105" s="92"/>
      <c r="P105" s="92"/>
      <c r="Q105" s="342"/>
    </row>
    <row r="106" spans="1:17" s="400" customFormat="1" ht="30">
      <c r="A106" s="91" t="s">
        <v>4568</v>
      </c>
      <c r="B106" s="91" t="s">
        <v>4565</v>
      </c>
      <c r="C106" s="91" t="s">
        <v>4566</v>
      </c>
      <c r="D106" s="91" t="s">
        <v>5342</v>
      </c>
      <c r="E106" s="92"/>
      <c r="F106" s="92"/>
      <c r="G106" s="92"/>
      <c r="H106" s="92"/>
      <c r="I106" s="92"/>
      <c r="J106" s="92"/>
      <c r="K106" s="743"/>
      <c r="L106" s="200">
        <f t="shared" si="15"/>
        <v>0</v>
      </c>
      <c r="M106" s="190"/>
      <c r="N106" s="158">
        <f>L106*M106</f>
        <v>0</v>
      </c>
      <c r="O106" s="92"/>
      <c r="P106" s="92"/>
      <c r="Q106" s="342"/>
    </row>
    <row r="107" spans="1:17" s="400" customFormat="1">
      <c r="A107" s="91" t="s">
        <v>5303</v>
      </c>
      <c r="B107" s="91"/>
      <c r="C107" s="91" t="s">
        <v>3869</v>
      </c>
      <c r="D107" s="91" t="s">
        <v>5341</v>
      </c>
      <c r="E107" s="92"/>
      <c r="F107" s="92"/>
      <c r="G107" s="92"/>
      <c r="H107" s="92"/>
      <c r="I107" s="92"/>
      <c r="J107" s="92"/>
      <c r="K107" s="743"/>
      <c r="L107" s="200">
        <f t="shared" si="15"/>
        <v>0</v>
      </c>
      <c r="M107" s="190"/>
      <c r="N107" s="158">
        <f>L107*M107</f>
        <v>0</v>
      </c>
      <c r="O107" s="92"/>
      <c r="P107" s="92"/>
      <c r="Q107" s="342"/>
    </row>
    <row r="108" spans="1:17" s="428" customFormat="1">
      <c r="A108" s="831" t="s">
        <v>3185</v>
      </c>
      <c r="B108" s="831"/>
      <c r="C108" s="832" t="s">
        <v>1790</v>
      </c>
      <c r="D108" s="832"/>
      <c r="E108" s="251"/>
      <c r="F108" s="251"/>
      <c r="G108" s="251"/>
      <c r="H108" s="251"/>
      <c r="I108" s="251"/>
      <c r="J108" s="251"/>
      <c r="K108" s="847"/>
      <c r="L108" s="833"/>
      <c r="M108" s="252"/>
      <c r="N108" s="833">
        <f>SUM(N109:N110)</f>
        <v>0</v>
      </c>
      <c r="O108" s="251"/>
      <c r="P108" s="251"/>
      <c r="Q108" s="859">
        <f>SUM(Q109:Q110)</f>
        <v>0</v>
      </c>
    </row>
    <row r="109" spans="1:17">
      <c r="A109" s="78" t="s">
        <v>4569</v>
      </c>
      <c r="B109" s="78" t="s">
        <v>3002</v>
      </c>
      <c r="C109" s="78" t="s">
        <v>3003</v>
      </c>
      <c r="D109" s="78" t="s">
        <v>5343</v>
      </c>
      <c r="E109" s="62"/>
      <c r="F109" s="62"/>
      <c r="G109" s="62"/>
      <c r="H109" s="62"/>
      <c r="I109" s="62"/>
      <c r="J109" s="62"/>
      <c r="K109" s="743"/>
      <c r="L109" s="200">
        <f t="shared" ref="L109:L111" si="16">K109/100000</f>
        <v>0</v>
      </c>
      <c r="M109" s="190"/>
      <c r="N109" s="828">
        <f>L109*M109</f>
        <v>0</v>
      </c>
      <c r="O109" s="62"/>
      <c r="P109" s="62"/>
      <c r="Q109" s="340"/>
    </row>
    <row r="110" spans="1:17">
      <c r="A110" s="78" t="s">
        <v>4570</v>
      </c>
      <c r="B110" s="78" t="s">
        <v>3004</v>
      </c>
      <c r="C110" s="78" t="s">
        <v>5304</v>
      </c>
      <c r="D110" s="78" t="s">
        <v>5343</v>
      </c>
      <c r="E110" s="62"/>
      <c r="F110" s="62"/>
      <c r="G110" s="62"/>
      <c r="H110" s="62"/>
      <c r="I110" s="62"/>
      <c r="J110" s="62"/>
      <c r="K110" s="743"/>
      <c r="L110" s="200">
        <f t="shared" si="16"/>
        <v>0</v>
      </c>
      <c r="M110" s="190"/>
      <c r="N110" s="828">
        <f>L110*M110</f>
        <v>0</v>
      </c>
      <c r="O110" s="62"/>
      <c r="P110" s="62"/>
      <c r="Q110" s="340"/>
    </row>
    <row r="111" spans="1:17" s="428" customFormat="1">
      <c r="A111" s="429" t="s">
        <v>3186</v>
      </c>
      <c r="B111" s="435" t="s">
        <v>3005</v>
      </c>
      <c r="C111" s="435" t="s">
        <v>1877</v>
      </c>
      <c r="D111" s="435" t="s">
        <v>5341</v>
      </c>
      <c r="E111" s="87"/>
      <c r="F111" s="87"/>
      <c r="G111" s="87"/>
      <c r="H111" s="87"/>
      <c r="I111" s="87"/>
      <c r="J111" s="87"/>
      <c r="K111" s="743"/>
      <c r="L111" s="200">
        <f t="shared" si="16"/>
        <v>0</v>
      </c>
      <c r="M111" s="190"/>
      <c r="N111" s="834">
        <f>L111*M111</f>
        <v>0</v>
      </c>
      <c r="O111" s="87"/>
      <c r="P111" s="87"/>
      <c r="Q111" s="345"/>
    </row>
    <row r="112" spans="1:17" s="400" customFormat="1">
      <c r="A112" s="835" t="s">
        <v>3187</v>
      </c>
      <c r="B112" s="836"/>
      <c r="C112" s="627" t="s">
        <v>4573</v>
      </c>
      <c r="D112" s="627"/>
      <c r="E112" s="123"/>
      <c r="F112" s="123"/>
      <c r="G112" s="123"/>
      <c r="H112" s="123"/>
      <c r="I112" s="123"/>
      <c r="J112" s="123"/>
      <c r="K112" s="848"/>
      <c r="L112" s="837"/>
      <c r="M112" s="211"/>
      <c r="N112" s="837">
        <f>SUM(N113:N114)</f>
        <v>0</v>
      </c>
      <c r="O112" s="123"/>
      <c r="P112" s="123"/>
      <c r="Q112" s="860">
        <f>SUM(Q113:Q114)</f>
        <v>0</v>
      </c>
    </row>
    <row r="113" spans="1:17" s="400" customFormat="1" ht="30">
      <c r="A113" s="429" t="s">
        <v>3188</v>
      </c>
      <c r="B113" s="91"/>
      <c r="C113" s="91" t="s">
        <v>4571</v>
      </c>
      <c r="D113" s="91" t="s">
        <v>5342</v>
      </c>
      <c r="E113" s="92"/>
      <c r="F113" s="92"/>
      <c r="G113" s="92"/>
      <c r="H113" s="92"/>
      <c r="I113" s="92"/>
      <c r="J113" s="92"/>
      <c r="K113" s="743"/>
      <c r="L113" s="200">
        <f t="shared" ref="L113:L114" si="17">K113/100000</f>
        <v>0</v>
      </c>
      <c r="M113" s="190"/>
      <c r="N113" s="158">
        <f>L113*M113</f>
        <v>0</v>
      </c>
      <c r="O113" s="92"/>
      <c r="P113" s="92"/>
      <c r="Q113" s="342"/>
    </row>
    <row r="114" spans="1:17" s="400" customFormat="1" ht="30">
      <c r="A114" s="429" t="s">
        <v>3189</v>
      </c>
      <c r="B114" s="91"/>
      <c r="C114" s="91" t="s">
        <v>4574</v>
      </c>
      <c r="D114" s="91" t="s">
        <v>5342</v>
      </c>
      <c r="E114" s="92"/>
      <c r="F114" s="92"/>
      <c r="G114" s="92"/>
      <c r="H114" s="92"/>
      <c r="I114" s="92"/>
      <c r="J114" s="92"/>
      <c r="K114" s="743"/>
      <c r="L114" s="200">
        <f t="shared" si="17"/>
        <v>0</v>
      </c>
      <c r="M114" s="190"/>
      <c r="N114" s="158">
        <f>L114*M114</f>
        <v>0</v>
      </c>
      <c r="O114" s="92"/>
      <c r="P114" s="92"/>
      <c r="Q114" s="342"/>
    </row>
    <row r="115" spans="1:17" s="439" customFormat="1">
      <c r="A115" s="412" t="s">
        <v>3190</v>
      </c>
      <c r="B115" s="412" t="s">
        <v>3297</v>
      </c>
      <c r="C115" s="412" t="s">
        <v>4929</v>
      </c>
      <c r="D115" s="412"/>
      <c r="E115" s="138"/>
      <c r="F115" s="138"/>
      <c r="G115" s="138"/>
      <c r="H115" s="138"/>
      <c r="I115" s="138"/>
      <c r="J115" s="138"/>
      <c r="K115" s="138"/>
      <c r="L115" s="412"/>
      <c r="M115" s="138"/>
      <c r="N115" s="827">
        <f>SUM(N116:N117)</f>
        <v>0</v>
      </c>
      <c r="O115" s="138"/>
      <c r="P115" s="138"/>
      <c r="Q115" s="326">
        <f>SUM(Q116:Q117)</f>
        <v>0</v>
      </c>
    </row>
    <row r="116" spans="1:17" s="440" customFormat="1" ht="30">
      <c r="A116" s="243" t="s">
        <v>4596</v>
      </c>
      <c r="B116" s="419" t="s">
        <v>3923</v>
      </c>
      <c r="C116" s="235" t="s">
        <v>3925</v>
      </c>
      <c r="D116" s="235" t="s">
        <v>5340</v>
      </c>
      <c r="E116" s="222"/>
      <c r="F116" s="222"/>
      <c r="G116" s="222"/>
      <c r="H116" s="222"/>
      <c r="I116" s="222"/>
      <c r="J116" s="222"/>
      <c r="K116" s="743"/>
      <c r="L116" s="200">
        <f t="shared" ref="L116:L117" si="18">K116/100000</f>
        <v>0</v>
      </c>
      <c r="M116" s="190"/>
      <c r="N116" s="834">
        <f>L116*M116</f>
        <v>0</v>
      </c>
      <c r="O116" s="223"/>
      <c r="P116" s="223"/>
      <c r="Q116" s="340"/>
    </row>
    <row r="117" spans="1:17" s="440" customFormat="1">
      <c r="A117" s="243" t="s">
        <v>5309</v>
      </c>
      <c r="B117" s="419" t="s">
        <v>3924</v>
      </c>
      <c r="C117" s="78" t="s">
        <v>1310</v>
      </c>
      <c r="D117" s="78" t="s">
        <v>3296</v>
      </c>
      <c r="E117" s="222"/>
      <c r="F117" s="222"/>
      <c r="G117" s="222"/>
      <c r="H117" s="222"/>
      <c r="I117" s="222"/>
      <c r="J117" s="222"/>
      <c r="K117" s="743"/>
      <c r="L117" s="200">
        <f t="shared" si="18"/>
        <v>0</v>
      </c>
      <c r="M117" s="190"/>
      <c r="N117" s="834">
        <f>L117*M117</f>
        <v>0</v>
      </c>
      <c r="O117" s="223"/>
      <c r="P117" s="223"/>
      <c r="Q117" s="340"/>
    </row>
    <row r="118" spans="1:17">
      <c r="A118" s="141" t="s">
        <v>3192</v>
      </c>
      <c r="B118" s="141"/>
      <c r="C118" s="141" t="s">
        <v>20</v>
      </c>
      <c r="D118" s="141"/>
      <c r="E118" s="85"/>
      <c r="F118" s="85"/>
      <c r="G118" s="85"/>
      <c r="H118" s="85"/>
      <c r="I118" s="85"/>
      <c r="J118" s="85"/>
      <c r="K118" s="85"/>
      <c r="L118" s="141"/>
      <c r="M118" s="85"/>
      <c r="N118" s="826">
        <f>N119</f>
        <v>0</v>
      </c>
      <c r="O118" s="85"/>
      <c r="P118" s="85"/>
      <c r="Q118" s="339">
        <f>Q119</f>
        <v>0</v>
      </c>
    </row>
    <row r="119" spans="1:17">
      <c r="A119" s="78" t="s">
        <v>3193</v>
      </c>
      <c r="B119" s="78"/>
      <c r="C119" s="78" t="s">
        <v>4446</v>
      </c>
      <c r="D119" s="78" t="s">
        <v>5341</v>
      </c>
      <c r="E119" s="62"/>
      <c r="F119" s="62"/>
      <c r="G119" s="62"/>
      <c r="H119" s="62"/>
      <c r="I119" s="62"/>
      <c r="J119" s="62"/>
      <c r="K119" s="743"/>
      <c r="L119" s="200">
        <f t="shared" ref="L119" si="19">K119/100000</f>
        <v>0</v>
      </c>
      <c r="M119" s="190"/>
      <c r="N119" s="828">
        <f>L119*M119</f>
        <v>0</v>
      </c>
      <c r="O119" s="62"/>
      <c r="P119" s="62"/>
      <c r="Q119" s="340"/>
    </row>
    <row r="120" spans="1:17">
      <c r="A120" s="141" t="s">
        <v>3194</v>
      </c>
      <c r="B120" s="141"/>
      <c r="C120" s="141" t="s">
        <v>21</v>
      </c>
      <c r="D120" s="141"/>
      <c r="E120" s="85"/>
      <c r="F120" s="85"/>
      <c r="G120" s="85"/>
      <c r="H120" s="85"/>
      <c r="I120" s="85"/>
      <c r="J120" s="85"/>
      <c r="K120" s="85"/>
      <c r="L120" s="141"/>
      <c r="M120" s="85"/>
      <c r="N120" s="826">
        <f>N121+N169+N170+N171</f>
        <v>0</v>
      </c>
      <c r="O120" s="85"/>
      <c r="P120" s="85"/>
      <c r="Q120" s="339">
        <f>Q121+Q169+Q170+Q171</f>
        <v>0</v>
      </c>
    </row>
    <row r="121" spans="1:17">
      <c r="A121" s="412" t="s">
        <v>3195</v>
      </c>
      <c r="B121" s="412"/>
      <c r="C121" s="412" t="s">
        <v>41</v>
      </c>
      <c r="D121" s="412"/>
      <c r="E121" s="138"/>
      <c r="F121" s="138"/>
      <c r="G121" s="138"/>
      <c r="H121" s="138"/>
      <c r="I121" s="138"/>
      <c r="J121" s="138"/>
      <c r="K121" s="138"/>
      <c r="L121" s="412"/>
      <c r="M121" s="138"/>
      <c r="N121" s="827">
        <f>N122+N126+N130+N134+N138+N142+N150+N152+N162+N166</f>
        <v>0</v>
      </c>
      <c r="O121" s="138"/>
      <c r="P121" s="138"/>
      <c r="Q121" s="326">
        <f>Q122+Q126+Q130+Q134+Q138+Q142+Q150+Q152+Q162+Q166</f>
        <v>0</v>
      </c>
    </row>
    <row r="122" spans="1:17">
      <c r="A122" s="420" t="s">
        <v>3196</v>
      </c>
      <c r="B122" s="420" t="s">
        <v>3007</v>
      </c>
      <c r="C122" s="420" t="s">
        <v>3008</v>
      </c>
      <c r="D122" s="420"/>
      <c r="E122" s="86"/>
      <c r="F122" s="86"/>
      <c r="G122" s="86"/>
      <c r="H122" s="86"/>
      <c r="I122" s="86"/>
      <c r="J122" s="86"/>
      <c r="K122" s="86"/>
      <c r="L122" s="420"/>
      <c r="M122" s="86"/>
      <c r="N122" s="602">
        <f>SUM(N123:N125)</f>
        <v>0</v>
      </c>
      <c r="O122" s="86"/>
      <c r="P122" s="86"/>
      <c r="Q122" s="343">
        <f>SUM(Q123:Q125)</f>
        <v>0</v>
      </c>
    </row>
    <row r="123" spans="1:17">
      <c r="A123" s="78" t="s">
        <v>3197</v>
      </c>
      <c r="B123" s="78" t="s">
        <v>3009</v>
      </c>
      <c r="C123" s="78" t="s">
        <v>2985</v>
      </c>
      <c r="D123" s="78" t="s">
        <v>5345</v>
      </c>
      <c r="E123" s="62"/>
      <c r="F123" s="62"/>
      <c r="G123" s="62"/>
      <c r="H123" s="62"/>
      <c r="I123" s="62"/>
      <c r="J123" s="62"/>
      <c r="K123" s="743"/>
      <c r="L123" s="200">
        <f t="shared" ref="L123:L125" si="20">K123/100000</f>
        <v>0</v>
      </c>
      <c r="M123" s="190"/>
      <c r="N123" s="828">
        <f>L123*M123</f>
        <v>0</v>
      </c>
      <c r="O123" s="62"/>
      <c r="P123" s="62"/>
      <c r="Q123" s="340"/>
    </row>
    <row r="124" spans="1:17">
      <c r="A124" s="78" t="s">
        <v>3198</v>
      </c>
      <c r="B124" s="78" t="s">
        <v>3010</v>
      </c>
      <c r="C124" s="78" t="s">
        <v>2987</v>
      </c>
      <c r="D124" s="78" t="s">
        <v>5345</v>
      </c>
      <c r="E124" s="62"/>
      <c r="F124" s="62"/>
      <c r="G124" s="62"/>
      <c r="H124" s="62"/>
      <c r="I124" s="62"/>
      <c r="J124" s="62"/>
      <c r="K124" s="743"/>
      <c r="L124" s="200">
        <f t="shared" si="20"/>
        <v>0</v>
      </c>
      <c r="M124" s="190"/>
      <c r="N124" s="828">
        <f>L124*M124</f>
        <v>0</v>
      </c>
      <c r="O124" s="62"/>
      <c r="P124" s="62"/>
      <c r="Q124" s="340"/>
    </row>
    <row r="125" spans="1:17">
      <c r="A125" s="78" t="s">
        <v>3199</v>
      </c>
      <c r="B125" s="78" t="s">
        <v>3011</v>
      </c>
      <c r="C125" s="78" t="s">
        <v>2988</v>
      </c>
      <c r="D125" s="78" t="s">
        <v>5345</v>
      </c>
      <c r="E125" s="62"/>
      <c r="F125" s="62"/>
      <c r="G125" s="62"/>
      <c r="H125" s="62"/>
      <c r="I125" s="62"/>
      <c r="J125" s="62"/>
      <c r="K125" s="743"/>
      <c r="L125" s="200">
        <f t="shared" si="20"/>
        <v>0</v>
      </c>
      <c r="M125" s="190"/>
      <c r="N125" s="828">
        <f>L125*M125</f>
        <v>0</v>
      </c>
      <c r="O125" s="62"/>
      <c r="P125" s="62"/>
      <c r="Q125" s="340"/>
    </row>
    <row r="126" spans="1:17">
      <c r="A126" s="420" t="s">
        <v>3200</v>
      </c>
      <c r="B126" s="420" t="s">
        <v>3012</v>
      </c>
      <c r="C126" s="420" t="s">
        <v>3013</v>
      </c>
      <c r="D126" s="420"/>
      <c r="E126" s="86"/>
      <c r="F126" s="86"/>
      <c r="G126" s="86"/>
      <c r="H126" s="86"/>
      <c r="I126" s="86"/>
      <c r="J126" s="86"/>
      <c r="K126" s="86"/>
      <c r="L126" s="420"/>
      <c r="M126" s="86"/>
      <c r="N126" s="602">
        <f>SUM(N127:N129)</f>
        <v>0</v>
      </c>
      <c r="O126" s="86"/>
      <c r="P126" s="86"/>
      <c r="Q126" s="343">
        <f>SUM(Q127:Q129)</f>
        <v>0</v>
      </c>
    </row>
    <row r="127" spans="1:17">
      <c r="A127" s="78" t="s">
        <v>3201</v>
      </c>
      <c r="B127" s="78" t="s">
        <v>3014</v>
      </c>
      <c r="C127" s="78" t="s">
        <v>2985</v>
      </c>
      <c r="D127" s="78" t="s">
        <v>5345</v>
      </c>
      <c r="E127" s="62"/>
      <c r="F127" s="62"/>
      <c r="G127" s="62"/>
      <c r="H127" s="62"/>
      <c r="I127" s="62"/>
      <c r="J127" s="62"/>
      <c r="K127" s="743"/>
      <c r="L127" s="200">
        <f t="shared" ref="L127:L129" si="21">K127/100000</f>
        <v>0</v>
      </c>
      <c r="M127" s="190"/>
      <c r="N127" s="828">
        <f>L127*M127</f>
        <v>0</v>
      </c>
      <c r="O127" s="62"/>
      <c r="P127" s="62"/>
      <c r="Q127" s="340"/>
    </row>
    <row r="128" spans="1:17">
      <c r="A128" s="78" t="s">
        <v>3202</v>
      </c>
      <c r="B128" s="78" t="s">
        <v>3015</v>
      </c>
      <c r="C128" s="78" t="s">
        <v>2987</v>
      </c>
      <c r="D128" s="78" t="s">
        <v>5345</v>
      </c>
      <c r="E128" s="62"/>
      <c r="F128" s="62"/>
      <c r="G128" s="62"/>
      <c r="H128" s="62"/>
      <c r="I128" s="62"/>
      <c r="J128" s="62"/>
      <c r="K128" s="743"/>
      <c r="L128" s="200">
        <f t="shared" si="21"/>
        <v>0</v>
      </c>
      <c r="M128" s="190"/>
      <c r="N128" s="828">
        <f>L128*M128</f>
        <v>0</v>
      </c>
      <c r="O128" s="62"/>
      <c r="P128" s="62"/>
      <c r="Q128" s="340"/>
    </row>
    <row r="129" spans="1:17">
      <c r="A129" s="78" t="s">
        <v>3203</v>
      </c>
      <c r="B129" s="78" t="s">
        <v>3016</v>
      </c>
      <c r="C129" s="78" t="s">
        <v>2988</v>
      </c>
      <c r="D129" s="78" t="s">
        <v>5345</v>
      </c>
      <c r="E129" s="62"/>
      <c r="F129" s="62"/>
      <c r="G129" s="62"/>
      <c r="H129" s="62"/>
      <c r="I129" s="62"/>
      <c r="J129" s="62"/>
      <c r="K129" s="743"/>
      <c r="L129" s="200">
        <f t="shared" si="21"/>
        <v>0</v>
      </c>
      <c r="M129" s="190"/>
      <c r="N129" s="828">
        <f>L129*M129</f>
        <v>0</v>
      </c>
      <c r="O129" s="62"/>
      <c r="P129" s="62"/>
      <c r="Q129" s="340"/>
    </row>
    <row r="130" spans="1:17">
      <c r="A130" s="420" t="s">
        <v>3204</v>
      </c>
      <c r="B130" s="420" t="s">
        <v>3017</v>
      </c>
      <c r="C130" s="420" t="s">
        <v>3018</v>
      </c>
      <c r="D130" s="420"/>
      <c r="E130" s="86"/>
      <c r="F130" s="86"/>
      <c r="G130" s="86"/>
      <c r="H130" s="86"/>
      <c r="I130" s="86"/>
      <c r="J130" s="86"/>
      <c r="K130" s="86"/>
      <c r="L130" s="420"/>
      <c r="M130" s="86"/>
      <c r="N130" s="602">
        <f>SUM(N131:N133)</f>
        <v>0</v>
      </c>
      <c r="O130" s="86"/>
      <c r="P130" s="86"/>
      <c r="Q130" s="343">
        <f>SUM(Q131:Q133)</f>
        <v>0</v>
      </c>
    </row>
    <row r="131" spans="1:17">
      <c r="A131" s="78" t="s">
        <v>3205</v>
      </c>
      <c r="B131" s="78" t="s">
        <v>3019</v>
      </c>
      <c r="C131" s="78" t="s">
        <v>2985</v>
      </c>
      <c r="D131" s="78" t="s">
        <v>5345</v>
      </c>
      <c r="E131" s="62"/>
      <c r="F131" s="62"/>
      <c r="G131" s="62"/>
      <c r="H131" s="62"/>
      <c r="I131" s="62"/>
      <c r="J131" s="62"/>
      <c r="K131" s="743"/>
      <c r="L131" s="200">
        <f t="shared" ref="L131:L133" si="22">K131/100000</f>
        <v>0</v>
      </c>
      <c r="M131" s="190"/>
      <c r="N131" s="828">
        <f>L131*M131</f>
        <v>0</v>
      </c>
      <c r="O131" s="62"/>
      <c r="P131" s="62"/>
      <c r="Q131" s="340"/>
    </row>
    <row r="132" spans="1:17">
      <c r="A132" s="78" t="s">
        <v>3206</v>
      </c>
      <c r="B132" s="78" t="s">
        <v>3020</v>
      </c>
      <c r="C132" s="78" t="s">
        <v>2987</v>
      </c>
      <c r="D132" s="78" t="s">
        <v>5345</v>
      </c>
      <c r="E132" s="62"/>
      <c r="F132" s="62"/>
      <c r="G132" s="62"/>
      <c r="H132" s="62"/>
      <c r="I132" s="62"/>
      <c r="J132" s="62"/>
      <c r="K132" s="743"/>
      <c r="L132" s="200">
        <f t="shared" si="22"/>
        <v>0</v>
      </c>
      <c r="M132" s="190"/>
      <c r="N132" s="828">
        <f>L132*M132</f>
        <v>0</v>
      </c>
      <c r="O132" s="62"/>
      <c r="P132" s="62"/>
      <c r="Q132" s="340"/>
    </row>
    <row r="133" spans="1:17">
      <c r="A133" s="78" t="s">
        <v>3207</v>
      </c>
      <c r="B133" s="78" t="s">
        <v>3021</v>
      </c>
      <c r="C133" s="78" t="s">
        <v>2988</v>
      </c>
      <c r="D133" s="78" t="s">
        <v>5345</v>
      </c>
      <c r="E133" s="62"/>
      <c r="F133" s="62"/>
      <c r="G133" s="62"/>
      <c r="H133" s="62"/>
      <c r="I133" s="62"/>
      <c r="J133" s="62"/>
      <c r="K133" s="743"/>
      <c r="L133" s="200">
        <f t="shared" si="22"/>
        <v>0</v>
      </c>
      <c r="M133" s="190"/>
      <c r="N133" s="828">
        <f>L133*M133</f>
        <v>0</v>
      </c>
      <c r="O133" s="62"/>
      <c r="P133" s="62"/>
      <c r="Q133" s="340"/>
    </row>
    <row r="134" spans="1:17">
      <c r="A134" s="420" t="s">
        <v>3208</v>
      </c>
      <c r="B134" s="420" t="s">
        <v>3022</v>
      </c>
      <c r="C134" s="420" t="s">
        <v>552</v>
      </c>
      <c r="D134" s="420"/>
      <c r="E134" s="86"/>
      <c r="F134" s="86"/>
      <c r="G134" s="86"/>
      <c r="H134" s="86"/>
      <c r="I134" s="86"/>
      <c r="J134" s="86"/>
      <c r="K134" s="86"/>
      <c r="L134" s="420"/>
      <c r="M134" s="86"/>
      <c r="N134" s="602">
        <f>SUM(N135:N137)</f>
        <v>0</v>
      </c>
      <c r="O134" s="86"/>
      <c r="P134" s="86"/>
      <c r="Q134" s="343">
        <f>SUM(Q135:Q137)</f>
        <v>0</v>
      </c>
    </row>
    <row r="135" spans="1:17">
      <c r="A135" s="78" t="s">
        <v>3209</v>
      </c>
      <c r="B135" s="78" t="s">
        <v>3023</v>
      </c>
      <c r="C135" s="78" t="s">
        <v>2985</v>
      </c>
      <c r="D135" s="78" t="s">
        <v>5345</v>
      </c>
      <c r="E135" s="62"/>
      <c r="F135" s="62"/>
      <c r="G135" s="62"/>
      <c r="H135" s="62"/>
      <c r="I135" s="62"/>
      <c r="J135" s="62"/>
      <c r="K135" s="743"/>
      <c r="L135" s="200">
        <f t="shared" ref="L135:L137" si="23">K135/100000</f>
        <v>0</v>
      </c>
      <c r="M135" s="190"/>
      <c r="N135" s="828">
        <f>L135*M135</f>
        <v>0</v>
      </c>
      <c r="O135" s="62"/>
      <c r="P135" s="62"/>
      <c r="Q135" s="340"/>
    </row>
    <row r="136" spans="1:17">
      <c r="A136" s="78" t="s">
        <v>3210</v>
      </c>
      <c r="B136" s="78" t="s">
        <v>3024</v>
      </c>
      <c r="C136" s="78" t="s">
        <v>2987</v>
      </c>
      <c r="D136" s="78" t="s">
        <v>5345</v>
      </c>
      <c r="E136" s="62"/>
      <c r="F136" s="62"/>
      <c r="G136" s="62"/>
      <c r="H136" s="62"/>
      <c r="I136" s="62"/>
      <c r="J136" s="62"/>
      <c r="K136" s="743"/>
      <c r="L136" s="200">
        <f t="shared" si="23"/>
        <v>0</v>
      </c>
      <c r="M136" s="190"/>
      <c r="N136" s="828">
        <f>L136*M136</f>
        <v>0</v>
      </c>
      <c r="O136" s="62"/>
      <c r="P136" s="62"/>
      <c r="Q136" s="340"/>
    </row>
    <row r="137" spans="1:17">
      <c r="A137" s="78" t="s">
        <v>3211</v>
      </c>
      <c r="B137" s="78" t="s">
        <v>3025</v>
      </c>
      <c r="C137" s="78" t="s">
        <v>2988</v>
      </c>
      <c r="D137" s="78" t="s">
        <v>5345</v>
      </c>
      <c r="E137" s="62"/>
      <c r="F137" s="62"/>
      <c r="G137" s="62"/>
      <c r="H137" s="62"/>
      <c r="I137" s="62"/>
      <c r="J137" s="62"/>
      <c r="K137" s="743"/>
      <c r="L137" s="200">
        <f t="shared" si="23"/>
        <v>0</v>
      </c>
      <c r="M137" s="190"/>
      <c r="N137" s="828">
        <f>L137*M137</f>
        <v>0</v>
      </c>
      <c r="O137" s="62"/>
      <c r="P137" s="62"/>
      <c r="Q137" s="340"/>
    </row>
    <row r="138" spans="1:17">
      <c r="A138" s="420" t="s">
        <v>3212</v>
      </c>
      <c r="B138" s="420" t="s">
        <v>3026</v>
      </c>
      <c r="C138" s="420" t="s">
        <v>3027</v>
      </c>
      <c r="D138" s="420"/>
      <c r="E138" s="86"/>
      <c r="F138" s="86"/>
      <c r="G138" s="86"/>
      <c r="H138" s="86"/>
      <c r="I138" s="86"/>
      <c r="J138" s="86"/>
      <c r="K138" s="86"/>
      <c r="L138" s="420"/>
      <c r="M138" s="86"/>
      <c r="N138" s="602">
        <f>SUM(N139:N141)</f>
        <v>0</v>
      </c>
      <c r="O138" s="86"/>
      <c r="P138" s="86"/>
      <c r="Q138" s="343">
        <f>SUM(Q139:Q141)</f>
        <v>0</v>
      </c>
    </row>
    <row r="139" spans="1:17">
      <c r="A139" s="78" t="s">
        <v>3213</v>
      </c>
      <c r="B139" s="78" t="s">
        <v>3028</v>
      </c>
      <c r="C139" s="78" t="s">
        <v>3029</v>
      </c>
      <c r="D139" s="78" t="s">
        <v>5345</v>
      </c>
      <c r="E139" s="62"/>
      <c r="F139" s="62"/>
      <c r="G139" s="62"/>
      <c r="H139" s="62"/>
      <c r="I139" s="62"/>
      <c r="J139" s="62"/>
      <c r="K139" s="743"/>
      <c r="L139" s="200">
        <f t="shared" ref="L139:L141" si="24">K139/100000</f>
        <v>0</v>
      </c>
      <c r="M139" s="190"/>
      <c r="N139" s="828">
        <f>L139*M139</f>
        <v>0</v>
      </c>
      <c r="O139" s="62"/>
      <c r="P139" s="62"/>
      <c r="Q139" s="340"/>
    </row>
    <row r="140" spans="1:17">
      <c r="A140" s="78" t="s">
        <v>3214</v>
      </c>
      <c r="B140" s="78" t="s">
        <v>3030</v>
      </c>
      <c r="C140" s="78" t="s">
        <v>639</v>
      </c>
      <c r="D140" s="78" t="s">
        <v>5345</v>
      </c>
      <c r="E140" s="62"/>
      <c r="F140" s="62"/>
      <c r="G140" s="62"/>
      <c r="H140" s="62"/>
      <c r="I140" s="62"/>
      <c r="J140" s="62"/>
      <c r="K140" s="743"/>
      <c r="L140" s="200">
        <f t="shared" si="24"/>
        <v>0</v>
      </c>
      <c r="M140" s="190"/>
      <c r="N140" s="828">
        <f>L140*M140</f>
        <v>0</v>
      </c>
      <c r="O140" s="62"/>
      <c r="P140" s="62"/>
      <c r="Q140" s="340"/>
    </row>
    <row r="141" spans="1:17">
      <c r="A141" s="78" t="s">
        <v>3215</v>
      </c>
      <c r="B141" s="78" t="s">
        <v>3031</v>
      </c>
      <c r="C141" s="78" t="s">
        <v>1310</v>
      </c>
      <c r="D141" s="78" t="s">
        <v>5345</v>
      </c>
      <c r="E141" s="62"/>
      <c r="F141" s="62"/>
      <c r="G141" s="62"/>
      <c r="H141" s="62"/>
      <c r="I141" s="62"/>
      <c r="J141" s="62"/>
      <c r="K141" s="743"/>
      <c r="L141" s="200">
        <f t="shared" si="24"/>
        <v>0</v>
      </c>
      <c r="M141" s="190"/>
      <c r="N141" s="828">
        <f>L141*M141</f>
        <v>0</v>
      </c>
      <c r="O141" s="62"/>
      <c r="P141" s="62"/>
      <c r="Q141" s="340"/>
    </row>
    <row r="142" spans="1:17">
      <c r="A142" s="420" t="s">
        <v>3216</v>
      </c>
      <c r="B142" s="420" t="s">
        <v>3032</v>
      </c>
      <c r="C142" s="420" t="s">
        <v>3033</v>
      </c>
      <c r="D142" s="420"/>
      <c r="E142" s="86"/>
      <c r="F142" s="86"/>
      <c r="G142" s="86"/>
      <c r="H142" s="86"/>
      <c r="I142" s="86"/>
      <c r="J142" s="86"/>
      <c r="K142" s="86"/>
      <c r="L142" s="420"/>
      <c r="M142" s="86"/>
      <c r="N142" s="602">
        <f>SUM(N143:N149)</f>
        <v>0</v>
      </c>
      <c r="O142" s="86"/>
      <c r="P142" s="86"/>
      <c r="Q142" s="343">
        <f>SUM(Q143:Q149)</f>
        <v>0</v>
      </c>
    </row>
    <row r="143" spans="1:17">
      <c r="A143" s="78" t="s">
        <v>3217</v>
      </c>
      <c r="B143" s="78" t="s">
        <v>3034</v>
      </c>
      <c r="C143" s="78" t="s">
        <v>3035</v>
      </c>
      <c r="D143" s="78" t="s">
        <v>5345</v>
      </c>
      <c r="E143" s="62"/>
      <c r="F143" s="62"/>
      <c r="G143" s="62"/>
      <c r="H143" s="62"/>
      <c r="I143" s="62"/>
      <c r="J143" s="62"/>
      <c r="K143" s="743"/>
      <c r="L143" s="200">
        <f t="shared" ref="L143:L149" si="25">K143/100000</f>
        <v>0</v>
      </c>
      <c r="M143" s="190"/>
      <c r="N143" s="828">
        <f t="shared" ref="N143:N149" si="26">L143*M143</f>
        <v>0</v>
      </c>
      <c r="O143" s="62"/>
      <c r="P143" s="62"/>
      <c r="Q143" s="340"/>
    </row>
    <row r="144" spans="1:17">
      <c r="A144" s="78" t="s">
        <v>3218</v>
      </c>
      <c r="B144" s="78" t="s">
        <v>3036</v>
      </c>
      <c r="C144" s="78" t="s">
        <v>556</v>
      </c>
      <c r="D144" s="78" t="s">
        <v>5345</v>
      </c>
      <c r="E144" s="62"/>
      <c r="F144" s="62"/>
      <c r="G144" s="62"/>
      <c r="H144" s="62"/>
      <c r="I144" s="62"/>
      <c r="J144" s="62"/>
      <c r="K144" s="743"/>
      <c r="L144" s="200">
        <f t="shared" si="25"/>
        <v>0</v>
      </c>
      <c r="M144" s="190"/>
      <c r="N144" s="828">
        <f t="shared" si="26"/>
        <v>0</v>
      </c>
      <c r="O144" s="62"/>
      <c r="P144" s="62"/>
      <c r="Q144" s="340"/>
    </row>
    <row r="145" spans="1:17">
      <c r="A145" s="78" t="s">
        <v>3219</v>
      </c>
      <c r="B145" s="78" t="s">
        <v>3037</v>
      </c>
      <c r="C145" s="78" t="s">
        <v>3038</v>
      </c>
      <c r="D145" s="78" t="s">
        <v>5345</v>
      </c>
      <c r="E145" s="62"/>
      <c r="F145" s="62"/>
      <c r="G145" s="62"/>
      <c r="H145" s="62"/>
      <c r="I145" s="62"/>
      <c r="J145" s="62"/>
      <c r="K145" s="743"/>
      <c r="L145" s="200">
        <f t="shared" si="25"/>
        <v>0</v>
      </c>
      <c r="M145" s="190"/>
      <c r="N145" s="828">
        <f t="shared" si="26"/>
        <v>0</v>
      </c>
      <c r="O145" s="62"/>
      <c r="P145" s="62"/>
      <c r="Q145" s="340"/>
    </row>
    <row r="146" spans="1:17">
      <c r="A146" s="78" t="s">
        <v>3220</v>
      </c>
      <c r="B146" s="78" t="s">
        <v>3039</v>
      </c>
      <c r="C146" s="78" t="s">
        <v>3040</v>
      </c>
      <c r="D146" s="78" t="s">
        <v>5345</v>
      </c>
      <c r="E146" s="62"/>
      <c r="F146" s="62"/>
      <c r="G146" s="62"/>
      <c r="H146" s="62"/>
      <c r="I146" s="62"/>
      <c r="J146" s="62"/>
      <c r="K146" s="743"/>
      <c r="L146" s="200">
        <f t="shared" si="25"/>
        <v>0</v>
      </c>
      <c r="M146" s="190"/>
      <c r="N146" s="828">
        <f t="shared" si="26"/>
        <v>0</v>
      </c>
      <c r="O146" s="62"/>
      <c r="P146" s="62"/>
      <c r="Q146" s="340"/>
    </row>
    <row r="147" spans="1:17">
      <c r="A147" s="78" t="s">
        <v>3221</v>
      </c>
      <c r="B147" s="78" t="s">
        <v>3041</v>
      </c>
      <c r="C147" s="78" t="s">
        <v>3042</v>
      </c>
      <c r="D147" s="78" t="s">
        <v>5345</v>
      </c>
      <c r="E147" s="62"/>
      <c r="F147" s="62"/>
      <c r="G147" s="62"/>
      <c r="H147" s="62"/>
      <c r="I147" s="62"/>
      <c r="J147" s="62"/>
      <c r="K147" s="743"/>
      <c r="L147" s="200">
        <f t="shared" si="25"/>
        <v>0</v>
      </c>
      <c r="M147" s="190"/>
      <c r="N147" s="828">
        <f t="shared" si="26"/>
        <v>0</v>
      </c>
      <c r="O147" s="62"/>
      <c r="P147" s="62"/>
      <c r="Q147" s="340"/>
    </row>
    <row r="148" spans="1:17">
      <c r="A148" s="78" t="s">
        <v>3222</v>
      </c>
      <c r="B148" s="78" t="s">
        <v>3043</v>
      </c>
      <c r="C148" s="78" t="s">
        <v>3044</v>
      </c>
      <c r="D148" s="78" t="s">
        <v>5345</v>
      </c>
      <c r="E148" s="62"/>
      <c r="F148" s="62"/>
      <c r="G148" s="62"/>
      <c r="H148" s="62"/>
      <c r="I148" s="62"/>
      <c r="J148" s="62"/>
      <c r="K148" s="743"/>
      <c r="L148" s="200">
        <f t="shared" si="25"/>
        <v>0</v>
      </c>
      <c r="M148" s="190"/>
      <c r="N148" s="828">
        <f t="shared" si="26"/>
        <v>0</v>
      </c>
      <c r="O148" s="62"/>
      <c r="P148" s="62"/>
      <c r="Q148" s="340"/>
    </row>
    <row r="149" spans="1:17">
      <c r="A149" s="78" t="s">
        <v>3223</v>
      </c>
      <c r="B149" s="78" t="s">
        <v>3045</v>
      </c>
      <c r="C149" s="78" t="s">
        <v>478</v>
      </c>
      <c r="D149" s="78" t="s">
        <v>5345</v>
      </c>
      <c r="E149" s="62"/>
      <c r="F149" s="62"/>
      <c r="G149" s="62"/>
      <c r="H149" s="62"/>
      <c r="I149" s="62"/>
      <c r="J149" s="62"/>
      <c r="K149" s="743"/>
      <c r="L149" s="200">
        <f t="shared" si="25"/>
        <v>0</v>
      </c>
      <c r="M149" s="190"/>
      <c r="N149" s="828">
        <f t="shared" si="26"/>
        <v>0</v>
      </c>
      <c r="O149" s="62"/>
      <c r="P149" s="62"/>
      <c r="Q149" s="340"/>
    </row>
    <row r="150" spans="1:17">
      <c r="A150" s="420" t="s">
        <v>3224</v>
      </c>
      <c r="B150" s="420"/>
      <c r="C150" s="420" t="s">
        <v>505</v>
      </c>
      <c r="D150" s="420"/>
      <c r="E150" s="86"/>
      <c r="F150" s="86"/>
      <c r="G150" s="86"/>
      <c r="H150" s="86"/>
      <c r="I150" s="86"/>
      <c r="J150" s="86"/>
      <c r="K150" s="86"/>
      <c r="L150" s="420"/>
      <c r="M150" s="86"/>
      <c r="N150" s="602">
        <f>N151</f>
        <v>0</v>
      </c>
      <c r="O150" s="86"/>
      <c r="P150" s="86"/>
      <c r="Q150" s="343">
        <f>Q151</f>
        <v>0</v>
      </c>
    </row>
    <row r="151" spans="1:17">
      <c r="A151" s="78" t="s">
        <v>3225</v>
      </c>
      <c r="B151" s="78" t="s">
        <v>3045</v>
      </c>
      <c r="C151" s="78" t="s">
        <v>3046</v>
      </c>
      <c r="D151" s="78" t="s">
        <v>5345</v>
      </c>
      <c r="E151" s="62"/>
      <c r="F151" s="62"/>
      <c r="G151" s="62"/>
      <c r="H151" s="62"/>
      <c r="I151" s="62"/>
      <c r="J151" s="62"/>
      <c r="K151" s="743"/>
      <c r="L151" s="200">
        <f t="shared" ref="L151" si="27">K151/100000</f>
        <v>0</v>
      </c>
      <c r="M151" s="190"/>
      <c r="N151" s="828">
        <f>L151*M151</f>
        <v>0</v>
      </c>
      <c r="O151" s="62"/>
      <c r="P151" s="62"/>
      <c r="Q151" s="340"/>
    </row>
    <row r="152" spans="1:17">
      <c r="A152" s="420" t="s">
        <v>3226</v>
      </c>
      <c r="B152" s="420"/>
      <c r="C152" s="420" t="s">
        <v>524</v>
      </c>
      <c r="D152" s="420"/>
      <c r="E152" s="86"/>
      <c r="F152" s="86"/>
      <c r="G152" s="86"/>
      <c r="H152" s="86"/>
      <c r="I152" s="86"/>
      <c r="J152" s="86"/>
      <c r="K152" s="86"/>
      <c r="L152" s="420"/>
      <c r="M152" s="86"/>
      <c r="N152" s="602">
        <f>N153+N156+N159</f>
        <v>0</v>
      </c>
      <c r="O152" s="86"/>
      <c r="P152" s="86"/>
      <c r="Q152" s="343">
        <f>Q153+Q156+Q159</f>
        <v>0</v>
      </c>
    </row>
    <row r="153" spans="1:17" s="428" customFormat="1">
      <c r="A153" s="435" t="s">
        <v>3227</v>
      </c>
      <c r="B153" s="441" t="s">
        <v>3047</v>
      </c>
      <c r="C153" s="441" t="s">
        <v>3048</v>
      </c>
      <c r="D153" s="441"/>
      <c r="E153" s="163"/>
      <c r="F153" s="163"/>
      <c r="G153" s="163"/>
      <c r="H153" s="163"/>
      <c r="I153" s="163"/>
      <c r="J153" s="163"/>
      <c r="K153" s="743"/>
      <c r="L153" s="200">
        <f t="shared" ref="L153:L161" si="28">K153/100000</f>
        <v>0</v>
      </c>
      <c r="M153" s="163"/>
      <c r="N153" s="834">
        <f>SUM(N154:N155)</f>
        <v>0</v>
      </c>
      <c r="O153" s="161"/>
      <c r="P153" s="161"/>
      <c r="Q153" s="345">
        <f>SUM(Q154:Q155)</f>
        <v>0</v>
      </c>
    </row>
    <row r="154" spans="1:17">
      <c r="A154" s="78" t="s">
        <v>3228</v>
      </c>
      <c r="B154" s="78" t="s">
        <v>3049</v>
      </c>
      <c r="C154" s="78" t="s">
        <v>3050</v>
      </c>
      <c r="D154" s="78" t="s">
        <v>5345</v>
      </c>
      <c r="E154" s="62"/>
      <c r="F154" s="62"/>
      <c r="G154" s="62"/>
      <c r="H154" s="62"/>
      <c r="I154" s="62"/>
      <c r="J154" s="62"/>
      <c r="K154" s="743"/>
      <c r="L154" s="200">
        <f t="shared" si="28"/>
        <v>0</v>
      </c>
      <c r="M154" s="190"/>
      <c r="N154" s="828">
        <f t="shared" ref="N154:N161" si="29">L154*M154</f>
        <v>0</v>
      </c>
      <c r="O154" s="62"/>
      <c r="P154" s="62"/>
      <c r="Q154" s="340"/>
    </row>
    <row r="155" spans="1:17">
      <c r="A155" s="78" t="s">
        <v>3229</v>
      </c>
      <c r="B155" s="78" t="s">
        <v>3051</v>
      </c>
      <c r="C155" s="78" t="s">
        <v>3052</v>
      </c>
      <c r="D155" s="78" t="s">
        <v>5345</v>
      </c>
      <c r="E155" s="62"/>
      <c r="F155" s="62"/>
      <c r="G155" s="62"/>
      <c r="H155" s="62"/>
      <c r="I155" s="62"/>
      <c r="J155" s="62"/>
      <c r="K155" s="743"/>
      <c r="L155" s="200">
        <f t="shared" si="28"/>
        <v>0</v>
      </c>
      <c r="M155" s="190"/>
      <c r="N155" s="828">
        <f t="shared" si="29"/>
        <v>0</v>
      </c>
      <c r="O155" s="62"/>
      <c r="P155" s="62"/>
      <c r="Q155" s="340"/>
    </row>
    <row r="156" spans="1:17" s="428" customFormat="1">
      <c r="A156" s="435" t="s">
        <v>3230</v>
      </c>
      <c r="B156" s="441" t="s">
        <v>3053</v>
      </c>
      <c r="C156" s="441" t="s">
        <v>3054</v>
      </c>
      <c r="D156" s="441"/>
      <c r="E156" s="163"/>
      <c r="F156" s="163"/>
      <c r="G156" s="163"/>
      <c r="H156" s="163"/>
      <c r="I156" s="163"/>
      <c r="J156" s="163"/>
      <c r="K156" s="743"/>
      <c r="L156" s="200">
        <f t="shared" si="28"/>
        <v>0</v>
      </c>
      <c r="M156" s="163"/>
      <c r="N156" s="834">
        <f>SUM(N157:N158)</f>
        <v>0</v>
      </c>
      <c r="O156" s="161"/>
      <c r="P156" s="161"/>
      <c r="Q156" s="345">
        <f>SUM(Q157:Q158)</f>
        <v>0</v>
      </c>
    </row>
    <row r="157" spans="1:17">
      <c r="A157" s="78" t="s">
        <v>3231</v>
      </c>
      <c r="B157" s="78" t="s">
        <v>3055</v>
      </c>
      <c r="C157" s="78" t="s">
        <v>3050</v>
      </c>
      <c r="D157" s="78" t="s">
        <v>5345</v>
      </c>
      <c r="E157" s="62"/>
      <c r="F157" s="62"/>
      <c r="G157" s="62"/>
      <c r="H157" s="62"/>
      <c r="I157" s="62"/>
      <c r="J157" s="62"/>
      <c r="K157" s="743"/>
      <c r="L157" s="200">
        <f t="shared" si="28"/>
        <v>0</v>
      </c>
      <c r="M157" s="190"/>
      <c r="N157" s="828">
        <f t="shared" si="29"/>
        <v>0</v>
      </c>
      <c r="O157" s="62"/>
      <c r="P157" s="62"/>
      <c r="Q157" s="340"/>
    </row>
    <row r="158" spans="1:17">
      <c r="A158" s="78" t="s">
        <v>3232</v>
      </c>
      <c r="B158" s="78" t="s">
        <v>3056</v>
      </c>
      <c r="C158" s="78" t="s">
        <v>3052</v>
      </c>
      <c r="D158" s="78" t="s">
        <v>5345</v>
      </c>
      <c r="E158" s="62"/>
      <c r="F158" s="62"/>
      <c r="G158" s="62"/>
      <c r="H158" s="62"/>
      <c r="I158" s="62"/>
      <c r="J158" s="62"/>
      <c r="K158" s="743"/>
      <c r="L158" s="200">
        <f t="shared" si="28"/>
        <v>0</v>
      </c>
      <c r="M158" s="190"/>
      <c r="N158" s="828">
        <f t="shared" si="29"/>
        <v>0</v>
      </c>
      <c r="O158" s="62"/>
      <c r="P158" s="62"/>
      <c r="Q158" s="340"/>
    </row>
    <row r="159" spans="1:17" s="428" customFormat="1">
      <c r="A159" s="435" t="s">
        <v>3233</v>
      </c>
      <c r="B159" s="441" t="s">
        <v>3057</v>
      </c>
      <c r="C159" s="441" t="s">
        <v>3058</v>
      </c>
      <c r="D159" s="441"/>
      <c r="E159" s="163"/>
      <c r="F159" s="163"/>
      <c r="G159" s="163"/>
      <c r="H159" s="163"/>
      <c r="I159" s="163"/>
      <c r="J159" s="163"/>
      <c r="K159" s="743"/>
      <c r="L159" s="200">
        <f t="shared" si="28"/>
        <v>0</v>
      </c>
      <c r="M159" s="163"/>
      <c r="N159" s="834">
        <f>SUM(N160:N161)</f>
        <v>0</v>
      </c>
      <c r="O159" s="161"/>
      <c r="P159" s="161"/>
      <c r="Q159" s="345">
        <f>SUM(Q160:Q161)</f>
        <v>0</v>
      </c>
    </row>
    <row r="160" spans="1:17">
      <c r="A160" s="78" t="s">
        <v>3234</v>
      </c>
      <c r="B160" s="78" t="s">
        <v>3059</v>
      </c>
      <c r="C160" s="78" t="s">
        <v>3050</v>
      </c>
      <c r="D160" s="78" t="s">
        <v>5345</v>
      </c>
      <c r="E160" s="62"/>
      <c r="F160" s="62"/>
      <c r="G160" s="62"/>
      <c r="H160" s="62"/>
      <c r="I160" s="62"/>
      <c r="J160" s="62"/>
      <c r="K160" s="743"/>
      <c r="L160" s="200">
        <f t="shared" si="28"/>
        <v>0</v>
      </c>
      <c r="M160" s="190"/>
      <c r="N160" s="828">
        <f t="shared" si="29"/>
        <v>0</v>
      </c>
      <c r="O160" s="62"/>
      <c r="P160" s="62"/>
      <c r="Q160" s="340"/>
    </row>
    <row r="161" spans="1:17">
      <c r="A161" s="78" t="s">
        <v>3235</v>
      </c>
      <c r="B161" s="78" t="s">
        <v>3059</v>
      </c>
      <c r="C161" s="78" t="s">
        <v>3052</v>
      </c>
      <c r="D161" s="78" t="s">
        <v>5345</v>
      </c>
      <c r="E161" s="62"/>
      <c r="F161" s="62"/>
      <c r="G161" s="62"/>
      <c r="H161" s="62"/>
      <c r="I161" s="62"/>
      <c r="J161" s="62"/>
      <c r="K161" s="743"/>
      <c r="L161" s="200">
        <f t="shared" si="28"/>
        <v>0</v>
      </c>
      <c r="M161" s="190"/>
      <c r="N161" s="828">
        <f t="shared" si="29"/>
        <v>0</v>
      </c>
      <c r="O161" s="62"/>
      <c r="P161" s="62"/>
      <c r="Q161" s="340"/>
    </row>
    <row r="162" spans="1:17">
      <c r="A162" s="420" t="s">
        <v>3236</v>
      </c>
      <c r="B162" s="420"/>
      <c r="C162" s="420" t="s">
        <v>673</v>
      </c>
      <c r="D162" s="420"/>
      <c r="E162" s="86"/>
      <c r="F162" s="86"/>
      <c r="G162" s="86"/>
      <c r="H162" s="86"/>
      <c r="I162" s="86"/>
      <c r="J162" s="86"/>
      <c r="K162" s="86"/>
      <c r="L162" s="420"/>
      <c r="M162" s="86"/>
      <c r="N162" s="602">
        <f>N163</f>
        <v>0</v>
      </c>
      <c r="O162" s="86"/>
      <c r="P162" s="86"/>
      <c r="Q162" s="343">
        <f>Q163</f>
        <v>0</v>
      </c>
    </row>
    <row r="163" spans="1:17" s="428" customFormat="1">
      <c r="A163" s="435" t="s">
        <v>3237</v>
      </c>
      <c r="B163" s="441" t="s">
        <v>3060</v>
      </c>
      <c r="C163" s="441" t="s">
        <v>3061</v>
      </c>
      <c r="D163" s="441"/>
      <c r="E163" s="163"/>
      <c r="F163" s="163"/>
      <c r="G163" s="163"/>
      <c r="H163" s="163"/>
      <c r="I163" s="163"/>
      <c r="J163" s="163"/>
      <c r="K163" s="743"/>
      <c r="L163" s="200">
        <f t="shared" ref="L163:L165" si="30">K163/100000</f>
        <v>0</v>
      </c>
      <c r="M163" s="163"/>
      <c r="N163" s="834">
        <f>SUM(N164:N165)</f>
        <v>0</v>
      </c>
      <c r="O163" s="161"/>
      <c r="P163" s="161"/>
      <c r="Q163" s="345">
        <f>SUM(Q164:Q165)</f>
        <v>0</v>
      </c>
    </row>
    <row r="164" spans="1:17">
      <c r="A164" s="78" t="s">
        <v>3238</v>
      </c>
      <c r="B164" s="78" t="s">
        <v>3062</v>
      </c>
      <c r="C164" s="78" t="s">
        <v>2985</v>
      </c>
      <c r="D164" s="78" t="s">
        <v>5345</v>
      </c>
      <c r="E164" s="62"/>
      <c r="F164" s="62"/>
      <c r="G164" s="62"/>
      <c r="H164" s="62"/>
      <c r="I164" s="62"/>
      <c r="J164" s="62"/>
      <c r="K164" s="743"/>
      <c r="L164" s="200">
        <f t="shared" si="30"/>
        <v>0</v>
      </c>
      <c r="M164" s="190"/>
      <c r="N164" s="828">
        <f>L164*M164</f>
        <v>0</v>
      </c>
      <c r="O164" s="62"/>
      <c r="P164" s="62"/>
      <c r="Q164" s="340"/>
    </row>
    <row r="165" spans="1:17">
      <c r="A165" s="78" t="s">
        <v>3239</v>
      </c>
      <c r="B165" s="78" t="s">
        <v>3030</v>
      </c>
      <c r="C165" s="78" t="s">
        <v>2987</v>
      </c>
      <c r="D165" s="78" t="s">
        <v>5345</v>
      </c>
      <c r="E165" s="62"/>
      <c r="F165" s="62"/>
      <c r="G165" s="62"/>
      <c r="H165" s="62"/>
      <c r="I165" s="62"/>
      <c r="J165" s="62"/>
      <c r="K165" s="743"/>
      <c r="L165" s="200">
        <f t="shared" si="30"/>
        <v>0</v>
      </c>
      <c r="M165" s="190"/>
      <c r="N165" s="828">
        <f>L165*M165</f>
        <v>0</v>
      </c>
      <c r="O165" s="62"/>
      <c r="P165" s="62"/>
      <c r="Q165" s="340"/>
    </row>
    <row r="166" spans="1:17">
      <c r="A166" s="420" t="s">
        <v>3240</v>
      </c>
      <c r="B166" s="420"/>
      <c r="C166" s="420" t="s">
        <v>2432</v>
      </c>
      <c r="D166" s="420"/>
      <c r="E166" s="86"/>
      <c r="F166" s="86"/>
      <c r="G166" s="86"/>
      <c r="H166" s="86"/>
      <c r="I166" s="86"/>
      <c r="J166" s="86"/>
      <c r="K166" s="86"/>
      <c r="L166" s="420"/>
      <c r="M166" s="86"/>
      <c r="N166" s="602">
        <f>SUM(N167:N168)</f>
        <v>0</v>
      </c>
      <c r="O166" s="86"/>
      <c r="P166" s="86"/>
      <c r="Q166" s="343">
        <f>SUM(Q167:Q168)</f>
        <v>0</v>
      </c>
    </row>
    <row r="167" spans="1:17">
      <c r="A167" s="78" t="s">
        <v>3241</v>
      </c>
      <c r="B167" s="78" t="s">
        <v>3063</v>
      </c>
      <c r="C167" s="78" t="s">
        <v>3064</v>
      </c>
      <c r="D167" s="78" t="s">
        <v>5345</v>
      </c>
      <c r="E167" s="62"/>
      <c r="F167" s="62"/>
      <c r="G167" s="62"/>
      <c r="H167" s="62"/>
      <c r="I167" s="62"/>
      <c r="J167" s="62"/>
      <c r="K167" s="743"/>
      <c r="L167" s="200">
        <f t="shared" ref="L167:L168" si="31">K167/100000</f>
        <v>0</v>
      </c>
      <c r="M167" s="190"/>
      <c r="N167" s="828">
        <f>L167*M167</f>
        <v>0</v>
      </c>
      <c r="O167" s="62"/>
      <c r="P167" s="62"/>
      <c r="Q167" s="340"/>
    </row>
    <row r="168" spans="1:17">
      <c r="A168" s="78" t="s">
        <v>3242</v>
      </c>
      <c r="B168" s="78" t="s">
        <v>3065</v>
      </c>
      <c r="C168" s="78" t="s">
        <v>3066</v>
      </c>
      <c r="D168" s="78" t="s">
        <v>5345</v>
      </c>
      <c r="E168" s="62"/>
      <c r="F168" s="62"/>
      <c r="G168" s="62"/>
      <c r="H168" s="62"/>
      <c r="I168" s="62"/>
      <c r="J168" s="62"/>
      <c r="K168" s="743"/>
      <c r="L168" s="200">
        <f t="shared" si="31"/>
        <v>0</v>
      </c>
      <c r="M168" s="190"/>
      <c r="N168" s="828">
        <f>L168*M168</f>
        <v>0</v>
      </c>
      <c r="O168" s="62"/>
      <c r="P168" s="62"/>
      <c r="Q168" s="340"/>
    </row>
    <row r="169" spans="1:17">
      <c r="A169" s="412" t="s">
        <v>3243</v>
      </c>
      <c r="B169" s="412"/>
      <c r="C169" s="412" t="s">
        <v>716</v>
      </c>
      <c r="D169" s="829" t="s">
        <v>5345</v>
      </c>
      <c r="E169" s="138"/>
      <c r="F169" s="138"/>
      <c r="G169" s="138"/>
      <c r="H169" s="138"/>
      <c r="I169" s="138"/>
      <c r="J169" s="138"/>
      <c r="K169" s="245"/>
      <c r="L169" s="827">
        <f>K169/100000</f>
        <v>0</v>
      </c>
      <c r="M169" s="249"/>
      <c r="N169" s="827">
        <f>L169*M169</f>
        <v>0</v>
      </c>
      <c r="O169" s="138"/>
      <c r="P169" s="138"/>
      <c r="Q169" s="326"/>
    </row>
    <row r="170" spans="1:17" ht="30">
      <c r="A170" s="412" t="s">
        <v>3244</v>
      </c>
      <c r="B170" s="412"/>
      <c r="C170" s="412" t="s">
        <v>718</v>
      </c>
      <c r="D170" s="829" t="s">
        <v>5345</v>
      </c>
      <c r="E170" s="138"/>
      <c r="F170" s="138"/>
      <c r="G170" s="138"/>
      <c r="H170" s="138"/>
      <c r="I170" s="138"/>
      <c r="J170" s="138"/>
      <c r="K170" s="245"/>
      <c r="L170" s="827">
        <f>K170/100000</f>
        <v>0</v>
      </c>
      <c r="M170" s="249"/>
      <c r="N170" s="827">
        <f>L170*M170</f>
        <v>0</v>
      </c>
      <c r="O170" s="138"/>
      <c r="P170" s="138"/>
      <c r="Q170" s="326"/>
    </row>
    <row r="171" spans="1:17">
      <c r="A171" s="412" t="s">
        <v>3245</v>
      </c>
      <c r="B171" s="412"/>
      <c r="C171" s="412" t="s">
        <v>3067</v>
      </c>
      <c r="D171" s="412"/>
      <c r="E171" s="138"/>
      <c r="F171" s="138"/>
      <c r="G171" s="138"/>
      <c r="H171" s="138"/>
      <c r="I171" s="138"/>
      <c r="J171" s="138"/>
      <c r="K171" s="245"/>
      <c r="L171" s="827"/>
      <c r="M171" s="245"/>
      <c r="N171" s="827">
        <f>SUM(N172:N173)</f>
        <v>0</v>
      </c>
      <c r="O171" s="138"/>
      <c r="P171" s="138"/>
      <c r="Q171" s="326">
        <f>SUM(Q172:Q173)</f>
        <v>0</v>
      </c>
    </row>
    <row r="172" spans="1:17" ht="45">
      <c r="A172" s="78" t="s">
        <v>3246</v>
      </c>
      <c r="B172" s="133"/>
      <c r="C172" s="414" t="s">
        <v>5318</v>
      </c>
      <c r="D172" s="414" t="s">
        <v>5342</v>
      </c>
      <c r="E172" s="130"/>
      <c r="F172" s="130"/>
      <c r="G172" s="130"/>
      <c r="H172" s="130"/>
      <c r="I172" s="130"/>
      <c r="J172" s="130"/>
      <c r="K172" s="743"/>
      <c r="L172" s="200">
        <f t="shared" ref="L172:L173" si="32">K172/100000</f>
        <v>0</v>
      </c>
      <c r="M172" s="190"/>
      <c r="N172" s="828">
        <f>L172*M172</f>
        <v>0</v>
      </c>
      <c r="O172" s="62"/>
      <c r="P172" s="62"/>
      <c r="Q172" s="340"/>
    </row>
    <row r="173" spans="1:17">
      <c r="A173" s="78" t="s">
        <v>3930</v>
      </c>
      <c r="B173" s="133"/>
      <c r="C173" s="414" t="s">
        <v>606</v>
      </c>
      <c r="D173" s="414" t="s">
        <v>3296</v>
      </c>
      <c r="E173" s="130"/>
      <c r="F173" s="130"/>
      <c r="G173" s="130"/>
      <c r="H173" s="130"/>
      <c r="I173" s="130"/>
      <c r="J173" s="130"/>
      <c r="K173" s="743"/>
      <c r="L173" s="200">
        <f t="shared" si="32"/>
        <v>0</v>
      </c>
      <c r="M173" s="190"/>
      <c r="N173" s="828">
        <f>L173*M173</f>
        <v>0</v>
      </c>
      <c r="O173" s="62"/>
      <c r="P173" s="62"/>
      <c r="Q173" s="340"/>
    </row>
    <row r="174" spans="1:17">
      <c r="A174" s="141" t="s">
        <v>3247</v>
      </c>
      <c r="B174" s="141"/>
      <c r="C174" s="141" t="s">
        <v>52</v>
      </c>
      <c r="D174" s="141"/>
      <c r="E174" s="85"/>
      <c r="F174" s="85"/>
      <c r="G174" s="85"/>
      <c r="H174" s="85"/>
      <c r="I174" s="85"/>
      <c r="J174" s="85"/>
      <c r="K174" s="85"/>
      <c r="L174" s="141"/>
      <c r="M174" s="85"/>
      <c r="N174" s="826">
        <f>N175+N178</f>
        <v>0</v>
      </c>
      <c r="O174" s="85"/>
      <c r="P174" s="85"/>
      <c r="Q174" s="339">
        <f>Q175+Q178</f>
        <v>0</v>
      </c>
    </row>
    <row r="175" spans="1:17" ht="30">
      <c r="A175" s="412" t="s">
        <v>3248</v>
      </c>
      <c r="B175" s="412"/>
      <c r="C175" s="412" t="s">
        <v>22</v>
      </c>
      <c r="D175" s="412"/>
      <c r="E175" s="138"/>
      <c r="F175" s="138"/>
      <c r="G175" s="138"/>
      <c r="H175" s="138"/>
      <c r="I175" s="138"/>
      <c r="J175" s="138"/>
      <c r="K175" s="138"/>
      <c r="L175" s="412"/>
      <c r="M175" s="138"/>
      <c r="N175" s="827">
        <f>SUM(N176:N177)</f>
        <v>0</v>
      </c>
      <c r="O175" s="138"/>
      <c r="P175" s="138"/>
      <c r="Q175" s="326">
        <f>SUM(Q176:Q177)</f>
        <v>0</v>
      </c>
    </row>
    <row r="176" spans="1:17">
      <c r="A176" s="78" t="s">
        <v>3249</v>
      </c>
      <c r="B176" s="133" t="s">
        <v>3068</v>
      </c>
      <c r="C176" s="442" t="s">
        <v>3069</v>
      </c>
      <c r="D176" s="442" t="s">
        <v>5341</v>
      </c>
      <c r="E176" s="130"/>
      <c r="F176" s="130"/>
      <c r="G176" s="130"/>
      <c r="H176" s="130"/>
      <c r="I176" s="130"/>
      <c r="J176" s="130"/>
      <c r="K176" s="743"/>
      <c r="L176" s="200">
        <f t="shared" ref="L176:L177" si="33">K176/100000</f>
        <v>0</v>
      </c>
      <c r="M176" s="190"/>
      <c r="N176" s="828">
        <f>L176*M176</f>
        <v>0</v>
      </c>
      <c r="O176" s="62"/>
      <c r="P176" s="62"/>
      <c r="Q176" s="340"/>
    </row>
    <row r="177" spans="1:17">
      <c r="A177" s="78" t="s">
        <v>3250</v>
      </c>
      <c r="B177" s="133"/>
      <c r="C177" s="442" t="s">
        <v>2970</v>
      </c>
      <c r="D177" s="442" t="s">
        <v>5341</v>
      </c>
      <c r="E177" s="130"/>
      <c r="F177" s="130"/>
      <c r="G177" s="130"/>
      <c r="H177" s="130"/>
      <c r="I177" s="130"/>
      <c r="J177" s="130"/>
      <c r="K177" s="743"/>
      <c r="L177" s="200">
        <f t="shared" si="33"/>
        <v>0</v>
      </c>
      <c r="M177" s="190"/>
      <c r="N177" s="828">
        <f>L177*M177</f>
        <v>0</v>
      </c>
      <c r="O177" s="62"/>
      <c r="P177" s="62"/>
      <c r="Q177" s="340"/>
    </row>
    <row r="178" spans="1:17">
      <c r="A178" s="412" t="s">
        <v>3251</v>
      </c>
      <c r="B178" s="412" t="s">
        <v>3252</v>
      </c>
      <c r="C178" s="412" t="s">
        <v>5310</v>
      </c>
      <c r="D178" s="412"/>
      <c r="E178" s="138"/>
      <c r="F178" s="138"/>
      <c r="G178" s="138"/>
      <c r="H178" s="138"/>
      <c r="I178" s="138"/>
      <c r="J178" s="138"/>
      <c r="K178" s="138"/>
      <c r="L178" s="412"/>
      <c r="M178" s="138"/>
      <c r="N178" s="827">
        <f>SUM(N179:N185)+SUM(N189:N194)</f>
        <v>0</v>
      </c>
      <c r="O178" s="138"/>
      <c r="P178" s="138"/>
      <c r="Q178" s="326">
        <f>SUM(Q179:Q185)+SUM(Q189:Q194)</f>
        <v>0</v>
      </c>
    </row>
    <row r="179" spans="1:17" ht="30">
      <c r="A179" s="78" t="s">
        <v>5322</v>
      </c>
      <c r="B179" s="78" t="s">
        <v>5311</v>
      </c>
      <c r="C179" s="78" t="s">
        <v>3070</v>
      </c>
      <c r="D179" s="442" t="s">
        <v>5341</v>
      </c>
      <c r="E179" s="62"/>
      <c r="F179" s="62"/>
      <c r="G179" s="62"/>
      <c r="H179" s="62"/>
      <c r="I179" s="62"/>
      <c r="J179" s="62"/>
      <c r="K179" s="743"/>
      <c r="L179" s="200">
        <f t="shared" ref="L179:L194" si="34">K179/100000</f>
        <v>0</v>
      </c>
      <c r="M179" s="190"/>
      <c r="N179" s="828">
        <f t="shared" ref="N179:N189" si="35">L179*M179</f>
        <v>0</v>
      </c>
      <c r="O179" s="62"/>
      <c r="P179" s="62"/>
      <c r="Q179" s="340"/>
    </row>
    <row r="180" spans="1:17">
      <c r="A180" s="78" t="s">
        <v>5323</v>
      </c>
      <c r="B180" s="78" t="s">
        <v>5312</v>
      </c>
      <c r="C180" s="78" t="s">
        <v>3071</v>
      </c>
      <c r="D180" s="442" t="s">
        <v>5341</v>
      </c>
      <c r="E180" s="62"/>
      <c r="F180" s="62"/>
      <c r="G180" s="62"/>
      <c r="H180" s="62"/>
      <c r="I180" s="62"/>
      <c r="J180" s="62"/>
      <c r="K180" s="743"/>
      <c r="L180" s="200">
        <f t="shared" si="34"/>
        <v>0</v>
      </c>
      <c r="M180" s="190"/>
      <c r="N180" s="828">
        <f t="shared" si="35"/>
        <v>0</v>
      </c>
      <c r="O180" s="62"/>
      <c r="P180" s="62"/>
      <c r="Q180" s="340"/>
    </row>
    <row r="181" spans="1:17">
      <c r="A181" s="78" t="s">
        <v>5324</v>
      </c>
      <c r="B181" s="78" t="s">
        <v>5313</v>
      </c>
      <c r="C181" s="78" t="s">
        <v>3072</v>
      </c>
      <c r="D181" s="442" t="s">
        <v>5341</v>
      </c>
      <c r="E181" s="62"/>
      <c r="F181" s="62"/>
      <c r="G181" s="62"/>
      <c r="H181" s="62"/>
      <c r="I181" s="62"/>
      <c r="J181" s="62"/>
      <c r="K181" s="743"/>
      <c r="L181" s="200">
        <f t="shared" si="34"/>
        <v>0</v>
      </c>
      <c r="M181" s="190"/>
      <c r="N181" s="828">
        <f t="shared" si="35"/>
        <v>0</v>
      </c>
      <c r="O181" s="62"/>
      <c r="P181" s="62"/>
      <c r="Q181" s="340"/>
    </row>
    <row r="182" spans="1:17">
      <c r="A182" s="78" t="s">
        <v>5325</v>
      </c>
      <c r="B182" s="78" t="s">
        <v>5314</v>
      </c>
      <c r="C182" s="78" t="s">
        <v>3073</v>
      </c>
      <c r="D182" s="442" t="s">
        <v>5341</v>
      </c>
      <c r="E182" s="62"/>
      <c r="F182" s="62"/>
      <c r="G182" s="62"/>
      <c r="H182" s="62"/>
      <c r="I182" s="62"/>
      <c r="J182" s="62"/>
      <c r="K182" s="743"/>
      <c r="L182" s="200">
        <f t="shared" si="34"/>
        <v>0</v>
      </c>
      <c r="M182" s="190"/>
      <c r="N182" s="828">
        <f t="shared" si="35"/>
        <v>0</v>
      </c>
      <c r="O182" s="62"/>
      <c r="P182" s="62"/>
      <c r="Q182" s="340"/>
    </row>
    <row r="183" spans="1:17" ht="30">
      <c r="A183" s="78" t="s">
        <v>5326</v>
      </c>
      <c r="B183" s="78" t="s">
        <v>5315</v>
      </c>
      <c r="C183" s="78" t="s">
        <v>5317</v>
      </c>
      <c r="D183" s="442" t="s">
        <v>5341</v>
      </c>
      <c r="E183" s="62"/>
      <c r="F183" s="62"/>
      <c r="G183" s="62"/>
      <c r="H183" s="62"/>
      <c r="I183" s="62"/>
      <c r="J183" s="62"/>
      <c r="K183" s="743"/>
      <c r="L183" s="200">
        <f t="shared" si="34"/>
        <v>0</v>
      </c>
      <c r="M183" s="190"/>
      <c r="N183" s="828">
        <f t="shared" si="35"/>
        <v>0</v>
      </c>
      <c r="O183" s="62"/>
      <c r="P183" s="62"/>
      <c r="Q183" s="340"/>
    </row>
    <row r="184" spans="1:17">
      <c r="A184" s="78" t="s">
        <v>5327</v>
      </c>
      <c r="B184" s="78" t="s">
        <v>5316</v>
      </c>
      <c r="C184" s="78" t="s">
        <v>3075</v>
      </c>
      <c r="D184" s="442" t="s">
        <v>5346</v>
      </c>
      <c r="E184" s="62"/>
      <c r="F184" s="62"/>
      <c r="G184" s="62"/>
      <c r="H184" s="62"/>
      <c r="I184" s="62"/>
      <c r="J184" s="62"/>
      <c r="K184" s="743"/>
      <c r="L184" s="200">
        <f t="shared" si="34"/>
        <v>0</v>
      </c>
      <c r="M184" s="190"/>
      <c r="N184" s="828">
        <f t="shared" si="35"/>
        <v>0</v>
      </c>
      <c r="O184" s="62"/>
      <c r="P184" s="62"/>
      <c r="Q184" s="340"/>
    </row>
    <row r="185" spans="1:17" ht="30">
      <c r="A185" s="78" t="s">
        <v>5328</v>
      </c>
      <c r="B185" s="78" t="s">
        <v>3253</v>
      </c>
      <c r="C185" s="78" t="s">
        <v>3921</v>
      </c>
      <c r="D185" s="78"/>
      <c r="E185" s="62"/>
      <c r="F185" s="62"/>
      <c r="G185" s="62"/>
      <c r="H185" s="62"/>
      <c r="I185" s="62"/>
      <c r="J185" s="62"/>
      <c r="K185" s="743"/>
      <c r="L185" s="200">
        <f t="shared" si="34"/>
        <v>0</v>
      </c>
      <c r="M185" s="156"/>
      <c r="N185" s="834">
        <f>SUM(N186:N188)</f>
        <v>0</v>
      </c>
      <c r="O185" s="62"/>
      <c r="P185" s="62"/>
      <c r="Q185" s="345">
        <f>SUM(Q186:Q188)</f>
        <v>0</v>
      </c>
    </row>
    <row r="186" spans="1:17">
      <c r="A186" s="78" t="s">
        <v>5329</v>
      </c>
      <c r="B186" s="78" t="s">
        <v>4588</v>
      </c>
      <c r="C186" s="78" t="s">
        <v>3920</v>
      </c>
      <c r="D186" s="78" t="s">
        <v>5342</v>
      </c>
      <c r="E186" s="62"/>
      <c r="F186" s="62"/>
      <c r="G186" s="62"/>
      <c r="H186" s="62"/>
      <c r="I186" s="62"/>
      <c r="J186" s="62"/>
      <c r="K186" s="743"/>
      <c r="L186" s="200">
        <f t="shared" si="34"/>
        <v>0</v>
      </c>
      <c r="M186" s="190"/>
      <c r="N186" s="828">
        <f>L186*M186</f>
        <v>0</v>
      </c>
      <c r="O186" s="62"/>
      <c r="P186" s="62"/>
      <c r="Q186" s="340"/>
    </row>
    <row r="187" spans="1:17">
      <c r="A187" s="78" t="s">
        <v>5330</v>
      </c>
      <c r="B187" s="78" t="s">
        <v>4589</v>
      </c>
      <c r="C187" s="78" t="s">
        <v>4399</v>
      </c>
      <c r="D187" s="78" t="s">
        <v>5342</v>
      </c>
      <c r="E187" s="62"/>
      <c r="F187" s="62"/>
      <c r="G187" s="62"/>
      <c r="H187" s="62"/>
      <c r="I187" s="62"/>
      <c r="J187" s="62"/>
      <c r="K187" s="743"/>
      <c r="L187" s="200">
        <f t="shared" si="34"/>
        <v>0</v>
      </c>
      <c r="M187" s="190"/>
      <c r="N187" s="828">
        <f>L187*M187</f>
        <v>0</v>
      </c>
      <c r="O187" s="62"/>
      <c r="P187" s="62"/>
      <c r="Q187" s="340"/>
    </row>
    <row r="188" spans="1:17">
      <c r="A188" s="78" t="s">
        <v>5331</v>
      </c>
      <c r="B188" s="78" t="s">
        <v>4590</v>
      </c>
      <c r="C188" s="78" t="s">
        <v>5319</v>
      </c>
      <c r="D188" s="78" t="s">
        <v>5342</v>
      </c>
      <c r="E188" s="62"/>
      <c r="F188" s="62"/>
      <c r="G188" s="62"/>
      <c r="H188" s="62"/>
      <c r="I188" s="62"/>
      <c r="J188" s="62"/>
      <c r="K188" s="743"/>
      <c r="L188" s="200">
        <f t="shared" si="34"/>
        <v>0</v>
      </c>
      <c r="M188" s="190"/>
      <c r="N188" s="828">
        <f>L188*M188</f>
        <v>0</v>
      </c>
      <c r="O188" s="62"/>
      <c r="P188" s="62"/>
      <c r="Q188" s="340"/>
    </row>
    <row r="189" spans="1:17">
      <c r="A189" s="78" t="s">
        <v>5332</v>
      </c>
      <c r="B189" s="78" t="s">
        <v>5321</v>
      </c>
      <c r="C189" s="78" t="s">
        <v>5320</v>
      </c>
      <c r="D189" s="78" t="s">
        <v>5342</v>
      </c>
      <c r="E189" s="62"/>
      <c r="F189" s="62"/>
      <c r="G189" s="62"/>
      <c r="H189" s="62"/>
      <c r="I189" s="62"/>
      <c r="J189" s="62"/>
      <c r="K189" s="743"/>
      <c r="L189" s="200">
        <f t="shared" si="34"/>
        <v>0</v>
      </c>
      <c r="M189" s="190"/>
      <c r="N189" s="828">
        <f t="shared" si="35"/>
        <v>0</v>
      </c>
      <c r="O189" s="62"/>
      <c r="P189" s="62"/>
      <c r="Q189" s="340"/>
    </row>
    <row r="190" spans="1:17">
      <c r="A190" s="78" t="s">
        <v>5333</v>
      </c>
      <c r="B190" s="78" t="s">
        <v>4591</v>
      </c>
      <c r="C190" s="91" t="s">
        <v>3074</v>
      </c>
      <c r="D190" s="91" t="s">
        <v>4720</v>
      </c>
      <c r="E190" s="62"/>
      <c r="F190" s="62"/>
      <c r="G190" s="62"/>
      <c r="H190" s="62"/>
      <c r="I190" s="62"/>
      <c r="J190" s="62"/>
      <c r="K190" s="743"/>
      <c r="L190" s="200">
        <f t="shared" si="34"/>
        <v>0</v>
      </c>
      <c r="M190" s="190"/>
      <c r="N190" s="828">
        <f>L190*M190</f>
        <v>0</v>
      </c>
      <c r="O190" s="62"/>
      <c r="P190" s="62"/>
      <c r="Q190" s="340"/>
    </row>
    <row r="191" spans="1:17">
      <c r="A191" s="78" t="s">
        <v>5334</v>
      </c>
      <c r="B191" s="78" t="s">
        <v>4592</v>
      </c>
      <c r="C191" s="78" t="s">
        <v>4046</v>
      </c>
      <c r="D191" s="91" t="s">
        <v>4720</v>
      </c>
      <c r="E191" s="62"/>
      <c r="F191" s="62"/>
      <c r="G191" s="62"/>
      <c r="H191" s="62"/>
      <c r="I191" s="62"/>
      <c r="J191" s="62"/>
      <c r="K191" s="743"/>
      <c r="L191" s="200">
        <f t="shared" si="34"/>
        <v>0</v>
      </c>
      <c r="M191" s="190"/>
      <c r="N191" s="828">
        <f>L191*M191</f>
        <v>0</v>
      </c>
      <c r="O191" s="62"/>
      <c r="P191" s="62"/>
      <c r="Q191" s="340"/>
    </row>
    <row r="192" spans="1:17">
      <c r="A192" s="78" t="s">
        <v>5335</v>
      </c>
      <c r="B192" s="78" t="s">
        <v>4593</v>
      </c>
      <c r="C192" s="78" t="s">
        <v>4047</v>
      </c>
      <c r="D192" s="91" t="s">
        <v>4720</v>
      </c>
      <c r="E192" s="62"/>
      <c r="F192" s="62"/>
      <c r="G192" s="62"/>
      <c r="H192" s="62"/>
      <c r="I192" s="62"/>
      <c r="J192" s="62"/>
      <c r="K192" s="743"/>
      <c r="L192" s="200">
        <f t="shared" si="34"/>
        <v>0</v>
      </c>
      <c r="M192" s="190"/>
      <c r="N192" s="828">
        <f>L192*M192</f>
        <v>0</v>
      </c>
      <c r="O192" s="62"/>
      <c r="P192" s="62"/>
      <c r="Q192" s="340"/>
    </row>
    <row r="193" spans="1:17">
      <c r="A193" s="78" t="s">
        <v>5336</v>
      </c>
      <c r="B193" s="78" t="s">
        <v>4595</v>
      </c>
      <c r="C193" s="78" t="s">
        <v>4048</v>
      </c>
      <c r="D193" s="91" t="s">
        <v>4720</v>
      </c>
      <c r="E193" s="62"/>
      <c r="F193" s="62"/>
      <c r="G193" s="62"/>
      <c r="H193" s="62"/>
      <c r="I193" s="62"/>
      <c r="J193" s="62"/>
      <c r="K193" s="743"/>
      <c r="L193" s="200">
        <f t="shared" si="34"/>
        <v>0</v>
      </c>
      <c r="M193" s="190"/>
      <c r="N193" s="828">
        <f>L193*M193</f>
        <v>0</v>
      </c>
      <c r="O193" s="62"/>
      <c r="P193" s="62"/>
      <c r="Q193" s="340"/>
    </row>
    <row r="194" spans="1:17">
      <c r="A194" s="78" t="s">
        <v>5337</v>
      </c>
      <c r="B194" s="78" t="s">
        <v>4594</v>
      </c>
      <c r="C194" s="78" t="s">
        <v>4045</v>
      </c>
      <c r="D194" s="91" t="s">
        <v>3296</v>
      </c>
      <c r="E194" s="62"/>
      <c r="F194" s="62"/>
      <c r="G194" s="62"/>
      <c r="H194" s="62"/>
      <c r="I194" s="62"/>
      <c r="J194" s="62"/>
      <c r="K194" s="743"/>
      <c r="L194" s="200">
        <f t="shared" si="34"/>
        <v>0</v>
      </c>
      <c r="M194" s="190"/>
      <c r="N194" s="828">
        <f>L194*M194</f>
        <v>0</v>
      </c>
      <c r="O194" s="62"/>
      <c r="P194" s="62"/>
      <c r="Q194" s="340"/>
    </row>
    <row r="195" spans="1:17">
      <c r="A195" s="141" t="s">
        <v>3254</v>
      </c>
      <c r="B195" s="141"/>
      <c r="C195" s="141" t="s">
        <v>23</v>
      </c>
      <c r="D195" s="141"/>
      <c r="E195" s="85"/>
      <c r="F195" s="85"/>
      <c r="G195" s="85"/>
      <c r="H195" s="85"/>
      <c r="I195" s="85"/>
      <c r="J195" s="85"/>
      <c r="K195" s="85"/>
      <c r="L195" s="141"/>
      <c r="M195" s="85"/>
      <c r="N195" s="826">
        <f>N196+N199</f>
        <v>0</v>
      </c>
      <c r="O195" s="85"/>
      <c r="P195" s="85"/>
      <c r="Q195" s="339">
        <f>Q196+Q199</f>
        <v>0</v>
      </c>
    </row>
    <row r="196" spans="1:17">
      <c r="A196" s="412" t="s">
        <v>3255</v>
      </c>
      <c r="B196" s="412"/>
      <c r="C196" s="412" t="s">
        <v>24</v>
      </c>
      <c r="D196" s="412"/>
      <c r="E196" s="138"/>
      <c r="F196" s="138"/>
      <c r="G196" s="138"/>
      <c r="H196" s="138"/>
      <c r="I196" s="138"/>
      <c r="J196" s="138"/>
      <c r="K196" s="138"/>
      <c r="L196" s="412"/>
      <c r="M196" s="138"/>
      <c r="N196" s="827">
        <f>SUM(N197:N198)</f>
        <v>0</v>
      </c>
      <c r="O196" s="138"/>
      <c r="P196" s="138"/>
      <c r="Q196" s="326">
        <f>SUM(Q197:Q198)</f>
        <v>0</v>
      </c>
    </row>
    <row r="197" spans="1:17" ht="30">
      <c r="A197" s="78" t="s">
        <v>3256</v>
      </c>
      <c r="B197" s="443"/>
      <c r="C197" s="423" t="s">
        <v>1170</v>
      </c>
      <c r="D197" s="423" t="s">
        <v>118</v>
      </c>
      <c r="E197" s="73"/>
      <c r="F197" s="73"/>
      <c r="G197" s="73"/>
      <c r="H197" s="73"/>
      <c r="I197" s="73"/>
      <c r="J197" s="73"/>
      <c r="K197" s="743"/>
      <c r="L197" s="200">
        <f t="shared" ref="L197:L198" si="36">K197/100000</f>
        <v>0</v>
      </c>
      <c r="M197" s="190"/>
      <c r="N197" s="828">
        <f>L197*M197</f>
        <v>0</v>
      </c>
      <c r="O197" s="142"/>
      <c r="P197" s="142"/>
      <c r="Q197" s="340"/>
    </row>
    <row r="198" spans="1:17">
      <c r="A198" s="78" t="s">
        <v>3257</v>
      </c>
      <c r="B198" s="443"/>
      <c r="C198" s="423" t="s">
        <v>1171</v>
      </c>
      <c r="D198" s="423" t="s">
        <v>131</v>
      </c>
      <c r="E198" s="73"/>
      <c r="F198" s="73"/>
      <c r="G198" s="73"/>
      <c r="H198" s="73"/>
      <c r="I198" s="73"/>
      <c r="J198" s="73"/>
      <c r="K198" s="743"/>
      <c r="L198" s="200">
        <f t="shared" si="36"/>
        <v>0</v>
      </c>
      <c r="M198" s="190"/>
      <c r="N198" s="828">
        <f>L198*M198</f>
        <v>0</v>
      </c>
      <c r="O198" s="142"/>
      <c r="P198" s="142"/>
      <c r="Q198" s="340"/>
    </row>
    <row r="199" spans="1:17">
      <c r="A199" s="412" t="s">
        <v>3258</v>
      </c>
      <c r="B199" s="412"/>
      <c r="C199" s="412" t="s">
        <v>25</v>
      </c>
      <c r="D199" s="412"/>
      <c r="E199" s="138"/>
      <c r="F199" s="138"/>
      <c r="G199" s="138"/>
      <c r="H199" s="138"/>
      <c r="I199" s="138"/>
      <c r="J199" s="138"/>
      <c r="K199" s="138"/>
      <c r="L199" s="412"/>
      <c r="M199" s="138"/>
      <c r="N199" s="827">
        <f>N200+N201</f>
        <v>0</v>
      </c>
      <c r="O199" s="138"/>
      <c r="P199" s="138"/>
      <c r="Q199" s="326">
        <f>Q200+Q201</f>
        <v>0</v>
      </c>
    </row>
    <row r="200" spans="1:17">
      <c r="A200" s="78" t="s">
        <v>3259</v>
      </c>
      <c r="B200" s="78" t="s">
        <v>3076</v>
      </c>
      <c r="C200" s="78" t="s">
        <v>3077</v>
      </c>
      <c r="D200" s="78" t="s">
        <v>3296</v>
      </c>
      <c r="E200" s="62"/>
      <c r="F200" s="62"/>
      <c r="G200" s="62"/>
      <c r="H200" s="62"/>
      <c r="I200" s="62"/>
      <c r="J200" s="62"/>
      <c r="K200" s="743"/>
      <c r="L200" s="200">
        <f t="shared" ref="L200:L201" si="37">K200/100000</f>
        <v>0</v>
      </c>
      <c r="M200" s="190"/>
      <c r="N200" s="828">
        <f>L200*M200</f>
        <v>0</v>
      </c>
      <c r="O200" s="62"/>
      <c r="P200" s="62"/>
      <c r="Q200" s="340"/>
    </row>
    <row r="201" spans="1:17">
      <c r="A201" s="78" t="s">
        <v>3260</v>
      </c>
      <c r="B201" s="78" t="s">
        <v>3260</v>
      </c>
      <c r="C201" s="78" t="s">
        <v>307</v>
      </c>
      <c r="D201" s="78" t="s">
        <v>3296</v>
      </c>
      <c r="E201" s="62"/>
      <c r="F201" s="62"/>
      <c r="G201" s="62"/>
      <c r="H201" s="62"/>
      <c r="I201" s="62"/>
      <c r="J201" s="62"/>
      <c r="K201" s="743"/>
      <c r="L201" s="200">
        <f t="shared" si="37"/>
        <v>0</v>
      </c>
      <c r="M201" s="190"/>
      <c r="N201" s="828">
        <f>L201*M201</f>
        <v>0</v>
      </c>
      <c r="O201" s="62"/>
      <c r="P201" s="62"/>
      <c r="Q201" s="340"/>
    </row>
    <row r="202" spans="1:17">
      <c r="A202" s="243" t="s">
        <v>3261</v>
      </c>
      <c r="B202" s="419" t="s">
        <v>3261</v>
      </c>
      <c r="C202" s="235" t="s">
        <v>26</v>
      </c>
      <c r="D202" s="235"/>
      <c r="E202" s="255"/>
      <c r="F202" s="255"/>
      <c r="G202" s="255"/>
      <c r="H202" s="255"/>
      <c r="I202" s="255"/>
      <c r="J202" s="255"/>
      <c r="K202" s="851"/>
      <c r="L202" s="248"/>
      <c r="M202" s="845"/>
      <c r="N202" s="248"/>
      <c r="O202" s="849"/>
      <c r="P202" s="850" t="s">
        <v>5299</v>
      </c>
      <c r="Q202" s="861"/>
    </row>
    <row r="203" spans="1:17">
      <c r="A203" s="243" t="s">
        <v>3262</v>
      </c>
      <c r="B203" s="419" t="s">
        <v>3262</v>
      </c>
      <c r="C203" s="235" t="s">
        <v>27</v>
      </c>
      <c r="D203" s="235"/>
      <c r="E203" s="255"/>
      <c r="F203" s="255"/>
      <c r="G203" s="255"/>
      <c r="H203" s="255"/>
      <c r="I203" s="255"/>
      <c r="J203" s="255"/>
      <c r="K203" s="851"/>
      <c r="L203" s="248"/>
      <c r="M203" s="845"/>
      <c r="N203" s="248"/>
      <c r="O203" s="849"/>
      <c r="P203" s="850" t="s">
        <v>5299</v>
      </c>
      <c r="Q203" s="861"/>
    </row>
    <row r="204" spans="1:17">
      <c r="A204" s="141" t="s">
        <v>3263</v>
      </c>
      <c r="B204" s="141"/>
      <c r="C204" s="141" t="s">
        <v>28</v>
      </c>
      <c r="D204" s="141"/>
      <c r="E204" s="85"/>
      <c r="F204" s="85"/>
      <c r="G204" s="85"/>
      <c r="H204" s="85"/>
      <c r="I204" s="85"/>
      <c r="J204" s="85"/>
      <c r="K204" s="85"/>
      <c r="L204" s="141"/>
      <c r="M204" s="85"/>
      <c r="N204" s="826">
        <f>SUM(N205:N206)</f>
        <v>0</v>
      </c>
      <c r="O204" s="85"/>
      <c r="P204" s="85"/>
      <c r="Q204" s="339">
        <f>SUM(Q205:Q206)</f>
        <v>0</v>
      </c>
    </row>
    <row r="205" spans="1:17">
      <c r="A205" s="78" t="s">
        <v>3264</v>
      </c>
      <c r="B205" s="78" t="s">
        <v>3080</v>
      </c>
      <c r="C205" s="78" t="s">
        <v>5338</v>
      </c>
      <c r="D205" s="78" t="s">
        <v>3296</v>
      </c>
      <c r="E205" s="62"/>
      <c r="F205" s="62"/>
      <c r="G205" s="62"/>
      <c r="H205" s="62"/>
      <c r="I205" s="62"/>
      <c r="J205" s="62"/>
      <c r="K205" s="743"/>
      <c r="L205" s="200">
        <f t="shared" ref="L205:L206" si="38">K205/100000</f>
        <v>0</v>
      </c>
      <c r="M205" s="190"/>
      <c r="N205" s="828">
        <f>L205*M205</f>
        <v>0</v>
      </c>
      <c r="O205" s="62"/>
      <c r="P205" s="62"/>
      <c r="Q205" s="340"/>
    </row>
    <row r="206" spans="1:17">
      <c r="A206" s="78" t="s">
        <v>3265</v>
      </c>
      <c r="B206" s="78" t="s">
        <v>3266</v>
      </c>
      <c r="C206" s="414" t="s">
        <v>3932</v>
      </c>
      <c r="D206" s="414" t="s">
        <v>5342</v>
      </c>
      <c r="E206" s="147"/>
      <c r="F206" s="147"/>
      <c r="G206" s="147"/>
      <c r="H206" s="147"/>
      <c r="I206" s="147"/>
      <c r="J206" s="147"/>
      <c r="K206" s="743"/>
      <c r="L206" s="200">
        <f t="shared" si="38"/>
        <v>0</v>
      </c>
      <c r="M206" s="190"/>
      <c r="N206" s="828">
        <f>L206*M206</f>
        <v>0</v>
      </c>
      <c r="O206" s="87"/>
      <c r="P206" s="87"/>
      <c r="Q206" s="340"/>
    </row>
    <row r="207" spans="1:17">
      <c r="A207" s="141" t="s">
        <v>3267</v>
      </c>
      <c r="B207" s="141"/>
      <c r="C207" s="141" t="s">
        <v>29</v>
      </c>
      <c r="D207" s="141"/>
      <c r="E207" s="85"/>
      <c r="F207" s="85"/>
      <c r="G207" s="85"/>
      <c r="H207" s="85"/>
      <c r="I207" s="85"/>
      <c r="J207" s="85"/>
      <c r="K207" s="85"/>
      <c r="L207" s="141"/>
      <c r="M207" s="85"/>
      <c r="N207" s="826">
        <f>SUM(N208:N209)</f>
        <v>0</v>
      </c>
      <c r="O207" s="85"/>
      <c r="P207" s="85"/>
      <c r="Q207" s="339">
        <f>SUM(Q208:Q209)</f>
        <v>0</v>
      </c>
    </row>
    <row r="208" spans="1:17">
      <c r="A208" s="78" t="s">
        <v>3268</v>
      </c>
      <c r="B208" s="427"/>
      <c r="C208" s="414" t="s">
        <v>3081</v>
      </c>
      <c r="D208" s="414" t="s">
        <v>3296</v>
      </c>
      <c r="E208" s="147"/>
      <c r="F208" s="147"/>
      <c r="G208" s="147"/>
      <c r="H208" s="147"/>
      <c r="I208" s="147"/>
      <c r="J208" s="147"/>
      <c r="K208" s="743"/>
      <c r="L208" s="200">
        <f t="shared" ref="L208:L209" si="39">K208/100000</f>
        <v>0</v>
      </c>
      <c r="M208" s="190"/>
      <c r="N208" s="828">
        <f>L208*M208</f>
        <v>0</v>
      </c>
      <c r="O208" s="87"/>
      <c r="P208" s="87"/>
      <c r="Q208" s="340"/>
    </row>
    <row r="209" spans="1:17">
      <c r="A209" s="78" t="s">
        <v>3931</v>
      </c>
      <c r="B209" s="427"/>
      <c r="C209" s="414" t="s">
        <v>2863</v>
      </c>
      <c r="D209" s="414" t="s">
        <v>5342</v>
      </c>
      <c r="E209" s="147"/>
      <c r="F209" s="147"/>
      <c r="G209" s="147"/>
      <c r="H209" s="147"/>
      <c r="I209" s="147"/>
      <c r="J209" s="147"/>
      <c r="K209" s="743"/>
      <c r="L209" s="200">
        <f t="shared" si="39"/>
        <v>0</v>
      </c>
      <c r="M209" s="190"/>
      <c r="N209" s="828">
        <f>L209*M209</f>
        <v>0</v>
      </c>
      <c r="O209" s="87"/>
      <c r="P209" s="87"/>
      <c r="Q209" s="340"/>
    </row>
    <row r="210" spans="1:17">
      <c r="A210" s="141" t="s">
        <v>3269</v>
      </c>
      <c r="B210" s="141"/>
      <c r="C210" s="141" t="s">
        <v>30</v>
      </c>
      <c r="D210" s="141"/>
      <c r="E210" s="85"/>
      <c r="F210" s="85"/>
      <c r="G210" s="85"/>
      <c r="H210" s="85"/>
      <c r="I210" s="85"/>
      <c r="J210" s="85"/>
      <c r="K210" s="85"/>
      <c r="L210" s="141"/>
      <c r="M210" s="85"/>
      <c r="N210" s="826">
        <f>N211+N216+N222</f>
        <v>0</v>
      </c>
      <c r="O210" s="85"/>
      <c r="P210" s="85"/>
      <c r="Q210" s="339">
        <f>Q211+Q216+Q222</f>
        <v>0</v>
      </c>
    </row>
    <row r="211" spans="1:17">
      <c r="A211" s="412" t="s">
        <v>3270</v>
      </c>
      <c r="B211" s="412"/>
      <c r="C211" s="412" t="s">
        <v>30</v>
      </c>
      <c r="D211" s="412"/>
      <c r="E211" s="138"/>
      <c r="F211" s="138"/>
      <c r="G211" s="138"/>
      <c r="H211" s="138"/>
      <c r="I211" s="138"/>
      <c r="J211" s="138"/>
      <c r="K211" s="138"/>
      <c r="L211" s="412"/>
      <c r="M211" s="138"/>
      <c r="N211" s="827">
        <f>SUM(N212:N215)</f>
        <v>0</v>
      </c>
      <c r="O211" s="138"/>
      <c r="P211" s="138"/>
      <c r="Q211" s="326">
        <f>SUM(Q212:Q215)</f>
        <v>0</v>
      </c>
    </row>
    <row r="212" spans="1:17">
      <c r="A212" s="78" t="s">
        <v>3271</v>
      </c>
      <c r="B212" s="133"/>
      <c r="C212" s="414" t="s">
        <v>4049</v>
      </c>
      <c r="D212" s="414" t="s">
        <v>4720</v>
      </c>
      <c r="E212" s="130"/>
      <c r="F212" s="130"/>
      <c r="G212" s="130"/>
      <c r="H212" s="130"/>
      <c r="I212" s="130"/>
      <c r="J212" s="130"/>
      <c r="K212" s="743"/>
      <c r="L212" s="200">
        <f t="shared" ref="L212:L215" si="40">K212/100000</f>
        <v>0</v>
      </c>
      <c r="M212" s="190"/>
      <c r="N212" s="828">
        <f>L212*M212</f>
        <v>0</v>
      </c>
      <c r="O212" s="62"/>
      <c r="P212" s="62"/>
      <c r="Q212" s="340"/>
    </row>
    <row r="213" spans="1:17">
      <c r="A213" s="78" t="s">
        <v>4051</v>
      </c>
      <c r="B213" s="133"/>
      <c r="C213" s="414" t="s">
        <v>4608</v>
      </c>
      <c r="D213" s="414" t="s">
        <v>4720</v>
      </c>
      <c r="E213" s="130"/>
      <c r="F213" s="130"/>
      <c r="G213" s="130"/>
      <c r="H213" s="130"/>
      <c r="I213" s="130"/>
      <c r="J213" s="130"/>
      <c r="K213" s="743"/>
      <c r="L213" s="200">
        <f t="shared" si="40"/>
        <v>0</v>
      </c>
      <c r="M213" s="190"/>
      <c r="N213" s="828">
        <f>L213*M213</f>
        <v>0</v>
      </c>
      <c r="O213" s="62"/>
      <c r="P213" s="62"/>
      <c r="Q213" s="340"/>
    </row>
    <row r="214" spans="1:17">
      <c r="A214" s="78" t="s">
        <v>4052</v>
      </c>
      <c r="B214" s="133"/>
      <c r="C214" s="414" t="s">
        <v>4050</v>
      </c>
      <c r="D214" s="414" t="s">
        <v>4720</v>
      </c>
      <c r="E214" s="130"/>
      <c r="F214" s="130"/>
      <c r="G214" s="130"/>
      <c r="H214" s="130"/>
      <c r="I214" s="130"/>
      <c r="J214" s="130"/>
      <c r="K214" s="743"/>
      <c r="L214" s="200">
        <f t="shared" si="40"/>
        <v>0</v>
      </c>
      <c r="M214" s="190"/>
      <c r="N214" s="828">
        <f>L214*M214</f>
        <v>0</v>
      </c>
      <c r="O214" s="62"/>
      <c r="P214" s="62"/>
      <c r="Q214" s="340"/>
    </row>
    <row r="215" spans="1:17">
      <c r="A215" s="78" t="s">
        <v>4053</v>
      </c>
      <c r="B215" s="133"/>
      <c r="C215" s="414" t="s">
        <v>1243</v>
      </c>
      <c r="D215" s="414" t="s">
        <v>4720</v>
      </c>
      <c r="E215" s="130"/>
      <c r="F215" s="130"/>
      <c r="G215" s="130"/>
      <c r="H215" s="130"/>
      <c r="I215" s="130"/>
      <c r="J215" s="130"/>
      <c r="K215" s="743"/>
      <c r="L215" s="200">
        <f t="shared" si="40"/>
        <v>0</v>
      </c>
      <c r="M215" s="190"/>
      <c r="N215" s="828">
        <f>L215*M215</f>
        <v>0</v>
      </c>
      <c r="O215" s="62"/>
      <c r="P215" s="62"/>
      <c r="Q215" s="340"/>
    </row>
    <row r="216" spans="1:17">
      <c r="A216" s="412" t="s">
        <v>3272</v>
      </c>
      <c r="B216" s="412"/>
      <c r="C216" s="412" t="s">
        <v>31</v>
      </c>
      <c r="D216" s="412"/>
      <c r="E216" s="138"/>
      <c r="F216" s="138"/>
      <c r="G216" s="138"/>
      <c r="H216" s="138"/>
      <c r="I216" s="138"/>
      <c r="J216" s="138"/>
      <c r="K216" s="138"/>
      <c r="L216" s="412"/>
      <c r="M216" s="138"/>
      <c r="N216" s="827">
        <f>SUM(N217:N221)</f>
        <v>0</v>
      </c>
      <c r="O216" s="138"/>
      <c r="P216" s="138"/>
      <c r="Q216" s="326">
        <f>SUM(Q217:Q221)</f>
        <v>0</v>
      </c>
    </row>
    <row r="217" spans="1:17">
      <c r="A217" s="78" t="s">
        <v>3273</v>
      </c>
      <c r="B217" s="133"/>
      <c r="C217" s="224" t="s">
        <v>1252</v>
      </c>
      <c r="D217" s="414" t="s">
        <v>4720</v>
      </c>
      <c r="E217" s="130"/>
      <c r="F217" s="130"/>
      <c r="G217" s="130"/>
      <c r="H217" s="130"/>
      <c r="I217" s="130"/>
      <c r="J217" s="130"/>
      <c r="K217" s="743"/>
      <c r="L217" s="200">
        <f t="shared" ref="L217:L221" si="41">K217/100000</f>
        <v>0</v>
      </c>
      <c r="M217" s="190"/>
      <c r="N217" s="828">
        <f t="shared" ref="N217:N222" si="42">L217*M217</f>
        <v>0</v>
      </c>
      <c r="O217" s="62"/>
      <c r="P217" s="62"/>
      <c r="Q217" s="340"/>
    </row>
    <row r="218" spans="1:17">
      <c r="A218" s="78" t="s">
        <v>3274</v>
      </c>
      <c r="B218" s="133"/>
      <c r="C218" s="444" t="s">
        <v>4054</v>
      </c>
      <c r="D218" s="414" t="s">
        <v>4720</v>
      </c>
      <c r="E218" s="130"/>
      <c r="F218" s="130"/>
      <c r="G218" s="130"/>
      <c r="H218" s="130"/>
      <c r="I218" s="130"/>
      <c r="J218" s="130"/>
      <c r="K218" s="743"/>
      <c r="L218" s="200">
        <f t="shared" si="41"/>
        <v>0</v>
      </c>
      <c r="M218" s="190"/>
      <c r="N218" s="828">
        <f t="shared" si="42"/>
        <v>0</v>
      </c>
      <c r="O218" s="62"/>
      <c r="P218" s="62"/>
      <c r="Q218" s="340"/>
    </row>
    <row r="219" spans="1:17">
      <c r="A219" s="78" t="s">
        <v>4056</v>
      </c>
      <c r="B219" s="133"/>
      <c r="C219" s="445" t="s">
        <v>1255</v>
      </c>
      <c r="D219" s="414" t="s">
        <v>4720</v>
      </c>
      <c r="E219" s="130"/>
      <c r="F219" s="130"/>
      <c r="G219" s="130"/>
      <c r="H219" s="130"/>
      <c r="I219" s="130"/>
      <c r="J219" s="130"/>
      <c r="K219" s="743"/>
      <c r="L219" s="200">
        <f t="shared" si="41"/>
        <v>0</v>
      </c>
      <c r="M219" s="190"/>
      <c r="N219" s="828">
        <f t="shared" si="42"/>
        <v>0</v>
      </c>
      <c r="O219" s="62"/>
      <c r="P219" s="62"/>
      <c r="Q219" s="340"/>
    </row>
    <row r="220" spans="1:17">
      <c r="A220" s="78" t="s">
        <v>4057</v>
      </c>
      <c r="B220" s="133"/>
      <c r="C220" s="444" t="s">
        <v>4055</v>
      </c>
      <c r="D220" s="414" t="s">
        <v>4720</v>
      </c>
      <c r="E220" s="130"/>
      <c r="F220" s="130"/>
      <c r="G220" s="130"/>
      <c r="H220" s="130"/>
      <c r="I220" s="130"/>
      <c r="J220" s="130"/>
      <c r="K220" s="743"/>
      <c r="L220" s="200">
        <f t="shared" si="41"/>
        <v>0</v>
      </c>
      <c r="M220" s="190"/>
      <c r="N220" s="828">
        <f t="shared" si="42"/>
        <v>0</v>
      </c>
      <c r="O220" s="62"/>
      <c r="P220" s="62"/>
      <c r="Q220" s="340"/>
    </row>
    <row r="221" spans="1:17">
      <c r="A221" s="78" t="s">
        <v>4058</v>
      </c>
      <c r="B221" s="133"/>
      <c r="C221" s="444" t="s">
        <v>1261</v>
      </c>
      <c r="D221" s="414" t="s">
        <v>4720</v>
      </c>
      <c r="E221" s="130"/>
      <c r="F221" s="130"/>
      <c r="G221" s="130"/>
      <c r="H221" s="130"/>
      <c r="I221" s="130"/>
      <c r="J221" s="130"/>
      <c r="K221" s="743"/>
      <c r="L221" s="200">
        <f t="shared" si="41"/>
        <v>0</v>
      </c>
      <c r="M221" s="190"/>
      <c r="N221" s="828">
        <f t="shared" si="42"/>
        <v>0</v>
      </c>
      <c r="O221" s="62"/>
      <c r="P221" s="62"/>
      <c r="Q221" s="340"/>
    </row>
    <row r="222" spans="1:17">
      <c r="A222" s="412" t="s">
        <v>3275</v>
      </c>
      <c r="B222" s="412"/>
      <c r="C222" s="412" t="s">
        <v>2970</v>
      </c>
      <c r="D222" s="412"/>
      <c r="E222" s="138"/>
      <c r="F222" s="138"/>
      <c r="G222" s="138"/>
      <c r="H222" s="138"/>
      <c r="I222" s="138"/>
      <c r="J222" s="138"/>
      <c r="K222" s="216"/>
      <c r="L222" s="301"/>
      <c r="M222" s="254"/>
      <c r="N222" s="301">
        <f t="shared" si="42"/>
        <v>0</v>
      </c>
      <c r="O222" s="138"/>
      <c r="P222" s="138"/>
      <c r="Q222" s="346"/>
    </row>
    <row r="223" spans="1:17">
      <c r="A223" s="141" t="s">
        <v>3276</v>
      </c>
      <c r="B223" s="141"/>
      <c r="C223" s="141" t="s">
        <v>3082</v>
      </c>
      <c r="D223" s="141"/>
      <c r="E223" s="85"/>
      <c r="F223" s="85"/>
      <c r="G223" s="85"/>
      <c r="H223" s="85"/>
      <c r="I223" s="85"/>
      <c r="J223" s="85"/>
      <c r="K223" s="85"/>
      <c r="L223" s="141"/>
      <c r="M223" s="85"/>
      <c r="N223" s="826">
        <f>N225</f>
        <v>0</v>
      </c>
      <c r="O223" s="85"/>
      <c r="P223" s="85"/>
      <c r="Q223" s="339">
        <f>Q225</f>
        <v>0</v>
      </c>
    </row>
    <row r="224" spans="1:17" ht="30">
      <c r="A224" s="243" t="s">
        <v>3277</v>
      </c>
      <c r="B224" s="443"/>
      <c r="C224" s="235" t="s">
        <v>3083</v>
      </c>
      <c r="D224" s="235"/>
      <c r="E224" s="255"/>
      <c r="F224" s="255"/>
      <c r="G224" s="255"/>
      <c r="H224" s="255"/>
      <c r="I224" s="255"/>
      <c r="J224" s="255"/>
      <c r="K224" s="851"/>
      <c r="L224" s="248"/>
      <c r="M224" s="845"/>
      <c r="N224" s="248"/>
      <c r="O224" s="849"/>
      <c r="P224" s="850" t="s">
        <v>5299</v>
      </c>
      <c r="Q224" s="861"/>
    </row>
    <row r="225" spans="1:17">
      <c r="A225" s="412" t="s">
        <v>3278</v>
      </c>
      <c r="B225" s="412"/>
      <c r="C225" s="412" t="s">
        <v>32</v>
      </c>
      <c r="D225" s="412"/>
      <c r="E225" s="138"/>
      <c r="F225" s="138"/>
      <c r="G225" s="138"/>
      <c r="H225" s="138"/>
      <c r="I225" s="138"/>
      <c r="J225" s="138"/>
      <c r="K225" s="138"/>
      <c r="L225" s="412"/>
      <c r="M225" s="138"/>
      <c r="N225" s="827">
        <f>N226</f>
        <v>0</v>
      </c>
      <c r="O225" s="138"/>
      <c r="P225" s="138"/>
      <c r="Q225" s="326">
        <f>Q226</f>
        <v>0</v>
      </c>
    </row>
    <row r="226" spans="1:17">
      <c r="A226" s="78" t="s">
        <v>3279</v>
      </c>
      <c r="B226" s="133"/>
      <c r="C226" s="414" t="s">
        <v>3084</v>
      </c>
      <c r="D226" s="414" t="s">
        <v>5341</v>
      </c>
      <c r="E226" s="130"/>
      <c r="F226" s="130"/>
      <c r="G226" s="130"/>
      <c r="H226" s="130"/>
      <c r="I226" s="130"/>
      <c r="J226" s="130"/>
      <c r="K226" s="743"/>
      <c r="L226" s="200">
        <f t="shared" ref="L226" si="43">K226/100000</f>
        <v>0</v>
      </c>
      <c r="M226" s="190"/>
      <c r="N226" s="828">
        <f>L226*M226</f>
        <v>0</v>
      </c>
      <c r="O226" s="62"/>
      <c r="P226" s="62"/>
      <c r="Q226" s="340"/>
    </row>
    <row r="227" spans="1:17">
      <c r="A227" s="141" t="s">
        <v>3280</v>
      </c>
      <c r="B227" s="141"/>
      <c r="C227" s="141" t="s">
        <v>33</v>
      </c>
      <c r="D227" s="141"/>
      <c r="E227" s="85"/>
      <c r="F227" s="85"/>
      <c r="G227" s="85"/>
      <c r="H227" s="85"/>
      <c r="I227" s="85"/>
      <c r="J227" s="85"/>
      <c r="K227" s="85"/>
      <c r="L227" s="141"/>
      <c r="M227" s="85"/>
      <c r="N227" s="826">
        <f>SUM(N228:N229)</f>
        <v>0</v>
      </c>
      <c r="O227" s="85"/>
      <c r="P227" s="85"/>
      <c r="Q227" s="339">
        <f>SUM(Q228:Q229)</f>
        <v>0</v>
      </c>
    </row>
    <row r="228" spans="1:17">
      <c r="A228" s="78" t="s">
        <v>3281</v>
      </c>
      <c r="B228" s="78"/>
      <c r="C228" s="78" t="s">
        <v>5339</v>
      </c>
      <c r="D228" s="78" t="s">
        <v>5342</v>
      </c>
      <c r="E228" s="62"/>
      <c r="F228" s="62"/>
      <c r="G228" s="62"/>
      <c r="H228" s="62"/>
      <c r="I228" s="62"/>
      <c r="J228" s="62"/>
      <c r="K228" s="743"/>
      <c r="L228" s="200">
        <f t="shared" ref="L228:L229" si="44">K228/100000</f>
        <v>0</v>
      </c>
      <c r="M228" s="190"/>
      <c r="N228" s="828">
        <f>L228*M228</f>
        <v>0</v>
      </c>
      <c r="O228" s="62"/>
      <c r="P228" s="62"/>
      <c r="Q228" s="340"/>
    </row>
    <row r="229" spans="1:17">
      <c r="A229" s="78" t="s">
        <v>3929</v>
      </c>
      <c r="B229" s="78"/>
      <c r="C229" s="78" t="s">
        <v>307</v>
      </c>
      <c r="D229" s="78" t="s">
        <v>5341</v>
      </c>
      <c r="E229" s="62"/>
      <c r="F229" s="62"/>
      <c r="G229" s="62"/>
      <c r="H229" s="62"/>
      <c r="I229" s="62"/>
      <c r="J229" s="62"/>
      <c r="K229" s="743"/>
      <c r="L229" s="200">
        <f t="shared" si="44"/>
        <v>0</v>
      </c>
      <c r="M229" s="190"/>
      <c r="N229" s="828">
        <f>L229*M229</f>
        <v>0</v>
      </c>
      <c r="O229" s="62"/>
      <c r="P229" s="62"/>
      <c r="Q229" s="340"/>
    </row>
    <row r="230" spans="1:17">
      <c r="A230" s="141" t="s">
        <v>3282</v>
      </c>
      <c r="B230" s="141"/>
      <c r="C230" s="141" t="s">
        <v>34</v>
      </c>
      <c r="D230" s="141"/>
      <c r="E230" s="85"/>
      <c r="F230" s="85"/>
      <c r="G230" s="85"/>
      <c r="H230" s="85"/>
      <c r="I230" s="85"/>
      <c r="J230" s="85"/>
      <c r="K230" s="85"/>
      <c r="L230" s="141"/>
      <c r="M230" s="85"/>
      <c r="N230" s="826">
        <f>N231+N257</f>
        <v>0</v>
      </c>
      <c r="O230" s="85"/>
      <c r="P230" s="85"/>
      <c r="Q230" s="339">
        <f>Q231+Q257</f>
        <v>0</v>
      </c>
    </row>
    <row r="231" spans="1:17">
      <c r="A231" s="412" t="s">
        <v>3283</v>
      </c>
      <c r="B231" s="412"/>
      <c r="C231" s="234" t="s">
        <v>2154</v>
      </c>
      <c r="D231" s="234"/>
      <c r="E231" s="138"/>
      <c r="F231" s="138"/>
      <c r="G231" s="138"/>
      <c r="H231" s="138"/>
      <c r="I231" s="138"/>
      <c r="J231" s="138"/>
      <c r="K231" s="138"/>
      <c r="L231" s="412"/>
      <c r="M231" s="138"/>
      <c r="N231" s="827">
        <f>N232+N233+N239+N245+N250</f>
        <v>0</v>
      </c>
      <c r="O231" s="138"/>
      <c r="P231" s="138"/>
      <c r="Q231" s="326">
        <f>Q232+Q233+Q239+Q245+Q250</f>
        <v>0</v>
      </c>
    </row>
    <row r="232" spans="1:17">
      <c r="A232" s="420" t="s">
        <v>3284</v>
      </c>
      <c r="B232" s="420"/>
      <c r="C232" s="420" t="s">
        <v>35</v>
      </c>
      <c r="D232" s="420"/>
      <c r="E232" s="86"/>
      <c r="F232" s="86"/>
      <c r="G232" s="86"/>
      <c r="H232" s="86"/>
      <c r="I232" s="86"/>
      <c r="J232" s="86"/>
      <c r="K232" s="858"/>
      <c r="L232" s="839"/>
      <c r="M232" s="128"/>
      <c r="N232" s="602">
        <f>L232*M232</f>
        <v>0</v>
      </c>
      <c r="O232" s="86"/>
      <c r="P232" s="86"/>
      <c r="Q232" s="343"/>
    </row>
    <row r="233" spans="1:17">
      <c r="A233" s="420" t="s">
        <v>3933</v>
      </c>
      <c r="B233" s="420"/>
      <c r="C233" s="420" t="s">
        <v>37</v>
      </c>
      <c r="D233" s="420"/>
      <c r="E233" s="86"/>
      <c r="F233" s="86"/>
      <c r="G233" s="86"/>
      <c r="H233" s="86"/>
      <c r="I233" s="86"/>
      <c r="J233" s="86"/>
      <c r="K233" s="86"/>
      <c r="L233" s="420"/>
      <c r="M233" s="86"/>
      <c r="N233" s="602">
        <f>N234+N235+N238</f>
        <v>0</v>
      </c>
      <c r="O233" s="86"/>
      <c r="P233" s="86"/>
      <c r="Q233" s="343">
        <f>Q234+Q235+Q238</f>
        <v>0</v>
      </c>
    </row>
    <row r="234" spans="1:17" ht="30">
      <c r="A234" s="78" t="s">
        <v>4385</v>
      </c>
      <c r="B234" s="78" t="s">
        <v>3085</v>
      </c>
      <c r="C234" s="78" t="s">
        <v>3086</v>
      </c>
      <c r="D234" s="446" t="s">
        <v>5347</v>
      </c>
      <c r="E234" s="256"/>
      <c r="F234" s="62"/>
      <c r="G234" s="62"/>
      <c r="H234" s="62"/>
      <c r="I234" s="62"/>
      <c r="J234" s="62"/>
      <c r="K234" s="743"/>
      <c r="L234" s="200">
        <f t="shared" ref="L234" si="45">K234/100000</f>
        <v>0</v>
      </c>
      <c r="M234" s="190"/>
      <c r="N234" s="828">
        <f>L234*M234</f>
        <v>0</v>
      </c>
      <c r="O234" s="62"/>
      <c r="P234" s="62"/>
      <c r="Q234" s="340"/>
    </row>
    <row r="235" spans="1:17" s="400" customFormat="1">
      <c r="A235" s="840" t="s">
        <v>4386</v>
      </c>
      <c r="B235" s="840" t="s">
        <v>3087</v>
      </c>
      <c r="C235" s="841" t="s">
        <v>2200</v>
      </c>
      <c r="D235" s="841"/>
      <c r="E235" s="131"/>
      <c r="F235" s="131"/>
      <c r="G235" s="131"/>
      <c r="H235" s="131"/>
      <c r="I235" s="131"/>
      <c r="J235" s="131"/>
      <c r="K235" s="852"/>
      <c r="L235" s="842"/>
      <c r="M235" s="250"/>
      <c r="N235" s="842">
        <f>N236+N237</f>
        <v>0</v>
      </c>
      <c r="O235" s="131"/>
      <c r="P235" s="131"/>
      <c r="Q235" s="862">
        <f>Q236+Q237</f>
        <v>0</v>
      </c>
    </row>
    <row r="236" spans="1:17" s="400" customFormat="1">
      <c r="A236" s="91" t="s">
        <v>4563</v>
      </c>
      <c r="B236" s="91"/>
      <c r="C236" s="91" t="s">
        <v>3088</v>
      </c>
      <c r="D236" s="91" t="s">
        <v>5345</v>
      </c>
      <c r="E236" s="92"/>
      <c r="F236" s="92"/>
      <c r="G236" s="92"/>
      <c r="H236" s="92"/>
      <c r="I236" s="92"/>
      <c r="J236" s="92"/>
      <c r="K236" s="743"/>
      <c r="L236" s="200">
        <f t="shared" ref="L236:L238" si="46">K236/100000</f>
        <v>0</v>
      </c>
      <c r="M236" s="190"/>
      <c r="N236" s="158">
        <f>L236*M236</f>
        <v>0</v>
      </c>
      <c r="O236" s="92"/>
      <c r="P236" s="92"/>
      <c r="Q236" s="342"/>
    </row>
    <row r="237" spans="1:17" s="400" customFormat="1" ht="30">
      <c r="A237" s="91" t="s">
        <v>4564</v>
      </c>
      <c r="B237" s="91"/>
      <c r="C237" s="448" t="s">
        <v>2421</v>
      </c>
      <c r="D237" s="91" t="s">
        <v>5348</v>
      </c>
      <c r="E237" s="92"/>
      <c r="F237" s="92"/>
      <c r="G237" s="92"/>
      <c r="H237" s="92"/>
      <c r="I237" s="92"/>
      <c r="J237" s="92"/>
      <c r="K237" s="743"/>
      <c r="L237" s="200">
        <f t="shared" si="46"/>
        <v>0</v>
      </c>
      <c r="M237" s="190"/>
      <c r="N237" s="158">
        <f>L237*M237</f>
        <v>0</v>
      </c>
      <c r="O237" s="92"/>
      <c r="P237" s="92"/>
      <c r="Q237" s="342"/>
    </row>
    <row r="238" spans="1:17">
      <c r="A238" s="91" t="s">
        <v>4387</v>
      </c>
      <c r="B238" s="91"/>
      <c r="C238" s="91" t="s">
        <v>2970</v>
      </c>
      <c r="D238" s="91" t="s">
        <v>5345</v>
      </c>
      <c r="E238" s="62"/>
      <c r="F238" s="62"/>
      <c r="G238" s="62"/>
      <c r="H238" s="62"/>
      <c r="I238" s="62"/>
      <c r="J238" s="62"/>
      <c r="K238" s="743"/>
      <c r="L238" s="200">
        <f t="shared" si="46"/>
        <v>0</v>
      </c>
      <c r="M238" s="190"/>
      <c r="N238" s="828">
        <f>L238*M238</f>
        <v>0</v>
      </c>
      <c r="O238" s="62"/>
      <c r="P238" s="62"/>
      <c r="Q238" s="340"/>
    </row>
    <row r="239" spans="1:17">
      <c r="A239" s="420" t="s">
        <v>3934</v>
      </c>
      <c r="B239" s="420"/>
      <c r="C239" s="420" t="s">
        <v>36</v>
      </c>
      <c r="D239" s="420"/>
      <c r="E239" s="86"/>
      <c r="F239" s="86"/>
      <c r="G239" s="86"/>
      <c r="H239" s="86"/>
      <c r="I239" s="86"/>
      <c r="J239" s="86"/>
      <c r="K239" s="86"/>
      <c r="L239" s="420"/>
      <c r="M239" s="86"/>
      <c r="N239" s="602">
        <f>SUM(N240:N244)</f>
        <v>0</v>
      </c>
      <c r="O239" s="86"/>
      <c r="P239" s="86"/>
      <c r="Q239" s="343">
        <f>SUM(Q240:Q244)</f>
        <v>0</v>
      </c>
    </row>
    <row r="240" spans="1:17" ht="30">
      <c r="A240" s="91" t="s">
        <v>4388</v>
      </c>
      <c r="B240" s="91" t="s">
        <v>3085</v>
      </c>
      <c r="C240" s="78" t="s">
        <v>3086</v>
      </c>
      <c r="D240" s="446" t="s">
        <v>5347</v>
      </c>
      <c r="E240" s="62"/>
      <c r="F240" s="62"/>
      <c r="G240" s="62"/>
      <c r="H240" s="62"/>
      <c r="I240" s="62"/>
      <c r="J240" s="62"/>
      <c r="K240" s="743"/>
      <c r="L240" s="200">
        <f t="shared" ref="L240:L244" si="47">K240/100000</f>
        <v>0</v>
      </c>
      <c r="M240" s="190"/>
      <c r="N240" s="828">
        <f>L240*M240</f>
        <v>0</v>
      </c>
      <c r="O240" s="62"/>
      <c r="P240" s="62"/>
      <c r="Q240" s="340"/>
    </row>
    <row r="241" spans="1:17">
      <c r="A241" s="91" t="s">
        <v>4389</v>
      </c>
      <c r="B241" s="91" t="s">
        <v>3098</v>
      </c>
      <c r="C241" s="78" t="s">
        <v>3832</v>
      </c>
      <c r="D241" s="91" t="s">
        <v>5345</v>
      </c>
      <c r="E241" s="255"/>
      <c r="F241" s="255"/>
      <c r="G241" s="255"/>
      <c r="H241" s="255"/>
      <c r="I241" s="255"/>
      <c r="J241" s="255"/>
      <c r="K241" s="851"/>
      <c r="L241" s="248"/>
      <c r="M241" s="845"/>
      <c r="N241" s="248"/>
      <c r="O241" s="849"/>
      <c r="P241" s="850" t="s">
        <v>5299</v>
      </c>
      <c r="Q241" s="861"/>
    </row>
    <row r="242" spans="1:17">
      <c r="A242" s="91" t="s">
        <v>4390</v>
      </c>
      <c r="B242" s="91" t="s">
        <v>3106</v>
      </c>
      <c r="C242" s="78" t="s">
        <v>3833</v>
      </c>
      <c r="D242" s="91" t="s">
        <v>5345</v>
      </c>
      <c r="E242" s="255"/>
      <c r="F242" s="255"/>
      <c r="G242" s="255"/>
      <c r="H242" s="255"/>
      <c r="I242" s="255"/>
      <c r="J242" s="255"/>
      <c r="K242" s="851"/>
      <c r="L242" s="248"/>
      <c r="M242" s="845"/>
      <c r="N242" s="248"/>
      <c r="O242" s="849"/>
      <c r="P242" s="850" t="s">
        <v>5299</v>
      </c>
      <c r="Q242" s="861"/>
    </row>
    <row r="243" spans="1:17">
      <c r="A243" s="91" t="s">
        <v>4391</v>
      </c>
      <c r="B243" s="91" t="s">
        <v>3112</v>
      </c>
      <c r="C243" s="78" t="s">
        <v>4397</v>
      </c>
      <c r="D243" s="91" t="s">
        <v>5345</v>
      </c>
      <c r="E243" s="62"/>
      <c r="F243" s="62"/>
      <c r="G243" s="62"/>
      <c r="H243" s="62"/>
      <c r="I243" s="62"/>
      <c r="J243" s="62"/>
      <c r="K243" s="743"/>
      <c r="L243" s="200">
        <f t="shared" si="47"/>
        <v>0</v>
      </c>
      <c r="M243" s="190"/>
      <c r="N243" s="828">
        <f>L243*M243</f>
        <v>0</v>
      </c>
      <c r="O243" s="62"/>
      <c r="P243" s="62"/>
      <c r="Q243" s="340"/>
    </row>
    <row r="244" spans="1:17">
      <c r="A244" s="91" t="s">
        <v>4392</v>
      </c>
      <c r="B244" s="91"/>
      <c r="C244" s="78" t="s">
        <v>2970</v>
      </c>
      <c r="D244" s="91" t="s">
        <v>5345</v>
      </c>
      <c r="E244" s="62"/>
      <c r="F244" s="62"/>
      <c r="G244" s="62"/>
      <c r="H244" s="62"/>
      <c r="I244" s="62"/>
      <c r="J244" s="62"/>
      <c r="K244" s="743"/>
      <c r="L244" s="200">
        <f t="shared" si="47"/>
        <v>0</v>
      </c>
      <c r="M244" s="190"/>
      <c r="N244" s="828">
        <f>L244*M244</f>
        <v>0</v>
      </c>
      <c r="O244" s="62"/>
      <c r="P244" s="62"/>
      <c r="Q244" s="340"/>
    </row>
    <row r="245" spans="1:17">
      <c r="A245" s="420" t="s">
        <v>3935</v>
      </c>
      <c r="B245" s="420"/>
      <c r="C245" s="420" t="s">
        <v>2134</v>
      </c>
      <c r="D245" s="420"/>
      <c r="E245" s="86"/>
      <c r="F245" s="86"/>
      <c r="G245" s="86"/>
      <c r="H245" s="86"/>
      <c r="I245" s="86"/>
      <c r="J245" s="86"/>
      <c r="K245" s="86"/>
      <c r="L245" s="420"/>
      <c r="M245" s="86"/>
      <c r="N245" s="602">
        <f>SUM(N246:N249)</f>
        <v>0</v>
      </c>
      <c r="O245" s="257"/>
      <c r="P245" s="257"/>
      <c r="Q245" s="343">
        <f>SUM(Q246:Q249)</f>
        <v>0</v>
      </c>
    </row>
    <row r="246" spans="1:17">
      <c r="A246" s="91" t="s">
        <v>4393</v>
      </c>
      <c r="B246" s="449"/>
      <c r="C246" s="450" t="s">
        <v>3839</v>
      </c>
      <c r="D246" s="91" t="s">
        <v>5345</v>
      </c>
      <c r="E246" s="130"/>
      <c r="F246" s="130"/>
      <c r="G246" s="130"/>
      <c r="H246" s="130"/>
      <c r="I246" s="130"/>
      <c r="J246" s="130"/>
      <c r="K246" s="743"/>
      <c r="L246" s="200">
        <f t="shared" ref="L246:L249" si="48">K246/100000</f>
        <v>0</v>
      </c>
      <c r="M246" s="190"/>
      <c r="N246" s="828">
        <f>L246*M246</f>
        <v>0</v>
      </c>
      <c r="O246" s="62"/>
      <c r="P246" s="62"/>
      <c r="Q246" s="340"/>
    </row>
    <row r="247" spans="1:17" ht="30">
      <c r="A247" s="91" t="s">
        <v>4394</v>
      </c>
      <c r="B247" s="91" t="s">
        <v>3099</v>
      </c>
      <c r="C247" s="91" t="s">
        <v>3834</v>
      </c>
      <c r="D247" s="91" t="s">
        <v>5345</v>
      </c>
      <c r="E247" s="255"/>
      <c r="F247" s="255"/>
      <c r="G247" s="255"/>
      <c r="H247" s="255"/>
      <c r="I247" s="255"/>
      <c r="J247" s="255"/>
      <c r="K247" s="851"/>
      <c r="L247" s="248"/>
      <c r="M247" s="845"/>
      <c r="N247" s="248"/>
      <c r="O247" s="849"/>
      <c r="P247" s="850" t="s">
        <v>5299</v>
      </c>
      <c r="Q247" s="861"/>
    </row>
    <row r="248" spans="1:17" ht="30">
      <c r="A248" s="91" t="s">
        <v>4395</v>
      </c>
      <c r="B248" s="91" t="s">
        <v>3107</v>
      </c>
      <c r="C248" s="91" t="s">
        <v>3835</v>
      </c>
      <c r="D248" s="91" t="s">
        <v>5345</v>
      </c>
      <c r="E248" s="255"/>
      <c r="F248" s="255"/>
      <c r="G248" s="255"/>
      <c r="H248" s="255"/>
      <c r="I248" s="255"/>
      <c r="J248" s="255"/>
      <c r="K248" s="851"/>
      <c r="L248" s="248"/>
      <c r="M248" s="845"/>
      <c r="N248" s="248"/>
      <c r="O248" s="849"/>
      <c r="P248" s="850" t="s">
        <v>5299</v>
      </c>
      <c r="Q248" s="861"/>
    </row>
    <row r="249" spans="1:17" ht="30">
      <c r="A249" s="91" t="s">
        <v>4396</v>
      </c>
      <c r="B249" s="91" t="s">
        <v>3113</v>
      </c>
      <c r="C249" s="91" t="s">
        <v>4398</v>
      </c>
      <c r="D249" s="91" t="s">
        <v>5345</v>
      </c>
      <c r="E249" s="62"/>
      <c r="F249" s="62"/>
      <c r="G249" s="62"/>
      <c r="H249" s="62"/>
      <c r="I249" s="62"/>
      <c r="J249" s="62"/>
      <c r="K249" s="743"/>
      <c r="L249" s="200">
        <f t="shared" si="48"/>
        <v>0</v>
      </c>
      <c r="M249" s="190"/>
      <c r="N249" s="828">
        <f>L249*M249</f>
        <v>0</v>
      </c>
      <c r="O249" s="62"/>
      <c r="P249" s="62"/>
      <c r="Q249" s="340"/>
    </row>
    <row r="250" spans="1:17">
      <c r="A250" s="420" t="s">
        <v>3944</v>
      </c>
      <c r="B250" s="420"/>
      <c r="C250" s="420" t="s">
        <v>2307</v>
      </c>
      <c r="D250" s="420"/>
      <c r="E250" s="86"/>
      <c r="F250" s="86"/>
      <c r="G250" s="86"/>
      <c r="H250" s="86"/>
      <c r="I250" s="86"/>
      <c r="J250" s="86"/>
      <c r="K250" s="86"/>
      <c r="L250" s="420"/>
      <c r="M250" s="86"/>
      <c r="N250" s="602">
        <f>N251</f>
        <v>0</v>
      </c>
      <c r="O250" s="86"/>
      <c r="P250" s="86"/>
      <c r="Q250" s="343">
        <f>Q251</f>
        <v>0</v>
      </c>
    </row>
    <row r="251" spans="1:17" s="400" customFormat="1">
      <c r="A251" s="451" t="s">
        <v>3945</v>
      </c>
      <c r="B251" s="451" t="s">
        <v>3089</v>
      </c>
      <c r="C251" s="451" t="s">
        <v>3090</v>
      </c>
      <c r="D251" s="451"/>
      <c r="E251" s="89"/>
      <c r="F251" s="89"/>
      <c r="G251" s="89"/>
      <c r="H251" s="89"/>
      <c r="I251" s="89"/>
      <c r="J251" s="89"/>
      <c r="K251" s="743"/>
      <c r="L251" s="200">
        <f t="shared" ref="L251:L254" si="49">K251/100000</f>
        <v>0</v>
      </c>
      <c r="M251" s="89"/>
      <c r="N251" s="830">
        <f>SUM(N252:N254)</f>
        <v>0</v>
      </c>
      <c r="O251" s="89"/>
      <c r="P251" s="89"/>
      <c r="Q251" s="675">
        <f>SUM(Q252:Q254)</f>
        <v>0</v>
      </c>
    </row>
    <row r="252" spans="1:17" s="400" customFormat="1">
      <c r="A252" s="157" t="s">
        <v>3946</v>
      </c>
      <c r="B252" s="91" t="s">
        <v>3091</v>
      </c>
      <c r="C252" s="91" t="s">
        <v>3092</v>
      </c>
      <c r="D252" s="91" t="s">
        <v>5345</v>
      </c>
      <c r="E252" s="92"/>
      <c r="F252" s="92"/>
      <c r="G252" s="92"/>
      <c r="H252" s="92"/>
      <c r="I252" s="92"/>
      <c r="J252" s="92"/>
      <c r="K252" s="743"/>
      <c r="L252" s="200">
        <f t="shared" si="49"/>
        <v>0</v>
      </c>
      <c r="M252" s="190"/>
      <c r="N252" s="158">
        <f>L252*M252</f>
        <v>0</v>
      </c>
      <c r="O252" s="92"/>
      <c r="P252" s="92"/>
      <c r="Q252" s="342"/>
    </row>
    <row r="253" spans="1:17">
      <c r="A253" s="157" t="s">
        <v>3947</v>
      </c>
      <c r="B253" s="78" t="s">
        <v>3093</v>
      </c>
      <c r="C253" s="78" t="s">
        <v>3094</v>
      </c>
      <c r="D253" s="91" t="s">
        <v>5345</v>
      </c>
      <c r="E253" s="62"/>
      <c r="F253" s="62"/>
      <c r="G253" s="62"/>
      <c r="H253" s="62"/>
      <c r="I253" s="62"/>
      <c r="J253" s="62"/>
      <c r="K253" s="743"/>
      <c r="L253" s="200">
        <f t="shared" si="49"/>
        <v>0</v>
      </c>
      <c r="M253" s="190"/>
      <c r="N253" s="828">
        <f>L253*M253</f>
        <v>0</v>
      </c>
      <c r="O253" s="62"/>
      <c r="P253" s="62"/>
      <c r="Q253" s="340"/>
    </row>
    <row r="254" spans="1:17">
      <c r="A254" s="157" t="s">
        <v>3948</v>
      </c>
      <c r="B254" s="78"/>
      <c r="C254" s="78" t="s">
        <v>2970</v>
      </c>
      <c r="D254" s="91" t="s">
        <v>5345</v>
      </c>
      <c r="E254" s="62"/>
      <c r="F254" s="62"/>
      <c r="G254" s="62"/>
      <c r="H254" s="62"/>
      <c r="I254" s="62"/>
      <c r="J254" s="62"/>
      <c r="K254" s="743"/>
      <c r="L254" s="200">
        <f t="shared" si="49"/>
        <v>0</v>
      </c>
      <c r="M254" s="190"/>
      <c r="N254" s="828">
        <f>L254*M254</f>
        <v>0</v>
      </c>
      <c r="O254" s="62"/>
      <c r="P254" s="62"/>
      <c r="Q254" s="340"/>
    </row>
    <row r="255" spans="1:17">
      <c r="A255" s="412" t="s">
        <v>3285</v>
      </c>
      <c r="B255" s="412"/>
      <c r="C255" s="412" t="s">
        <v>2907</v>
      </c>
      <c r="D255" s="412"/>
      <c r="E255" s="258"/>
      <c r="F255" s="258"/>
      <c r="G255" s="258"/>
      <c r="H255" s="258"/>
      <c r="I255" s="258"/>
      <c r="J255" s="258"/>
      <c r="K255" s="851"/>
      <c r="L255" s="248"/>
      <c r="M255" s="845"/>
      <c r="N255" s="248"/>
      <c r="O255" s="853"/>
      <c r="P255" s="850" t="s">
        <v>5299</v>
      </c>
      <c r="Q255" s="861"/>
    </row>
    <row r="256" spans="1:17">
      <c r="A256" s="412" t="s">
        <v>3286</v>
      </c>
      <c r="B256" s="412"/>
      <c r="C256" s="412" t="s">
        <v>2909</v>
      </c>
      <c r="D256" s="412"/>
      <c r="E256" s="258"/>
      <c r="F256" s="258"/>
      <c r="G256" s="258"/>
      <c r="H256" s="258"/>
      <c r="I256" s="258"/>
      <c r="J256" s="258"/>
      <c r="K256" s="851"/>
      <c r="L256" s="248"/>
      <c r="M256" s="845"/>
      <c r="N256" s="248"/>
      <c r="O256" s="853"/>
      <c r="P256" s="850" t="s">
        <v>5299</v>
      </c>
      <c r="Q256" s="861"/>
    </row>
    <row r="257" spans="1:17">
      <c r="A257" s="412" t="s">
        <v>3287</v>
      </c>
      <c r="B257" s="412"/>
      <c r="C257" s="412" t="s">
        <v>41</v>
      </c>
      <c r="D257" s="412"/>
      <c r="E257" s="138"/>
      <c r="F257" s="138"/>
      <c r="G257" s="138"/>
      <c r="H257" s="138"/>
      <c r="I257" s="138"/>
      <c r="J257" s="138"/>
      <c r="K257" s="138"/>
      <c r="L257" s="412"/>
      <c r="M257" s="138"/>
      <c r="N257" s="827">
        <f>N258+N262+N265+N268+N269</f>
        <v>0</v>
      </c>
      <c r="O257" s="138"/>
      <c r="P257" s="138"/>
      <c r="Q257" s="326">
        <f>Q258+Q262+Q265+Q268+Q269</f>
        <v>0</v>
      </c>
    </row>
    <row r="258" spans="1:17">
      <c r="A258" s="420" t="s">
        <v>3288</v>
      </c>
      <c r="B258" s="420" t="s">
        <v>3095</v>
      </c>
      <c r="C258" s="420" t="s">
        <v>3096</v>
      </c>
      <c r="D258" s="420"/>
      <c r="E258" s="255"/>
      <c r="F258" s="255"/>
      <c r="G258" s="255"/>
      <c r="H258" s="255"/>
      <c r="I258" s="255"/>
      <c r="J258" s="255"/>
      <c r="K258" s="851"/>
      <c r="L258" s="248"/>
      <c r="M258" s="845"/>
      <c r="N258" s="248"/>
      <c r="O258" s="849"/>
      <c r="P258" s="850" t="s">
        <v>5299</v>
      </c>
      <c r="Q258" s="861"/>
    </row>
    <row r="259" spans="1:17">
      <c r="A259" s="78" t="s">
        <v>3936</v>
      </c>
      <c r="B259" s="78" t="s">
        <v>3097</v>
      </c>
      <c r="C259" s="78" t="s">
        <v>41</v>
      </c>
      <c r="D259" s="91" t="s">
        <v>5345</v>
      </c>
      <c r="E259" s="255"/>
      <c r="F259" s="255"/>
      <c r="G259" s="255"/>
      <c r="H259" s="255"/>
      <c r="I259" s="255"/>
      <c r="J259" s="255"/>
      <c r="K259" s="851"/>
      <c r="L259" s="248"/>
      <c r="M259" s="845"/>
      <c r="N259" s="248"/>
      <c r="O259" s="849"/>
      <c r="P259" s="850" t="s">
        <v>5299</v>
      </c>
      <c r="Q259" s="861"/>
    </row>
    <row r="260" spans="1:17">
      <c r="A260" s="91" t="s">
        <v>3937</v>
      </c>
      <c r="B260" s="78" t="s">
        <v>3100</v>
      </c>
      <c r="C260" s="78" t="s">
        <v>3101</v>
      </c>
      <c r="D260" s="91" t="s">
        <v>5345</v>
      </c>
      <c r="E260" s="255"/>
      <c r="F260" s="255"/>
      <c r="G260" s="255"/>
      <c r="H260" s="255"/>
      <c r="I260" s="255"/>
      <c r="J260" s="255"/>
      <c r="K260" s="851"/>
      <c r="L260" s="248"/>
      <c r="M260" s="845"/>
      <c r="N260" s="248"/>
      <c r="O260" s="849"/>
      <c r="P260" s="850" t="s">
        <v>5299</v>
      </c>
      <c r="Q260" s="861"/>
    </row>
    <row r="261" spans="1:17">
      <c r="A261" s="78" t="s">
        <v>3938</v>
      </c>
      <c r="B261" s="78" t="s">
        <v>3102</v>
      </c>
      <c r="C261" s="78" t="s">
        <v>2970</v>
      </c>
      <c r="D261" s="91" t="s">
        <v>5345</v>
      </c>
      <c r="E261" s="255"/>
      <c r="F261" s="255"/>
      <c r="G261" s="255"/>
      <c r="H261" s="255"/>
      <c r="I261" s="255"/>
      <c r="J261" s="255"/>
      <c r="K261" s="851"/>
      <c r="L261" s="248"/>
      <c r="M261" s="845"/>
      <c r="N261" s="248"/>
      <c r="O261" s="849"/>
      <c r="P261" s="850" t="s">
        <v>5299</v>
      </c>
      <c r="Q261" s="861"/>
    </row>
    <row r="262" spans="1:17">
      <c r="A262" s="420" t="s">
        <v>3836</v>
      </c>
      <c r="B262" s="420" t="s">
        <v>3103</v>
      </c>
      <c r="C262" s="420" t="s">
        <v>3104</v>
      </c>
      <c r="D262" s="420"/>
      <c r="E262" s="255"/>
      <c r="F262" s="255"/>
      <c r="G262" s="255"/>
      <c r="H262" s="255"/>
      <c r="I262" s="255"/>
      <c r="J262" s="255"/>
      <c r="K262" s="851"/>
      <c r="L262" s="248"/>
      <c r="M262" s="845"/>
      <c r="N262" s="248"/>
      <c r="O262" s="849"/>
      <c r="P262" s="850" t="s">
        <v>5299</v>
      </c>
      <c r="Q262" s="861"/>
    </row>
    <row r="263" spans="1:17">
      <c r="A263" s="78" t="s">
        <v>3939</v>
      </c>
      <c r="B263" s="78" t="s">
        <v>3105</v>
      </c>
      <c r="C263" s="78" t="s">
        <v>41</v>
      </c>
      <c r="D263" s="91" t="s">
        <v>5345</v>
      </c>
      <c r="E263" s="255"/>
      <c r="F263" s="255"/>
      <c r="G263" s="255"/>
      <c r="H263" s="255"/>
      <c r="I263" s="255"/>
      <c r="J263" s="255"/>
      <c r="K263" s="851"/>
      <c r="L263" s="248"/>
      <c r="M263" s="845"/>
      <c r="N263" s="248"/>
      <c r="O263" s="849"/>
      <c r="P263" s="850" t="s">
        <v>5299</v>
      </c>
      <c r="Q263" s="861"/>
    </row>
    <row r="264" spans="1:17">
      <c r="A264" s="91" t="s">
        <v>3940</v>
      </c>
      <c r="B264" s="78" t="s">
        <v>3108</v>
      </c>
      <c r="C264" s="78" t="s">
        <v>2970</v>
      </c>
      <c r="D264" s="91" t="s">
        <v>5345</v>
      </c>
      <c r="E264" s="255"/>
      <c r="F264" s="255"/>
      <c r="G264" s="255"/>
      <c r="H264" s="255"/>
      <c r="I264" s="255"/>
      <c r="J264" s="255"/>
      <c r="K264" s="851"/>
      <c r="L264" s="248"/>
      <c r="M264" s="845"/>
      <c r="N264" s="248"/>
      <c r="O264" s="849"/>
      <c r="P264" s="850" t="s">
        <v>5299</v>
      </c>
      <c r="Q264" s="861"/>
    </row>
    <row r="265" spans="1:17">
      <c r="A265" s="420" t="s">
        <v>3837</v>
      </c>
      <c r="B265" s="420" t="s">
        <v>3109</v>
      </c>
      <c r="C265" s="420" t="s">
        <v>3110</v>
      </c>
      <c r="D265" s="420"/>
      <c r="E265" s="86"/>
      <c r="F265" s="86"/>
      <c r="G265" s="86"/>
      <c r="H265" s="86"/>
      <c r="I265" s="86"/>
      <c r="J265" s="86"/>
      <c r="K265" s="86"/>
      <c r="L265" s="420"/>
      <c r="M265" s="86"/>
      <c r="N265" s="602">
        <f>SUM(N266:N267)</f>
        <v>0</v>
      </c>
      <c r="O265" s="86"/>
      <c r="P265" s="86"/>
      <c r="Q265" s="343">
        <f>SUM(Q266:Q267)</f>
        <v>0</v>
      </c>
    </row>
    <row r="266" spans="1:17">
      <c r="A266" s="78" t="s">
        <v>3941</v>
      </c>
      <c r="B266" s="78" t="s">
        <v>3111</v>
      </c>
      <c r="C266" s="78" t="s">
        <v>41</v>
      </c>
      <c r="D266" s="91" t="s">
        <v>5345</v>
      </c>
      <c r="E266" s="62"/>
      <c r="F266" s="62"/>
      <c r="G266" s="62"/>
      <c r="H266" s="62"/>
      <c r="I266" s="62"/>
      <c r="J266" s="62"/>
      <c r="K266" s="743"/>
      <c r="L266" s="200">
        <f t="shared" ref="L266:L269" si="50">K266/100000</f>
        <v>0</v>
      </c>
      <c r="M266" s="190"/>
      <c r="N266" s="828">
        <f>L266*M266</f>
        <v>0</v>
      </c>
      <c r="O266" s="62"/>
      <c r="P266" s="62"/>
      <c r="Q266" s="340"/>
    </row>
    <row r="267" spans="1:17">
      <c r="A267" s="91" t="s">
        <v>3942</v>
      </c>
      <c r="B267" s="78" t="s">
        <v>3114</v>
      </c>
      <c r="C267" s="78" t="s">
        <v>2970</v>
      </c>
      <c r="D267" s="91" t="s">
        <v>5345</v>
      </c>
      <c r="E267" s="62"/>
      <c r="F267" s="62"/>
      <c r="G267" s="62"/>
      <c r="H267" s="62"/>
      <c r="I267" s="62"/>
      <c r="J267" s="62"/>
      <c r="K267" s="743"/>
      <c r="L267" s="200">
        <f t="shared" si="50"/>
        <v>0</v>
      </c>
      <c r="M267" s="190"/>
      <c r="N267" s="828">
        <f>L267*M267</f>
        <v>0</v>
      </c>
      <c r="O267" s="62"/>
      <c r="P267" s="62"/>
      <c r="Q267" s="340"/>
    </row>
    <row r="268" spans="1:17">
      <c r="A268" s="420" t="s">
        <v>3838</v>
      </c>
      <c r="B268" s="420"/>
      <c r="C268" s="420" t="s">
        <v>38</v>
      </c>
      <c r="D268" s="91" t="s">
        <v>5345</v>
      </c>
      <c r="E268" s="86"/>
      <c r="F268" s="86"/>
      <c r="G268" s="86"/>
      <c r="H268" s="86"/>
      <c r="I268" s="86"/>
      <c r="J268" s="86"/>
      <c r="K268" s="162"/>
      <c r="L268" s="162">
        <f t="shared" si="50"/>
        <v>0</v>
      </c>
      <c r="M268" s="128"/>
      <c r="N268" s="602">
        <f>M268*L268</f>
        <v>0</v>
      </c>
      <c r="O268" s="86"/>
      <c r="P268" s="86"/>
      <c r="Q268" s="343"/>
    </row>
    <row r="269" spans="1:17">
      <c r="A269" s="420" t="s">
        <v>3943</v>
      </c>
      <c r="B269" s="420"/>
      <c r="C269" s="420" t="s">
        <v>39</v>
      </c>
      <c r="D269" s="91" t="s">
        <v>5345</v>
      </c>
      <c r="E269" s="86"/>
      <c r="F269" s="86"/>
      <c r="G269" s="86"/>
      <c r="H269" s="86"/>
      <c r="I269" s="86"/>
      <c r="J269" s="86"/>
      <c r="K269" s="162"/>
      <c r="L269" s="162">
        <f t="shared" si="50"/>
        <v>0</v>
      </c>
      <c r="M269" s="128"/>
      <c r="N269" s="602">
        <f>M269*L269</f>
        <v>0</v>
      </c>
      <c r="O269" s="86"/>
      <c r="P269" s="86"/>
      <c r="Q269" s="343"/>
    </row>
    <row r="270" spans="1:17">
      <c r="A270" s="141" t="s">
        <v>3289</v>
      </c>
      <c r="B270" s="141"/>
      <c r="C270" s="141" t="s">
        <v>3115</v>
      </c>
      <c r="D270" s="141"/>
      <c r="E270" s="85"/>
      <c r="F270" s="85"/>
      <c r="G270" s="85"/>
      <c r="H270" s="85"/>
      <c r="I270" s="85"/>
      <c r="J270" s="85"/>
      <c r="K270" s="85"/>
      <c r="L270" s="141"/>
      <c r="M270" s="85"/>
      <c r="N270" s="826">
        <f>SUM(N271:N272)</f>
        <v>0</v>
      </c>
      <c r="O270" s="85"/>
      <c r="P270" s="85"/>
      <c r="Q270" s="339">
        <f>SUM(Q271:Q272)</f>
        <v>0</v>
      </c>
    </row>
    <row r="271" spans="1:17" ht="30">
      <c r="A271" s="78" t="s">
        <v>3290</v>
      </c>
      <c r="B271" s="442"/>
      <c r="C271" s="237" t="s">
        <v>3926</v>
      </c>
      <c r="D271" s="237" t="s">
        <v>5340</v>
      </c>
      <c r="E271" s="67"/>
      <c r="F271" s="67"/>
      <c r="G271" s="67"/>
      <c r="H271" s="67"/>
      <c r="I271" s="67"/>
      <c r="J271" s="67"/>
      <c r="K271" s="743"/>
      <c r="L271" s="200">
        <f t="shared" ref="L271:L272" si="51">K271/100000</f>
        <v>0</v>
      </c>
      <c r="M271" s="190"/>
      <c r="N271" s="828">
        <f>L271*M271</f>
        <v>0</v>
      </c>
      <c r="O271" s="62"/>
      <c r="P271" s="62"/>
      <c r="Q271" s="340"/>
    </row>
    <row r="272" spans="1:17">
      <c r="A272" s="78" t="s">
        <v>3927</v>
      </c>
      <c r="B272" s="442"/>
      <c r="C272" s="78" t="s">
        <v>2970</v>
      </c>
      <c r="D272" s="78" t="s">
        <v>3296</v>
      </c>
      <c r="E272" s="67"/>
      <c r="F272" s="67"/>
      <c r="G272" s="67"/>
      <c r="H272" s="67"/>
      <c r="I272" s="67"/>
      <c r="J272" s="67"/>
      <c r="K272" s="743"/>
      <c r="L272" s="200">
        <f t="shared" si="51"/>
        <v>0</v>
      </c>
      <c r="M272" s="190"/>
      <c r="N272" s="828">
        <f>L272*M272</f>
        <v>0</v>
      </c>
      <c r="O272" s="62"/>
      <c r="P272" s="62"/>
      <c r="Q272" s="340"/>
    </row>
    <row r="273" spans="1:17">
      <c r="A273" s="141" t="s">
        <v>3291</v>
      </c>
      <c r="B273" s="141"/>
      <c r="C273" s="141" t="s">
        <v>3116</v>
      </c>
      <c r="D273" s="141"/>
      <c r="E273" s="85"/>
      <c r="F273" s="85"/>
      <c r="G273" s="85"/>
      <c r="H273" s="85"/>
      <c r="I273" s="85"/>
      <c r="J273" s="85"/>
      <c r="K273" s="85"/>
      <c r="L273" s="141"/>
      <c r="M273" s="85"/>
      <c r="N273" s="826">
        <f>N274</f>
        <v>0</v>
      </c>
      <c r="O273" s="85"/>
      <c r="P273" s="85"/>
      <c r="Q273" s="339">
        <f>Q274</f>
        <v>0</v>
      </c>
    </row>
    <row r="274" spans="1:17">
      <c r="A274" s="78" t="s">
        <v>3928</v>
      </c>
      <c r="B274" s="442"/>
      <c r="C274" s="442" t="s">
        <v>4400</v>
      </c>
      <c r="D274" s="442" t="s">
        <v>3296</v>
      </c>
      <c r="E274" s="67"/>
      <c r="F274" s="67"/>
      <c r="G274" s="67"/>
      <c r="H274" s="67"/>
      <c r="I274" s="67"/>
      <c r="J274" s="67"/>
      <c r="K274" s="743"/>
      <c r="L274" s="200">
        <f t="shared" ref="L274" si="52">K274/100000</f>
        <v>0</v>
      </c>
      <c r="M274" s="190"/>
      <c r="N274" s="828">
        <f>L274*M274</f>
        <v>0</v>
      </c>
      <c r="O274" s="62"/>
      <c r="P274" s="62"/>
      <c r="Q274" s="340"/>
    </row>
  </sheetData>
  <sheetProtection sheet="1" formatCells="0" formatColumns="0" formatRows="0" autoFilter="0"/>
  <autoFilter ref="A6:Q281"/>
  <mergeCells count="9">
    <mergeCell ref="A1:Q1"/>
    <mergeCell ref="A5:A6"/>
    <mergeCell ref="B5:B6"/>
    <mergeCell ref="C5:C6"/>
    <mergeCell ref="E5:I5"/>
    <mergeCell ref="J5:O5"/>
    <mergeCell ref="P5:Q5"/>
    <mergeCell ref="D5:D6"/>
    <mergeCell ref="A2:A4"/>
  </mergeCells>
  <phoneticPr fontId="2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12">
    <tabColor theme="8" tint="0.79998168889431442"/>
  </sheetPr>
  <dimension ref="A1:R481"/>
  <sheetViews>
    <sheetView zoomScale="80" zoomScaleNormal="80" workbookViewId="0">
      <pane xSplit="3" ySplit="5" topLeftCell="D9" activePane="bottomRight" state="frozen"/>
      <selection activeCell="Q172" sqref="A1:BE179"/>
      <selection pane="topRight" activeCell="Q172" sqref="A1:BE179"/>
      <selection pane="bottomLeft" activeCell="Q172" sqref="A1:BE179"/>
      <selection pane="bottomRight" activeCell="O10" sqref="O10"/>
    </sheetView>
  </sheetViews>
  <sheetFormatPr defaultColWidth="9.140625" defaultRowHeight="15"/>
  <cols>
    <col min="1" max="1" width="10.85546875" style="453" customWidth="1"/>
    <col min="2" max="2" width="11.42578125" style="453" customWidth="1"/>
    <col min="3" max="3" width="55.7109375" style="398" customWidth="1"/>
    <col min="4" max="4" width="9" style="407" customWidth="1"/>
    <col min="5" max="5" width="16.85546875" style="407" customWidth="1"/>
    <col min="6" max="6" width="16.42578125" style="407" hidden="1" customWidth="1"/>
    <col min="7" max="7" width="15.42578125" style="407" hidden="1" customWidth="1"/>
    <col min="8" max="8" width="18.28515625" style="479" hidden="1" customWidth="1"/>
    <col min="9" max="9" width="17.28515625" style="407" hidden="1" customWidth="1"/>
    <col min="10" max="10" width="18.28515625" style="479" hidden="1" customWidth="1"/>
    <col min="11" max="11" width="18.42578125" style="407" customWidth="1"/>
    <col min="12" max="12" width="12.140625" style="479" hidden="1" customWidth="1"/>
    <col min="13" max="13" width="12.140625" style="479" customWidth="1"/>
    <col min="14" max="14" width="9.140625" style="407"/>
    <col min="15" max="15" width="13.42578125" style="479" customWidth="1"/>
    <col min="16" max="16" width="83" style="453" customWidth="1"/>
    <col min="17" max="17" width="49.7109375" style="453" hidden="1" customWidth="1"/>
    <col min="18" max="18" width="14.28515625" style="479" hidden="1" customWidth="1"/>
    <col min="19" max="16384" width="9.140625" style="398"/>
  </cols>
  <sheetData>
    <row r="1" spans="1:18">
      <c r="A1" s="4611" t="s">
        <v>3298</v>
      </c>
      <c r="B1" s="4612"/>
      <c r="C1" s="4613"/>
      <c r="D1" s="863"/>
      <c r="F1" s="864"/>
      <c r="G1" s="597"/>
      <c r="H1" s="597"/>
      <c r="I1" s="865"/>
      <c r="J1" s="866"/>
      <c r="K1" s="866"/>
      <c r="L1" s="867"/>
      <c r="M1" s="866"/>
    </row>
    <row r="2" spans="1:18">
      <c r="A2" s="868" t="str">
        <f>HYPERLINK("#Index!F3", "Index Pg")</f>
        <v>Index Pg</v>
      </c>
      <c r="B2" s="684"/>
      <c r="C2" s="869" t="str">
        <f>HYPERLINK("#'Budget Summary I'!A1:AL1", "Budget Summary I")</f>
        <v>Budget Summary I</v>
      </c>
      <c r="D2" s="480"/>
      <c r="E2" s="870" t="s">
        <v>4599</v>
      </c>
      <c r="F2" s="599">
        <f>R6+R101+R196+R288+R341+R377+R394+R432+R444+R446+R476</f>
        <v>0</v>
      </c>
      <c r="G2" s="599"/>
      <c r="H2" s="871"/>
      <c r="I2" s="599"/>
      <c r="J2" s="867"/>
      <c r="K2" s="594"/>
      <c r="L2" s="867"/>
      <c r="M2" s="599"/>
    </row>
    <row r="3" spans="1:18">
      <c r="A3" s="872"/>
      <c r="B3" s="873"/>
      <c r="C3" s="874" t="str">
        <f>HYPERLINK("#'Budget Summary II'!A3:B5", "Budget Summary II")</f>
        <v>Budget Summary II</v>
      </c>
      <c r="D3" s="875"/>
      <c r="E3" s="876" t="s">
        <v>4600</v>
      </c>
      <c r="F3" s="599">
        <f>O6+O101+O196+O288+O341+O377+O394+O432+O444+O446+O476</f>
        <v>138289.32026000804</v>
      </c>
      <c r="G3" s="599"/>
      <c r="H3" s="871"/>
      <c r="J3" s="877"/>
      <c r="K3" s="594"/>
      <c r="L3" s="867"/>
      <c r="M3" s="867"/>
    </row>
    <row r="4" spans="1:18" s="407"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407" customFormat="1" ht="45">
      <c r="A5" s="4323"/>
      <c r="B5" s="4323"/>
      <c r="C5" s="4323"/>
      <c r="D5" s="4323"/>
      <c r="E5" s="4323"/>
      <c r="F5" s="464" t="s">
        <v>4621</v>
      </c>
      <c r="G5" s="464" t="s">
        <v>4629</v>
      </c>
      <c r="H5" s="464" t="s">
        <v>4622</v>
      </c>
      <c r="I5" s="464" t="s">
        <v>4630</v>
      </c>
      <c r="J5" s="464" t="s">
        <v>2534</v>
      </c>
      <c r="K5" s="465" t="s">
        <v>58</v>
      </c>
      <c r="L5" s="466" t="s">
        <v>59</v>
      </c>
      <c r="M5" s="466" t="s">
        <v>60</v>
      </c>
      <c r="N5" s="465" t="s">
        <v>61</v>
      </c>
      <c r="O5" s="466" t="s">
        <v>62</v>
      </c>
      <c r="P5" s="465" t="s">
        <v>63</v>
      </c>
      <c r="Q5" s="467" t="s">
        <v>2536</v>
      </c>
      <c r="R5" s="468" t="s">
        <v>4662</v>
      </c>
    </row>
    <row r="6" spans="1:18" s="400" customFormat="1">
      <c r="A6" s="878" t="s">
        <v>4350</v>
      </c>
      <c r="B6" s="878"/>
      <c r="C6" s="879" t="s">
        <v>5359</v>
      </c>
      <c r="D6" s="880"/>
      <c r="E6" s="880"/>
      <c r="F6" s="880"/>
      <c r="G6" s="880"/>
      <c r="H6" s="881"/>
      <c r="I6" s="880"/>
      <c r="J6" s="881"/>
      <c r="K6" s="880"/>
      <c r="L6" s="881"/>
      <c r="M6" s="881"/>
      <c r="N6" s="882"/>
      <c r="O6" s="881">
        <f>O7+O20+O26+O35+O54+O56+O90+O92+O96+O31</f>
        <v>72548.03540268747</v>
      </c>
      <c r="P6" s="883"/>
      <c r="Q6" s="883"/>
      <c r="R6" s="881">
        <f>R7+R20+R26+R35+R54+R56+R90+R92+R96+R31</f>
        <v>0</v>
      </c>
    </row>
    <row r="7" spans="1:18" s="400" customFormat="1">
      <c r="A7" s="884">
        <f>'1.SD Facility Based Annex'!A7</f>
        <v>1</v>
      </c>
      <c r="B7" s="884">
        <f>'1.SD Facility Based Annex'!B7</f>
        <v>0</v>
      </c>
      <c r="C7" s="885" t="str">
        <f>'1.SD Facility Based Annex'!C7</f>
        <v>Service Delivery - Facility Based</v>
      </c>
      <c r="D7" s="886"/>
      <c r="E7" s="886"/>
      <c r="F7" s="886"/>
      <c r="G7" s="886"/>
      <c r="H7" s="886"/>
      <c r="I7" s="886"/>
      <c r="J7" s="886"/>
      <c r="K7" s="886"/>
      <c r="L7" s="485"/>
      <c r="M7" s="886"/>
      <c r="N7" s="886"/>
      <c r="O7" s="485">
        <f>SUM(O8:O14)</f>
        <v>34292.875</v>
      </c>
      <c r="P7" s="884"/>
      <c r="Q7" s="884"/>
      <c r="R7" s="485">
        <f>SUM(R8:R14)</f>
        <v>0</v>
      </c>
    </row>
    <row r="8" spans="1:18" s="3023" customFormat="1" ht="276.75" customHeight="1">
      <c r="A8" s="3017" t="str">
        <f>'1.SD Facility Based Annex'!A10</f>
        <v>1.1.1.1</v>
      </c>
      <c r="B8" s="3017" t="str">
        <f>'1.SD Facility Based Annex'!B10</f>
        <v>A.1.5.4</v>
      </c>
      <c r="C8" s="3018" t="str">
        <f>'1.SD Facility Based Annex'!C10</f>
        <v>PMSMA activities at State/ District level</v>
      </c>
      <c r="D8" s="3019" t="str">
        <f>'1.SD Facility Based Annex'!D10</f>
        <v>RCH</v>
      </c>
      <c r="E8" s="3019" t="str">
        <f>'1.SD Facility Based Annex'!E10</f>
        <v>MH</v>
      </c>
      <c r="F8" s="3019">
        <f>'1.SD Facility Based Annex'!F10</f>
        <v>0</v>
      </c>
      <c r="G8" s="3019">
        <f>'1.SD Facility Based Annex'!G10</f>
        <v>0</v>
      </c>
      <c r="H8" s="3019">
        <f>'1.SD Facility Based Annex'!H10</f>
        <v>500</v>
      </c>
      <c r="I8" s="3019">
        <f>'1.SD Facility Based Annex'!I10</f>
        <v>50.06</v>
      </c>
      <c r="J8" s="3019">
        <f>'1.SD Facility Based Annex'!J10</f>
        <v>0</v>
      </c>
      <c r="K8" s="3019" t="str">
        <f>'1.SD Facility Based Annex'!K10</f>
        <v>Per Facility</v>
      </c>
      <c r="L8" s="3020">
        <f>'1.SD Facility Based Annex'!L10</f>
        <v>62082000</v>
      </c>
      <c r="M8" s="3020">
        <f>'1.SD Facility Based Annex'!M10</f>
        <v>620.82000000000005</v>
      </c>
      <c r="N8" s="3019">
        <f>'1.SD Facility Based Annex'!N10</f>
        <v>1</v>
      </c>
      <c r="O8" s="3020">
        <f>'1.SD Facility Based Annex'!O10</f>
        <v>620.82000000000005</v>
      </c>
      <c r="P8" s="3017" t="str">
        <f>'1.SD Facility Based Annex'!P10</f>
        <v xml:space="preserve">Continued Activity, 
Budget is being proposed for Carrying out PMSMA Activity across the state. Different activities will be carried out to strengthen PMSMA. Like Orientation, IEC, Mobility support, Reagents ,incentives to ASHAs and quarterly review meeting etc. 
(A) ASHA Incentive- Out of 88910 ASHA Incentive Proposed for 40000 ASHA i.e 40000x100x12= 48000000.
(B) Monitoring and Review state level- 25000 per qtr. x 4 = 100000. 
(C) Monitoring and Review District level- 24000 per annum. per District 24000*38= 912000. 
(D) Monitoring and Review RPMU level- 10000 per annum. per RPMU- 9*10000 = 90000.
(E) Capacity Building- 10000 per Dis. = 10000x38= 380000.
(F) Logisitic and supply- 15000 per facility = 15000x600= 9000000. 
(G) New Activity:
PMSMA Visit: Budget is being proposed as travelling expenses for Volunteers Visit on PMSMA Day. An amount of @Rs. 2000 Per PMSMA Day Visit for 150 Volunteers.
(Volunteers travelling expenses  : Rs 2000*12 Months* 150 volunteers = Rs 36,00,000)
Detail prosposal Annexed
Grand Total- Rs.48000000+100000+912000+ 90000+380000+9000000+3600000= 62082000.
</v>
      </c>
      <c r="Q8" s="3021"/>
      <c r="R8" s="3022"/>
    </row>
    <row r="9" spans="1:18" s="3023" customFormat="1" ht="225">
      <c r="A9" s="3017" t="str">
        <f>'1.SD Facility Based Annex'!A11</f>
        <v>1.1.1.2</v>
      </c>
      <c r="B9" s="3017" t="str">
        <f>'1.SD Facility Based Annex'!B11</f>
        <v>A.1.6.3</v>
      </c>
      <c r="C9" s="3018" t="str">
        <f>'1.SD Facility Based Annex'!C11</f>
        <v>Diet services for JSSK Beneficiaries (3 days for Normal Delivery and 7 days for Caesarean)</v>
      </c>
      <c r="D9" s="3019" t="str">
        <f>'1.SD Facility Based Annex'!D11</f>
        <v>RCH</v>
      </c>
      <c r="E9" s="3019" t="str">
        <f>'1.SD Facility Based Annex'!E11</f>
        <v>MH</v>
      </c>
      <c r="F9" s="3019">
        <f>'1.SD Facility Based Annex'!F11</f>
        <v>0</v>
      </c>
      <c r="G9" s="3019">
        <f>'1.SD Facility Based Annex'!G11</f>
        <v>0</v>
      </c>
      <c r="H9" s="3019">
        <f>'1.SD Facility Based Annex'!H11</f>
        <v>4000</v>
      </c>
      <c r="I9" s="3019">
        <f>'1.SD Facility Based Annex'!I11</f>
        <v>300.41415000000001</v>
      </c>
      <c r="J9" s="3019">
        <f>'1.SD Facility Based Annex'!J11</f>
        <v>0</v>
      </c>
      <c r="K9" s="3019" t="str">
        <f>'1.SD Facility Based Annex'!K11</f>
        <v xml:space="preserve">per beneficiaries </v>
      </c>
      <c r="L9" s="3020">
        <f>'1.SD Facility Based Annex'!L11</f>
        <v>570000000</v>
      </c>
      <c r="M9" s="3020">
        <f>'1.SD Facility Based Annex'!M11</f>
        <v>5700</v>
      </c>
      <c r="N9" s="3019">
        <f>'1.SD Facility Based Annex'!N11</f>
        <v>1</v>
      </c>
      <c r="O9" s="3020">
        <f>'1.SD Facility Based Annex'!O11</f>
        <v>5700</v>
      </c>
      <c r="P9" s="3017" t="str">
        <f>'1.SD Facility Based Annex'!P11</f>
        <v xml:space="preserve">Continued Activity.
As per HMIS Institutional Delivery to be conducted at Public Health Facilites FY 2021-22 is approx.  16,00,000 and expecting 5% increase on Institutional Delivery an approx. 17,00,000 instituional delivery is expected in FY 2021-22.  Out of 17,00,000 deliveries 16,50,000 normal delivery and 50,000 c.section is expected. Further demand is also being made for diet for benificaries under PMSMA. Based on these budget is being demanded as mentioned below:   
 Budget is being proposed-
(A) Amount for normal delivery -16,50,000*3*100 = Rs.495000000
(B) Amount C-Section- 50000*7*100=Rs.35000000
(C) PMSMA- Refreshment for 8 lakhs benificiaries @Rs. 50 per benificiaries- 800000*50=   Rs. 40000000.
Detail Proposal Annexed
Total Amount- Rs.495000000+Rs.35000000+Rs.40000000 = Rs. 570000000
</v>
      </c>
      <c r="Q9" s="3021"/>
      <c r="R9" s="3022"/>
    </row>
    <row r="10" spans="1:18" s="3023" customFormat="1" ht="120">
      <c r="A10" s="3017" t="str">
        <f>'1.SD Facility Based Annex'!A12</f>
        <v>1.1.1.3</v>
      </c>
      <c r="B10" s="3017" t="str">
        <f>'1.SD Facility Based Annex'!B12</f>
        <v>A.1.6.2</v>
      </c>
      <c r="C10" s="3018" t="str">
        <f>'1.SD Facility Based Annex'!C12</f>
        <v>Blood Transfusion for JSSK Beneficiaries</v>
      </c>
      <c r="D10" s="3019" t="str">
        <f>'1.SD Facility Based Annex'!D12</f>
        <v>RCH</v>
      </c>
      <c r="E10" s="3019" t="str">
        <f>'1.SD Facility Based Annex'!E12</f>
        <v>MH</v>
      </c>
      <c r="F10" s="3019">
        <f>'1.SD Facility Based Annex'!F12</f>
        <v>0</v>
      </c>
      <c r="G10" s="3019">
        <f>'1.SD Facility Based Annex'!G12</f>
        <v>0</v>
      </c>
      <c r="H10" s="3019">
        <f>'1.SD Facility Based Annex'!H12</f>
        <v>0</v>
      </c>
      <c r="I10" s="3019">
        <f>'1.SD Facility Based Annex'!I12</f>
        <v>0</v>
      </c>
      <c r="J10" s="3019">
        <f>'1.SD Facility Based Annex'!J12</f>
        <v>0</v>
      </c>
      <c r="K10" s="3019">
        <f>'1.SD Facility Based Annex'!K12</f>
        <v>0</v>
      </c>
      <c r="L10" s="3020">
        <f>'1.SD Facility Based Annex'!L12</f>
        <v>300</v>
      </c>
      <c r="M10" s="3020">
        <f>'1.SD Facility Based Annex'!M12</f>
        <v>3.0000000000000001E-3</v>
      </c>
      <c r="N10" s="3019">
        <f>'1.SD Facility Based Annex'!N12</f>
        <v>50000</v>
      </c>
      <c r="O10" s="3020">
        <f>'1.SD Facility Based Annex'!O12</f>
        <v>150</v>
      </c>
      <c r="P10" s="3017" t="str">
        <f>'1.SD Facility Based Annex'!P12</f>
        <v>Continue activity
Transfusion supportto JSSK Beneficiaries
Total Rs 150Lakhs
Earlier Rs. 300 was transferred to RKS against each blood transfusion given to JSSK beneficiaries only. As suggested by blood cell NHM, to provide free blood to all beneficiaries admitted in public health facilities in virtue of zero out of pocket expenditure and transfusion fee Rs. 300 will be transferred to Blood banks for procurement of kits and consumable.</v>
      </c>
      <c r="Q10" s="3021"/>
      <c r="R10" s="3022"/>
    </row>
    <row r="11" spans="1:18" s="3023" customFormat="1" ht="60">
      <c r="A11" s="3017" t="str">
        <f>'1.SD Facility Based Annex'!A13</f>
        <v>1.1.1.4</v>
      </c>
      <c r="B11" s="3017" t="str">
        <f>'1.SD Facility Based Annex'!B13</f>
        <v>A.1.6.5.1</v>
      </c>
      <c r="C11" s="3018" t="str">
        <f>'1.SD Facility Based Annex'!C13</f>
        <v>Antenatal Screening of all pregnant women coming to the facilities in their first trimester for Sickle cell trait, β Thalassemia, Haemoglobin variants esp. Haemoglobin E and Anaemia  -Refer Hemoglobinopathies guidelines</v>
      </c>
      <c r="D11" s="3019" t="str">
        <f>'1.SD Facility Based Annex'!D13</f>
        <v>RCH</v>
      </c>
      <c r="E11" s="3019" t="str">
        <f>'1.SD Facility Based Annex'!E13</f>
        <v>Blood services (for MH)</v>
      </c>
      <c r="F11" s="3019">
        <f>'1.SD Facility Based Annex'!F13</f>
        <v>0</v>
      </c>
      <c r="G11" s="3019">
        <f>'1.SD Facility Based Annex'!G13</f>
        <v>0</v>
      </c>
      <c r="H11" s="3019">
        <f>'1.SD Facility Based Annex'!H13</f>
        <v>0</v>
      </c>
      <c r="I11" s="3019">
        <f>'1.SD Facility Based Annex'!I13</f>
        <v>0</v>
      </c>
      <c r="J11" s="3019">
        <f>'1.SD Facility Based Annex'!J13</f>
        <v>0</v>
      </c>
      <c r="K11" s="3019">
        <f>'1.SD Facility Based Annex'!K13</f>
        <v>0</v>
      </c>
      <c r="L11" s="3020">
        <f>'1.SD Facility Based Annex'!L13</f>
        <v>0</v>
      </c>
      <c r="M11" s="3020">
        <f>'1.SD Facility Based Annex'!M13</f>
        <v>0</v>
      </c>
      <c r="N11" s="3019">
        <f>'1.SD Facility Based Annex'!N13</f>
        <v>0</v>
      </c>
      <c r="O11" s="3020">
        <f>'1.SD Facility Based Annex'!O13</f>
        <v>0</v>
      </c>
      <c r="P11" s="3017">
        <f>'1.SD Facility Based Annex'!P13</f>
        <v>0</v>
      </c>
      <c r="Q11" s="3021"/>
      <c r="R11" s="3022"/>
    </row>
    <row r="12" spans="1:18" s="3023" customFormat="1" ht="315">
      <c r="A12" s="3017" t="str">
        <f>'1.SD Facility Based Annex'!A14</f>
        <v>1.1.1.5</v>
      </c>
      <c r="B12" s="3017">
        <f>'1.SD Facility Based Annex'!B14</f>
        <v>0</v>
      </c>
      <c r="C12" s="3018" t="str">
        <f>'1.SD Facility Based Annex'!C14</f>
        <v>LaQshya Related Activities</v>
      </c>
      <c r="D12" s="3019" t="str">
        <f>'1.SD Facility Based Annex'!D14</f>
        <v>RCH</v>
      </c>
      <c r="E12" s="3019" t="str">
        <f>'1.SD Facility Based Annex'!E14</f>
        <v>MH</v>
      </c>
      <c r="F12" s="3019">
        <f>'1.SD Facility Based Annex'!F14</f>
        <v>0</v>
      </c>
      <c r="G12" s="3019">
        <f>'1.SD Facility Based Annex'!G14</f>
        <v>0</v>
      </c>
      <c r="H12" s="3019">
        <f>'1.SD Facility Based Annex'!H14</f>
        <v>0</v>
      </c>
      <c r="I12" s="3019">
        <f>'1.SD Facility Based Annex'!I14</f>
        <v>0</v>
      </c>
      <c r="J12" s="3019">
        <f>'1.SD Facility Based Annex'!J14</f>
        <v>0</v>
      </c>
      <c r="K12" s="3019" t="str">
        <f>'1.SD Facility Based Annex'!K14</f>
        <v>Per Visit</v>
      </c>
      <c r="L12" s="3020">
        <f>'1.SD Facility Based Annex'!L14</f>
        <v>29041000</v>
      </c>
      <c r="M12" s="3020">
        <f>'1.SD Facility Based Annex'!M14</f>
        <v>290.41000000000003</v>
      </c>
      <c r="N12" s="3019">
        <f>'1.SD Facility Based Annex'!N14</f>
        <v>1</v>
      </c>
      <c r="O12" s="3020">
        <f>'1.SD Facility Based Annex'!O14</f>
        <v>290.41000000000003</v>
      </c>
      <c r="P12" s="3017" t="str">
        <f>'1.SD Facility Based Annex'!P14</f>
        <v>Continued Activity:
a) An amount of Rs 22.75 Lakhs is being proopsed for Onsite Mentoring at 25 District Hospital/Sub District Hospital/RH/CHC (2nd Phase LaQshya Identified Facilities) through NQAS External Assessors.  Based on the discussion held during NPCC meeting, NQAS External Assesors of NHSRC to be used for mentoring. 10 External assessors to be invloved with 2 -3 visits per Assessors for  FY 2021-22, remainig external assessros from the state to be involved for mentoring. Further from next year onwards the State will use State NHSRC certified External and Internal Assessors for mentoring. Budgeting for the  External Mentors done as per NHSRC norms.
Total Cost for 25 Facilities @ 45500 Per Per Visit =22.75 Lakhs.  
Detail Annexed
b)  Strengthening of labor Room &amp; OT for facilities under SUMAN: 
An amount of Rs 190.00 Lakhs  is being demanded for strengthening of Labor room &amp; Maternity OT at 38Facilities (CEmOC Facilities: 36, EmOC Facilities: 2) @ Rs 5 Lakhs per facility identifed under SUMAN in 1st Phase.  
38 SUMAN Facilities @ Rs 500000= Rs 19000000.  (Based on Gap Annexed)
c) LaQshya Mentoring Visit by State/Region/District Team (Continued Activity): 
Onsite Mentoring VIsit to laQshya facilities: An amount of Rs 77.66 Lakhs  is being demand for Mentoring visit of LaQshya Identified Facilities through State, Regional and District Level mentors.
Total Amount Proposed: 77.66 Lakhs. 
Detail Annexed.  
Total Cost: 22.75 + 190.00+77.66 = 290.41</v>
      </c>
      <c r="Q12" s="3021"/>
      <c r="R12" s="3022"/>
    </row>
    <row r="13" spans="1:18" s="3023" customFormat="1" ht="210">
      <c r="A13" s="3017" t="str">
        <f>'1.SD Facility Based Annex'!A15</f>
        <v>1.1.1.6</v>
      </c>
      <c r="B13" s="3017">
        <f>'1.SD Facility Based Annex'!B15</f>
        <v>0</v>
      </c>
      <c r="C13" s="3018" t="str">
        <f>'1.SD Facility Based Annex'!C15</f>
        <v>Any other (please specify)</v>
      </c>
      <c r="D13" s="3019" t="str">
        <f>'1.SD Facility Based Annex'!D15</f>
        <v>RCH</v>
      </c>
      <c r="E13" s="3019" t="str">
        <f>'1.SD Facility Based Annex'!E15</f>
        <v>MH</v>
      </c>
      <c r="F13" s="3019">
        <f>'1.SD Facility Based Annex'!F15</f>
        <v>0</v>
      </c>
      <c r="G13" s="3019">
        <f>'1.SD Facility Based Annex'!G15</f>
        <v>0</v>
      </c>
      <c r="H13" s="3019">
        <f>'1.SD Facility Based Annex'!H15</f>
        <v>0</v>
      </c>
      <c r="I13" s="3019">
        <f>'1.SD Facility Based Annex'!I15</f>
        <v>0</v>
      </c>
      <c r="J13" s="3019">
        <f>'1.SD Facility Based Annex'!J15</f>
        <v>0</v>
      </c>
      <c r="K13" s="3019" t="str">
        <f>'1.SD Facility Based Annex'!K15</f>
        <v>Per Facility</v>
      </c>
      <c r="L13" s="3020">
        <f>'1.SD Facility Based Annex'!L15</f>
        <v>24302500</v>
      </c>
      <c r="M13" s="3020">
        <f>'1.SD Facility Based Annex'!M15</f>
        <v>243.02500000000001</v>
      </c>
      <c r="N13" s="3019">
        <f>'1.SD Facility Based Annex'!N15</f>
        <v>1</v>
      </c>
      <c r="O13" s="3020">
        <f>'1.SD Facility Based Annex'!O15</f>
        <v>243.02500000000001</v>
      </c>
      <c r="P13" s="3017" t="str">
        <f>'1.SD Facility Based Annex'!P15</f>
        <v>Continued Activity:
1. Comprehensive Abortion Care (CAC) 
(A) First trimester induced abortion services at private accredited Yukti Yojana clinics = Rs.1,000 per case X 10,800 cases = Rs.1,08,00,000.                                                    
(B) Treatment of first trimester incomplete abortion and abortion complications at private accredited Yukti Yojana clinics = Rs.1,000 per case X 10,800 = Rs,1,08,00,000.                             
(C) Transport subsidy to Community Health Intermediaries (ASHAs, ANMs, AWWs) accompanying women at Yukti Yojana accredited sites = Rs.150 per case X 2150 cases = Rs.3,22,500.                                              
(D) Quarterly meeting of District Level Committe in all the 38 districts = Rs.2,500 per meeting X 4 quarters X 38 districts = Rs.3,80,000                                                                
(E) Incentive for provision of CAC services at public health facilities to the MOs@ Rs.500 for government facility MOs for 4,000 cases = Rs.500 per case X 4000 cases = Rs.20,00,000
Total- Rs.1,08,00,000+Rs,1,08,00,000+Rs.3,22,500+Rs.3,80,000+Rs.20,00,000 = Rs.24302500</v>
      </c>
      <c r="Q13" s="3021"/>
      <c r="R13" s="3022"/>
    </row>
    <row r="14" spans="1:18" s="3029" customFormat="1" ht="30">
      <c r="A14" s="3024" t="str">
        <f>'1.SD Facility Based Annex'!A60</f>
        <v>1.2.1</v>
      </c>
      <c r="B14" s="3024">
        <f>'1.SD Facility Based Annex'!B60</f>
        <v>0</v>
      </c>
      <c r="C14" s="3025" t="str">
        <f>'1.SD Facility Based Annex'!C60</f>
        <v>Beneficiary Compensation under Janani Suraksha Yojana (JSY)</v>
      </c>
      <c r="D14" s="3026">
        <f>'1.SD Facility Based Annex'!D60</f>
        <v>0</v>
      </c>
      <c r="E14" s="3026">
        <f>'1.SD Facility Based Annex'!E60</f>
        <v>0</v>
      </c>
      <c r="F14" s="3026">
        <f>'1.SD Facility Based Annex'!F60</f>
        <v>0</v>
      </c>
      <c r="G14" s="3026">
        <f>'1.SD Facility Based Annex'!G60</f>
        <v>0</v>
      </c>
      <c r="H14" s="3026">
        <f>'1.SD Facility Based Annex'!H60</f>
        <v>0</v>
      </c>
      <c r="I14" s="3026">
        <f>'1.SD Facility Based Annex'!I60</f>
        <v>0</v>
      </c>
      <c r="J14" s="3026">
        <f>'1.SD Facility Based Annex'!J60</f>
        <v>0</v>
      </c>
      <c r="K14" s="3026">
        <f>'1.SD Facility Based Annex'!K60</f>
        <v>0</v>
      </c>
      <c r="L14" s="3027">
        <f>'1.SD Facility Based Annex'!L60</f>
        <v>0</v>
      </c>
      <c r="M14" s="3027">
        <f>'1.SD Facility Based Annex'!M60</f>
        <v>0</v>
      </c>
      <c r="N14" s="3026">
        <f>'1.SD Facility Based Annex'!N60</f>
        <v>0</v>
      </c>
      <c r="O14" s="3027">
        <f>'1.SD Facility Based Annex'!O60</f>
        <v>27288.620000000003</v>
      </c>
      <c r="P14" s="3024">
        <f>'1.SD Facility Based Annex'!P60</f>
        <v>0</v>
      </c>
      <c r="Q14" s="3021"/>
      <c r="R14" s="3028"/>
    </row>
    <row r="15" spans="1:18" s="3023" customFormat="1" ht="30">
      <c r="A15" s="3017" t="str">
        <f>'1.SD Facility Based Annex'!A61</f>
        <v>1.2.1.1</v>
      </c>
      <c r="B15" s="3017" t="str">
        <f>'1.SD Facility Based Annex'!B61</f>
        <v>A.1.3.1</v>
      </c>
      <c r="C15" s="3018" t="str">
        <f>'1.SD Facility Based Annex'!C61</f>
        <v>Home deliveries</v>
      </c>
      <c r="D15" s="3019" t="str">
        <f>'1.SD Facility Based Annex'!D61</f>
        <v>RCH</v>
      </c>
      <c r="E15" s="3019" t="str">
        <f>'1.SD Facility Based Annex'!E61</f>
        <v>MH</v>
      </c>
      <c r="F15" s="3019">
        <f>'1.SD Facility Based Annex'!F61</f>
        <v>0</v>
      </c>
      <c r="G15" s="3019">
        <f>'1.SD Facility Based Annex'!G61</f>
        <v>0</v>
      </c>
      <c r="H15" s="3019">
        <f>'1.SD Facility Based Annex'!H61</f>
        <v>20</v>
      </c>
      <c r="I15" s="3019">
        <f>'1.SD Facility Based Annex'!I61</f>
        <v>15.012</v>
      </c>
      <c r="J15" s="3019">
        <f>'1.SD Facility Based Annex'!J61</f>
        <v>0</v>
      </c>
      <c r="K15" s="3019" t="str">
        <f>'1.SD Facility Based Annex'!K61</f>
        <v>Per Benificiary</v>
      </c>
      <c r="L15" s="3020">
        <f>'1.SD Facility Based Annex'!L61</f>
        <v>500</v>
      </c>
      <c r="M15" s="3020">
        <f>'1.SD Facility Based Annex'!M61</f>
        <v>5.0000000000000001E-3</v>
      </c>
      <c r="N15" s="3019">
        <f>'1.SD Facility Based Annex'!N61</f>
        <v>4000</v>
      </c>
      <c r="O15" s="3020">
        <f>'1.SD Facility Based Annex'!O61</f>
        <v>20</v>
      </c>
      <c r="P15" s="3017" t="str">
        <f>'1.SD Facility Based Annex'!P61</f>
        <v>Continued Activity,
Budget is proposed same as proposed in FY-2020-21.</v>
      </c>
      <c r="Q15" s="3021"/>
      <c r="R15" s="3022"/>
    </row>
    <row r="16" spans="1:18" s="3029" customFormat="1">
      <c r="A16" s="3024" t="str">
        <f>'1.SD Facility Based Annex'!A62</f>
        <v>1.2.1.2</v>
      </c>
      <c r="B16" s="3024" t="str">
        <f>'1.SD Facility Based Annex'!B62</f>
        <v>A.1.3.2</v>
      </c>
      <c r="C16" s="3025" t="str">
        <f>'1.SD Facility Based Annex'!C62</f>
        <v xml:space="preserve">Institutional deliveries </v>
      </c>
      <c r="D16" s="3026">
        <f>'1.SD Facility Based Annex'!D62</f>
        <v>0</v>
      </c>
      <c r="E16" s="3026">
        <f>'1.SD Facility Based Annex'!E62</f>
        <v>0</v>
      </c>
      <c r="F16" s="3026">
        <f>'1.SD Facility Based Annex'!F62</f>
        <v>0</v>
      </c>
      <c r="G16" s="3026">
        <f>'1.SD Facility Based Annex'!G62</f>
        <v>0</v>
      </c>
      <c r="H16" s="3026">
        <f>'1.SD Facility Based Annex'!H62</f>
        <v>0</v>
      </c>
      <c r="I16" s="3026">
        <f>'1.SD Facility Based Annex'!I62</f>
        <v>0</v>
      </c>
      <c r="J16" s="3026">
        <f>'1.SD Facility Based Annex'!J62</f>
        <v>0</v>
      </c>
      <c r="K16" s="3026">
        <f>'1.SD Facility Based Annex'!K62</f>
        <v>0</v>
      </c>
      <c r="L16" s="3027">
        <f>'1.SD Facility Based Annex'!L62</f>
        <v>0</v>
      </c>
      <c r="M16" s="3027">
        <f>'1.SD Facility Based Annex'!M62</f>
        <v>0</v>
      </c>
      <c r="N16" s="3026">
        <f>'1.SD Facility Based Annex'!N62</f>
        <v>0</v>
      </c>
      <c r="O16" s="3027">
        <f>'1.SD Facility Based Annex'!O62</f>
        <v>27268.620000000003</v>
      </c>
      <c r="P16" s="3024">
        <f>'1.SD Facility Based Annex'!P62</f>
        <v>0</v>
      </c>
      <c r="Q16" s="3021"/>
      <c r="R16" s="3028"/>
    </row>
    <row r="17" spans="1:18" s="3023" customFormat="1" ht="61.5" customHeight="1">
      <c r="A17" s="3017" t="str">
        <f>'1.SD Facility Based Annex'!A63</f>
        <v>1.2.1.2.1</v>
      </c>
      <c r="B17" s="3017" t="str">
        <f>'1.SD Facility Based Annex'!B63</f>
        <v>A.1.3.2.a</v>
      </c>
      <c r="C17" s="3018" t="str">
        <f>'1.SD Facility Based Annex'!C63</f>
        <v>Rural</v>
      </c>
      <c r="D17" s="3019" t="str">
        <f>'1.SD Facility Based Annex'!D63</f>
        <v>RCH</v>
      </c>
      <c r="E17" s="3019" t="str">
        <f>'1.SD Facility Based Annex'!E63</f>
        <v>MH</v>
      </c>
      <c r="F17" s="3019">
        <f>'1.SD Facility Based Annex'!F63</f>
        <v>0</v>
      </c>
      <c r="G17" s="3019">
        <f>'1.SD Facility Based Annex'!G63</f>
        <v>0</v>
      </c>
      <c r="H17" s="3019">
        <f>'1.SD Facility Based Annex'!H63</f>
        <v>26324.76</v>
      </c>
      <c r="I17" s="3019">
        <f>'1.SD Facility Based Annex'!I63</f>
        <v>8164.7074499999999</v>
      </c>
      <c r="J17" s="3019">
        <f>'1.SD Facility Based Annex'!J63</f>
        <v>0</v>
      </c>
      <c r="K17" s="3019" t="str">
        <f>'1.SD Facility Based Annex'!K63</f>
        <v>Per Benificiary</v>
      </c>
      <c r="L17" s="3020">
        <f>'1.SD Facility Based Annex'!L63</f>
        <v>1400</v>
      </c>
      <c r="M17" s="3020">
        <f>'1.SD Facility Based Annex'!M63</f>
        <v>1.4E-2</v>
      </c>
      <c r="N17" s="3019">
        <f>'1.SD Facility Based Annex'!N63</f>
        <v>1880340</v>
      </c>
      <c r="O17" s="3020">
        <f>'1.SD Facility Based Annex'!O63</f>
        <v>26324.760000000002</v>
      </c>
      <c r="P17" s="3017" t="str">
        <f>'1.SD Facility Based Annex'!P63</f>
        <v xml:space="preserve">Continued Activity,
Demand is being made for 1880340 institutional delivery (rural) @ Rs.1400 per benificiary same as being demanded in FY 19-20.
Total Amount- 1880340 *Rs. 1400= Rs. 2632476000.
</v>
      </c>
      <c r="Q17" s="3021"/>
      <c r="R17" s="3022"/>
    </row>
    <row r="18" spans="1:18" s="3023" customFormat="1" ht="64.5" customHeight="1">
      <c r="A18" s="3017" t="str">
        <f>'1.SD Facility Based Annex'!A64</f>
        <v>1.2.1.2.2</v>
      </c>
      <c r="B18" s="3017" t="str">
        <f>'1.SD Facility Based Annex'!B64</f>
        <v>A.1.3.2.b</v>
      </c>
      <c r="C18" s="3018" t="str">
        <f>'1.SD Facility Based Annex'!C64</f>
        <v>Urban</v>
      </c>
      <c r="D18" s="3019" t="str">
        <f>'1.SD Facility Based Annex'!D64</f>
        <v>RCH</v>
      </c>
      <c r="E18" s="3019" t="str">
        <f>'1.SD Facility Based Annex'!E64</f>
        <v>MH</v>
      </c>
      <c r="F18" s="3019">
        <f>'1.SD Facility Based Annex'!F64</f>
        <v>0</v>
      </c>
      <c r="G18" s="3019">
        <f>'1.SD Facility Based Annex'!G64</f>
        <v>0</v>
      </c>
      <c r="H18" s="3019">
        <f>'1.SD Facility Based Annex'!H64</f>
        <v>843.86</v>
      </c>
      <c r="I18" s="3019">
        <f>'1.SD Facility Based Annex'!I64</f>
        <v>231.44</v>
      </c>
      <c r="J18" s="3019">
        <f>'1.SD Facility Based Annex'!J64</f>
        <v>0</v>
      </c>
      <c r="K18" s="3019" t="str">
        <f>'1.SD Facility Based Annex'!K64</f>
        <v>Per Benificiary</v>
      </c>
      <c r="L18" s="3020">
        <f>'1.SD Facility Based Annex'!L64</f>
        <v>1000</v>
      </c>
      <c r="M18" s="3020">
        <f>'1.SD Facility Based Annex'!M64</f>
        <v>0.01</v>
      </c>
      <c r="N18" s="3019">
        <f>'1.SD Facility Based Annex'!N64</f>
        <v>84386</v>
      </c>
      <c r="O18" s="3020">
        <f>'1.SD Facility Based Annex'!O64</f>
        <v>843.86</v>
      </c>
      <c r="P18" s="3017" t="str">
        <f>'1.SD Facility Based Annex'!P64</f>
        <v xml:space="preserve">Continued Activity,
Demand is being made for 84386 institutional delivery (urban) @ Rs.1000 per benificiary same as being demanded in FY 19-20.
Total Amount- 84386*Rs. 1000= Rs. 84386000.
 </v>
      </c>
      <c r="Q18" s="3021"/>
      <c r="R18" s="3022"/>
    </row>
    <row r="19" spans="1:18" s="3023" customFormat="1" ht="60">
      <c r="A19" s="3017" t="str">
        <f>'1.SD Facility Based Annex'!A65</f>
        <v>1.2.1.2.3</v>
      </c>
      <c r="B19" s="3017" t="str">
        <f>'1.SD Facility Based Annex'!B65</f>
        <v>A.1.3.2.c</v>
      </c>
      <c r="C19" s="3018" t="str">
        <f>'1.SD Facility Based Annex'!C65</f>
        <v>C-sections</v>
      </c>
      <c r="D19" s="3019" t="str">
        <f>'1.SD Facility Based Annex'!D65</f>
        <v>RCH</v>
      </c>
      <c r="E19" s="3019" t="str">
        <f>'1.SD Facility Based Annex'!E65</f>
        <v>MH</v>
      </c>
      <c r="F19" s="3019">
        <f>'1.SD Facility Based Annex'!F65</f>
        <v>0</v>
      </c>
      <c r="G19" s="3019">
        <f>'1.SD Facility Based Annex'!G65</f>
        <v>0</v>
      </c>
      <c r="H19" s="3019">
        <f>'1.SD Facility Based Annex'!H65</f>
        <v>100</v>
      </c>
      <c r="I19" s="3019">
        <f>'1.SD Facility Based Annex'!I65</f>
        <v>4.5644999999999998</v>
      </c>
      <c r="J19" s="3019">
        <f>'1.SD Facility Based Annex'!J65</f>
        <v>0</v>
      </c>
      <c r="K19" s="3019" t="str">
        <f>'1.SD Facility Based Annex'!K65</f>
        <v>Per C-section</v>
      </c>
      <c r="L19" s="3020">
        <f>'1.SD Facility Based Annex'!L65</f>
        <v>10000</v>
      </c>
      <c r="M19" s="3020">
        <f>'1.SD Facility Based Annex'!M65</f>
        <v>0.1</v>
      </c>
      <c r="N19" s="3019">
        <f>'1.SD Facility Based Annex'!N65</f>
        <v>1000</v>
      </c>
      <c r="O19" s="3020">
        <f>'1.SD Facility Based Annex'!O65</f>
        <v>100</v>
      </c>
      <c r="P19" s="3017" t="str">
        <f>'1.SD Facility Based Annex'!P65</f>
        <v>Continued Activity.
Budget has been demanded @ Rs. 10000/- per Case (Gynaecologist- 5000,  Anaesthetist - 2000, Paediatrician 1500 and other staff-1500)
1000 case @Rs.10000 = Rs. 10000000.</v>
      </c>
      <c r="Q19" s="3021"/>
      <c r="R19" s="3022"/>
    </row>
    <row r="20" spans="1:18" s="3029" customFormat="1">
      <c r="A20" s="3030">
        <f>'2.SD Community Based Annex'!A7</f>
        <v>2</v>
      </c>
      <c r="B20" s="3030">
        <f>'2.SD Community Based Annex'!B7</f>
        <v>0</v>
      </c>
      <c r="C20" s="3031" t="str">
        <f>'2.SD Community Based Annex'!C7</f>
        <v>Service Delivery - Community Based</v>
      </c>
      <c r="D20" s="3032"/>
      <c r="E20" s="3032"/>
      <c r="F20" s="3032"/>
      <c r="G20" s="3032"/>
      <c r="H20" s="3032"/>
      <c r="I20" s="3032"/>
      <c r="J20" s="3032"/>
      <c r="K20" s="3032"/>
      <c r="L20" s="3033"/>
      <c r="M20" s="3032"/>
      <c r="N20" s="3032"/>
      <c r="O20" s="3033">
        <f>SUM(O21:O25)</f>
        <v>37.26</v>
      </c>
      <c r="P20" s="3030"/>
      <c r="Q20" s="3034"/>
      <c r="R20" s="3035">
        <f>SUM(R21:R25)</f>
        <v>0</v>
      </c>
    </row>
    <row r="21" spans="1:18" s="3023" customFormat="1">
      <c r="A21" s="3017" t="str">
        <f>'2.SD Community Based Annex'!A34</f>
        <v>2.3.1.1.1</v>
      </c>
      <c r="B21" s="3017" t="str">
        <f>'2.SD Community Based Annex'!B34</f>
        <v>A.1.2.1</v>
      </c>
      <c r="C21" s="3018" t="str">
        <f>'2.SD Community Based Annex'!C34</f>
        <v>Outreach camps</v>
      </c>
      <c r="D21" s="3019" t="str">
        <f>'2.SD Community Based Annex'!D34</f>
        <v>RCH</v>
      </c>
      <c r="E21" s="3019" t="str">
        <f>'2.SD Community Based Annex'!E34</f>
        <v>MH</v>
      </c>
      <c r="F21" s="3019">
        <f>'2.SD Community Based Annex'!F34</f>
        <v>0</v>
      </c>
      <c r="G21" s="3019">
        <f>'2.SD Community Based Annex'!G34</f>
        <v>0</v>
      </c>
      <c r="H21" s="3019">
        <f>'2.SD Community Based Annex'!H34</f>
        <v>0</v>
      </c>
      <c r="I21" s="3019">
        <f>'2.SD Community Based Annex'!I34</f>
        <v>0</v>
      </c>
      <c r="J21" s="3019">
        <f>'2.SD Community Based Annex'!J34</f>
        <v>0</v>
      </c>
      <c r="K21" s="3019">
        <f>'2.SD Community Based Annex'!K34</f>
        <v>0</v>
      </c>
      <c r="L21" s="3020">
        <f>'2.SD Community Based Annex'!L34</f>
        <v>0</v>
      </c>
      <c r="M21" s="3019">
        <f>'2.SD Community Based Annex'!M34</f>
        <v>0</v>
      </c>
      <c r="N21" s="3019">
        <f>'2.SD Community Based Annex'!N34</f>
        <v>0</v>
      </c>
      <c r="O21" s="3020">
        <f>'2.SD Community Based Annex'!O34</f>
        <v>0</v>
      </c>
      <c r="P21" s="3017">
        <f>'2.SD Community Based Annex'!P34</f>
        <v>0</v>
      </c>
      <c r="Q21" s="3021"/>
      <c r="R21" s="3028"/>
    </row>
    <row r="22" spans="1:18" s="3023" customFormat="1">
      <c r="A22" s="3017" t="str">
        <f>'2.SD Community Based Annex'!A35</f>
        <v>2.3.1.1.2</v>
      </c>
      <c r="B22" s="3017" t="str">
        <f>'2.SD Community Based Annex'!B35</f>
        <v>A.1.2.2</v>
      </c>
      <c r="C22" s="3018" t="str">
        <f>'2.SD Community Based Annex'!C35</f>
        <v>Monthly Village Health and Nutrition Days</v>
      </c>
      <c r="D22" s="3019" t="str">
        <f>'2.SD Community Based Annex'!D35</f>
        <v>RCH</v>
      </c>
      <c r="E22" s="3019" t="str">
        <f>'2.SD Community Based Annex'!E35</f>
        <v>MH</v>
      </c>
      <c r="F22" s="3019">
        <f>'2.SD Community Based Annex'!F35</f>
        <v>0</v>
      </c>
      <c r="G22" s="3019">
        <f>'2.SD Community Based Annex'!G35</f>
        <v>0</v>
      </c>
      <c r="H22" s="3019">
        <f>'2.SD Community Based Annex'!H35</f>
        <v>0</v>
      </c>
      <c r="I22" s="3019">
        <f>'2.SD Community Based Annex'!I35</f>
        <v>0</v>
      </c>
      <c r="J22" s="3019">
        <f>'2.SD Community Based Annex'!J35</f>
        <v>0</v>
      </c>
      <c r="K22" s="3019">
        <f>'2.SD Community Based Annex'!K35</f>
        <v>0</v>
      </c>
      <c r="L22" s="3020">
        <f>'2.SD Community Based Annex'!L35</f>
        <v>0</v>
      </c>
      <c r="M22" s="3019">
        <f>'2.SD Community Based Annex'!M35</f>
        <v>0</v>
      </c>
      <c r="N22" s="3019">
        <f>'2.SD Community Based Annex'!N35</f>
        <v>0</v>
      </c>
      <c r="O22" s="3020">
        <f>'2.SD Community Based Annex'!O35</f>
        <v>0</v>
      </c>
      <c r="P22" s="3017">
        <f>'2.SD Community Based Annex'!P35</f>
        <v>0</v>
      </c>
      <c r="Q22" s="3021"/>
      <c r="R22" s="3028"/>
    </row>
    <row r="23" spans="1:18" s="3023" customFormat="1" ht="75">
      <c r="A23" s="3017" t="str">
        <f>'2.SD Community Based Annex'!A36</f>
        <v>2.3.1.2</v>
      </c>
      <c r="B23" s="3017" t="str">
        <f>'2.SD Community Based Annex'!B36</f>
        <v>A.1.5.1</v>
      </c>
      <c r="C23" s="3018" t="str">
        <f>'2.SD Community Based Annex'!C36</f>
        <v>Line listing and follow-up of severely anaemic women</v>
      </c>
      <c r="D23" s="3019" t="str">
        <f>'2.SD Community Based Annex'!D36</f>
        <v>RCH</v>
      </c>
      <c r="E23" s="3019" t="str">
        <f>'2.SD Community Based Annex'!E36</f>
        <v>MH</v>
      </c>
      <c r="F23" s="3019">
        <f>'2.SD Community Based Annex'!F36</f>
        <v>50000</v>
      </c>
      <c r="G23" s="3019">
        <f>'2.SD Community Based Annex'!G36</f>
        <v>0</v>
      </c>
      <c r="H23" s="3019">
        <f>'2.SD Community Based Annex'!H36</f>
        <v>50</v>
      </c>
      <c r="I23" s="3019">
        <f>'2.SD Community Based Annex'!I36</f>
        <v>7.5993000000000004</v>
      </c>
      <c r="J23" s="3019">
        <f>'2.SD Community Based Annex'!J36</f>
        <v>0</v>
      </c>
      <c r="K23" s="3019" t="str">
        <f>'2.SD Community Based Annex'!K36</f>
        <v>Per benificiary</v>
      </c>
      <c r="L23" s="3020">
        <f>'2.SD Community Based Annex'!L36</f>
        <v>100</v>
      </c>
      <c r="M23" s="3019">
        <f>'2.SD Community Based Annex'!M36</f>
        <v>1E-3</v>
      </c>
      <c r="N23" s="3019">
        <f>'2.SD Community Based Annex'!N36</f>
        <v>37260</v>
      </c>
      <c r="O23" s="3020">
        <f>'2.SD Community Based Annex'!O36</f>
        <v>37.26</v>
      </c>
      <c r="P23" s="3017" t="str">
        <f>'2.SD Community Based Annex'!P36</f>
        <v>Continued Activity.
Demand is being made for Rs 3726000 as ASHA incentive for Linelisting of Severly Anaemic Women.
@ Rs100 Per Pregnant Women for 37260 PW
Total Amount- 37260*Rs.100= Rs.3726000.</v>
      </c>
      <c r="Q23" s="3021"/>
      <c r="R23" s="3028"/>
    </row>
    <row r="24" spans="1:18" s="3023" customFormat="1">
      <c r="A24" s="3017" t="str">
        <f>'2.SD Community Based Annex'!A37</f>
        <v>2.3.1.3</v>
      </c>
      <c r="B24" s="3017" t="str">
        <f>'2.SD Community Based Annex'!B37</f>
        <v>A.1.5.2</v>
      </c>
      <c r="C24" s="3018" t="str">
        <f>'2.SD Community Based Annex'!C37</f>
        <v>Line listing of the women with blood disorders</v>
      </c>
      <c r="D24" s="3019" t="str">
        <f>'2.SD Community Based Annex'!D37</f>
        <v>RCH</v>
      </c>
      <c r="E24" s="3019" t="str">
        <f>'2.SD Community Based Annex'!E37</f>
        <v>MH</v>
      </c>
      <c r="F24" s="3019">
        <f>'2.SD Community Based Annex'!F37</f>
        <v>0</v>
      </c>
      <c r="G24" s="3019">
        <f>'2.SD Community Based Annex'!G37</f>
        <v>0</v>
      </c>
      <c r="H24" s="3019">
        <f>'2.SD Community Based Annex'!H37</f>
        <v>0</v>
      </c>
      <c r="I24" s="3019">
        <f>'2.SD Community Based Annex'!I37</f>
        <v>0</v>
      </c>
      <c r="J24" s="3019">
        <f>'2.SD Community Based Annex'!J37</f>
        <v>0</v>
      </c>
      <c r="K24" s="3019">
        <f>'2.SD Community Based Annex'!K37</f>
        <v>0</v>
      </c>
      <c r="L24" s="3020">
        <f>'2.SD Community Based Annex'!L37</f>
        <v>0</v>
      </c>
      <c r="M24" s="3019">
        <f>'2.SD Community Based Annex'!M37</f>
        <v>0</v>
      </c>
      <c r="N24" s="3019">
        <f>'2.SD Community Based Annex'!N37</f>
        <v>0</v>
      </c>
      <c r="O24" s="3020">
        <f>'2.SD Community Based Annex'!O37</f>
        <v>0</v>
      </c>
      <c r="P24" s="3017">
        <f>'2.SD Community Based Annex'!P37</f>
        <v>0</v>
      </c>
      <c r="Q24" s="3021"/>
      <c r="R24" s="3028"/>
    </row>
    <row r="25" spans="1:18" s="3023" customFormat="1" ht="30">
      <c r="A25" s="3017" t="str">
        <f>'2.SD Community Based Annex'!A38</f>
        <v>2.3.1.4</v>
      </c>
      <c r="B25" s="3017" t="str">
        <f>'2.SD Community Based Annex'!B38</f>
        <v>A.1.5.3</v>
      </c>
      <c r="C25" s="3018" t="str">
        <f>'2.SD Community Based Annex'!C38</f>
        <v>Follow up mechanism for the severely anaemic women and the women with blood disorders</v>
      </c>
      <c r="D25" s="3019" t="str">
        <f>'2.SD Community Based Annex'!D38</f>
        <v>RCH</v>
      </c>
      <c r="E25" s="3019" t="str">
        <f>'2.SD Community Based Annex'!E38</f>
        <v>MH</v>
      </c>
      <c r="F25" s="3019">
        <f>'2.SD Community Based Annex'!F38</f>
        <v>0</v>
      </c>
      <c r="G25" s="3019">
        <f>'2.SD Community Based Annex'!G38</f>
        <v>0</v>
      </c>
      <c r="H25" s="3019">
        <f>'2.SD Community Based Annex'!H38</f>
        <v>0</v>
      </c>
      <c r="I25" s="3019">
        <f>'2.SD Community Based Annex'!I38</f>
        <v>0</v>
      </c>
      <c r="J25" s="3019">
        <f>'2.SD Community Based Annex'!J38</f>
        <v>0</v>
      </c>
      <c r="K25" s="3019">
        <f>'2.SD Community Based Annex'!K38</f>
        <v>0</v>
      </c>
      <c r="L25" s="3020">
        <f>'2.SD Community Based Annex'!L38</f>
        <v>0</v>
      </c>
      <c r="M25" s="3019">
        <f>'2.SD Community Based Annex'!M38</f>
        <v>0</v>
      </c>
      <c r="N25" s="3019">
        <f>'2.SD Community Based Annex'!N38</f>
        <v>0</v>
      </c>
      <c r="O25" s="3020">
        <f>'2.SD Community Based Annex'!O38</f>
        <v>0</v>
      </c>
      <c r="P25" s="3017">
        <f>'2.SD Community Based Annex'!P38</f>
        <v>0</v>
      </c>
      <c r="Q25" s="3021"/>
      <c r="R25" s="3028"/>
    </row>
    <row r="26" spans="1:18" s="3023" customFormat="1">
      <c r="A26" s="3030">
        <f>'3.Community Intervention Annexn'!A7</f>
        <v>3</v>
      </c>
      <c r="B26" s="3030"/>
      <c r="C26" s="3031" t="str">
        <f>'3.Community Intervention Annexn'!C7</f>
        <v>Community Interventions</v>
      </c>
      <c r="D26" s="3032"/>
      <c r="E26" s="3032"/>
      <c r="F26" s="3032"/>
      <c r="G26" s="3032"/>
      <c r="H26" s="3032"/>
      <c r="I26" s="3032"/>
      <c r="J26" s="3032"/>
      <c r="K26" s="3032"/>
      <c r="L26" s="3033"/>
      <c r="M26" s="3032"/>
      <c r="N26" s="3032"/>
      <c r="O26" s="3033">
        <f>SUM(O27:O30)</f>
        <v>13204.952000000001</v>
      </c>
      <c r="P26" s="3030"/>
      <c r="Q26" s="3036"/>
      <c r="R26" s="3035">
        <f>SUM(R27:R30)</f>
        <v>0</v>
      </c>
    </row>
    <row r="27" spans="1:18" s="3023" customFormat="1" ht="108.75" customHeight="1">
      <c r="A27" s="4606" t="str">
        <f>'3.Community Intervention Annexn'!A11</f>
        <v>3.1.1.1.1</v>
      </c>
      <c r="B27" s="3017" t="str">
        <f>'3-A. CI Sub-Annex'!C8</f>
        <v xml:space="preserve">A.1.3.4 </v>
      </c>
      <c r="C27" s="3018" t="str">
        <f>'3-A. CI Sub-Annex'!D8</f>
        <v xml:space="preserve">JSY Incentive to ASHA </v>
      </c>
      <c r="D27" s="3019" t="str">
        <f>'3-A. CI Sub-Annex'!E8</f>
        <v>RCH</v>
      </c>
      <c r="E27" s="3019" t="str">
        <f>'3-A. CI Sub-Annex'!F8</f>
        <v>MH</v>
      </c>
      <c r="F27" s="3019">
        <f>'3-A. CI Sub-Annex'!G8</f>
        <v>0</v>
      </c>
      <c r="G27" s="3019">
        <f>'3-A. CI Sub-Annex'!H8</f>
        <v>0</v>
      </c>
      <c r="H27" s="3019">
        <f>'3-A. CI Sub-Annex'!I8</f>
        <v>11721.15</v>
      </c>
      <c r="I27" s="3019">
        <f>'3-A. CI Sub-Annex'!J8</f>
        <v>2860.8018900000002</v>
      </c>
      <c r="J27" s="3019">
        <f>'3-A. CI Sub-Annex'!K8</f>
        <v>0</v>
      </c>
      <c r="K27" s="3019" t="str">
        <f>'3-A. CI Sub-Annex'!L8</f>
        <v>600/del-rural &amp; 400/del- Urb</v>
      </c>
      <c r="L27" s="3020">
        <f>'3-A. CI Sub-Annex'!M8</f>
        <v>1161958400</v>
      </c>
      <c r="M27" s="3019">
        <f>'3-A. CI Sub-Annex'!N8</f>
        <v>11619.584000000001</v>
      </c>
      <c r="N27" s="3019">
        <f>'3-A. CI Sub-Annex'!O8</f>
        <v>1</v>
      </c>
      <c r="O27" s="3020">
        <f>'3-A. CI Sub-Annex'!P8</f>
        <v>11619.584000000001</v>
      </c>
      <c r="P27" s="3017" t="str">
        <f>'3-A. CI Sub-Annex'!Q8</f>
        <v xml:space="preserve">Continued Activity,
(A) ASHA Incentive Rural Institutional Delivery- 1880340 .
Total-1880340 @Rs. 600 per case.
= Rs. 1128204000.
(B) ASHA Incentive for Urban Instituional Delivery- 84386.
Total- 84386@Rs. 400 per case=  Rs.33754400.
Total Amount-  1128204000+33754400= Rs.1161958400.
</v>
      </c>
      <c r="Q27" s="3021"/>
      <c r="R27" s="3022"/>
    </row>
    <row r="28" spans="1:18" s="3023" customFormat="1" ht="30">
      <c r="A28" s="4606"/>
      <c r="B28" s="3017" t="str">
        <f>'3-A. CI Sub-Annex'!C9</f>
        <v>B1.1.3.5.1</v>
      </c>
      <c r="C28" s="3018" t="str">
        <f>'3-A. CI Sub-Annex'!D9</f>
        <v>National Iron Plus Incentive for mobilizing WRA (non pregnant &amp; non-lactating Women 20-49 years)</v>
      </c>
      <c r="D28" s="3019" t="str">
        <f>'3-A. CI Sub-Annex'!E9</f>
        <v>RCH</v>
      </c>
      <c r="E28" s="3019" t="str">
        <f>'3-A. CI Sub-Annex'!F9</f>
        <v>MH/ CP</v>
      </c>
      <c r="F28" s="3019">
        <f>'3-A. CI Sub-Annex'!G9</f>
        <v>0</v>
      </c>
      <c r="G28" s="3019">
        <f>'3-A. CI Sub-Annex'!H9</f>
        <v>0</v>
      </c>
      <c r="H28" s="3019">
        <f>'3-A. CI Sub-Annex'!I9</f>
        <v>0</v>
      </c>
      <c r="I28" s="3019">
        <f>'3-A. CI Sub-Annex'!J9</f>
        <v>0</v>
      </c>
      <c r="J28" s="3019">
        <f>'3-A. CI Sub-Annex'!K9</f>
        <v>0</v>
      </c>
      <c r="K28" s="3019" t="str">
        <f>'3-A. CI Sub-Annex'!L9</f>
        <v>Number of ASHA</v>
      </c>
      <c r="L28" s="3020">
        <f>'3-A. CI Sub-Annex'!M9</f>
        <v>600</v>
      </c>
      <c r="M28" s="3019">
        <f>'3-A. CI Sub-Annex'!N9</f>
        <v>6.0000000000000001E-3</v>
      </c>
      <c r="N28" s="3019">
        <f>'3-A. CI Sub-Annex'!O9</f>
        <v>88076</v>
      </c>
      <c r="O28" s="3020">
        <f>'3-A. CI Sub-Annex'!P9</f>
        <v>528.45600000000002</v>
      </c>
      <c r="P28" s="3017" t="str">
        <f>'3-A. CI Sub-Annex'!Q9</f>
        <v>Rs. 50/month/ASHA x 12month (for 88,076 ASHA) = 528.46 Lakhs</v>
      </c>
      <c r="Q28" s="3021"/>
      <c r="R28" s="3022"/>
    </row>
    <row r="29" spans="1:18" s="3023" customFormat="1" ht="30">
      <c r="A29" s="4606"/>
      <c r="B29" s="3017" t="str">
        <f>'3-A. CI Sub-Annex'!C10</f>
        <v>B1.1.3.5.2</v>
      </c>
      <c r="C29" s="3018" t="str">
        <f>'3-A. CI Sub-Annex'!D10</f>
        <v>National Iron Plus Incentive for mobilizing children and/or ensuring compliance and reporting (6-59 months)</v>
      </c>
      <c r="D29" s="3019" t="str">
        <f>'3-A. CI Sub-Annex'!E10</f>
        <v>RCH</v>
      </c>
      <c r="E29" s="3019" t="str">
        <f>'3-A. CI Sub-Annex'!F10</f>
        <v>MH/ CP</v>
      </c>
      <c r="F29" s="3019">
        <f>'3-A. CI Sub-Annex'!G10</f>
        <v>0</v>
      </c>
      <c r="G29" s="3019">
        <f>'3-A. CI Sub-Annex'!H10</f>
        <v>0</v>
      </c>
      <c r="H29" s="3019">
        <f>'3-A. CI Sub-Annex'!I10</f>
        <v>0</v>
      </c>
      <c r="I29" s="3019">
        <f>'3-A. CI Sub-Annex'!J10</f>
        <v>0</v>
      </c>
      <c r="J29" s="3019">
        <f>'3-A. CI Sub-Annex'!K10</f>
        <v>0</v>
      </c>
      <c r="K29" s="3019" t="str">
        <f>'3-A. CI Sub-Annex'!L10</f>
        <v>Number of ASHA</v>
      </c>
      <c r="L29" s="3020">
        <f>'3-A. CI Sub-Annex'!M10</f>
        <v>1200</v>
      </c>
      <c r="M29" s="3019">
        <f>'3-A. CI Sub-Annex'!N10</f>
        <v>1.2E-2</v>
      </c>
      <c r="N29" s="3019">
        <f>'3-A. CI Sub-Annex'!O10</f>
        <v>88076</v>
      </c>
      <c r="O29" s="3020">
        <f>'3-A. CI Sub-Annex'!P10</f>
        <v>1056.912</v>
      </c>
      <c r="P29" s="3017" t="str">
        <f>'3-A. CI Sub-Annex'!Q10</f>
        <v>Rs. 100/month/ASHA x 12month (for 88,076 ASHA) = 1056.91 Lakhs</v>
      </c>
      <c r="Q29" s="3021"/>
      <c r="R29" s="3022"/>
    </row>
    <row r="30" spans="1:18" s="3023" customFormat="1">
      <c r="A30" s="4606"/>
      <c r="B30" s="3017" t="str">
        <f>'3-A. CI Sub-Annex'!C11</f>
        <v>B1.1.3.5.3</v>
      </c>
      <c r="C30" s="3018" t="str">
        <f>'3-A. CI Sub-Annex'!D11</f>
        <v>National Iron Plus Others</v>
      </c>
      <c r="D30" s="3019" t="str">
        <f>'3-A. CI Sub-Annex'!E11</f>
        <v>RCH</v>
      </c>
      <c r="E30" s="3019" t="str">
        <f>'3-A. CI Sub-Annex'!F11</f>
        <v>MH/ CP</v>
      </c>
      <c r="F30" s="3019">
        <f>'3-A. CI Sub-Annex'!G11</f>
        <v>0</v>
      </c>
      <c r="G30" s="3019">
        <f>'3-A. CI Sub-Annex'!H11</f>
        <v>0</v>
      </c>
      <c r="H30" s="3019">
        <f>'3-A. CI Sub-Annex'!I11</f>
        <v>0</v>
      </c>
      <c r="I30" s="3019">
        <f>'3-A. CI Sub-Annex'!J11</f>
        <v>0</v>
      </c>
      <c r="J30" s="3019">
        <f>'3-A. CI Sub-Annex'!K11</f>
        <v>0</v>
      </c>
      <c r="K30" s="3019">
        <f>'3-A. CI Sub-Annex'!L11</f>
        <v>0</v>
      </c>
      <c r="L30" s="3020">
        <f>'3-A. CI Sub-Annex'!M11</f>
        <v>0</v>
      </c>
      <c r="M30" s="3019">
        <f>'3-A. CI Sub-Annex'!N11</f>
        <v>0</v>
      </c>
      <c r="N30" s="3019">
        <f>'3-A. CI Sub-Annex'!O11</f>
        <v>0</v>
      </c>
      <c r="O30" s="3020">
        <f>'3-A. CI Sub-Annex'!P11</f>
        <v>0</v>
      </c>
      <c r="P30" s="3017">
        <f>'3-A. CI Sub-Annex'!Q11</f>
        <v>0</v>
      </c>
      <c r="Q30" s="3021"/>
      <c r="R30" s="3022"/>
    </row>
    <row r="31" spans="1:18" s="3023" customFormat="1">
      <c r="A31" s="3030">
        <f>'5.Infrastructure Annex'!A7</f>
        <v>5</v>
      </c>
      <c r="B31" s="3030"/>
      <c r="C31" s="3030" t="str">
        <f>'5.Infrastructure Annex'!C7</f>
        <v>Infrastructure</v>
      </c>
      <c r="D31" s="3032"/>
      <c r="E31" s="3032"/>
      <c r="F31" s="3032"/>
      <c r="G31" s="3032"/>
      <c r="H31" s="3032"/>
      <c r="I31" s="3032"/>
      <c r="J31" s="3032"/>
      <c r="K31" s="3032"/>
      <c r="L31" s="3033"/>
      <c r="M31" s="3032"/>
      <c r="N31" s="3032"/>
      <c r="O31" s="3033">
        <f>SUM(O32:O34)</f>
        <v>6163.6838799999996</v>
      </c>
      <c r="P31" s="3030"/>
      <c r="Q31" s="3036"/>
      <c r="R31" s="3035">
        <f>SUM(R32:R34)</f>
        <v>0</v>
      </c>
    </row>
    <row r="32" spans="1:18" s="3023" customFormat="1" ht="30">
      <c r="A32" s="3017" t="str">
        <f>'5.Infrastructure Annex'!A33</f>
        <v>5.1.1.2.12</v>
      </c>
      <c r="B32" s="3017">
        <f>'5.Infrastructure Annex'!B33</f>
        <v>0</v>
      </c>
      <c r="C32" s="3017" t="str">
        <f>'5.Infrastructure Annex'!C33</f>
        <v>Upgradation/ Renovation of Obstetric ICUs/ HDUs (as per operational guidelines of ICUs and HDUs, 2017)</v>
      </c>
      <c r="D32" s="3019" t="str">
        <f>'5.Infrastructure Annex'!D33</f>
        <v>HSS</v>
      </c>
      <c r="E32" s="3019" t="str">
        <f>'5.Infrastructure Annex'!E33</f>
        <v>MH/ HSS</v>
      </c>
      <c r="F32" s="3019">
        <f>'5.Infrastructure Annex'!F33</f>
        <v>0</v>
      </c>
      <c r="G32" s="3019">
        <f>'5.Infrastructure Annex'!G33</f>
        <v>0</v>
      </c>
      <c r="H32" s="3019">
        <f>'5.Infrastructure Annex'!H33</f>
        <v>0</v>
      </c>
      <c r="I32" s="3019">
        <f>'5.Infrastructure Annex'!I33</f>
        <v>0</v>
      </c>
      <c r="J32" s="3019">
        <f>'5.Infrastructure Annex'!J33</f>
        <v>0</v>
      </c>
      <c r="K32" s="3019">
        <f>'5.Infrastructure Annex'!K33</f>
        <v>0</v>
      </c>
      <c r="L32" s="3037">
        <f>'5.Infrastructure Annex'!L33</f>
        <v>0</v>
      </c>
      <c r="M32" s="3019">
        <f>'5.Infrastructure Annex'!M33</f>
        <v>0</v>
      </c>
      <c r="N32" s="3019">
        <f>'5.Infrastructure Annex'!N33</f>
        <v>0</v>
      </c>
      <c r="O32" s="3037">
        <f>'5.Infrastructure Annex'!O33</f>
        <v>0</v>
      </c>
      <c r="P32" s="3017">
        <f>'5.Infrastructure Annex'!P33</f>
        <v>0</v>
      </c>
      <c r="Q32" s="3021"/>
      <c r="R32" s="3022"/>
    </row>
    <row r="33" spans="1:18" s="3023" customFormat="1" ht="165">
      <c r="A33" s="3017" t="str">
        <f>'5.Infrastructure Annex'!A42</f>
        <v>5.1.1.3.6</v>
      </c>
      <c r="B33" s="3017" t="str">
        <f>'5.Infrastructure Annex'!B42</f>
        <v>B4.1.5.3</v>
      </c>
      <c r="C33" s="3017" t="str">
        <f>'5.Infrastructure Annex'!C42</f>
        <v>Spill over of Ongoing Upgradation-MCH Wings</v>
      </c>
      <c r="D33" s="3019" t="str">
        <f>'5.Infrastructure Annex'!D42</f>
        <v>HSS</v>
      </c>
      <c r="E33" s="3019" t="str">
        <f>'5.Infrastructure Annex'!E42</f>
        <v>MH/ HSS</v>
      </c>
      <c r="F33" s="3019">
        <f>'5.Infrastructure Annex'!F42</f>
        <v>0</v>
      </c>
      <c r="G33" s="3019">
        <f>'5.Infrastructure Annex'!G42</f>
        <v>0</v>
      </c>
      <c r="H33" s="3019">
        <f>'5.Infrastructure Annex'!H42</f>
        <v>0</v>
      </c>
      <c r="I33" s="3019">
        <f>'5.Infrastructure Annex'!I42</f>
        <v>0</v>
      </c>
      <c r="J33" s="3019">
        <f>'5.Infrastructure Annex'!J42</f>
        <v>0</v>
      </c>
      <c r="K33" s="3019" t="str">
        <f>'5.Infrastructure Annex'!K42</f>
        <v>(a) MCH Wing 100 bedded 5 nos. and 300 bedded 5 nos.
(b) MCH Wing 100 bedded 6 nos.</v>
      </c>
      <c r="L33" s="3037">
        <f>'5.Infrastructure Annex'!L42</f>
        <v>616368388</v>
      </c>
      <c r="M33" s="3019">
        <f>'5.Infrastructure Annex'!M42</f>
        <v>6163.6838799999996</v>
      </c>
      <c r="N33" s="3019">
        <f>'5.Infrastructure Annex'!N42</f>
        <v>1</v>
      </c>
      <c r="O33" s="3037">
        <f>'5.Infrastructure Annex'!O42</f>
        <v>6163.6838799999996</v>
      </c>
      <c r="P33" s="3017" t="str">
        <f>'5.Infrastructure Annex'!P42</f>
        <v>Continued Activity:-
(A) Construction of 5 number 100 bedded and 5 number 30 bedded MCH wing:-
GOI approved Rs. 10 Crore in ROP 2018-19 and also Rs. 10 Crore approved in ROP 2019-20.
BMSICL total estimated cost is Rs. 1145473554/- 
Hence an amount Rs. 286368388/-is  required (25% of total estimated cost).
 (B) Construction of 6 number 100 bedded MCH wing
GOI approve @ 22 crore each unit in ROP 2019-20 (220000000x6=1320000000)
and 13 Crore released as tokeny money in same.
 Hence an amount of Rs. 33.00 crore (25%)  is needed in FY 2021-22 for the continuation of above mentioned projects.
So Amount needed (A+B) =286368388+330000000=  Rs. 616368388/-</v>
      </c>
      <c r="Q33" s="3021"/>
      <c r="R33" s="3022"/>
    </row>
    <row r="34" spans="1:18" s="3023" customFormat="1">
      <c r="A34" s="3017" t="str">
        <f>'5.Infrastructure Annex'!A62</f>
        <v>5.2.1.6</v>
      </c>
      <c r="B34" s="3017" t="str">
        <f>'5.Infrastructure Annex'!B62</f>
        <v>B4.1.5.1</v>
      </c>
      <c r="C34" s="3017" t="str">
        <f>'5.Infrastructure Annex'!C62</f>
        <v>New construction: MCH Wings</v>
      </c>
      <c r="D34" s="3019" t="str">
        <f>'5.Infrastructure Annex'!D62</f>
        <v>HSS</v>
      </c>
      <c r="E34" s="3019" t="str">
        <f>'5.Infrastructure Annex'!E62</f>
        <v>MH/ HSS</v>
      </c>
      <c r="F34" s="3019">
        <f>'5.Infrastructure Annex'!F62</f>
        <v>0</v>
      </c>
      <c r="G34" s="3019">
        <f>'5.Infrastructure Annex'!G62</f>
        <v>0</v>
      </c>
      <c r="H34" s="3019">
        <f>'5.Infrastructure Annex'!H62</f>
        <v>0</v>
      </c>
      <c r="I34" s="3019">
        <f>'5.Infrastructure Annex'!I62</f>
        <v>0</v>
      </c>
      <c r="J34" s="3019">
        <f>'5.Infrastructure Annex'!J62</f>
        <v>0</v>
      </c>
      <c r="K34" s="3019">
        <f>'5.Infrastructure Annex'!K62</f>
        <v>0</v>
      </c>
      <c r="L34" s="3037">
        <f>'5.Infrastructure Annex'!L62</f>
        <v>0</v>
      </c>
      <c r="M34" s="3019">
        <f>'5.Infrastructure Annex'!M62</f>
        <v>0</v>
      </c>
      <c r="N34" s="3019">
        <f>'5.Infrastructure Annex'!N62</f>
        <v>0</v>
      </c>
      <c r="O34" s="3037">
        <f>'5.Infrastructure Annex'!O62</f>
        <v>0</v>
      </c>
      <c r="P34" s="3017">
        <f>'5.Infrastructure Annex'!P62</f>
        <v>0</v>
      </c>
      <c r="Q34" s="3021"/>
      <c r="R34" s="3022"/>
    </row>
    <row r="35" spans="1:18" s="3023" customFormat="1">
      <c r="A35" s="3030">
        <f>'6.Procurement Annex'!A7</f>
        <v>6</v>
      </c>
      <c r="B35" s="3030"/>
      <c r="C35" s="3031" t="str">
        <f>'6.Procurement Annex'!C7</f>
        <v>Procurement</v>
      </c>
      <c r="D35" s="3032"/>
      <c r="E35" s="3032"/>
      <c r="F35" s="3032"/>
      <c r="G35" s="3032"/>
      <c r="H35" s="3032"/>
      <c r="I35" s="3032"/>
      <c r="J35" s="3032"/>
      <c r="K35" s="3032"/>
      <c r="L35" s="3033"/>
      <c r="M35" s="3032"/>
      <c r="N35" s="3032"/>
      <c r="O35" s="3033">
        <f>SUM(O36:O53)</f>
        <v>6390.0212199999996</v>
      </c>
      <c r="P35" s="3030"/>
      <c r="Q35" s="3036"/>
      <c r="R35" s="3035">
        <f>SUM(R36:R53)</f>
        <v>0</v>
      </c>
    </row>
    <row r="36" spans="1:18" s="3023" customFormat="1" ht="30">
      <c r="A36" s="4606" t="str">
        <f>'6.Procurement Annex'!A10</f>
        <v>6.1.1.1</v>
      </c>
      <c r="B36" s="3017" t="str">
        <f>'6-A. Proc. Sub-Annex'!C8</f>
        <v>B16.1.1.2</v>
      </c>
      <c r="C36" s="3018" t="str">
        <f>'6-A. Proc. Sub-Annex'!D8</f>
        <v>MVA /EVA for Safe Abortion services</v>
      </c>
      <c r="D36" s="3019" t="str">
        <f>'6-A. Proc. Sub-Annex'!E8</f>
        <v>RCH</v>
      </c>
      <c r="E36" s="3019" t="str">
        <f>'6-A. Proc. Sub-Annex'!F8</f>
        <v>MH</v>
      </c>
      <c r="F36" s="3019">
        <f>'6-A. Proc. Sub-Annex'!G8</f>
        <v>800</v>
      </c>
      <c r="G36" s="3019">
        <f>'6-A. Proc. Sub-Annex'!H8</f>
        <v>0</v>
      </c>
      <c r="H36" s="3019">
        <f>'6-A. Proc. Sub-Annex'!I8</f>
        <v>21.5</v>
      </c>
      <c r="I36" s="3019">
        <f>'6-A. Proc. Sub-Annex'!J8</f>
        <v>0.31919999999999998</v>
      </c>
      <c r="J36" s="3019">
        <f>'6-A. Proc. Sub-Annex'!K8</f>
        <v>0</v>
      </c>
      <c r="K36" s="3019" t="str">
        <f>'6-A. Proc. Sub-Annex'!L8</f>
        <v>Per MVA Kit</v>
      </c>
      <c r="L36" s="3020">
        <f>'6-A. Proc. Sub-Annex'!M8</f>
        <v>2688</v>
      </c>
      <c r="M36" s="3019">
        <f>'6-A. Proc. Sub-Annex'!N8</f>
        <v>2.6880000000000001E-2</v>
      </c>
      <c r="N36" s="3019">
        <f>'6-A. Proc. Sub-Annex'!O8</f>
        <v>800</v>
      </c>
      <c r="O36" s="3020">
        <f>'6-A. Proc. Sub-Annex'!P8</f>
        <v>21.504000000000001</v>
      </c>
      <c r="P36" s="3017" t="str">
        <f>'6-A. Proc. Sub-Annex'!Q8</f>
        <v>Continued Activity, 
800 MVA kits @ Rs.2688 per kit- (Rs.2688 X 800 kits = Rs.21,50,400)</v>
      </c>
      <c r="Q36" s="3021"/>
      <c r="R36" s="3022"/>
    </row>
    <row r="37" spans="1:18" s="3023" customFormat="1">
      <c r="A37" s="4606"/>
      <c r="B37" s="3017">
        <f>'6-A. Proc. Sub-Annex'!C9</f>
        <v>0</v>
      </c>
      <c r="C37" s="3018" t="str">
        <f>'6-A. Proc. Sub-Annex'!D9</f>
        <v>Procurement under LaQshya</v>
      </c>
      <c r="D37" s="3019" t="str">
        <f>'6-A. Proc. Sub-Annex'!E9</f>
        <v>RCH</v>
      </c>
      <c r="E37" s="3019" t="str">
        <f>'6-A. Proc. Sub-Annex'!F9</f>
        <v>MH</v>
      </c>
      <c r="F37" s="3019">
        <f>'6-A. Proc. Sub-Annex'!G9</f>
        <v>0</v>
      </c>
      <c r="G37" s="3019">
        <f>'6-A. Proc. Sub-Annex'!H9</f>
        <v>0</v>
      </c>
      <c r="H37" s="3019">
        <f>'6-A. Proc. Sub-Annex'!I9</f>
        <v>0</v>
      </c>
      <c r="I37" s="3019">
        <f>'6-A. Proc. Sub-Annex'!J9</f>
        <v>0</v>
      </c>
      <c r="J37" s="3019">
        <f>'6-A. Proc. Sub-Annex'!K9</f>
        <v>0</v>
      </c>
      <c r="K37" s="3019">
        <f>'6-A. Proc. Sub-Annex'!L9</f>
        <v>0</v>
      </c>
      <c r="L37" s="3020">
        <f>'6-A. Proc. Sub-Annex'!M9</f>
        <v>0</v>
      </c>
      <c r="M37" s="3019">
        <f>'6-A. Proc. Sub-Annex'!N9</f>
        <v>0</v>
      </c>
      <c r="N37" s="3019">
        <f>'6-A. Proc. Sub-Annex'!O9</f>
        <v>0</v>
      </c>
      <c r="O37" s="3020">
        <f>'6-A. Proc. Sub-Annex'!P9</f>
        <v>0</v>
      </c>
      <c r="P37" s="3017">
        <f>'6-A. Proc. Sub-Annex'!Q9</f>
        <v>0</v>
      </c>
      <c r="Q37" s="3021"/>
      <c r="R37" s="3022"/>
    </row>
    <row r="38" spans="1:18" s="3023" customFormat="1" ht="30">
      <c r="A38" s="4606"/>
      <c r="B38" s="3017">
        <f>'6-A. Proc. Sub-Annex'!C10</f>
        <v>0</v>
      </c>
      <c r="C38" s="3018" t="str">
        <f>'6-A. Proc. Sub-Annex'!D10</f>
        <v>Equipment for  Obstetric ICUs/ HDUs (as per operational guidelines of ICUs and HDUs, 2017)</v>
      </c>
      <c r="D38" s="3019" t="str">
        <f>'6-A. Proc. Sub-Annex'!E10</f>
        <v>RCH</v>
      </c>
      <c r="E38" s="3019" t="str">
        <f>'6-A. Proc. Sub-Annex'!F10</f>
        <v>MH</v>
      </c>
      <c r="F38" s="3019">
        <f>'6-A. Proc. Sub-Annex'!G10</f>
        <v>0</v>
      </c>
      <c r="G38" s="3019">
        <f>'6-A. Proc. Sub-Annex'!H10</f>
        <v>0</v>
      </c>
      <c r="H38" s="3019">
        <f>'6-A. Proc. Sub-Annex'!I10</f>
        <v>0</v>
      </c>
      <c r="I38" s="3019">
        <f>'6-A. Proc. Sub-Annex'!J10</f>
        <v>0</v>
      </c>
      <c r="J38" s="3019">
        <f>'6-A. Proc. Sub-Annex'!K10</f>
        <v>0</v>
      </c>
      <c r="K38" s="3019">
        <f>'6-A. Proc. Sub-Annex'!L10</f>
        <v>0</v>
      </c>
      <c r="L38" s="3020">
        <f>'6-A. Proc. Sub-Annex'!M10</f>
        <v>0</v>
      </c>
      <c r="M38" s="3019">
        <f>'6-A. Proc. Sub-Annex'!N10</f>
        <v>0</v>
      </c>
      <c r="N38" s="3019">
        <f>'6-A. Proc. Sub-Annex'!O10</f>
        <v>0</v>
      </c>
      <c r="O38" s="3020">
        <f>'6-A. Proc. Sub-Annex'!P10</f>
        <v>0</v>
      </c>
      <c r="P38" s="3017">
        <f>'6-A. Proc. Sub-Annex'!Q10</f>
        <v>0</v>
      </c>
      <c r="Q38" s="3021"/>
      <c r="R38" s="3022"/>
    </row>
    <row r="39" spans="1:18" s="3023" customFormat="1" ht="30">
      <c r="A39" s="4606"/>
      <c r="B39" s="3017" t="str">
        <f>'6-A. Proc. Sub-Annex'!C11</f>
        <v>B16.1.7/ A.9.1.2.2</v>
      </c>
      <c r="C39" s="3018" t="str">
        <f>'6-A. Proc. Sub-Annex'!D11</f>
        <v>Models and Equipment for DAKSHATA training</v>
      </c>
      <c r="D39" s="3019" t="str">
        <f>'6-A. Proc. Sub-Annex'!E11</f>
        <v>RCH</v>
      </c>
      <c r="E39" s="3019" t="str">
        <f>'6-A. Proc. Sub-Annex'!F11</f>
        <v>MH</v>
      </c>
      <c r="F39" s="3019">
        <f>'6-A. Proc. Sub-Annex'!G11</f>
        <v>0</v>
      </c>
      <c r="G39" s="3019">
        <f>'6-A. Proc. Sub-Annex'!H11</f>
        <v>0</v>
      </c>
      <c r="H39" s="3019">
        <f>'6-A. Proc. Sub-Annex'!I11</f>
        <v>0</v>
      </c>
      <c r="I39" s="3019">
        <f>'6-A. Proc. Sub-Annex'!J11</f>
        <v>0</v>
      </c>
      <c r="J39" s="3019">
        <f>'6-A. Proc. Sub-Annex'!K11</f>
        <v>0</v>
      </c>
      <c r="K39" s="3019">
        <f>'6-A. Proc. Sub-Annex'!L11</f>
        <v>0</v>
      </c>
      <c r="L39" s="3020">
        <f>'6-A. Proc. Sub-Annex'!M11</f>
        <v>0</v>
      </c>
      <c r="M39" s="3019">
        <f>'6-A. Proc. Sub-Annex'!N11</f>
        <v>0</v>
      </c>
      <c r="N39" s="3019">
        <f>'6-A. Proc. Sub-Annex'!O11</f>
        <v>0</v>
      </c>
      <c r="O39" s="3020">
        <f>'6-A. Proc. Sub-Annex'!P11</f>
        <v>0</v>
      </c>
      <c r="P39" s="3017">
        <f>'6-A. Proc. Sub-Annex'!Q11</f>
        <v>0</v>
      </c>
      <c r="Q39" s="3021"/>
      <c r="R39" s="3022"/>
    </row>
    <row r="40" spans="1:18" s="3023" customFormat="1" ht="135">
      <c r="A40" s="4606"/>
      <c r="B40" s="3017" t="str">
        <f>'6-A. Proc. Sub-Annex'!C12</f>
        <v>B16.1.1.3</v>
      </c>
      <c r="C40" s="3018" t="str">
        <f>'6-A. Proc. Sub-Annex'!D12</f>
        <v>Any other equipment (please specify)</v>
      </c>
      <c r="D40" s="3019" t="str">
        <f>'6-A. Proc. Sub-Annex'!E12</f>
        <v>RCH</v>
      </c>
      <c r="E40" s="3019" t="str">
        <f>'6-A. Proc. Sub-Annex'!F12</f>
        <v>MH</v>
      </c>
      <c r="F40" s="3019">
        <f>'6-A. Proc. Sub-Annex'!G12</f>
        <v>0</v>
      </c>
      <c r="G40" s="3019">
        <f>'6-A. Proc. Sub-Annex'!H12</f>
        <v>0</v>
      </c>
      <c r="H40" s="3019">
        <f>'6-A. Proc. Sub-Annex'!I12</f>
        <v>0</v>
      </c>
      <c r="I40" s="3019">
        <f>'6-A. Proc. Sub-Annex'!J12</f>
        <v>0</v>
      </c>
      <c r="J40" s="3019">
        <f>'6-A. Proc. Sub-Annex'!K12</f>
        <v>0</v>
      </c>
      <c r="K40" s="3019" t="str">
        <f>'6-A. Proc. Sub-Annex'!L12</f>
        <v>Per ILR</v>
      </c>
      <c r="L40" s="3020">
        <f>'6-A. Proc. Sub-Annex'!M12</f>
        <v>198240</v>
      </c>
      <c r="M40" s="3019">
        <f>'6-A. Proc. Sub-Annex'!N12</f>
        <v>1.9823999999999999</v>
      </c>
      <c r="N40" s="3019">
        <f>'6-A. Proc. Sub-Annex'!O12</f>
        <v>599</v>
      </c>
      <c r="O40" s="3020">
        <f>'6-A. Proc. Sub-Annex'!P12</f>
        <v>1187.4576</v>
      </c>
      <c r="P40" s="3017" t="str">
        <f>'6-A. Proc. Sub-Annex'!Q12</f>
        <v>Demand is being made for Procurement  of Large Ice Lined Refrigerator (ILR) for storing HIV, Syphilis &amp; Hepatitis kits. 
2 large ILRs are proposed for 27 large districts and 1 Large ILR for rest 11 districts which are to be installed at district hospitals and for all 534 PHCs for providing kits to VHSND Level.
Total number of Large Ice Lined Refrigerators required-
65 for DH + 534 for PHC = 599.
Unit cost (as per rate contract BMSICL) of each large Ice lined regrigerator is Rs. 1,98,240. 
Hence total Budget required = 599 * Rs. 1,98,240.00 
Rs. 118746000</v>
      </c>
      <c r="Q40" s="3021"/>
      <c r="R40" s="3022"/>
    </row>
    <row r="41" spans="1:18" s="3023" customFormat="1">
      <c r="A41" s="3017" t="str">
        <f>'6.Procurement Annex'!A27</f>
        <v>6.1.3.2</v>
      </c>
      <c r="B41" s="3017" t="str">
        <f>'6-A. Proc. Sub-Annex'!C70</f>
        <v>A.1.6.1</v>
      </c>
      <c r="C41" s="3018" t="str">
        <f>'6-A. Proc. Sub-Annex'!D70</f>
        <v>Free Diagnostics for Pregnant women under JSSK</v>
      </c>
      <c r="D41" s="3019" t="str">
        <f>'6-A. Proc. Sub-Annex'!E70</f>
        <v>RCH</v>
      </c>
      <c r="E41" s="3019" t="str">
        <f>'6-A. Proc. Sub-Annex'!F70</f>
        <v>MH</v>
      </c>
      <c r="F41" s="3019">
        <f>'6-A. Proc. Sub-Annex'!G70</f>
        <v>0</v>
      </c>
      <c r="G41" s="3019">
        <f>'6-A. Proc. Sub-Annex'!H70</f>
        <v>0</v>
      </c>
      <c r="H41" s="3019">
        <f>'6-A. Proc. Sub-Annex'!I70</f>
        <v>0</v>
      </c>
      <c r="I41" s="3019">
        <f>'6-A. Proc. Sub-Annex'!J70</f>
        <v>0</v>
      </c>
      <c r="J41" s="3019">
        <f>'6-A. Proc. Sub-Annex'!K70</f>
        <v>0</v>
      </c>
      <c r="K41" s="3019">
        <f>'6-A. Proc. Sub-Annex'!L70</f>
        <v>0</v>
      </c>
      <c r="L41" s="3020">
        <f>'6-A. Proc. Sub-Annex'!M70</f>
        <v>0</v>
      </c>
      <c r="M41" s="3019">
        <f>'6-A. Proc. Sub-Annex'!N70</f>
        <v>0</v>
      </c>
      <c r="N41" s="3019">
        <f>'6-A. Proc. Sub-Annex'!O70</f>
        <v>0</v>
      </c>
      <c r="O41" s="3020">
        <f>'6-A. Proc. Sub-Annex'!P70</f>
        <v>0</v>
      </c>
      <c r="P41" s="3017">
        <f>'6-A. Proc. Sub-Annex'!Q70</f>
        <v>0</v>
      </c>
      <c r="Q41" s="3021"/>
      <c r="R41" s="3022"/>
    </row>
    <row r="42" spans="1:18" s="3023" customFormat="1" ht="180.75" customHeight="1">
      <c r="A42" s="4606" t="str">
        <f>'6.Procurement Annex'!A56</f>
        <v>6.2.1.1</v>
      </c>
      <c r="B42" s="3017" t="str">
        <f>'6-A. Proc. Sub-Annex'!C147</f>
        <v>B.16.2.1.1</v>
      </c>
      <c r="C42" s="3018" t="str">
        <f>'6-A. Proc. Sub-Annex'!D147</f>
        <v xml:space="preserve">RTI /STI drugs and consumables </v>
      </c>
      <c r="D42" s="3019" t="str">
        <f>'6-A. Proc. Sub-Annex'!E147</f>
        <v>RCH</v>
      </c>
      <c r="E42" s="3019" t="str">
        <f>'6-A. Proc. Sub-Annex'!F147</f>
        <v>MH</v>
      </c>
      <c r="F42" s="3019">
        <f>'6-A. Proc. Sub-Annex'!G147</f>
        <v>0</v>
      </c>
      <c r="G42" s="3019">
        <f>'6-A. Proc. Sub-Annex'!H147</f>
        <v>0</v>
      </c>
      <c r="H42" s="3019">
        <f>'6-A. Proc. Sub-Annex'!I147</f>
        <v>49.7</v>
      </c>
      <c r="I42" s="3019">
        <f>'6-A. Proc. Sub-Annex'!J147</f>
        <v>2.7189999999999999</v>
      </c>
      <c r="J42" s="3019">
        <f>'6-A. Proc. Sub-Annex'!K147</f>
        <v>0</v>
      </c>
      <c r="K42" s="3019" t="str">
        <f>'6-A. Proc. Sub-Annex'!L147</f>
        <v>No. of safe delivery kit and CPT</v>
      </c>
      <c r="L42" s="3020">
        <f>'6-A. Proc. Sub-Annex'!M147</f>
        <v>1400000</v>
      </c>
      <c r="M42" s="3019">
        <f>'6-A. Proc. Sub-Annex'!N147</f>
        <v>14</v>
      </c>
      <c r="N42" s="3019">
        <f>'6-A. Proc. Sub-Annex'!O147</f>
        <v>1</v>
      </c>
      <c r="O42" s="3020">
        <f>'6-A. Proc. Sub-Annex'!P147</f>
        <v>14</v>
      </c>
      <c r="P42" s="3017" t="str">
        <f>'6-A. Proc. Sub-Annex'!Q147</f>
        <v xml:space="preserve">Continued Activity, 
(A) Since couple of years NACO had stopped supplying safe delivery kits. To facilitate institutional delivery of Positive pregnant women and for universal precaution, availability of safe delivery to be ensured at all delivery points. (500 Safe delivery kits for HIV positive *1000= Rs.500000. 
(B) This drugs is essential for all HIV exposed babies to prevent from any oppertunistic  illnesses. As per PPTCT guideline, all HIV exposed babies should get CPT based on age from 2 month to 18 month of age . 
Therefore one baby is required 5 ml ( average) x 30 days x 16 mths x 1500 babies= 36000 ml (36000 CPT *Rs. 25= Rs.900000).
Total amount- Rs.500000+Rs.900000= Rs.1400000.
</v>
      </c>
      <c r="Q42" s="3021"/>
      <c r="R42" s="3022"/>
    </row>
    <row r="43" spans="1:18" s="3023" customFormat="1" ht="30">
      <c r="A43" s="4606"/>
      <c r="B43" s="3017" t="str">
        <f>'6-A. Proc. Sub-Annex'!C148</f>
        <v>B.16.2.1.2</v>
      </c>
      <c r="C43" s="3018" t="str">
        <f>'6-A. Proc. Sub-Annex'!D148</f>
        <v>Drugs for Safe Abortion (MMA)</v>
      </c>
      <c r="D43" s="3019" t="str">
        <f>'6-A. Proc. Sub-Annex'!E148</f>
        <v>RCH</v>
      </c>
      <c r="E43" s="3019" t="str">
        <f>'6-A. Proc. Sub-Annex'!F148</f>
        <v>MH</v>
      </c>
      <c r="F43" s="3019">
        <f>'6-A. Proc. Sub-Annex'!G148</f>
        <v>11400</v>
      </c>
      <c r="G43" s="3019">
        <f>'6-A. Proc. Sub-Annex'!H148</f>
        <v>0</v>
      </c>
      <c r="H43" s="3019">
        <f>'6-A. Proc. Sub-Annex'!I148</f>
        <v>2.66</v>
      </c>
      <c r="I43" s="3019">
        <f>'6-A. Proc. Sub-Annex'!J148</f>
        <v>2.34321</v>
      </c>
      <c r="J43" s="3019">
        <f>'6-A. Proc. Sub-Annex'!K148</f>
        <v>0</v>
      </c>
      <c r="K43" s="3019" t="str">
        <f>'6-A. Proc. Sub-Annex'!L148</f>
        <v xml:space="preserve">Per benificiary </v>
      </c>
      <c r="L43" s="3020">
        <f>'6-A. Proc. Sub-Annex'!M148</f>
        <v>23.33</v>
      </c>
      <c r="M43" s="3019">
        <f>'6-A. Proc. Sub-Annex'!N148</f>
        <v>2.3329999999999998E-4</v>
      </c>
      <c r="N43" s="3019">
        <f>'6-A. Proc. Sub-Annex'!O148</f>
        <v>11400</v>
      </c>
      <c r="O43" s="3020">
        <f>'6-A. Proc. Sub-Annex'!P148</f>
        <v>2.6596199999999999</v>
      </c>
      <c r="P43" s="3017" t="str">
        <f>'6-A. Proc. Sub-Annex'!Q148</f>
        <v>Continued Activity, 
11,400 MMA kits @Rs.23.33 (11,400 kits X Rs.23.33 = Rs.2,65,962</v>
      </c>
      <c r="Q43" s="3021"/>
      <c r="R43" s="3022"/>
    </row>
    <row r="44" spans="1:18" s="3023" customFormat="1" ht="195">
      <c r="A44" s="4606"/>
      <c r="B44" s="3017" t="str">
        <f>'6-A. Proc. Sub-Annex'!C149</f>
        <v>B.16.2.1.4</v>
      </c>
      <c r="C44" s="3018" t="str">
        <f>'6-A. Proc. Sub-Annex'!D149</f>
        <v>RPR Kits</v>
      </c>
      <c r="D44" s="3019" t="str">
        <f>'6-A. Proc. Sub-Annex'!E149</f>
        <v>RCH</v>
      </c>
      <c r="E44" s="3019" t="str">
        <f>'6-A. Proc. Sub-Annex'!F149</f>
        <v>MH</v>
      </c>
      <c r="F44" s="3019">
        <f>'6-A. Proc. Sub-Annex'!G149</f>
        <v>0</v>
      </c>
      <c r="G44" s="3019">
        <f>'6-A. Proc. Sub-Annex'!H149</f>
        <v>0</v>
      </c>
      <c r="H44" s="3019">
        <f>'6-A. Proc. Sub-Annex'!I149</f>
        <v>164.4</v>
      </c>
      <c r="I44" s="3019">
        <f>'6-A. Proc. Sub-Annex'!J149</f>
        <v>0</v>
      </c>
      <c r="J44" s="3019">
        <f>'6-A. Proc. Sub-Annex'!K149</f>
        <v>0</v>
      </c>
      <c r="K44" s="3019" t="str">
        <f>'6-A. Proc. Sub-Annex'!L149</f>
        <v>Per kit (RPR and POC)</v>
      </c>
      <c r="L44" s="3020">
        <f>'6-A. Proc. Sub-Annex'!M149</f>
        <v>16440000</v>
      </c>
      <c r="M44" s="3019">
        <f>'6-A. Proc. Sub-Annex'!N149</f>
        <v>164.4</v>
      </c>
      <c r="N44" s="3019">
        <f>'6-A. Proc. Sub-Annex'!O149</f>
        <v>1</v>
      </c>
      <c r="O44" s="3020">
        <f>'6-A. Proc. Sub-Annex'!P149</f>
        <v>164.4</v>
      </c>
      <c r="P44" s="3017" t="str">
        <f>'6-A. Proc. Sub-Annex'!Q149</f>
        <v xml:space="preserve">Continued Activity, 
(A) Estimated ANC to be provided at facility level (upto PHCs) is approximately 10,00,000. Therefore, procurement of 10,00,000 RPR Kits @Rs.1.44 per kit is being demanded. (10,00,000*1.44 per kit=14.4 lakhs)   
New Activity                        
(B) Procurement of 10,00,000 Dual Test kit towrds screening of Syphilis &amp; HIV for PW at VHSND Level @Rs.15 per kit.
10 Lakh POC Kit approved in PIP 2020-21 under process throgh BMSICL. Hence the requirement is of 10 Lakh Dual Test kit.
(Details Dual Test kit Annex) 
(10,00,000*15=150.00 lakhs)
Total Amount= (A+B) Rs.164.40 lakhs
</v>
      </c>
      <c r="Q44" s="3021"/>
      <c r="R44" s="3022"/>
    </row>
    <row r="45" spans="1:18" s="3023" customFormat="1">
      <c r="A45" s="4606"/>
      <c r="B45" s="3017" t="str">
        <f>'6-A. Proc. Sub-Annex'!C150</f>
        <v>B.16.2.1.5</v>
      </c>
      <c r="C45" s="3018" t="str">
        <f>'6-A. Proc. Sub-Annex'!D150</f>
        <v>Whole blood finger prick test for HIV</v>
      </c>
      <c r="D45" s="3019" t="str">
        <f>'6-A. Proc. Sub-Annex'!E150</f>
        <v>RCH</v>
      </c>
      <c r="E45" s="3019" t="str">
        <f>'6-A. Proc. Sub-Annex'!F150</f>
        <v>MH</v>
      </c>
      <c r="F45" s="3019">
        <f>'6-A. Proc. Sub-Annex'!G150</f>
        <v>0</v>
      </c>
      <c r="G45" s="3019">
        <f>'6-A. Proc. Sub-Annex'!H150</f>
        <v>0</v>
      </c>
      <c r="H45" s="3019">
        <f>'6-A. Proc. Sub-Annex'!I150</f>
        <v>0</v>
      </c>
      <c r="I45" s="3019">
        <f>'6-A. Proc. Sub-Annex'!J150</f>
        <v>0</v>
      </c>
      <c r="J45" s="3019">
        <f>'6-A. Proc. Sub-Annex'!K150</f>
        <v>0</v>
      </c>
      <c r="K45" s="3019">
        <f>'6-A. Proc. Sub-Annex'!L150</f>
        <v>0</v>
      </c>
      <c r="L45" s="3020">
        <f>'6-A. Proc. Sub-Annex'!M150</f>
        <v>0</v>
      </c>
      <c r="M45" s="3019">
        <f>'6-A. Proc. Sub-Annex'!N150</f>
        <v>0</v>
      </c>
      <c r="N45" s="3019">
        <f>'6-A. Proc. Sub-Annex'!O150</f>
        <v>0</v>
      </c>
      <c r="O45" s="3020">
        <f>'6-A. Proc. Sub-Annex'!P150</f>
        <v>0</v>
      </c>
      <c r="P45" s="3017">
        <f>'6-A. Proc. Sub-Annex'!Q150</f>
        <v>0</v>
      </c>
      <c r="Q45" s="3021"/>
      <c r="R45" s="3022"/>
    </row>
    <row r="46" spans="1:18" s="3023" customFormat="1" ht="30">
      <c r="A46" s="4606"/>
      <c r="B46" s="3017" t="str">
        <f>'6-A. Proc. Sub-Annex'!C151</f>
        <v>B.16.2.6.4.a</v>
      </c>
      <c r="C46" s="3018" t="str">
        <f>'6-A. Proc. Sub-Annex'!D151</f>
        <v xml:space="preserve">IFA tablets for non-pregnant &amp; non-lactating women in Reproductive Age (20-49 years) </v>
      </c>
      <c r="D46" s="3019" t="str">
        <f>'6-A. Proc. Sub-Annex'!E151</f>
        <v>RCH</v>
      </c>
      <c r="E46" s="3019" t="str">
        <f>'6-A. Proc. Sub-Annex'!F151</f>
        <v>MH</v>
      </c>
      <c r="F46" s="3019">
        <f>'6-A. Proc. Sub-Annex'!G151</f>
        <v>0</v>
      </c>
      <c r="G46" s="3019">
        <f>'6-A. Proc. Sub-Annex'!H151</f>
        <v>0</v>
      </c>
      <c r="H46" s="3019">
        <f>'6-A. Proc. Sub-Annex'!I151</f>
        <v>0</v>
      </c>
      <c r="I46" s="3019">
        <f>'6-A. Proc. Sub-Annex'!J151</f>
        <v>0</v>
      </c>
      <c r="J46" s="3019">
        <f>'6-A. Proc. Sub-Annex'!K151</f>
        <v>0</v>
      </c>
      <c r="K46" s="3019">
        <f>'6-A. Proc. Sub-Annex'!L151</f>
        <v>0</v>
      </c>
      <c r="L46" s="3020">
        <f>'6-A. Proc. Sub-Annex'!M151</f>
        <v>0</v>
      </c>
      <c r="M46" s="3019">
        <f>'6-A. Proc. Sub-Annex'!N151</f>
        <v>0</v>
      </c>
      <c r="N46" s="3019">
        <f>'6-A. Proc. Sub-Annex'!O151</f>
        <v>0</v>
      </c>
      <c r="O46" s="3020">
        <f>'6-A. Proc. Sub-Annex'!P151</f>
        <v>0</v>
      </c>
      <c r="P46" s="3017">
        <f>'6-A. Proc. Sub-Annex'!Q151</f>
        <v>0</v>
      </c>
      <c r="Q46" s="3021"/>
      <c r="R46" s="3022"/>
    </row>
    <row r="47" spans="1:18" s="3023" customFormat="1" ht="30">
      <c r="A47" s="4606"/>
      <c r="B47" s="3017" t="str">
        <f>'6-A. Proc. Sub-Annex'!C152</f>
        <v>B.16.2.6.4.b</v>
      </c>
      <c r="C47" s="3018" t="str">
        <f>'6-A. Proc. Sub-Annex'!D152</f>
        <v xml:space="preserve">Albendazole Tablets for non-pregnant &amp; non-lactating women in Reproductive Age (20-49 years) </v>
      </c>
      <c r="D47" s="3019" t="str">
        <f>'6-A. Proc. Sub-Annex'!E152</f>
        <v>RCH</v>
      </c>
      <c r="E47" s="3019" t="str">
        <f>'6-A. Proc. Sub-Annex'!F152</f>
        <v>MH</v>
      </c>
      <c r="F47" s="3019">
        <f>'6-A. Proc. Sub-Annex'!G152</f>
        <v>0</v>
      </c>
      <c r="G47" s="3019">
        <f>'6-A. Proc. Sub-Annex'!H152</f>
        <v>0</v>
      </c>
      <c r="H47" s="3019">
        <f>'6-A. Proc. Sub-Annex'!I152</f>
        <v>0</v>
      </c>
      <c r="I47" s="3019">
        <f>'6-A. Proc. Sub-Annex'!J152</f>
        <v>0</v>
      </c>
      <c r="J47" s="3019">
        <f>'6-A. Proc. Sub-Annex'!K152</f>
        <v>0</v>
      </c>
      <c r="K47" s="3019">
        <f>'6-A. Proc. Sub-Annex'!L152</f>
        <v>0</v>
      </c>
      <c r="L47" s="3020">
        <f>'6-A. Proc. Sub-Annex'!M152</f>
        <v>0</v>
      </c>
      <c r="M47" s="3019">
        <f>'6-A. Proc. Sub-Annex'!N152</f>
        <v>0</v>
      </c>
      <c r="N47" s="3019">
        <f>'6-A. Proc. Sub-Annex'!O152</f>
        <v>0</v>
      </c>
      <c r="O47" s="3020">
        <f>'6-A. Proc. Sub-Annex'!P152</f>
        <v>0</v>
      </c>
      <c r="P47" s="3017">
        <f>'6-A. Proc. Sub-Annex'!Q152</f>
        <v>0</v>
      </c>
      <c r="Q47" s="3021"/>
      <c r="R47" s="3022"/>
    </row>
    <row r="48" spans="1:18" s="3023" customFormat="1">
      <c r="A48" s="4606"/>
      <c r="B48" s="3017" t="str">
        <f>'6-A. Proc. Sub-Annex'!C154</f>
        <v>B.16.2.6.5.a</v>
      </c>
      <c r="C48" s="3018" t="str">
        <f>'6-A. Proc. Sub-Annex'!D154</f>
        <v>IFA tablets for Pregnant &amp; Lactating Mothers</v>
      </c>
      <c r="D48" s="3019" t="str">
        <f>'6-A. Proc. Sub-Annex'!E154</f>
        <v>RCH</v>
      </c>
      <c r="E48" s="3019" t="str">
        <f>'6-A. Proc. Sub-Annex'!F154</f>
        <v>MH</v>
      </c>
      <c r="F48" s="3019">
        <f>'6-A. Proc. Sub-Annex'!G154</f>
        <v>0</v>
      </c>
      <c r="G48" s="3019">
        <f>'6-A. Proc. Sub-Annex'!H154</f>
        <v>0</v>
      </c>
      <c r="H48" s="3019">
        <f>'6-A. Proc. Sub-Annex'!I154</f>
        <v>0</v>
      </c>
      <c r="I48" s="3019">
        <f>'6-A. Proc. Sub-Annex'!J154</f>
        <v>0</v>
      </c>
      <c r="J48" s="3019">
        <f>'6-A. Proc. Sub-Annex'!K154</f>
        <v>0</v>
      </c>
      <c r="K48" s="3019">
        <f>'6-A. Proc. Sub-Annex'!L154</f>
        <v>0</v>
      </c>
      <c r="L48" s="3020">
        <f>'6-A. Proc. Sub-Annex'!M154</f>
        <v>0</v>
      </c>
      <c r="M48" s="3019">
        <f>'6-A. Proc. Sub-Annex'!N154</f>
        <v>0</v>
      </c>
      <c r="N48" s="3019">
        <f>'6-A. Proc. Sub-Annex'!O154</f>
        <v>0</v>
      </c>
      <c r="O48" s="3020">
        <f>'6-A. Proc. Sub-Annex'!P154</f>
        <v>0</v>
      </c>
      <c r="P48" s="3017" t="str">
        <f>'6-A. Proc. Sub-Annex'!Q154</f>
        <v>IFA tablets for pregnant and Lactating Mothers to be met from NHM free Drugs.</v>
      </c>
      <c r="Q48" s="3021"/>
      <c r="R48" s="3022"/>
    </row>
    <row r="49" spans="1:18" s="3023" customFormat="1" ht="30">
      <c r="A49" s="4606"/>
      <c r="B49" s="3017" t="str">
        <f>'6-A. Proc. Sub-Annex'!C155</f>
        <v>B.16.2.6.5.b</v>
      </c>
      <c r="C49" s="3018" t="str">
        <f>'6-A. Proc. Sub-Annex'!D155</f>
        <v>Folic Acid Tablets (400 mcg) for Pregnant &amp; Lactating Mothers</v>
      </c>
      <c r="D49" s="3019" t="str">
        <f>'6-A. Proc. Sub-Annex'!E155</f>
        <v>RCH</v>
      </c>
      <c r="E49" s="3019" t="str">
        <f>'6-A. Proc. Sub-Annex'!F155</f>
        <v>MH</v>
      </c>
      <c r="F49" s="3019">
        <f>'6-A. Proc. Sub-Annex'!G155</f>
        <v>0</v>
      </c>
      <c r="G49" s="3019">
        <f>'6-A. Proc. Sub-Annex'!H155</f>
        <v>0</v>
      </c>
      <c r="H49" s="3019">
        <f>'6-A. Proc. Sub-Annex'!I155</f>
        <v>0</v>
      </c>
      <c r="I49" s="3019">
        <f>'6-A. Proc. Sub-Annex'!J155</f>
        <v>0</v>
      </c>
      <c r="J49" s="3019">
        <f>'6-A. Proc. Sub-Annex'!K155</f>
        <v>0</v>
      </c>
      <c r="K49" s="3019">
        <f>'6-A. Proc. Sub-Annex'!L155</f>
        <v>0</v>
      </c>
      <c r="L49" s="3020">
        <f>'6-A. Proc. Sub-Annex'!M155</f>
        <v>0</v>
      </c>
      <c r="M49" s="3019">
        <f>'6-A. Proc. Sub-Annex'!N155</f>
        <v>0</v>
      </c>
      <c r="N49" s="3019">
        <f>'6-A. Proc. Sub-Annex'!O155</f>
        <v>0</v>
      </c>
      <c r="O49" s="3020">
        <f>'6-A. Proc. Sub-Annex'!P155</f>
        <v>0</v>
      </c>
      <c r="P49" s="3017" t="str">
        <f>'6-A. Proc. Sub-Annex'!Q155</f>
        <v>Folic Acid Tablets for pregnant and Lactating Mothers to be met from NHM free Drugs.</v>
      </c>
      <c r="Q49" s="3021"/>
      <c r="R49" s="3022"/>
    </row>
    <row r="50" spans="1:18" s="3023" customFormat="1">
      <c r="A50" s="4606"/>
      <c r="B50" s="3017">
        <f>'6-A. Proc. Sub-Annex'!C156</f>
        <v>0</v>
      </c>
      <c r="C50" s="3018" t="str">
        <f>'6-A. Proc. Sub-Annex'!D156</f>
        <v>Calcium tablets</v>
      </c>
      <c r="D50" s="3019" t="str">
        <f>'6-A. Proc. Sub-Annex'!E156</f>
        <v>RCH</v>
      </c>
      <c r="E50" s="3019" t="str">
        <f>'6-A. Proc. Sub-Annex'!F156</f>
        <v>MH</v>
      </c>
      <c r="F50" s="3019">
        <f>'6-A. Proc. Sub-Annex'!G156</f>
        <v>0</v>
      </c>
      <c r="G50" s="3019">
        <f>'6-A. Proc. Sub-Annex'!H156</f>
        <v>0</v>
      </c>
      <c r="H50" s="3019">
        <f>'6-A. Proc. Sub-Annex'!I156</f>
        <v>0</v>
      </c>
      <c r="I50" s="3019">
        <f>'6-A. Proc. Sub-Annex'!J156</f>
        <v>0</v>
      </c>
      <c r="J50" s="3019">
        <f>'6-A. Proc. Sub-Annex'!K156</f>
        <v>0</v>
      </c>
      <c r="K50" s="3019">
        <f>'6-A. Proc. Sub-Annex'!L156</f>
        <v>0</v>
      </c>
      <c r="L50" s="3020">
        <f>'6-A. Proc. Sub-Annex'!M156</f>
        <v>0</v>
      </c>
      <c r="M50" s="3019">
        <f>'6-A. Proc. Sub-Annex'!N156</f>
        <v>0</v>
      </c>
      <c r="N50" s="3019">
        <f>'6-A. Proc. Sub-Annex'!O156</f>
        <v>0</v>
      </c>
      <c r="O50" s="3020">
        <f>'6-A. Proc. Sub-Annex'!P156</f>
        <v>0</v>
      </c>
      <c r="P50" s="3017" t="str">
        <f>'6-A. Proc. Sub-Annex'!Q156</f>
        <v>Calcium Tablets for pregnant and Lactating Mothers to be met from NHM free Drugs.</v>
      </c>
      <c r="Q50" s="3021"/>
      <c r="R50" s="3022"/>
    </row>
    <row r="51" spans="1:18" s="3023" customFormat="1">
      <c r="A51" s="4606"/>
      <c r="B51" s="3017">
        <f>'6-A. Proc. Sub-Annex'!C157</f>
        <v>0</v>
      </c>
      <c r="C51" s="3018" t="str">
        <f>'6-A. Proc. Sub-Annex'!D157</f>
        <v>Albendazole tablets</v>
      </c>
      <c r="D51" s="3019" t="str">
        <f>'6-A. Proc. Sub-Annex'!E157</f>
        <v>RCH</v>
      </c>
      <c r="E51" s="3019" t="str">
        <f>'6-A. Proc. Sub-Annex'!F157</f>
        <v>MH</v>
      </c>
      <c r="F51" s="3019">
        <f>'6-A. Proc. Sub-Annex'!G157</f>
        <v>0</v>
      </c>
      <c r="G51" s="3019">
        <f>'6-A. Proc. Sub-Annex'!H157</f>
        <v>0</v>
      </c>
      <c r="H51" s="3019">
        <f>'6-A. Proc. Sub-Annex'!I157</f>
        <v>0</v>
      </c>
      <c r="I51" s="3019">
        <f>'6-A. Proc. Sub-Annex'!J157</f>
        <v>0</v>
      </c>
      <c r="J51" s="3019">
        <f>'6-A. Proc. Sub-Annex'!K157</f>
        <v>0</v>
      </c>
      <c r="K51" s="3019">
        <f>'6-A. Proc. Sub-Annex'!L157</f>
        <v>0</v>
      </c>
      <c r="L51" s="3020">
        <f>'6-A. Proc. Sub-Annex'!M157</f>
        <v>0</v>
      </c>
      <c r="M51" s="3019">
        <f>'6-A. Proc. Sub-Annex'!N157</f>
        <v>0</v>
      </c>
      <c r="N51" s="3019">
        <f>'6-A. Proc. Sub-Annex'!O157</f>
        <v>0</v>
      </c>
      <c r="O51" s="3020">
        <f>'6-A. Proc. Sub-Annex'!P157</f>
        <v>0</v>
      </c>
      <c r="P51" s="3017" t="str">
        <f>'6-A. Proc. Sub-Annex'!Q157</f>
        <v>Albendazole Tablets for pregnant and Lactating Mothers to be met from NHM free Drugs.</v>
      </c>
      <c r="Q51" s="3021"/>
      <c r="R51" s="3022"/>
    </row>
    <row r="52" spans="1:18" s="3023" customFormat="1" ht="165">
      <c r="A52" s="4606"/>
      <c r="B52" s="3017" t="str">
        <f>'6-A. Proc. Sub-Annex'!C158</f>
        <v>B.16.2.1.3.1</v>
      </c>
      <c r="C52" s="3018" t="str">
        <f>'6-A. Proc. Sub-Annex'!D158</f>
        <v>Other JSSK drugs &amp; consumables</v>
      </c>
      <c r="D52" s="3019" t="str">
        <f>'6-A. Proc. Sub-Annex'!E158</f>
        <v>RCH</v>
      </c>
      <c r="E52" s="3019" t="str">
        <f>'6-A. Proc. Sub-Annex'!F158</f>
        <v>MH</v>
      </c>
      <c r="F52" s="3019">
        <f>'6-A. Proc. Sub-Annex'!G158</f>
        <v>0</v>
      </c>
      <c r="G52" s="3019">
        <f>'6-A. Proc. Sub-Annex'!H158</f>
        <v>0</v>
      </c>
      <c r="H52" s="3019">
        <f>'6-A. Proc. Sub-Annex'!I158</f>
        <v>0</v>
      </c>
      <c r="I52" s="3019">
        <f>'6-A. Proc. Sub-Annex'!J158</f>
        <v>0</v>
      </c>
      <c r="J52" s="3019">
        <f>'6-A. Proc. Sub-Annex'!K158</f>
        <v>0</v>
      </c>
      <c r="K52" s="3019" t="str">
        <f>'6-A. Proc. Sub-Annex'!L158</f>
        <v>Per Pregnant Women</v>
      </c>
      <c r="L52" s="3020">
        <f>'6-A. Proc. Sub-Annex'!M158</f>
        <v>500000000</v>
      </c>
      <c r="M52" s="3019">
        <f>'6-A. Proc. Sub-Annex'!N158</f>
        <v>5000</v>
      </c>
      <c r="N52" s="3019">
        <f>'6-A. Proc. Sub-Annex'!O158</f>
        <v>1</v>
      </c>
      <c r="O52" s="3020">
        <f>'6-A. Proc. Sub-Annex'!P158</f>
        <v>5000</v>
      </c>
      <c r="P52" s="3017" t="str">
        <f>'6-A. Proc. Sub-Annex'!Q158</f>
        <v xml:space="preserve">Continued Activity As per HMIS Institutional Delivery to be conducted at Public Health Facilites FY 2021-22 is approx.  16,00,000 and expecting 5% increase on Institutional Delivery an approx. 17,00,000 instituional delivery is expected in FY 2021-22.  Out of 17,00,000 deliveries 16,50,000 normal delivery and 50,000 c.section is expected. Based on these budget is being demanded as mentioned below:    
Budget is being proposed-
(A) Amount for normal delivery - 1650000*350 = Rs.577500000
(B) Amount C-Section- 50000*1600=Rs.80000000
Total Amount- Rs.577500000+Rs.80000000 =Rs. 657500000. But currently proposal is for only Rs. 5000.00 lakhs
</v>
      </c>
      <c r="Q52" s="3021"/>
      <c r="R52" s="3022"/>
    </row>
    <row r="53" spans="1:18" s="3023" customFormat="1" ht="75">
      <c r="A53" s="4606"/>
      <c r="B53" s="3017" t="str">
        <f>'6-A. Proc. Sub-Annex'!C159</f>
        <v>B.16.2.1.3</v>
      </c>
      <c r="C53" s="3018" t="str">
        <f>'6-A. Proc. Sub-Annex'!D159</f>
        <v>Any other Drugs &amp; Supplies (Please specify)</v>
      </c>
      <c r="D53" s="3019" t="str">
        <f>'6-A. Proc. Sub-Annex'!E159</f>
        <v>RCH</v>
      </c>
      <c r="E53" s="3019" t="str">
        <f>'6-A. Proc. Sub-Annex'!F159</f>
        <v>MH</v>
      </c>
      <c r="F53" s="3019">
        <f>'6-A. Proc. Sub-Annex'!G159</f>
        <v>0</v>
      </c>
      <c r="G53" s="3019">
        <f>'6-A. Proc. Sub-Annex'!H159</f>
        <v>0</v>
      </c>
      <c r="H53" s="3019">
        <f>'6-A. Proc. Sub-Annex'!I159</f>
        <v>0</v>
      </c>
      <c r="I53" s="3019">
        <f>'6-A. Proc. Sub-Annex'!J159</f>
        <v>0</v>
      </c>
      <c r="J53" s="3019">
        <f>'6-A. Proc. Sub-Annex'!K159</f>
        <v>0</v>
      </c>
      <c r="K53" s="3019">
        <f>'6-A. Proc. Sub-Annex'!L159</f>
        <v>0</v>
      </c>
      <c r="L53" s="3020">
        <f>'6-A. Proc. Sub-Annex'!M159</f>
        <v>0</v>
      </c>
      <c r="M53" s="3019">
        <f>'6-A. Proc. Sub-Annex'!N159</f>
        <v>0</v>
      </c>
      <c r="N53" s="3019">
        <f>'6-A. Proc. Sub-Annex'!O159</f>
        <v>0</v>
      </c>
      <c r="O53" s="3020">
        <f>'6-A. Proc. Sub-Annex'!P159</f>
        <v>0</v>
      </c>
      <c r="P53" s="3017" t="str">
        <f>'6-A. Proc. Sub-Annex'!Q159</f>
        <v xml:space="preserve">As per HMIS Institutional Delivery to be conducted at Public Health Facilites FY 2021-22 is approx.  16,00,000 and expecting 5% increase on Institutional Delivery an approx. 17,00,000 instituional delivery is expected in FY 2021-22.  Out of 17,00,000 deliveries 16,50,000 normal delivery and 50,000 c.section is expected. Based on these budget is being demanded as mentioned below:    </v>
      </c>
      <c r="Q53" s="3021"/>
      <c r="R53" s="3022"/>
    </row>
    <row r="54" spans="1:18" s="3023" customFormat="1">
      <c r="A54" s="3030">
        <f>'7.Referral Transport Annex'!A7</f>
        <v>7</v>
      </c>
      <c r="B54" s="3038"/>
      <c r="C54" s="3031" t="str">
        <f>'7.Referral Transport Annex'!C7</f>
        <v>Referral Transport</v>
      </c>
      <c r="D54" s="3032"/>
      <c r="E54" s="3032"/>
      <c r="F54" s="3032"/>
      <c r="G54" s="3032"/>
      <c r="H54" s="3033"/>
      <c r="I54" s="3032"/>
      <c r="J54" s="3033"/>
      <c r="K54" s="3032"/>
      <c r="L54" s="3033"/>
      <c r="M54" s="3033"/>
      <c r="N54" s="3039"/>
      <c r="O54" s="3040">
        <f>SUM(O55)</f>
        <v>10750</v>
      </c>
      <c r="P54" s="3041"/>
      <c r="Q54" s="3042"/>
      <c r="R54" s="3043">
        <f>SUM(R55)</f>
        <v>0</v>
      </c>
    </row>
    <row r="55" spans="1:18" s="3023" customFormat="1" ht="60">
      <c r="A55" s="3017">
        <f>'7.Referral Transport Annex'!A8</f>
        <v>7.1</v>
      </c>
      <c r="B55" s="3017" t="str">
        <f>'7.Referral Transport Annex'!B8</f>
        <v>A.1.6.4</v>
      </c>
      <c r="C55" s="3018" t="str">
        <f>'7.Referral Transport Annex'!C8</f>
        <v>Free Referral Transport - JSSK for Pregnant Women</v>
      </c>
      <c r="D55" s="3019" t="str">
        <f>'7.Referral Transport Annex'!D8</f>
        <v>RCH</v>
      </c>
      <c r="E55" s="3019" t="str">
        <f>'7.Referral Transport Annex'!E8</f>
        <v>MH</v>
      </c>
      <c r="F55" s="3019">
        <f>'7.Referral Transport Annex'!F8</f>
        <v>0</v>
      </c>
      <c r="G55" s="3019">
        <f>'7.Referral Transport Annex'!G8</f>
        <v>0</v>
      </c>
      <c r="H55" s="3019">
        <f>'7.Referral Transport Annex'!H8</f>
        <v>0</v>
      </c>
      <c r="I55" s="3019">
        <f>'7.Referral Transport Annex'!I8</f>
        <v>0</v>
      </c>
      <c r="J55" s="3019">
        <f>'7.Referral Transport Annex'!J8</f>
        <v>0</v>
      </c>
      <c r="K55" s="3019" t="str">
        <f>'7.Referral Transport Annex'!K8</f>
        <v>Avg. cost per ambulance per month</v>
      </c>
      <c r="L55" s="3020">
        <f>'7.Referral Transport Annex'!L8</f>
        <v>1075000000</v>
      </c>
      <c r="M55" s="3019">
        <f>'7.Referral Transport Annex'!M8</f>
        <v>10750</v>
      </c>
      <c r="N55" s="3019">
        <f>'7.Referral Transport Annex'!N8</f>
        <v>1</v>
      </c>
      <c r="O55" s="3020">
        <f>'7.Referral Transport Annex'!O8</f>
        <v>10750</v>
      </c>
      <c r="P55" s="3017" t="str">
        <f>'7.Referral Transport Annex'!P8</f>
        <v>Continued activities:  
Transportation Cost of JSSK Patients @ Rs. 500/- per delivery x 2150000 (Total number of delivery) = 1,07,50,00,000/-
                   Total  Amount =   Rs. 1,07,50,00,000/-</v>
      </c>
      <c r="Q55" s="3021"/>
      <c r="R55" s="3022"/>
    </row>
    <row r="56" spans="1:18" s="3023" customFormat="1">
      <c r="A56" s="3030">
        <f>'9.Training Annex'!A7</f>
        <v>9</v>
      </c>
      <c r="B56" s="3038"/>
      <c r="C56" s="3031" t="str">
        <f>'9.Training Annex'!C7</f>
        <v>Training and Capacity Building</v>
      </c>
      <c r="D56" s="3032"/>
      <c r="E56" s="3032"/>
      <c r="F56" s="3032"/>
      <c r="G56" s="3032"/>
      <c r="H56" s="3033"/>
      <c r="I56" s="3032"/>
      <c r="J56" s="3033"/>
      <c r="K56" s="3032"/>
      <c r="L56" s="3033"/>
      <c r="M56" s="3033"/>
      <c r="N56" s="3039"/>
      <c r="O56" s="3040">
        <f>SUM(O57:O89)</f>
        <v>790.03599999999994</v>
      </c>
      <c r="P56" s="3041"/>
      <c r="Q56" s="3042"/>
      <c r="R56" s="3043">
        <f>SUM(R57:R89)</f>
        <v>0</v>
      </c>
    </row>
    <row r="57" spans="1:18" s="3023" customFormat="1">
      <c r="A57" s="4607" t="str">
        <f>'9.Training Annex'!A9</f>
        <v>9.1.1</v>
      </c>
      <c r="B57" s="3017" t="str">
        <f>'9-A.Training Sub-Annex'!C7</f>
        <v>A.9.1.2.2</v>
      </c>
      <c r="C57" s="3018" t="str">
        <f>'9-A.Training Sub-Annex'!D7</f>
        <v>Setting up of Skill Lab</v>
      </c>
      <c r="D57" s="3019" t="str">
        <f>'9-A.Training Sub-Annex'!E7</f>
        <v>RCH</v>
      </c>
      <c r="E57" s="3019" t="str">
        <f>'9-A.Training Sub-Annex'!F7</f>
        <v>MH</v>
      </c>
      <c r="F57" s="3019">
        <f>'9-A.Training Sub-Annex'!G7</f>
        <v>0</v>
      </c>
      <c r="G57" s="3019">
        <f>'9-A.Training Sub-Annex'!H7</f>
        <v>0</v>
      </c>
      <c r="H57" s="3019">
        <f>'9-A.Training Sub-Annex'!I7</f>
        <v>0</v>
      </c>
      <c r="I57" s="3019">
        <f>'9-A.Training Sub-Annex'!J7</f>
        <v>0</v>
      </c>
      <c r="J57" s="3019">
        <f>'9-A.Training Sub-Annex'!K7</f>
        <v>0</v>
      </c>
      <c r="K57" s="3019">
        <f>'9-A.Training Sub-Annex'!L7</f>
        <v>0</v>
      </c>
      <c r="L57" s="3020">
        <f>'9-A.Training Sub-Annex'!M7</f>
        <v>0</v>
      </c>
      <c r="M57" s="3019">
        <f>'9-A.Training Sub-Annex'!N7</f>
        <v>0</v>
      </c>
      <c r="N57" s="3019">
        <f>'9-A.Training Sub-Annex'!O7</f>
        <v>0</v>
      </c>
      <c r="O57" s="3020">
        <f>'9-A.Training Sub-Annex'!P7</f>
        <v>0</v>
      </c>
      <c r="P57" s="3017">
        <f>'9-A.Training Sub-Annex'!Q7</f>
        <v>0</v>
      </c>
      <c r="Q57" s="3021"/>
      <c r="R57" s="3022"/>
    </row>
    <row r="58" spans="1:18" s="3023" customFormat="1">
      <c r="A58" s="4607"/>
      <c r="B58" s="3017" t="str">
        <f>'9-A.Training Sub-Annex'!C8</f>
        <v>A.9.3.1.1</v>
      </c>
      <c r="C58" s="3018" t="str">
        <f>'9-A.Training Sub-Annex'!D8</f>
        <v>Setting up of SBA Training Centres</v>
      </c>
      <c r="D58" s="3019" t="str">
        <f>'9-A.Training Sub-Annex'!E8</f>
        <v>RCH</v>
      </c>
      <c r="E58" s="3019" t="str">
        <f>'9-A.Training Sub-Annex'!F8</f>
        <v>MH</v>
      </c>
      <c r="F58" s="3019">
        <f>'9-A.Training Sub-Annex'!G8</f>
        <v>0</v>
      </c>
      <c r="G58" s="3019">
        <f>'9-A.Training Sub-Annex'!H8</f>
        <v>0</v>
      </c>
      <c r="H58" s="3019">
        <f>'9-A.Training Sub-Annex'!I8</f>
        <v>0</v>
      </c>
      <c r="I58" s="3019">
        <f>'9-A.Training Sub-Annex'!J8</f>
        <v>0</v>
      </c>
      <c r="J58" s="3019">
        <f>'9-A.Training Sub-Annex'!K8</f>
        <v>0</v>
      </c>
      <c r="K58" s="3019">
        <f>'9-A.Training Sub-Annex'!L8</f>
        <v>0</v>
      </c>
      <c r="L58" s="3020">
        <f>'9-A.Training Sub-Annex'!M8</f>
        <v>0</v>
      </c>
      <c r="M58" s="3019">
        <f>'9-A.Training Sub-Annex'!N8</f>
        <v>0</v>
      </c>
      <c r="N58" s="3019">
        <f>'9-A.Training Sub-Annex'!O8</f>
        <v>0</v>
      </c>
      <c r="O58" s="3020">
        <f>'9-A.Training Sub-Annex'!P8</f>
        <v>0</v>
      </c>
      <c r="P58" s="3017">
        <f>'9-A.Training Sub-Annex'!Q8</f>
        <v>0</v>
      </c>
      <c r="Q58" s="3021"/>
      <c r="R58" s="3022"/>
    </row>
    <row r="59" spans="1:18" s="3023" customFormat="1">
      <c r="A59" s="4607"/>
      <c r="B59" s="3017" t="str">
        <f>'9-A.Training Sub-Annex'!C9</f>
        <v>A.9.3.2.1</v>
      </c>
      <c r="C59" s="3018" t="str">
        <f>'9-A.Training Sub-Annex'!D9</f>
        <v>Setting up of EmOC Training Centres</v>
      </c>
      <c r="D59" s="3019" t="str">
        <f>'9-A.Training Sub-Annex'!E9</f>
        <v>RCH</v>
      </c>
      <c r="E59" s="3019" t="str">
        <f>'9-A.Training Sub-Annex'!F9</f>
        <v>MH</v>
      </c>
      <c r="F59" s="3019">
        <f>'9-A.Training Sub-Annex'!G9</f>
        <v>0</v>
      </c>
      <c r="G59" s="3019">
        <f>'9-A.Training Sub-Annex'!H9</f>
        <v>0</v>
      </c>
      <c r="H59" s="3019">
        <f>'9-A.Training Sub-Annex'!I9</f>
        <v>0</v>
      </c>
      <c r="I59" s="3019">
        <f>'9-A.Training Sub-Annex'!J9</f>
        <v>0</v>
      </c>
      <c r="J59" s="3019">
        <f>'9-A.Training Sub-Annex'!K9</f>
        <v>0</v>
      </c>
      <c r="K59" s="3019">
        <f>'9-A.Training Sub-Annex'!L9</f>
        <v>0</v>
      </c>
      <c r="L59" s="3020">
        <f>'9-A.Training Sub-Annex'!M9</f>
        <v>0</v>
      </c>
      <c r="M59" s="3019">
        <f>'9-A.Training Sub-Annex'!N9</f>
        <v>0</v>
      </c>
      <c r="N59" s="3019">
        <f>'9-A.Training Sub-Annex'!O9</f>
        <v>0</v>
      </c>
      <c r="O59" s="3020">
        <f>'9-A.Training Sub-Annex'!P9</f>
        <v>0</v>
      </c>
      <c r="P59" s="3017">
        <f>'9-A.Training Sub-Annex'!Q9</f>
        <v>0</v>
      </c>
      <c r="Q59" s="3021"/>
      <c r="R59" s="3022"/>
    </row>
    <row r="60" spans="1:18" s="3023" customFormat="1">
      <c r="A60" s="4607"/>
      <c r="B60" s="3017" t="str">
        <f>'9-A.Training Sub-Annex'!C10</f>
        <v>A.9.3.3.1</v>
      </c>
      <c r="C60" s="3018" t="str">
        <f>'9-A.Training Sub-Annex'!D10</f>
        <v>Setting up of Life saving Anaesthesia skills Training Centres</v>
      </c>
      <c r="D60" s="3019" t="str">
        <f>'9-A.Training Sub-Annex'!E10</f>
        <v>RCH</v>
      </c>
      <c r="E60" s="3019" t="str">
        <f>'9-A.Training Sub-Annex'!F10</f>
        <v>MH</v>
      </c>
      <c r="F60" s="3019">
        <f>'9-A.Training Sub-Annex'!G10</f>
        <v>0</v>
      </c>
      <c r="G60" s="3019">
        <f>'9-A.Training Sub-Annex'!H10</f>
        <v>0</v>
      </c>
      <c r="H60" s="3019">
        <f>'9-A.Training Sub-Annex'!I10</f>
        <v>0</v>
      </c>
      <c r="I60" s="3019">
        <f>'9-A.Training Sub-Annex'!J10</f>
        <v>0</v>
      </c>
      <c r="J60" s="3019">
        <f>'9-A.Training Sub-Annex'!K10</f>
        <v>0</v>
      </c>
      <c r="K60" s="3019">
        <f>'9-A.Training Sub-Annex'!L10</f>
        <v>0</v>
      </c>
      <c r="L60" s="3020">
        <f>'9-A.Training Sub-Annex'!M10</f>
        <v>0</v>
      </c>
      <c r="M60" s="3019">
        <f>'9-A.Training Sub-Annex'!N10</f>
        <v>0</v>
      </c>
      <c r="N60" s="3019">
        <f>'9-A.Training Sub-Annex'!O10</f>
        <v>0</v>
      </c>
      <c r="O60" s="3020">
        <f>'9-A.Training Sub-Annex'!P10</f>
        <v>0</v>
      </c>
      <c r="P60" s="3017">
        <f>'9-A.Training Sub-Annex'!Q10</f>
        <v>0</v>
      </c>
      <c r="Q60" s="3021"/>
      <c r="R60" s="3022"/>
    </row>
    <row r="61" spans="1:18" s="3023" customFormat="1">
      <c r="A61" s="3024" t="str">
        <f>'9.Training Annex'!A13</f>
        <v>9.1.4.1</v>
      </c>
      <c r="B61" s="3017" t="str">
        <f>'9-A.Training Sub-Annex'!C17</f>
        <v>A.9.1.2.1</v>
      </c>
      <c r="C61" s="3018" t="str">
        <f>'9-A.Training Sub-Annex'!D17</f>
        <v xml:space="preserve">HR for Skill Lab </v>
      </c>
      <c r="D61" s="3019" t="str">
        <f>'9-A.Training Sub-Annex'!E17</f>
        <v>HSS</v>
      </c>
      <c r="E61" s="3019" t="str">
        <f>'9-A.Training Sub-Annex'!F17</f>
        <v>MH/ HRH</v>
      </c>
      <c r="F61" s="3019">
        <f>'9-A.Training Sub-Annex'!G17</f>
        <v>0</v>
      </c>
      <c r="G61" s="3019">
        <f>'9-A.Training Sub-Annex'!H17</f>
        <v>0</v>
      </c>
      <c r="H61" s="3019">
        <f>'9-A.Training Sub-Annex'!I17</f>
        <v>0</v>
      </c>
      <c r="I61" s="3019">
        <f>'9-A.Training Sub-Annex'!J17</f>
        <v>0</v>
      </c>
      <c r="J61" s="3019">
        <f>'9-A.Training Sub-Annex'!K17</f>
        <v>0</v>
      </c>
      <c r="K61" s="3019">
        <f>'9-A.Training Sub-Annex'!L17</f>
        <v>0</v>
      </c>
      <c r="L61" s="3020">
        <f>'9-A.Training Sub-Annex'!M17</f>
        <v>0</v>
      </c>
      <c r="M61" s="3019">
        <f>'9-A.Training Sub-Annex'!N17</f>
        <v>0</v>
      </c>
      <c r="N61" s="3019">
        <f>'9-A.Training Sub-Annex'!O17</f>
        <v>0</v>
      </c>
      <c r="O61" s="3020">
        <f>'9-A.Training Sub-Annex'!P17</f>
        <v>0</v>
      </c>
      <c r="P61" s="3017">
        <f>'9-A.Training Sub-Annex'!Q17</f>
        <v>0</v>
      </c>
      <c r="Q61" s="3021"/>
      <c r="R61" s="3022"/>
    </row>
    <row r="62" spans="1:18" s="3023" customFormat="1" ht="120">
      <c r="A62" s="3024" t="str">
        <f>'9.Training Annex'!A15</f>
        <v>9.1.4.3</v>
      </c>
      <c r="B62" s="3017">
        <f>'9-A.Training Sub-Annex'!C19</f>
        <v>0</v>
      </c>
      <c r="C62" s="3018" t="str">
        <f>'9-A.Training Sub-Annex'!D19</f>
        <v>State level Midwifery Educators</v>
      </c>
      <c r="D62" s="3019" t="str">
        <f>'9-A.Training Sub-Annex'!E19</f>
        <v>HSS</v>
      </c>
      <c r="E62" s="3019" t="str">
        <f>'9-A.Training Sub-Annex'!F19</f>
        <v>MH/ HRH</v>
      </c>
      <c r="F62" s="3019">
        <f>'9-A.Training Sub-Annex'!G19</f>
        <v>0</v>
      </c>
      <c r="G62" s="3019">
        <f>'9-A.Training Sub-Annex'!H19</f>
        <v>0</v>
      </c>
      <c r="H62" s="3019">
        <f>'9-A.Training Sub-Annex'!I19</f>
        <v>0</v>
      </c>
      <c r="I62" s="3019">
        <f>'9-A.Training Sub-Annex'!J19</f>
        <v>0</v>
      </c>
      <c r="J62" s="3019">
        <f>'9-A.Training Sub-Annex'!K19</f>
        <v>0</v>
      </c>
      <c r="K62" s="3019" t="str">
        <f>'9-A.Training Sub-Annex'!L19</f>
        <v>Per Participants</v>
      </c>
      <c r="L62" s="3020">
        <f>'9-A.Training Sub-Annex'!M19</f>
        <v>1140000</v>
      </c>
      <c r="M62" s="3019">
        <f>'9-A.Training Sub-Annex'!N19</f>
        <v>11.4</v>
      </c>
      <c r="N62" s="3019">
        <f>'9-A.Training Sub-Annex'!O19</f>
        <v>1</v>
      </c>
      <c r="O62" s="3020">
        <f>'9-A.Training Sub-Annex'!P19</f>
        <v>11.4</v>
      </c>
      <c r="P62" s="3017" t="str">
        <f>'9-A.Training Sub-Annex'!Q19</f>
        <v>1) State level Midwifery Educators:  
Addtional Allowances @ 15000/- per month.
as in -service candidates are deputed for Midwifery educator training  (For one year 180000/- per MEs,So Toatl for 6 Participants Rs.1080000/-for 1 year at SMTI (IGIMS), Patna                                                             
 2) Program Co-Ordinator : 
Incentive @5000/-per month to Principal College of Nursing for Coordination and Management of NPM Course ,So Total Rs.60000/- for an year at SMTI (IGIMS), Patna                                                                    
Grand total=  Rs.1140000/- (Eleven lakh and fourty thousands)</v>
      </c>
      <c r="Q62" s="3021"/>
      <c r="R62" s="3022"/>
    </row>
    <row r="63" spans="1:18" s="3023" customFormat="1" ht="120">
      <c r="A63" s="4607" t="str">
        <f>'9.Training Annex'!A21</f>
        <v>9.2.1.1</v>
      </c>
      <c r="B63" s="3044" t="str">
        <f>'9-A.Training Sub-Annex'!C27</f>
        <v>A.1.4</v>
      </c>
      <c r="C63" s="3045" t="str">
        <f>'9-A.Training Sub-Annex'!D27</f>
        <v xml:space="preserve">Maternal Death Review Trainings </v>
      </c>
      <c r="D63" s="3046" t="str">
        <f>'9-A.Training Sub-Annex'!E27</f>
        <v>RCH</v>
      </c>
      <c r="E63" s="3046" t="str">
        <f>'9-A.Training Sub-Annex'!F27</f>
        <v>MH</v>
      </c>
      <c r="F63" s="3046">
        <f>'9-A.Training Sub-Annex'!G27</f>
        <v>0</v>
      </c>
      <c r="G63" s="3046">
        <f>'9-A.Training Sub-Annex'!H27</f>
        <v>0</v>
      </c>
      <c r="H63" s="3046">
        <f>'9-A.Training Sub-Annex'!I27</f>
        <v>13.73</v>
      </c>
      <c r="I63" s="3046">
        <f>'9-A.Training Sub-Annex'!J27</f>
        <v>1.5E-3</v>
      </c>
      <c r="J63" s="3046">
        <f>'9-A.Training Sub-Annex'!K27</f>
        <v>0</v>
      </c>
      <c r="K63" s="3046" t="str">
        <f>'9-A.Training Sub-Annex'!L27</f>
        <v>Per Batch</v>
      </c>
      <c r="L63" s="3020">
        <f>'9-A.Training Sub-Annex'!M27</f>
        <v>1436000</v>
      </c>
      <c r="M63" s="3046">
        <f>'9-A.Training Sub-Annex'!N27</f>
        <v>14.36</v>
      </c>
      <c r="N63" s="3046">
        <f>'9-A.Training Sub-Annex'!O27</f>
        <v>1</v>
      </c>
      <c r="O63" s="3020">
        <f>'9-A.Training Sub-Annex'!P27</f>
        <v>14.36</v>
      </c>
      <c r="P63" s="3047" t="str">
        <f>'9-A.Training Sub-Annex'!Q27</f>
        <v>(a) One  Day State level Training on MDSR per batch (one batch of 40) for all state programme officers,  convergent departments and all nodal officers in one batch and another batch for OBGY from medical college and FOGSI per batch (one batch of 40)@ Rs 183000 for two batcesh = 366000 =3.66 lakh as per MNM guidelines. 
(b) One day District Level Training of all district programme officers , convergent
departments, OBGY and MOs @ 26500 per batch (one batch of 20) for 38 batches = 26500X38 = 10.07 as per MDSR  guidelines 
Total: 3.66 Lakhs+ 10.07 Lakhs = 14.36 Lakhs</v>
      </c>
      <c r="Q63" s="3021"/>
      <c r="R63" s="3022"/>
    </row>
    <row r="64" spans="1:18" s="3023" customFormat="1" ht="30">
      <c r="A64" s="4607"/>
      <c r="B64" s="3044" t="str">
        <f>'9-A.Training Sub-Annex'!C28</f>
        <v>A.9.1.2.3</v>
      </c>
      <c r="C64" s="3045" t="str">
        <f>'9-A.Training Sub-Annex'!D28</f>
        <v>Onsite mentoring at Delivery Points/ Nursing Institutions/ Nursing Schools</v>
      </c>
      <c r="D64" s="3046" t="str">
        <f>'9-A.Training Sub-Annex'!E28</f>
        <v>RCH</v>
      </c>
      <c r="E64" s="3046" t="str">
        <f>'9-A.Training Sub-Annex'!F28</f>
        <v>MH</v>
      </c>
      <c r="F64" s="3046">
        <f>'9-A.Training Sub-Annex'!G28</f>
        <v>0</v>
      </c>
      <c r="G64" s="3046">
        <f>'9-A.Training Sub-Annex'!H28</f>
        <v>0</v>
      </c>
      <c r="H64" s="3046">
        <f>'9-A.Training Sub-Annex'!I28</f>
        <v>0</v>
      </c>
      <c r="I64" s="3046">
        <f>'9-A.Training Sub-Annex'!J28</f>
        <v>0</v>
      </c>
      <c r="J64" s="3046">
        <f>'9-A.Training Sub-Annex'!K28</f>
        <v>0</v>
      </c>
      <c r="K64" s="3046">
        <f>'9-A.Training Sub-Annex'!L28</f>
        <v>0</v>
      </c>
      <c r="L64" s="3020">
        <f>'9-A.Training Sub-Annex'!M28</f>
        <v>0</v>
      </c>
      <c r="M64" s="3046">
        <f>'9-A.Training Sub-Annex'!N28</f>
        <v>0</v>
      </c>
      <c r="N64" s="3046">
        <f>'9-A.Training Sub-Annex'!O28</f>
        <v>0</v>
      </c>
      <c r="O64" s="3020">
        <f>'9-A.Training Sub-Annex'!P28</f>
        <v>0</v>
      </c>
      <c r="P64" s="3047">
        <f>'9-A.Training Sub-Annex'!Q28</f>
        <v>0</v>
      </c>
      <c r="Q64" s="3021"/>
      <c r="R64" s="3022"/>
    </row>
    <row r="65" spans="1:18" s="3023" customFormat="1">
      <c r="A65" s="4607"/>
      <c r="B65" s="3044">
        <f>'9-A.Training Sub-Annex'!C29</f>
        <v>0</v>
      </c>
      <c r="C65" s="3045" t="str">
        <f>'9-A.Training Sub-Annex'!D29</f>
        <v>TOT for Skill Lab</v>
      </c>
      <c r="D65" s="3046" t="str">
        <f>'9-A.Training Sub-Annex'!E29</f>
        <v>RCH</v>
      </c>
      <c r="E65" s="3046" t="str">
        <f>'9-A.Training Sub-Annex'!F29</f>
        <v>MH</v>
      </c>
      <c r="F65" s="3046">
        <f>'9-A.Training Sub-Annex'!G29</f>
        <v>0</v>
      </c>
      <c r="G65" s="3046">
        <f>'9-A.Training Sub-Annex'!H29</f>
        <v>0</v>
      </c>
      <c r="H65" s="3046">
        <f>'9-A.Training Sub-Annex'!I29</f>
        <v>0</v>
      </c>
      <c r="I65" s="3046">
        <f>'9-A.Training Sub-Annex'!J29</f>
        <v>0</v>
      </c>
      <c r="J65" s="3046">
        <f>'9-A.Training Sub-Annex'!K29</f>
        <v>0</v>
      </c>
      <c r="K65" s="3046">
        <f>'9-A.Training Sub-Annex'!L29</f>
        <v>0</v>
      </c>
      <c r="L65" s="3020">
        <f>'9-A.Training Sub-Annex'!M29</f>
        <v>0</v>
      </c>
      <c r="M65" s="3046">
        <f>'9-A.Training Sub-Annex'!N29</f>
        <v>0</v>
      </c>
      <c r="N65" s="3046">
        <f>'9-A.Training Sub-Annex'!O29</f>
        <v>0</v>
      </c>
      <c r="O65" s="3020">
        <f>'9-A.Training Sub-Annex'!P29</f>
        <v>0</v>
      </c>
      <c r="P65" s="3047">
        <f>'9-A.Training Sub-Annex'!Q29</f>
        <v>0</v>
      </c>
      <c r="Q65" s="3021"/>
      <c r="R65" s="3022"/>
    </row>
    <row r="66" spans="1:18" s="3023" customFormat="1">
      <c r="A66" s="4607"/>
      <c r="B66" s="3044">
        <f>'9-A.Training Sub-Annex'!C30</f>
        <v>0</v>
      </c>
      <c r="C66" s="3045" t="str">
        <f>'9-A.Training Sub-Annex'!D30</f>
        <v>Trainings at Skill Lab</v>
      </c>
      <c r="D66" s="3046" t="str">
        <f>'9-A.Training Sub-Annex'!E30</f>
        <v>RCH</v>
      </c>
      <c r="E66" s="3046" t="str">
        <f>'9-A.Training Sub-Annex'!F30</f>
        <v>MH</v>
      </c>
      <c r="F66" s="3046">
        <f>'9-A.Training Sub-Annex'!G30</f>
        <v>0</v>
      </c>
      <c r="G66" s="3046">
        <f>'9-A.Training Sub-Annex'!H30</f>
        <v>0</v>
      </c>
      <c r="H66" s="3046">
        <f>'9-A.Training Sub-Annex'!I30</f>
        <v>0</v>
      </c>
      <c r="I66" s="3046">
        <f>'9-A.Training Sub-Annex'!J30</f>
        <v>0</v>
      </c>
      <c r="J66" s="3046">
        <f>'9-A.Training Sub-Annex'!K30</f>
        <v>0</v>
      </c>
      <c r="K66" s="3046">
        <f>'9-A.Training Sub-Annex'!L30</f>
        <v>0</v>
      </c>
      <c r="L66" s="3020">
        <f>'9-A.Training Sub-Annex'!M30</f>
        <v>0</v>
      </c>
      <c r="M66" s="3046">
        <f>'9-A.Training Sub-Annex'!N30</f>
        <v>0</v>
      </c>
      <c r="N66" s="3046">
        <f>'9-A.Training Sub-Annex'!O30</f>
        <v>0</v>
      </c>
      <c r="O66" s="3020">
        <f>'9-A.Training Sub-Annex'!P30</f>
        <v>0</v>
      </c>
      <c r="P66" s="3047">
        <f>'9-A.Training Sub-Annex'!Q30</f>
        <v>0</v>
      </c>
      <c r="Q66" s="3021"/>
      <c r="R66" s="3022"/>
    </row>
    <row r="67" spans="1:18" s="3023" customFormat="1" ht="30">
      <c r="A67" s="4607"/>
      <c r="B67" s="3044" t="str">
        <f>'9-A.Training Sub-Annex'!C31</f>
        <v>A.9.3.1.2</v>
      </c>
      <c r="C67" s="3045" t="str">
        <f>'9-A.Training Sub-Annex'!D31</f>
        <v>TOT for SBA</v>
      </c>
      <c r="D67" s="3046" t="str">
        <f>'9-A.Training Sub-Annex'!E31</f>
        <v>RCH</v>
      </c>
      <c r="E67" s="3046" t="str">
        <f>'9-A.Training Sub-Annex'!F31</f>
        <v>MH</v>
      </c>
      <c r="F67" s="3046">
        <f>'9-A.Training Sub-Annex'!G31</f>
        <v>0</v>
      </c>
      <c r="G67" s="3046">
        <f>'9-A.Training Sub-Annex'!H31</f>
        <v>0</v>
      </c>
      <c r="H67" s="3046">
        <f>'9-A.Training Sub-Annex'!I31</f>
        <v>0</v>
      </c>
      <c r="I67" s="3046">
        <f>'9-A.Training Sub-Annex'!J31</f>
        <v>0</v>
      </c>
      <c r="J67" s="3046">
        <f>'9-A.Training Sub-Annex'!K31</f>
        <v>0</v>
      </c>
      <c r="K67" s="3046" t="str">
        <f>'9-A.Training Sub-Annex'!L31</f>
        <v>Per Batch= 30 Persons</v>
      </c>
      <c r="L67" s="3020">
        <f>'9-A.Training Sub-Annex'!M31</f>
        <v>150000</v>
      </c>
      <c r="M67" s="3046">
        <f>'9-A.Training Sub-Annex'!N31</f>
        <v>1.5</v>
      </c>
      <c r="N67" s="3046">
        <f>'9-A.Training Sub-Annex'!O31</f>
        <v>1</v>
      </c>
      <c r="O67" s="3020">
        <f>'9-A.Training Sub-Annex'!P31</f>
        <v>1.5</v>
      </c>
      <c r="P67" s="3047" t="str">
        <f>'9-A.Training Sub-Annex'!Q31</f>
        <v>Continued activity : SBA ToT @ Rs. Lakhs 150000/- batch to be organised at SIHFW, Patna. This ToT is for the master trainer of SBA Training.</v>
      </c>
      <c r="Q67" s="3021"/>
      <c r="R67" s="3022"/>
    </row>
    <row r="68" spans="1:18" s="3023" customFormat="1" ht="75">
      <c r="A68" s="4607"/>
      <c r="B68" s="3044" t="str">
        <f>'9-A.Training Sub-Annex'!C32</f>
        <v>A.9.3.1.3</v>
      </c>
      <c r="C68" s="3045" t="str">
        <f>'9-A.Training Sub-Annex'!D32</f>
        <v>Training of Staff Nurses/ANMs / LHVs in SBA</v>
      </c>
      <c r="D68" s="3046" t="str">
        <f>'9-A.Training Sub-Annex'!E32</f>
        <v>RCH</v>
      </c>
      <c r="E68" s="3046" t="str">
        <f>'9-A.Training Sub-Annex'!F32</f>
        <v>MH</v>
      </c>
      <c r="F68" s="3046">
        <f>'9-A.Training Sub-Annex'!G32</f>
        <v>0</v>
      </c>
      <c r="G68" s="3046">
        <f>'9-A.Training Sub-Annex'!H32</f>
        <v>0</v>
      </c>
      <c r="H68" s="3046">
        <f>'9-A.Training Sub-Annex'!I32</f>
        <v>0</v>
      </c>
      <c r="I68" s="3046">
        <f>'9-A.Training Sub-Annex'!J32</f>
        <v>0</v>
      </c>
      <c r="J68" s="3046">
        <f>'9-A.Training Sub-Annex'!K32</f>
        <v>0</v>
      </c>
      <c r="K68" s="3046" t="str">
        <f>'9-A.Training Sub-Annex'!L32</f>
        <v>Per Batch (01 Batch=06 A-Grade/ANM/LHVs)</v>
      </c>
      <c r="L68" s="3020">
        <f>'9-A.Training Sub-Annex'!M32</f>
        <v>198900</v>
      </c>
      <c r="M68" s="3046">
        <f>'9-A.Training Sub-Annex'!N32</f>
        <v>1.9890000000000001</v>
      </c>
      <c r="N68" s="3046">
        <f>'9-A.Training Sub-Annex'!O32</f>
        <v>200</v>
      </c>
      <c r="O68" s="3020">
        <f>'9-A.Training Sub-Annex'!P32</f>
        <v>397.8</v>
      </c>
      <c r="P68" s="3047" t="str">
        <f>'9-A.Training Sub-Annex'!Q32</f>
        <v>Continued activity : To enhance the knowledge and skill of the SN, so that they are proficient in the skills needed for managing normal pregnancies, child birth and immediate postnatal period. This includes-(I) Training of Staff Nurses in SBA, Total Budget Rs. Lakhs 99.45 @ Rs. 198900/- batch (total batches 50) and (II) Training of ANMs / LHVs in SBA, Total Budget Rs. Lakhs 298.35 @ Rs. 198900/- batch (total batches 150).</v>
      </c>
      <c r="Q68" s="3021"/>
      <c r="R68" s="3022"/>
    </row>
    <row r="69" spans="1:18" s="3023" customFormat="1">
      <c r="A69" s="4607"/>
      <c r="B69" s="3044" t="str">
        <f>'9-A.Training Sub-Annex'!C33</f>
        <v>A.9.3.2.2</v>
      </c>
      <c r="C69" s="3045" t="str">
        <f>'9-A.Training Sub-Annex'!D33</f>
        <v>TOT for EmOC</v>
      </c>
      <c r="D69" s="3046" t="str">
        <f>'9-A.Training Sub-Annex'!E33</f>
        <v>RCH</v>
      </c>
      <c r="E69" s="3046" t="str">
        <f>'9-A.Training Sub-Annex'!F33</f>
        <v>MH</v>
      </c>
      <c r="F69" s="3046">
        <f>'9-A.Training Sub-Annex'!G33</f>
        <v>0</v>
      </c>
      <c r="G69" s="3046">
        <f>'9-A.Training Sub-Annex'!H33</f>
        <v>0</v>
      </c>
      <c r="H69" s="3046">
        <f>'9-A.Training Sub-Annex'!I33</f>
        <v>0</v>
      </c>
      <c r="I69" s="3046">
        <f>'9-A.Training Sub-Annex'!J33</f>
        <v>0</v>
      </c>
      <c r="J69" s="3046">
        <f>'9-A.Training Sub-Annex'!K33</f>
        <v>0</v>
      </c>
      <c r="K69" s="3046">
        <f>'9-A.Training Sub-Annex'!L33</f>
        <v>0</v>
      </c>
      <c r="L69" s="3020">
        <f>'9-A.Training Sub-Annex'!M33</f>
        <v>0</v>
      </c>
      <c r="M69" s="3046">
        <f>'9-A.Training Sub-Annex'!N33</f>
        <v>0</v>
      </c>
      <c r="N69" s="3046">
        <f>'9-A.Training Sub-Annex'!O33</f>
        <v>0</v>
      </c>
      <c r="O69" s="3020">
        <f>'9-A.Training Sub-Annex'!P33</f>
        <v>0</v>
      </c>
      <c r="P69" s="3044">
        <f>'9-A.Training Sub-Annex'!Q33</f>
        <v>0</v>
      </c>
      <c r="Q69" s="3021"/>
      <c r="R69" s="3022"/>
    </row>
    <row r="70" spans="1:18" s="3023" customFormat="1" ht="45">
      <c r="A70" s="4607"/>
      <c r="B70" s="3044" t="str">
        <f>'9-A.Training Sub-Annex'!C34</f>
        <v>A.9.3.2.3</v>
      </c>
      <c r="C70" s="3045" t="str">
        <f>'9-A.Training Sub-Annex'!D34</f>
        <v>Training of Medical Officers in EmOC</v>
      </c>
      <c r="D70" s="3046" t="str">
        <f>'9-A.Training Sub-Annex'!E34</f>
        <v>RCH</v>
      </c>
      <c r="E70" s="3046" t="str">
        <f>'9-A.Training Sub-Annex'!F34</f>
        <v>MH</v>
      </c>
      <c r="F70" s="3046">
        <f>'9-A.Training Sub-Annex'!G34</f>
        <v>0</v>
      </c>
      <c r="G70" s="3046">
        <f>'9-A.Training Sub-Annex'!H34</f>
        <v>0</v>
      </c>
      <c r="H70" s="3046">
        <f>'9-A.Training Sub-Annex'!I34</f>
        <v>0</v>
      </c>
      <c r="I70" s="3046">
        <f>'9-A.Training Sub-Annex'!J34</f>
        <v>0</v>
      </c>
      <c r="J70" s="3046">
        <f>'9-A.Training Sub-Annex'!K34</f>
        <v>0</v>
      </c>
      <c r="K70" s="3046" t="str">
        <f>'9-A.Training Sub-Annex'!L34</f>
        <v>Per Batch (04 MOs)</v>
      </c>
      <c r="L70" s="3020">
        <f>'9-A.Training Sub-Annex'!M34</f>
        <v>2059400</v>
      </c>
      <c r="M70" s="3046">
        <f>'9-A.Training Sub-Annex'!N34</f>
        <v>20.594000000000001</v>
      </c>
      <c r="N70" s="3046">
        <f>'9-A.Training Sub-Annex'!O34</f>
        <v>2</v>
      </c>
      <c r="O70" s="3020">
        <f>'9-A.Training Sub-Annex'!P34</f>
        <v>41.188000000000002</v>
      </c>
      <c r="P70" s="3044" t="str">
        <f>'9-A.Training Sub-Annex'!Q34</f>
        <v xml:space="preserve">Continued activity : To prepare the skilled doctors who may undertake the C-section and after training such doctors may be posted at FRUs. Budget Rs. Lakhs 41.19 @ Rs. 2059400/- batch (total batches 02) </v>
      </c>
      <c r="Q70" s="3021"/>
      <c r="R70" s="3022"/>
    </row>
    <row r="71" spans="1:18" s="3023" customFormat="1">
      <c r="A71" s="4607"/>
      <c r="B71" s="3044" t="str">
        <f>'9-A.Training Sub-Annex'!C35</f>
        <v>A.9.3.3.2</v>
      </c>
      <c r="C71" s="3045" t="str">
        <f>'9-A.Training Sub-Annex'!D35</f>
        <v>TOT for Anaesthesia skills training</v>
      </c>
      <c r="D71" s="3046" t="str">
        <f>'9-A.Training Sub-Annex'!E35</f>
        <v>RCH</v>
      </c>
      <c r="E71" s="3046" t="str">
        <f>'9-A.Training Sub-Annex'!F35</f>
        <v>MH</v>
      </c>
      <c r="F71" s="3046">
        <f>'9-A.Training Sub-Annex'!G35</f>
        <v>0</v>
      </c>
      <c r="G71" s="3046">
        <f>'9-A.Training Sub-Annex'!H35</f>
        <v>0</v>
      </c>
      <c r="H71" s="3046">
        <f>'9-A.Training Sub-Annex'!I35</f>
        <v>0</v>
      </c>
      <c r="I71" s="3046">
        <f>'9-A.Training Sub-Annex'!J35</f>
        <v>0</v>
      </c>
      <c r="J71" s="3046">
        <f>'9-A.Training Sub-Annex'!K35</f>
        <v>0</v>
      </c>
      <c r="K71" s="3046">
        <f>'9-A.Training Sub-Annex'!L35</f>
        <v>0</v>
      </c>
      <c r="L71" s="3020">
        <f>'9-A.Training Sub-Annex'!M35</f>
        <v>0</v>
      </c>
      <c r="M71" s="3046">
        <f>'9-A.Training Sub-Annex'!N35</f>
        <v>0</v>
      </c>
      <c r="N71" s="3046">
        <f>'9-A.Training Sub-Annex'!O35</f>
        <v>0</v>
      </c>
      <c r="O71" s="3020">
        <f>'9-A.Training Sub-Annex'!P35</f>
        <v>0</v>
      </c>
      <c r="P71" s="3044">
        <f>'9-A.Training Sub-Annex'!Q35</f>
        <v>0</v>
      </c>
      <c r="Q71" s="3021"/>
      <c r="R71" s="3022"/>
    </row>
    <row r="72" spans="1:18" s="3023" customFormat="1" ht="45">
      <c r="A72" s="4607"/>
      <c r="B72" s="3044" t="str">
        <f>'9-A.Training Sub-Annex'!C36</f>
        <v>A.9.3.3.3</v>
      </c>
      <c r="C72" s="3045" t="str">
        <f>'9-A.Training Sub-Annex'!D36</f>
        <v>Training of Medical Officers in life saving Anaesthesia skills</v>
      </c>
      <c r="D72" s="3046" t="str">
        <f>'9-A.Training Sub-Annex'!E36</f>
        <v>RCH</v>
      </c>
      <c r="E72" s="3046" t="str">
        <f>'9-A.Training Sub-Annex'!F36</f>
        <v>MH</v>
      </c>
      <c r="F72" s="3046">
        <f>'9-A.Training Sub-Annex'!G36</f>
        <v>0</v>
      </c>
      <c r="G72" s="3046">
        <f>'9-A.Training Sub-Annex'!H36</f>
        <v>0</v>
      </c>
      <c r="H72" s="3046">
        <f>'9-A.Training Sub-Annex'!I36</f>
        <v>0</v>
      </c>
      <c r="I72" s="3046">
        <f>'9-A.Training Sub-Annex'!J36</f>
        <v>0</v>
      </c>
      <c r="J72" s="3046">
        <f>'9-A.Training Sub-Annex'!K36</f>
        <v>0</v>
      </c>
      <c r="K72" s="3046" t="str">
        <f>'9-A.Training Sub-Annex'!L36</f>
        <v>Per Batch (04 MOs)</v>
      </c>
      <c r="L72" s="3020">
        <f>'9-A.Training Sub-Annex'!M36</f>
        <v>2047400</v>
      </c>
      <c r="M72" s="3046">
        <f>'9-A.Training Sub-Annex'!N36</f>
        <v>20.474</v>
      </c>
      <c r="N72" s="3046">
        <f>'9-A.Training Sub-Annex'!O36</f>
        <v>2</v>
      </c>
      <c r="O72" s="3020">
        <f>'9-A.Training Sub-Annex'!P36</f>
        <v>40.948</v>
      </c>
      <c r="P72" s="3044" t="str">
        <f>'9-A.Training Sub-Annex'!Q36</f>
        <v>Continued activity : To prepare the skilled doctors who may provide support in undertaking the C-section and after the training such doctors may be posted at FRUs. Budget Rs. Lakhs 40.95 @ Rs. 2047400/- batch (total batches 02)</v>
      </c>
      <c r="Q72" s="3021"/>
      <c r="R72" s="3022"/>
    </row>
    <row r="73" spans="1:18" s="3023" customFormat="1" ht="75">
      <c r="A73" s="4607"/>
      <c r="B73" s="3044" t="str">
        <f>'9-A.Training Sub-Annex'!C37</f>
        <v>A.9.3.4.1</v>
      </c>
      <c r="C73" s="3045" t="str">
        <f>'9-A.Training Sub-Annex'!D37</f>
        <v>TOT on safe abortion services</v>
      </c>
      <c r="D73" s="3046" t="str">
        <f>'9-A.Training Sub-Annex'!E37</f>
        <v>RCH</v>
      </c>
      <c r="E73" s="3046" t="str">
        <f>'9-A.Training Sub-Annex'!F37</f>
        <v>MH</v>
      </c>
      <c r="F73" s="3046">
        <f>'9-A.Training Sub-Annex'!G37</f>
        <v>0</v>
      </c>
      <c r="G73" s="3046">
        <f>'9-A.Training Sub-Annex'!H37</f>
        <v>0</v>
      </c>
      <c r="H73" s="3046">
        <f>'9-A.Training Sub-Annex'!I37</f>
        <v>0</v>
      </c>
      <c r="I73" s="3046">
        <f>'9-A.Training Sub-Annex'!J37</f>
        <v>0</v>
      </c>
      <c r="J73" s="3046">
        <f>'9-A.Training Sub-Annex'!K37</f>
        <v>0</v>
      </c>
      <c r="K73" s="3046" t="str">
        <f>'9-A.Training Sub-Annex'!L37</f>
        <v>Per Batch (05 MOs &amp; 05 SN)</v>
      </c>
      <c r="L73" s="3020">
        <f>'9-A.Training Sub-Annex'!M37</f>
        <v>54000</v>
      </c>
      <c r="M73" s="3046">
        <f>'9-A.Training Sub-Annex'!N37</f>
        <v>0.54</v>
      </c>
      <c r="N73" s="3046">
        <f>'9-A.Training Sub-Annex'!O37</f>
        <v>1</v>
      </c>
      <c r="O73" s="3020">
        <f>'9-A.Training Sub-Annex'!P37</f>
        <v>0.54</v>
      </c>
      <c r="P73" s="3047" t="str">
        <f>'9-A.Training Sub-Annex'!Q37</f>
        <v>Continued activity : We will conduct 01 Batch of ToT  wherein we will train 5 Medical Officers per batch and nurses as well. Thereafter these trained Master Trainers will impart the training of doctors who are based at diferent public health facilities. Ipas Development Foundation will provide technical support. Budget Rs. 0.54 Lakhs  @ Rs. 54000/- batch (total batches 01).</v>
      </c>
      <c r="Q73" s="3021"/>
      <c r="R73" s="3022"/>
    </row>
    <row r="74" spans="1:18" s="3023" customFormat="1" ht="30">
      <c r="A74" s="4607"/>
      <c r="B74" s="3044" t="str">
        <f>'9-A.Training Sub-Annex'!C38</f>
        <v>A.9.3.4.2, A.1.1</v>
      </c>
      <c r="C74" s="3045" t="str">
        <f>'9-A.Training Sub-Annex'!D38</f>
        <v>Training of Medical Officers in safe abortion</v>
      </c>
      <c r="D74" s="3046" t="str">
        <f>'9-A.Training Sub-Annex'!E38</f>
        <v>RCH</v>
      </c>
      <c r="E74" s="3046" t="str">
        <f>'9-A.Training Sub-Annex'!F38</f>
        <v>MH</v>
      </c>
      <c r="F74" s="3046">
        <f>'9-A.Training Sub-Annex'!G38</f>
        <v>0</v>
      </c>
      <c r="G74" s="3046">
        <f>'9-A.Training Sub-Annex'!H38</f>
        <v>0</v>
      </c>
      <c r="H74" s="3046">
        <f>'9-A.Training Sub-Annex'!I38</f>
        <v>0</v>
      </c>
      <c r="I74" s="3046">
        <f>'9-A.Training Sub-Annex'!J38</f>
        <v>0</v>
      </c>
      <c r="J74" s="3046">
        <f>'9-A.Training Sub-Annex'!K38</f>
        <v>0</v>
      </c>
      <c r="K74" s="3046" t="str">
        <f>'9-A.Training Sub-Annex'!L38</f>
        <v>Per Batch (3 MOs &amp; 3 SN)</v>
      </c>
      <c r="L74" s="3020">
        <f>'9-A.Training Sub-Annex'!M38</f>
        <v>117000</v>
      </c>
      <c r="M74" s="3046">
        <f>'9-A.Training Sub-Annex'!N38</f>
        <v>1.17</v>
      </c>
      <c r="N74" s="3046">
        <f>'9-A.Training Sub-Annex'!O38</f>
        <v>15</v>
      </c>
      <c r="O74" s="3020">
        <f>'9-A.Training Sub-Annex'!P38</f>
        <v>17.549999999999997</v>
      </c>
      <c r="P74" s="3047" t="str">
        <f>'9-A.Training Sub-Annex'!Q38</f>
        <v>Continued activity : To help in reducing maternal deaths due to unsafe abortions.  Budget Rs. 17.55 Lakhs  @ Rs. 117000/- batch (total batches 15).</v>
      </c>
      <c r="Q74" s="3021"/>
      <c r="R74" s="3022"/>
    </row>
    <row r="75" spans="1:18" s="3023" customFormat="1">
      <c r="A75" s="4607"/>
      <c r="B75" s="3044" t="str">
        <f>'9-A.Training Sub-Annex'!C39</f>
        <v>A.9.3.5.1</v>
      </c>
      <c r="C75" s="3045" t="str">
        <f>'9-A.Training Sub-Annex'!D39</f>
        <v>TOT for RTI/STI training</v>
      </c>
      <c r="D75" s="3046" t="str">
        <f>'9-A.Training Sub-Annex'!E39</f>
        <v>RCH</v>
      </c>
      <c r="E75" s="3046" t="str">
        <f>'9-A.Training Sub-Annex'!F39</f>
        <v>MH</v>
      </c>
      <c r="F75" s="3046">
        <f>'9-A.Training Sub-Annex'!G39</f>
        <v>0</v>
      </c>
      <c r="G75" s="3046">
        <f>'9-A.Training Sub-Annex'!H39</f>
        <v>0</v>
      </c>
      <c r="H75" s="3046">
        <f>'9-A.Training Sub-Annex'!I39</f>
        <v>0</v>
      </c>
      <c r="I75" s="3046">
        <f>'9-A.Training Sub-Annex'!J39</f>
        <v>0</v>
      </c>
      <c r="J75" s="3046">
        <f>'9-A.Training Sub-Annex'!K39</f>
        <v>0</v>
      </c>
      <c r="K75" s="3046">
        <f>'9-A.Training Sub-Annex'!L39</f>
        <v>0</v>
      </c>
      <c r="L75" s="3020">
        <f>'9-A.Training Sub-Annex'!M39</f>
        <v>0</v>
      </c>
      <c r="M75" s="3046">
        <f>'9-A.Training Sub-Annex'!N39</f>
        <v>0</v>
      </c>
      <c r="N75" s="3046">
        <f>'9-A.Training Sub-Annex'!O39</f>
        <v>0</v>
      </c>
      <c r="O75" s="3020">
        <f>'9-A.Training Sub-Annex'!P39</f>
        <v>0</v>
      </c>
      <c r="P75" s="3047">
        <f>'9-A.Training Sub-Annex'!Q39</f>
        <v>0</v>
      </c>
      <c r="Q75" s="3021"/>
      <c r="R75" s="3022"/>
    </row>
    <row r="76" spans="1:18" s="3023" customFormat="1">
      <c r="A76" s="4607"/>
      <c r="B76" s="3044" t="str">
        <f>'9-A.Training Sub-Annex'!C40</f>
        <v>A.9.3.5.2</v>
      </c>
      <c r="C76" s="3045" t="str">
        <f>'9-A.Training Sub-Annex'!D40</f>
        <v>Training of laboratory technicians in RTI/STI</v>
      </c>
      <c r="D76" s="3046" t="str">
        <f>'9-A.Training Sub-Annex'!E40</f>
        <v>RCH</v>
      </c>
      <c r="E76" s="3046" t="str">
        <f>'9-A.Training Sub-Annex'!F40</f>
        <v>MH</v>
      </c>
      <c r="F76" s="3046">
        <f>'9-A.Training Sub-Annex'!G40</f>
        <v>0</v>
      </c>
      <c r="G76" s="3046">
        <f>'9-A.Training Sub-Annex'!H40</f>
        <v>0</v>
      </c>
      <c r="H76" s="3046">
        <f>'9-A.Training Sub-Annex'!I40</f>
        <v>0</v>
      </c>
      <c r="I76" s="3046">
        <f>'9-A.Training Sub-Annex'!J40</f>
        <v>0</v>
      </c>
      <c r="J76" s="3046">
        <f>'9-A.Training Sub-Annex'!K40</f>
        <v>0</v>
      </c>
      <c r="K76" s="3046">
        <f>'9-A.Training Sub-Annex'!L40</f>
        <v>0</v>
      </c>
      <c r="L76" s="3020">
        <f>'9-A.Training Sub-Annex'!M40</f>
        <v>0</v>
      </c>
      <c r="M76" s="3046">
        <f>'9-A.Training Sub-Annex'!N40</f>
        <v>0</v>
      </c>
      <c r="N76" s="3046">
        <f>'9-A.Training Sub-Annex'!O40</f>
        <v>0</v>
      </c>
      <c r="O76" s="3020">
        <f>'9-A.Training Sub-Annex'!P40</f>
        <v>0</v>
      </c>
      <c r="P76" s="3047">
        <f>'9-A.Training Sub-Annex'!Q40</f>
        <v>0</v>
      </c>
      <c r="Q76" s="3021"/>
      <c r="R76" s="3022"/>
    </row>
    <row r="77" spans="1:18" s="3023" customFormat="1">
      <c r="A77" s="4607"/>
      <c r="B77" s="3044">
        <f>'9-A.Training Sub-Annex'!C41</f>
        <v>0</v>
      </c>
      <c r="C77" s="3045" t="str">
        <f>'9-A.Training Sub-Annex'!D41</f>
        <v>Training of ANM/staff nurses in RTI/STI</v>
      </c>
      <c r="D77" s="3046" t="str">
        <f>'9-A.Training Sub-Annex'!E41</f>
        <v>RCH</v>
      </c>
      <c r="E77" s="3046" t="str">
        <f>'9-A.Training Sub-Annex'!F41</f>
        <v>MH</v>
      </c>
      <c r="F77" s="3046">
        <f>'9-A.Training Sub-Annex'!G41</f>
        <v>0</v>
      </c>
      <c r="G77" s="3046">
        <f>'9-A.Training Sub-Annex'!H41</f>
        <v>0</v>
      </c>
      <c r="H77" s="3046">
        <f>'9-A.Training Sub-Annex'!I41</f>
        <v>0</v>
      </c>
      <c r="I77" s="3046">
        <f>'9-A.Training Sub-Annex'!J41</f>
        <v>0</v>
      </c>
      <c r="J77" s="3046">
        <f>'9-A.Training Sub-Annex'!K41</f>
        <v>0</v>
      </c>
      <c r="K77" s="3046">
        <f>'9-A.Training Sub-Annex'!L41</f>
        <v>0</v>
      </c>
      <c r="L77" s="3020">
        <f>'9-A.Training Sub-Annex'!M41</f>
        <v>0</v>
      </c>
      <c r="M77" s="3046">
        <f>'9-A.Training Sub-Annex'!N41</f>
        <v>0</v>
      </c>
      <c r="N77" s="3046">
        <f>'9-A.Training Sub-Annex'!O41</f>
        <v>0</v>
      </c>
      <c r="O77" s="3020">
        <f>'9-A.Training Sub-Annex'!P41</f>
        <v>0</v>
      </c>
      <c r="P77" s="3047">
        <f>'9-A.Training Sub-Annex'!Q41</f>
        <v>0</v>
      </c>
      <c r="Q77" s="3021"/>
      <c r="R77" s="3022"/>
    </row>
    <row r="78" spans="1:18" s="3023" customFormat="1">
      <c r="A78" s="4607"/>
      <c r="B78" s="3044" t="str">
        <f>'9-A.Training Sub-Annex'!C42</f>
        <v>A.9.3.5.3</v>
      </c>
      <c r="C78" s="3045" t="str">
        <f>'9-A.Training Sub-Annex'!D42</f>
        <v>Training of Medical Officers in RTI/STI</v>
      </c>
      <c r="D78" s="3046" t="str">
        <f>'9-A.Training Sub-Annex'!E42</f>
        <v>RCH</v>
      </c>
      <c r="E78" s="3046" t="str">
        <f>'9-A.Training Sub-Annex'!F42</f>
        <v>MH</v>
      </c>
      <c r="F78" s="3046">
        <f>'9-A.Training Sub-Annex'!G42</f>
        <v>0</v>
      </c>
      <c r="G78" s="3046">
        <f>'9-A.Training Sub-Annex'!H42</f>
        <v>0</v>
      </c>
      <c r="H78" s="3046">
        <f>'9-A.Training Sub-Annex'!I42</f>
        <v>0</v>
      </c>
      <c r="I78" s="3046">
        <f>'9-A.Training Sub-Annex'!J42</f>
        <v>0</v>
      </c>
      <c r="J78" s="3046">
        <f>'9-A.Training Sub-Annex'!K42</f>
        <v>0</v>
      </c>
      <c r="K78" s="3046">
        <f>'9-A.Training Sub-Annex'!L42</f>
        <v>0</v>
      </c>
      <c r="L78" s="3020">
        <f>'9-A.Training Sub-Annex'!M42</f>
        <v>0</v>
      </c>
      <c r="M78" s="3046">
        <f>'9-A.Training Sub-Annex'!N42</f>
        <v>0</v>
      </c>
      <c r="N78" s="3046">
        <f>'9-A.Training Sub-Annex'!O42</f>
        <v>0</v>
      </c>
      <c r="O78" s="3020">
        <f>'9-A.Training Sub-Annex'!P42</f>
        <v>0</v>
      </c>
      <c r="P78" s="3047">
        <f>'9-A.Training Sub-Annex'!Q42</f>
        <v>0</v>
      </c>
      <c r="Q78" s="3021"/>
      <c r="R78" s="3022"/>
    </row>
    <row r="79" spans="1:18" s="3023" customFormat="1">
      <c r="A79" s="4607"/>
      <c r="B79" s="3044" t="str">
        <f>'9-A.Training Sub-Annex'!C43</f>
        <v>A.9.3.6.1</v>
      </c>
      <c r="C79" s="3045" t="str">
        <f>'9-A.Training Sub-Annex'!D43</f>
        <v>TOT for BEmOC training</v>
      </c>
      <c r="D79" s="3046" t="str">
        <f>'9-A.Training Sub-Annex'!E43</f>
        <v>RCH</v>
      </c>
      <c r="E79" s="3046" t="str">
        <f>'9-A.Training Sub-Annex'!F43</f>
        <v>MH</v>
      </c>
      <c r="F79" s="3046">
        <f>'9-A.Training Sub-Annex'!G43</f>
        <v>0</v>
      </c>
      <c r="G79" s="3046">
        <f>'9-A.Training Sub-Annex'!H43</f>
        <v>0</v>
      </c>
      <c r="H79" s="3046">
        <f>'9-A.Training Sub-Annex'!I43</f>
        <v>0</v>
      </c>
      <c r="I79" s="3046">
        <f>'9-A.Training Sub-Annex'!J43</f>
        <v>0</v>
      </c>
      <c r="J79" s="3046">
        <f>'9-A.Training Sub-Annex'!K43</f>
        <v>0</v>
      </c>
      <c r="K79" s="3046">
        <f>'9-A.Training Sub-Annex'!L43</f>
        <v>0</v>
      </c>
      <c r="L79" s="3020">
        <f>'9-A.Training Sub-Annex'!M43</f>
        <v>0</v>
      </c>
      <c r="M79" s="3046">
        <f>'9-A.Training Sub-Annex'!N43</f>
        <v>0</v>
      </c>
      <c r="N79" s="3046">
        <f>'9-A.Training Sub-Annex'!O43</f>
        <v>0</v>
      </c>
      <c r="O79" s="3020">
        <f>'9-A.Training Sub-Annex'!P43</f>
        <v>0</v>
      </c>
      <c r="P79" s="3047">
        <f>'9-A.Training Sub-Annex'!Q43</f>
        <v>0</v>
      </c>
      <c r="Q79" s="3021"/>
      <c r="R79" s="3022"/>
    </row>
    <row r="80" spans="1:18" s="3023" customFormat="1" ht="75">
      <c r="A80" s="4607"/>
      <c r="B80" s="3044" t="str">
        <f>'9-A.Training Sub-Annex'!C44</f>
        <v>A.9.3.6.2</v>
      </c>
      <c r="C80" s="3045" t="str">
        <f>'9-A.Training Sub-Annex'!D44</f>
        <v>BEmOC training  for MOs/LMOs</v>
      </c>
      <c r="D80" s="3046" t="str">
        <f>'9-A.Training Sub-Annex'!E44</f>
        <v>RCH</v>
      </c>
      <c r="E80" s="3046" t="str">
        <f>'9-A.Training Sub-Annex'!F44</f>
        <v>MH</v>
      </c>
      <c r="F80" s="3046">
        <f>'9-A.Training Sub-Annex'!G44</f>
        <v>0</v>
      </c>
      <c r="G80" s="3046">
        <f>'9-A.Training Sub-Annex'!H44</f>
        <v>0</v>
      </c>
      <c r="H80" s="3046">
        <f>'9-A.Training Sub-Annex'!I44</f>
        <v>0</v>
      </c>
      <c r="I80" s="3046">
        <f>'9-A.Training Sub-Annex'!J44</f>
        <v>0</v>
      </c>
      <c r="J80" s="3046">
        <f>'9-A.Training Sub-Annex'!K44</f>
        <v>0</v>
      </c>
      <c r="K80" s="3046" t="str">
        <f>'9-A.Training Sub-Annex'!L44</f>
        <v>Per Batch (05 MOs)</v>
      </c>
      <c r="L80" s="3020">
        <f>'9-A.Training Sub-Annex'!M44</f>
        <v>190000</v>
      </c>
      <c r="M80" s="3046">
        <f>'9-A.Training Sub-Annex'!N44</f>
        <v>1.9</v>
      </c>
      <c r="N80" s="3046">
        <f>'9-A.Training Sub-Annex'!O44</f>
        <v>6</v>
      </c>
      <c r="O80" s="3020">
        <f>'9-A.Training Sub-Annex'!P44</f>
        <v>11.399999999999999</v>
      </c>
      <c r="P80" s="3047" t="str">
        <f>'9-A.Training Sub-Annex'!Q44</f>
        <v xml:space="preserve">Continued activity : To enhance the capacity of MBBS doctors posted at 24 x7 PHCs so that they become proficient in identifying and managing basic obstetric complications and also develop the necessary skills and competencies to provide essential obstetric and newborn care at the point of first contact. Budget Rs. Lakhs 11.40  @ Rs. 190000/- batch (total batches 06) </v>
      </c>
      <c r="Q80" s="3021"/>
      <c r="R80" s="3022"/>
    </row>
    <row r="81" spans="1:18" s="3023" customFormat="1">
      <c r="A81" s="4607"/>
      <c r="B81" s="3044">
        <f>'9-A.Training Sub-Annex'!C45</f>
        <v>0</v>
      </c>
      <c r="C81" s="3045" t="str">
        <f>'9-A.Training Sub-Annex'!D45</f>
        <v>DAKSHTA training</v>
      </c>
      <c r="D81" s="3046" t="str">
        <f>'9-A.Training Sub-Annex'!E45</f>
        <v>RCH</v>
      </c>
      <c r="E81" s="3046" t="str">
        <f>'9-A.Training Sub-Annex'!F45</f>
        <v>MH</v>
      </c>
      <c r="F81" s="3046">
        <f>'9-A.Training Sub-Annex'!G45</f>
        <v>0</v>
      </c>
      <c r="G81" s="3046">
        <f>'9-A.Training Sub-Annex'!H45</f>
        <v>0</v>
      </c>
      <c r="H81" s="3046">
        <f>'9-A.Training Sub-Annex'!I45</f>
        <v>0</v>
      </c>
      <c r="I81" s="3046">
        <f>'9-A.Training Sub-Annex'!J45</f>
        <v>0</v>
      </c>
      <c r="J81" s="3046">
        <f>'9-A.Training Sub-Annex'!K45</f>
        <v>0</v>
      </c>
      <c r="K81" s="3046">
        <f>'9-A.Training Sub-Annex'!L45</f>
        <v>0</v>
      </c>
      <c r="L81" s="3020">
        <f>'9-A.Training Sub-Annex'!M45</f>
        <v>0</v>
      </c>
      <c r="M81" s="3046">
        <f>'9-A.Training Sub-Annex'!N45</f>
        <v>0</v>
      </c>
      <c r="N81" s="3046">
        <f>'9-A.Training Sub-Annex'!O45</f>
        <v>0</v>
      </c>
      <c r="O81" s="3020">
        <f>'9-A.Training Sub-Annex'!P45</f>
        <v>0</v>
      </c>
      <c r="P81" s="3047">
        <f>'9-A.Training Sub-Annex'!Q45</f>
        <v>0</v>
      </c>
      <c r="Q81" s="3021"/>
      <c r="R81" s="3022"/>
    </row>
    <row r="82" spans="1:18" s="3023" customFormat="1">
      <c r="A82" s="4607"/>
      <c r="B82" s="3044">
        <f>'9-A.Training Sub-Annex'!C46</f>
        <v>0</v>
      </c>
      <c r="C82" s="3045" t="str">
        <f>'9-A.Training Sub-Annex'!D46</f>
        <v>TOT for Dakshta</v>
      </c>
      <c r="D82" s="3046" t="str">
        <f>'9-A.Training Sub-Annex'!E46</f>
        <v>RCH</v>
      </c>
      <c r="E82" s="3046" t="str">
        <f>'9-A.Training Sub-Annex'!F46</f>
        <v>MH</v>
      </c>
      <c r="F82" s="3046">
        <f>'9-A.Training Sub-Annex'!G46</f>
        <v>0</v>
      </c>
      <c r="G82" s="3046">
        <f>'9-A.Training Sub-Annex'!H46</f>
        <v>0</v>
      </c>
      <c r="H82" s="3046">
        <f>'9-A.Training Sub-Annex'!I46</f>
        <v>0</v>
      </c>
      <c r="I82" s="3046">
        <f>'9-A.Training Sub-Annex'!J46</f>
        <v>0</v>
      </c>
      <c r="J82" s="3046">
        <f>'9-A.Training Sub-Annex'!K46</f>
        <v>0</v>
      </c>
      <c r="K82" s="3046">
        <f>'9-A.Training Sub-Annex'!L46</f>
        <v>0</v>
      </c>
      <c r="L82" s="3020">
        <f>'9-A.Training Sub-Annex'!M46</f>
        <v>0</v>
      </c>
      <c r="M82" s="3046">
        <f>'9-A.Training Sub-Annex'!N46</f>
        <v>0</v>
      </c>
      <c r="N82" s="3046">
        <f>'9-A.Training Sub-Annex'!O46</f>
        <v>0</v>
      </c>
      <c r="O82" s="3020">
        <f>'9-A.Training Sub-Annex'!P46</f>
        <v>0</v>
      </c>
      <c r="P82" s="3047">
        <f>'9-A.Training Sub-Annex'!Q46</f>
        <v>0</v>
      </c>
      <c r="Q82" s="3021"/>
      <c r="R82" s="3022"/>
    </row>
    <row r="83" spans="1:18" s="3023" customFormat="1">
      <c r="A83" s="4607"/>
      <c r="B83" s="3044">
        <f>'9-A.Training Sub-Annex'!C47</f>
        <v>0</v>
      </c>
      <c r="C83" s="3045" t="str">
        <f>'9-A.Training Sub-Annex'!D47</f>
        <v>Onsite Mentoring for DAKSHATA</v>
      </c>
      <c r="D83" s="3046" t="str">
        <f>'9-A.Training Sub-Annex'!E47</f>
        <v>RCH</v>
      </c>
      <c r="E83" s="3046" t="str">
        <f>'9-A.Training Sub-Annex'!F47</f>
        <v>MH</v>
      </c>
      <c r="F83" s="3046">
        <f>'9-A.Training Sub-Annex'!G47</f>
        <v>0</v>
      </c>
      <c r="G83" s="3046">
        <f>'9-A.Training Sub-Annex'!H47</f>
        <v>0</v>
      </c>
      <c r="H83" s="3046">
        <f>'9-A.Training Sub-Annex'!I47</f>
        <v>13.73</v>
      </c>
      <c r="I83" s="3046">
        <f>'9-A.Training Sub-Annex'!J47</f>
        <v>0.112</v>
      </c>
      <c r="J83" s="3046">
        <f>'9-A.Training Sub-Annex'!K47</f>
        <v>0</v>
      </c>
      <c r="K83" s="3046">
        <f>'9-A.Training Sub-Annex'!L47</f>
        <v>0</v>
      </c>
      <c r="L83" s="3020">
        <f>'9-A.Training Sub-Annex'!M47</f>
        <v>0</v>
      </c>
      <c r="M83" s="3046">
        <f>'9-A.Training Sub-Annex'!N47</f>
        <v>0</v>
      </c>
      <c r="N83" s="3046">
        <f>'9-A.Training Sub-Annex'!O47</f>
        <v>0</v>
      </c>
      <c r="O83" s="3020">
        <f>'9-A.Training Sub-Annex'!P47</f>
        <v>0</v>
      </c>
      <c r="P83" s="3047">
        <f>'9-A.Training Sub-Annex'!Q47</f>
        <v>0</v>
      </c>
      <c r="Q83" s="3021"/>
      <c r="R83" s="3022"/>
    </row>
    <row r="84" spans="1:18" s="3023" customFormat="1" ht="135">
      <c r="A84" s="4607"/>
      <c r="B84" s="3044">
        <f>'9-A.Training Sub-Annex'!C48</f>
        <v>0</v>
      </c>
      <c r="C84" s="3045" t="str">
        <f>'9-A.Training Sub-Annex'!D48</f>
        <v>LaQshya trainings/workshops</v>
      </c>
      <c r="D84" s="3046" t="str">
        <f>'9-A.Training Sub-Annex'!E48</f>
        <v>RCH</v>
      </c>
      <c r="E84" s="3046" t="str">
        <f>'9-A.Training Sub-Annex'!F48</f>
        <v>MH</v>
      </c>
      <c r="F84" s="3046">
        <f>'9-A.Training Sub-Annex'!G48</f>
        <v>0</v>
      </c>
      <c r="G84" s="3046">
        <f>'9-A.Training Sub-Annex'!H48</f>
        <v>0</v>
      </c>
      <c r="H84" s="3046">
        <f>'9-A.Training Sub-Annex'!I48</f>
        <v>0</v>
      </c>
      <c r="I84" s="3046">
        <f>'9-A.Training Sub-Annex'!J48</f>
        <v>0</v>
      </c>
      <c r="J84" s="3046">
        <f>'9-A.Training Sub-Annex'!K48</f>
        <v>0</v>
      </c>
      <c r="K84" s="3046" t="str">
        <f>'9-A.Training Sub-Annex'!L48</f>
        <v>Per Batch</v>
      </c>
      <c r="L84" s="3020">
        <f>'9-A.Training Sub-Annex'!M48</f>
        <v>3196000</v>
      </c>
      <c r="M84" s="3046">
        <f>'9-A.Training Sub-Annex'!N48</f>
        <v>31.96</v>
      </c>
      <c r="N84" s="3046">
        <f>'9-A.Training Sub-Annex'!O48</f>
        <v>1</v>
      </c>
      <c r="O84" s="3020">
        <f>'9-A.Training Sub-Annex'!P48</f>
        <v>31.96</v>
      </c>
      <c r="P84" s="3047" t="str">
        <f>'9-A.Training Sub-Annex'!Q48</f>
        <v xml:space="preserve">Continued Activity:
A) Demand is being made for quarterly review meeting of LaQshya @Rs 25000= Rs 1 Lakhs.
B) Proposal is being made for 2 Batches of State Level Capacity Building Workshop on QI for Participants from 52 Facilitites (Quality Circle) to be focused for LaQshya Certification @ Rs 123000 per batch for 2 batches = Rs 2.46 Lakhs.
c) District Level refesher training on LaQshya and Quality Improvment - 28.50
Total: 1.00+2.46+28.50= 31.96 Lakhs
Detail Annexed.  
</v>
      </c>
      <c r="Q84" s="3021"/>
      <c r="R84" s="3022"/>
    </row>
    <row r="85" spans="1:18" s="3023" customFormat="1">
      <c r="A85" s="4607"/>
      <c r="B85" s="3044">
        <f>'9-A.Training Sub-Annex'!C49</f>
        <v>0</v>
      </c>
      <c r="C85" s="3045" t="str">
        <f>'9-A.Training Sub-Annex'!D49</f>
        <v>Training of MOs/SNs</v>
      </c>
      <c r="D85" s="3046" t="str">
        <f>'9-A.Training Sub-Annex'!E49</f>
        <v>RCH</v>
      </c>
      <c r="E85" s="3046" t="str">
        <f>'9-A.Training Sub-Annex'!F49</f>
        <v>MH</v>
      </c>
      <c r="F85" s="3046">
        <f>'9-A.Training Sub-Annex'!G49</f>
        <v>0</v>
      </c>
      <c r="G85" s="3046">
        <f>'9-A.Training Sub-Annex'!H49</f>
        <v>0</v>
      </c>
      <c r="H85" s="3046">
        <f>'9-A.Training Sub-Annex'!I49</f>
        <v>0</v>
      </c>
      <c r="I85" s="3046">
        <f>'9-A.Training Sub-Annex'!J49</f>
        <v>0</v>
      </c>
      <c r="J85" s="3046">
        <f>'9-A.Training Sub-Annex'!K49</f>
        <v>0</v>
      </c>
      <c r="K85" s="3046">
        <f>'9-A.Training Sub-Annex'!L49</f>
        <v>0</v>
      </c>
      <c r="L85" s="3020">
        <f>'9-A.Training Sub-Annex'!M49</f>
        <v>0</v>
      </c>
      <c r="M85" s="3046">
        <f>'9-A.Training Sub-Annex'!N49</f>
        <v>0</v>
      </c>
      <c r="N85" s="3046">
        <f>'9-A.Training Sub-Annex'!O49</f>
        <v>0</v>
      </c>
      <c r="O85" s="3020">
        <f>'9-A.Training Sub-Annex'!P49</f>
        <v>0</v>
      </c>
      <c r="P85" s="3044">
        <f>'9-A.Training Sub-Annex'!Q49</f>
        <v>0</v>
      </c>
      <c r="Q85" s="3021"/>
      <c r="R85" s="3022"/>
    </row>
    <row r="86" spans="1:18" s="3023" customFormat="1">
      <c r="A86" s="4607"/>
      <c r="B86" s="3044">
        <f>'9-A.Training Sub-Annex'!C50</f>
        <v>0</v>
      </c>
      <c r="C86" s="3045" t="str">
        <f>'9-A.Training Sub-Annex'!D50</f>
        <v>Onsite mentoring at Delivery Points</v>
      </c>
      <c r="D86" s="3046" t="str">
        <f>'9-A.Training Sub-Annex'!E50</f>
        <v>RCH</v>
      </c>
      <c r="E86" s="3046" t="str">
        <f>'9-A.Training Sub-Annex'!F50</f>
        <v>MH</v>
      </c>
      <c r="F86" s="3046">
        <f>'9-A.Training Sub-Annex'!G50</f>
        <v>0</v>
      </c>
      <c r="G86" s="3046">
        <f>'9-A.Training Sub-Annex'!H50</f>
        <v>0</v>
      </c>
      <c r="H86" s="3046">
        <f>'9-A.Training Sub-Annex'!I50</f>
        <v>0</v>
      </c>
      <c r="I86" s="3046">
        <f>'9-A.Training Sub-Annex'!J50</f>
        <v>0</v>
      </c>
      <c r="J86" s="3046">
        <f>'9-A.Training Sub-Annex'!K50</f>
        <v>0</v>
      </c>
      <c r="K86" s="3046">
        <f>'9-A.Training Sub-Annex'!L50</f>
        <v>0</v>
      </c>
      <c r="L86" s="3020">
        <f>'9-A.Training Sub-Annex'!M50</f>
        <v>0</v>
      </c>
      <c r="M86" s="3046">
        <f>'9-A.Training Sub-Annex'!N50</f>
        <v>0</v>
      </c>
      <c r="N86" s="3046">
        <f>'9-A.Training Sub-Annex'!O50</f>
        <v>0</v>
      </c>
      <c r="O86" s="3020">
        <f>'9-A.Training Sub-Annex'!P50</f>
        <v>0</v>
      </c>
      <c r="P86" s="3044">
        <f>'9-A.Training Sub-Annex'!Q50</f>
        <v>0</v>
      </c>
      <c r="Q86" s="3021"/>
      <c r="R86" s="3022"/>
    </row>
    <row r="87" spans="1:18" s="3023" customFormat="1" ht="90">
      <c r="A87" s="4607"/>
      <c r="B87" s="3044">
        <f>'9-A.Training Sub-Annex'!C51</f>
        <v>0</v>
      </c>
      <c r="C87" s="3045" t="str">
        <f>'9-A.Training Sub-Annex'!D51</f>
        <v>Travel Cost of State Midwifery Educators: State to National Institute</v>
      </c>
      <c r="D87" s="3046" t="str">
        <f>'9-A.Training Sub-Annex'!E51</f>
        <v>RCH</v>
      </c>
      <c r="E87" s="3046" t="str">
        <f>'9-A.Training Sub-Annex'!F51</f>
        <v>MH</v>
      </c>
      <c r="F87" s="3046">
        <f>'9-A.Training Sub-Annex'!G51</f>
        <v>0</v>
      </c>
      <c r="G87" s="3046">
        <f>'9-A.Training Sub-Annex'!H51</f>
        <v>0</v>
      </c>
      <c r="H87" s="3046">
        <f>'9-A.Training Sub-Annex'!I51</f>
        <v>0</v>
      </c>
      <c r="I87" s="3046">
        <f>'9-A.Training Sub-Annex'!J51</f>
        <v>0</v>
      </c>
      <c r="J87" s="3046">
        <f>'9-A.Training Sub-Annex'!K51</f>
        <v>0</v>
      </c>
      <c r="K87" s="3046" t="str">
        <f>'9-A.Training Sub-Annex'!L51</f>
        <v>No of Participants</v>
      </c>
      <c r="L87" s="3020">
        <f>'9-A.Training Sub-Annex'!M51</f>
        <v>2472000</v>
      </c>
      <c r="M87" s="3046">
        <f>'9-A.Training Sub-Annex'!N51</f>
        <v>24.72</v>
      </c>
      <c r="N87" s="3046">
        <f>'9-A.Training Sub-Annex'!O51</f>
        <v>1</v>
      </c>
      <c r="O87" s="3020">
        <f>'9-A.Training Sub-Annex'!P51</f>
        <v>24.72</v>
      </c>
      <c r="P87" s="3047" t="str">
        <f>'9-A.Training Sub-Annex'!Q51</f>
        <v>Continued Activity:
1) Cost of Training of State Level Midwifery Educators:  Cost of Training @ Rs. 4 lakh per educator,So total  cost for 6 Midwifery Educators  traing is 24 lakhs.                                       2)Travel Cost: State to National Institute : One time Travelling Cost Rs.12000/- per Participant,Total 72000/- So Grand Total is Rs.2472000/- (Twenty Four Lakh Seventy two thousand)</v>
      </c>
      <c r="Q87" s="3021"/>
      <c r="R87" s="3022"/>
    </row>
    <row r="88" spans="1:18" s="3023" customFormat="1" ht="210">
      <c r="A88" s="4607"/>
      <c r="B88" s="3044">
        <f>'9-A.Training Sub-Annex'!C52</f>
        <v>0</v>
      </c>
      <c r="C88" s="3045" t="str">
        <f>'9-A.Training Sub-Annex'!D52</f>
        <v xml:space="preserve">Training of Nurse Practitioners in Midwifery </v>
      </c>
      <c r="D88" s="3046" t="str">
        <f>'9-A.Training Sub-Annex'!E52</f>
        <v>RCH</v>
      </c>
      <c r="E88" s="3046" t="str">
        <f>'9-A.Training Sub-Annex'!F52</f>
        <v>MH</v>
      </c>
      <c r="F88" s="3046">
        <f>'9-A.Training Sub-Annex'!G52</f>
        <v>0</v>
      </c>
      <c r="G88" s="3046">
        <f>'9-A.Training Sub-Annex'!H52</f>
        <v>0</v>
      </c>
      <c r="H88" s="3046">
        <f>'9-A.Training Sub-Annex'!I52</f>
        <v>78.25</v>
      </c>
      <c r="I88" s="3046">
        <f>'9-A.Training Sub-Annex'!J52</f>
        <v>0.85050000000000003</v>
      </c>
      <c r="J88" s="3046">
        <f>'9-A.Training Sub-Annex'!K52</f>
        <v>0</v>
      </c>
      <c r="K88" s="3046" t="str">
        <f>'9-A.Training Sub-Annex'!L52</f>
        <v>Per Particiapant</v>
      </c>
      <c r="L88" s="3020">
        <f>'9-A.Training Sub-Annex'!M52</f>
        <v>11425000</v>
      </c>
      <c r="M88" s="3046">
        <f>'9-A.Training Sub-Annex'!N52</f>
        <v>114.25</v>
      </c>
      <c r="N88" s="3046">
        <f>'9-A.Training Sub-Annex'!O52</f>
        <v>1</v>
      </c>
      <c r="O88" s="3020">
        <f>'9-A.Training Sub-Annex'!P52</f>
        <v>114.25</v>
      </c>
      <c r="P88" s="3047" t="str">
        <f>'9-A.Training Sub-Annex'!Q52</f>
        <v>Continued Activity:
(1) Organization Cost :Learning Resource Pakage @5000/-.Stationery @3000/-,Contigency @2000/-Pewr Participant    ,So Rs. 10000/- per participant ,Total for 30 participants Rs.300000/-  (3 Lakhs)  .                    
(2) Honorarium for other Faculty: Guest Faculty/Clinical preceptor@1000/faulty/day for 100 days in 18 months  training(1 batch per year) So Total 100000/-(One Lakh) .                                 
(3) Stipend for Trainees:Stipend @ 10000/- per month  for partcipants for 18 months,So onepartcipant 180000/-,Total for 30 Trainess Rs.5400000/-(Fifty four Lakhs).                           
 (4) Lodging and Boading for Trainees: for lodging and Boarding @ 10000/- per month for partcipants for 18 months,So onepartcipant 180000/-,Total for 30 Trainess Rs.5400000/-(Fifty four Lakhs)  .    
5) Mobility support for Trainees : Mobility @ 7500/-Per praticipant ,So total for 30 participants Rs.225000/-(Two Lakhs Twenty Five Thousand)   .                                                          
Grand Total is Rs.11425000 (One crore 14 Lakhs 25 Thousand)</v>
      </c>
      <c r="Q88" s="3021"/>
      <c r="R88" s="3022"/>
    </row>
    <row r="89" spans="1:18" s="3023" customFormat="1" ht="240">
      <c r="A89" s="4607"/>
      <c r="B89" s="3044" t="str">
        <f>'9-A.Training Sub-Annex'!C53</f>
        <v>A.9.3.7</v>
      </c>
      <c r="C89" s="3045" t="str">
        <f>'9-A.Training Sub-Annex'!D53</f>
        <v>Other maternal health trainings (please specify)</v>
      </c>
      <c r="D89" s="3046" t="str">
        <f>'9-A.Training Sub-Annex'!E53</f>
        <v>RCH</v>
      </c>
      <c r="E89" s="3046" t="str">
        <f>'9-A.Training Sub-Annex'!F53</f>
        <v>MH</v>
      </c>
      <c r="F89" s="3046">
        <f>'9-A.Training Sub-Annex'!G53</f>
        <v>0</v>
      </c>
      <c r="G89" s="3046">
        <f>'9-A.Training Sub-Annex'!H53</f>
        <v>0</v>
      </c>
      <c r="H89" s="3046">
        <f>'9-A.Training Sub-Annex'!I53</f>
        <v>0</v>
      </c>
      <c r="I89" s="3046">
        <f>'9-A.Training Sub-Annex'!J53</f>
        <v>0</v>
      </c>
      <c r="J89" s="3046">
        <f>'9-A.Training Sub-Annex'!K53</f>
        <v>0</v>
      </c>
      <c r="K89" s="3046" t="str">
        <f>'9-A.Training Sub-Annex'!L53</f>
        <v>Training</v>
      </c>
      <c r="L89" s="3020">
        <f>'9-A.Training Sub-Annex'!M53</f>
        <v>8242000</v>
      </c>
      <c r="M89" s="3046">
        <f>'9-A.Training Sub-Annex'!N53</f>
        <v>82.42</v>
      </c>
      <c r="N89" s="3046">
        <f>'9-A.Training Sub-Annex'!O53</f>
        <v>1</v>
      </c>
      <c r="O89" s="3020">
        <f>'9-A.Training Sub-Annex'!P53</f>
        <v>82.42</v>
      </c>
      <c r="P89" s="3047" t="str">
        <f>'9-A.Training Sub-Annex'!Q53</f>
        <v xml:space="preserve">Continued activity : This includes-(I) SBA Training in Private Health Facilities, Budget Rs. Lakhs 54.90, @ Rs. 228735/- batch (total batches 24) and  (II) Training on Survivors of Sexual violence, Budget Rs. Lakhs 4.72 @ Rs. 23600/- batch (total batches 20).
B.
New Activity:
New Activity:
a) Training of Pvt . Health Facilities: In Bihar as per NHFS -5 Institutional Delivery reported from Pvt health Facility 20% whereas on HMIS only 3% Instituional Delivery is being reported. To ensure reporting from Pvt. health Facilities a total number of 430 Private health facilities have been mapped for which ID &amp; Password has been created on New HMIS Portal.In addition to this MDSR training to be imparted to Prvt. Practioners for ensuring reporting.
In this Context training of Pvt Health Facilities on reporting of Instituonal Delivery have been planned across 38 districts @ Rs 60000 Per Batch.
Total Cost: Rs 60000*38= 2280000
</v>
      </c>
      <c r="Q89" s="3021"/>
      <c r="R89" s="3022"/>
    </row>
    <row r="90" spans="1:18" s="3023" customFormat="1">
      <c r="A90" s="3030">
        <f>'10.Review Research &amp; Surveillen'!A7</f>
        <v>10</v>
      </c>
      <c r="B90" s="3038"/>
      <c r="C90" s="3031" t="str">
        <f>'10.Review Research &amp; Surveillen'!C7</f>
        <v>Reviews, Research, Surveys and Surveillance</v>
      </c>
      <c r="D90" s="3032"/>
      <c r="E90" s="3032"/>
      <c r="F90" s="3032"/>
      <c r="G90" s="3032"/>
      <c r="H90" s="3033"/>
      <c r="I90" s="3032"/>
      <c r="J90" s="3033"/>
      <c r="K90" s="3032"/>
      <c r="L90" s="3033"/>
      <c r="M90" s="3033"/>
      <c r="N90" s="3039"/>
      <c r="O90" s="3040">
        <f>SUM(O91)</f>
        <v>71.81</v>
      </c>
      <c r="P90" s="3041"/>
      <c r="Q90" s="3042"/>
      <c r="R90" s="3043">
        <f>SUM(R91)</f>
        <v>0</v>
      </c>
    </row>
    <row r="91" spans="1:18" s="3023" customFormat="1" ht="195">
      <c r="A91" s="3048" t="str">
        <f>'10.Review Research &amp; Surveillen'!A9</f>
        <v>10.1.1</v>
      </c>
      <c r="B91" s="3048" t="str">
        <f>'10.Review Research &amp; Surveillen'!B9</f>
        <v>A.1.4</v>
      </c>
      <c r="C91" s="3049" t="str">
        <f>'10.Review Research &amp; Surveillen'!C9</f>
        <v>Maternal Death Review (both in institutions and community)</v>
      </c>
      <c r="D91" s="3050" t="str">
        <f>'10.Review Research &amp; Surveillen'!D9</f>
        <v>RCH</v>
      </c>
      <c r="E91" s="3050" t="str">
        <f>'10.Review Research &amp; Surveillen'!E9</f>
        <v>MH</v>
      </c>
      <c r="F91" s="3050">
        <f>'10.Review Research &amp; Surveillen'!F9</f>
        <v>0</v>
      </c>
      <c r="G91" s="3050">
        <f>'10.Review Research &amp; Surveillen'!G9</f>
        <v>0</v>
      </c>
      <c r="H91" s="3050">
        <f>'10.Review Research &amp; Surveillen'!H9</f>
        <v>13.6</v>
      </c>
      <c r="I91" s="3050">
        <f>'10.Review Research &amp; Surveillen'!I9</f>
        <v>111.31457</v>
      </c>
      <c r="J91" s="3050">
        <f>'10.Review Research &amp; Surveillen'!J9</f>
        <v>0</v>
      </c>
      <c r="K91" s="3050" t="str">
        <f>'10.Review Research &amp; Surveillen'!K9</f>
        <v>Per Case</v>
      </c>
      <c r="L91" s="3020">
        <f>'10.Review Research &amp; Surveillen'!L9</f>
        <v>7181000</v>
      </c>
      <c r="M91" s="3050">
        <f>'10.Review Research &amp; Surveillen'!M9</f>
        <v>71.81</v>
      </c>
      <c r="N91" s="3050">
        <f>'10.Review Research &amp; Surveillen'!N9</f>
        <v>1</v>
      </c>
      <c r="O91" s="3020">
        <f>'10.Review Research &amp; Surveillen'!O9</f>
        <v>71.81</v>
      </c>
      <c r="P91" s="3048" t="str">
        <f>'10.Review Research &amp; Surveillen'!P9</f>
        <v xml:space="preserve">Continued Activity:
a) No of Maternal Death reported and reviewed @1050 per Maternal Death for 2500 Maternal Death (Continued Activity, 2500*1050=26.25 lakhs                                                            b) Quarterly State level review meetings will be conducted including MNM @12,500 per meeting for 4 quarters. (4*12500=0.50akhs)              c) Annual State Level Taskforce review meeting will be conducted once a year @6000.(1*6000=0.06 lakhs)
d) Incentive to First Responder of Maternal Death under SUMAN: An amount of Rs 50 Lakhs is being demanded as an incentive to First Responder of Maternal Death for 4500 Maternal Deaths aganist expected 4700 Maternal Deaths Per Year  .
(4500*1000=4500000) 
Total - 45.00 Lakhs
a+b+c=71.81 lakhs
</v>
      </c>
      <c r="Q91" s="3051"/>
      <c r="R91" s="3022"/>
    </row>
    <row r="92" spans="1:18" s="3023" customFormat="1">
      <c r="A92" s="3030">
        <f>'11.IEC-BCC Annex'!A7</f>
        <v>11</v>
      </c>
      <c r="B92" s="3038"/>
      <c r="C92" s="3031" t="str">
        <f>'11.IEC-BCC Annex'!C7</f>
        <v>IEC/BCC</v>
      </c>
      <c r="D92" s="3032"/>
      <c r="E92" s="3032"/>
      <c r="F92" s="3032"/>
      <c r="G92" s="3032"/>
      <c r="H92" s="3033"/>
      <c r="I92" s="3032"/>
      <c r="J92" s="3033"/>
      <c r="K92" s="3032"/>
      <c r="L92" s="3033"/>
      <c r="M92" s="3033"/>
      <c r="N92" s="3039"/>
      <c r="O92" s="3040">
        <f>SUM(O93:O95)</f>
        <v>46.17</v>
      </c>
      <c r="P92" s="3041"/>
      <c r="Q92" s="3042"/>
      <c r="R92" s="3043">
        <f>SUM(R93:R95)</f>
        <v>0</v>
      </c>
    </row>
    <row r="93" spans="1:18" s="3023" customFormat="1" ht="75">
      <c r="A93" s="4606" t="str">
        <f>'11.IEC-BCC Annex'!A9</f>
        <v>11.1.1</v>
      </c>
      <c r="B93" s="3052" t="str">
        <f>'11-A. IEC Sub-Annex'!C7</f>
        <v>B.10.3.1.1</v>
      </c>
      <c r="C93" s="3045" t="str">
        <f>'11-A. IEC Sub-Annex'!D7</f>
        <v>Media Mix of Mid Media/ Mass Media</v>
      </c>
      <c r="D93" s="3050" t="str">
        <f>'11-A. IEC Sub-Annex'!E7</f>
        <v>RCH</v>
      </c>
      <c r="E93" s="3050" t="str">
        <f>'11-A. IEC Sub-Annex'!F7</f>
        <v>MH</v>
      </c>
      <c r="F93" s="3046">
        <f>'11-A. IEC Sub-Annex'!G7</f>
        <v>0</v>
      </c>
      <c r="G93" s="3046">
        <f>'11-A. IEC Sub-Annex'!H7</f>
        <v>0</v>
      </c>
      <c r="H93" s="3046">
        <f>'11-A. IEC Sub-Annex'!I7</f>
        <v>0</v>
      </c>
      <c r="I93" s="3046">
        <f>'11-A. IEC Sub-Annex'!J7</f>
        <v>0</v>
      </c>
      <c r="J93" s="3046">
        <f>'11-A. IEC Sub-Annex'!K7</f>
        <v>0</v>
      </c>
      <c r="K93" s="3046" t="str">
        <f>'11-A. IEC Sub-Annex'!L7</f>
        <v>Per Advt., Spot etc.</v>
      </c>
      <c r="L93" s="3046">
        <f>'11-A. IEC Sub-Annex'!M7</f>
        <v>238235.29411764705</v>
      </c>
      <c r="M93" s="3046">
        <f>'11-A. IEC Sub-Annex'!N7</f>
        <v>2.3823529411764706</v>
      </c>
      <c r="N93" s="3046">
        <f>'11-A. IEC Sub-Annex'!O7</f>
        <v>17</v>
      </c>
      <c r="O93" s="3046">
        <f>'11-A. IEC Sub-Annex'!P7</f>
        <v>40.5</v>
      </c>
      <c r="P93" s="3046" t="str">
        <f>'11-A. IEC Sub-Annex'!Q7</f>
        <v xml:space="preserve">Continued Activities:
Publication of SUMAN/ PMSMA Advt./CAC/ Broadcasting of Radio/Video spot/Cinema Slide etc.
(Calculation Sheet is attached as FMR 11.4.1_Annexure)
</v>
      </c>
      <c r="Q93" s="3021"/>
      <c r="R93" s="3022"/>
    </row>
    <row r="94" spans="1:18" s="3023" customFormat="1">
      <c r="A94" s="4606"/>
      <c r="B94" s="3052" t="str">
        <f>'11-A. IEC Sub-Annex'!C8</f>
        <v>B.10.3.1.2</v>
      </c>
      <c r="C94" s="3045" t="str">
        <f>'11-A. IEC Sub-Annex'!D8</f>
        <v>Inter Personal Communication</v>
      </c>
      <c r="D94" s="3050" t="str">
        <f>'11-A. IEC Sub-Annex'!E8</f>
        <v>RCH</v>
      </c>
      <c r="E94" s="3050" t="str">
        <f>'11-A. IEC Sub-Annex'!F8</f>
        <v>MH</v>
      </c>
      <c r="F94" s="3046">
        <f>'11-A. IEC Sub-Annex'!G8</f>
        <v>0</v>
      </c>
      <c r="G94" s="3046">
        <f>'11-A. IEC Sub-Annex'!H8</f>
        <v>0</v>
      </c>
      <c r="H94" s="3046">
        <f>'11-A. IEC Sub-Annex'!I8</f>
        <v>0</v>
      </c>
      <c r="I94" s="3046">
        <f>'11-A. IEC Sub-Annex'!J8</f>
        <v>0</v>
      </c>
      <c r="J94" s="3046">
        <f>'11-A. IEC Sub-Annex'!K8</f>
        <v>0</v>
      </c>
      <c r="K94" s="3046">
        <f>'11-A. IEC Sub-Annex'!L8</f>
        <v>0</v>
      </c>
      <c r="L94" s="3046">
        <f>'11-A. IEC Sub-Annex'!M8</f>
        <v>0</v>
      </c>
      <c r="M94" s="3046">
        <f>'11-A. IEC Sub-Annex'!N8</f>
        <v>0</v>
      </c>
      <c r="N94" s="3046">
        <f>'11-A. IEC Sub-Annex'!O8</f>
        <v>0</v>
      </c>
      <c r="O94" s="3046">
        <f>'11-A. IEC Sub-Annex'!P8</f>
        <v>0</v>
      </c>
      <c r="P94" s="3046">
        <f>'11-A. IEC Sub-Annex'!Q8</f>
        <v>0</v>
      </c>
      <c r="Q94" s="3021"/>
      <c r="R94" s="3022"/>
    </row>
    <row r="95" spans="1:18" s="3023" customFormat="1" ht="30">
      <c r="A95" s="4606"/>
      <c r="B95" s="3052">
        <f>'11-A. IEC Sub-Annex'!C9</f>
        <v>0</v>
      </c>
      <c r="C95" s="3045" t="str">
        <f>'11-A. IEC Sub-Annex'!D9</f>
        <v>Any other IEC/BCC activities (please specify)</v>
      </c>
      <c r="D95" s="3050" t="str">
        <f>'11-A. IEC Sub-Annex'!E9</f>
        <v>RCH</v>
      </c>
      <c r="E95" s="3050" t="str">
        <f>'11-A. IEC Sub-Annex'!F9</f>
        <v>MH</v>
      </c>
      <c r="F95" s="3046">
        <f>'11-A. IEC Sub-Annex'!G9</f>
        <v>0</v>
      </c>
      <c r="G95" s="3046">
        <f>'11-A. IEC Sub-Annex'!H9</f>
        <v>0</v>
      </c>
      <c r="H95" s="3046">
        <f>'11-A. IEC Sub-Annex'!I9</f>
        <v>0</v>
      </c>
      <c r="I95" s="3046">
        <f>'11-A. IEC Sub-Annex'!J9</f>
        <v>0</v>
      </c>
      <c r="J95" s="3046">
        <f>'11-A. IEC Sub-Annex'!K9</f>
        <v>0</v>
      </c>
      <c r="K95" s="3046" t="str">
        <f>'11-A. IEC Sub-Annex'!L9</f>
        <v>Per Hoarding Banner</v>
      </c>
      <c r="L95" s="3046">
        <f>'11-A. IEC Sub-Annex'!M9</f>
        <v>3500</v>
      </c>
      <c r="M95" s="3046">
        <f>'11-A. IEC Sub-Annex'!N9</f>
        <v>3.5000000000000003E-2</v>
      </c>
      <c r="N95" s="3046">
        <f>'11-A. IEC Sub-Annex'!O9</f>
        <v>162</v>
      </c>
      <c r="O95" s="3046">
        <f>'11-A. IEC Sub-Annex'!P9</f>
        <v>5.6700000000000008</v>
      </c>
      <c r="P95" s="3046" t="str">
        <f>'11-A. IEC Sub-Annex'!Q9</f>
        <v>Intallation of Hoarding Banner- SUMAN/EMTCT/LAQSHYA for awareness among people @ approx Rs. 3500 per unit for total 54*3=162 unit.</v>
      </c>
      <c r="Q95" s="3021"/>
      <c r="R95" s="3022"/>
    </row>
    <row r="96" spans="1:18" s="3023" customFormat="1">
      <c r="A96" s="3030">
        <f>'12.Printing Annex'!A7</f>
        <v>12</v>
      </c>
      <c r="B96" s="3038"/>
      <c r="C96" s="3031" t="str">
        <f>'12.Printing Annex'!C7</f>
        <v>Printing</v>
      </c>
      <c r="D96" s="3032"/>
      <c r="E96" s="3032"/>
      <c r="F96" s="3032"/>
      <c r="G96" s="3032"/>
      <c r="H96" s="3033"/>
      <c r="I96" s="3032"/>
      <c r="J96" s="3033"/>
      <c r="K96" s="3032"/>
      <c r="L96" s="3033"/>
      <c r="M96" s="3033"/>
      <c r="N96" s="3039"/>
      <c r="O96" s="3040">
        <f>SUM(O97:O100)</f>
        <v>801.22730268747398</v>
      </c>
      <c r="P96" s="3041"/>
      <c r="Q96" s="3042"/>
      <c r="R96" s="3043">
        <f>SUM(R97:R100)</f>
        <v>0</v>
      </c>
    </row>
    <row r="97" spans="1:18" s="3023" customFormat="1" ht="45">
      <c r="A97" s="4608" t="str">
        <f>'12.Printing Annex'!A9</f>
        <v>12.1.1</v>
      </c>
      <c r="B97" s="3052" t="str">
        <f>'12-A. Print Sub-Annex'!C7</f>
        <v>A.1.4</v>
      </c>
      <c r="C97" s="3045" t="str">
        <f>'12-A. Print Sub-Annex'!D7</f>
        <v>Printing of MDR formats</v>
      </c>
      <c r="D97" s="3050" t="str">
        <f>'12-A. Print Sub-Annex'!E7</f>
        <v>RCH</v>
      </c>
      <c r="E97" s="3050" t="str">
        <f>'12-A. Print Sub-Annex'!F7</f>
        <v>MH</v>
      </c>
      <c r="F97" s="3050">
        <f>'12-A. Print Sub-Annex'!G7</f>
        <v>0</v>
      </c>
      <c r="G97" s="3050">
        <f>'12-A. Print Sub-Annex'!H7</f>
        <v>0</v>
      </c>
      <c r="H97" s="3050">
        <f>'12-A. Print Sub-Annex'!I7</f>
        <v>0</v>
      </c>
      <c r="I97" s="3050">
        <f>'12-A. Print Sub-Annex'!J7</f>
        <v>0</v>
      </c>
      <c r="J97" s="3050">
        <f>'12-A. Print Sub-Annex'!K7</f>
        <v>0</v>
      </c>
      <c r="K97" s="3050" t="str">
        <f>'12-A. Print Sub-Annex'!L7</f>
        <v>Per Format</v>
      </c>
      <c r="L97" s="3050">
        <f>'12-A. Print Sub-Annex'!M7</f>
        <v>7.7820312500000002</v>
      </c>
      <c r="M97" s="3050">
        <f>'12-A. Print Sub-Annex'!N7</f>
        <v>7.7820312499999995E-5</v>
      </c>
      <c r="N97" s="3050">
        <f>'12-A. Print Sub-Annex'!O7</f>
        <v>19200</v>
      </c>
      <c r="O97" s="3050">
        <f>'12-A. Print Sub-Annex'!P7</f>
        <v>1.4941499999999999</v>
      </c>
      <c r="P97" s="3050" t="str">
        <f>'12-A. Print Sub-Annex'!Q7</f>
        <v>Continuted Activitiy:
Printing of various types MDSR formats for Maternal Death Surveillance and Response .
(Calculation Sheet is attached as annexure_FMR 12.1.1)</v>
      </c>
      <c r="Q97" s="3021"/>
      <c r="R97" s="3022"/>
    </row>
    <row r="98" spans="1:18" s="3023" customFormat="1" ht="60">
      <c r="A98" s="4609"/>
      <c r="B98" s="3052" t="str">
        <f>'12-A. Print Sub-Annex'!C8</f>
        <v>B.10.7.1</v>
      </c>
      <c r="C98" s="3045" t="str">
        <f>'12-A. Print Sub-Annex'!D8</f>
        <v>Printing of MCP cards,  safe motherhood booklets  etc.</v>
      </c>
      <c r="D98" s="3050" t="str">
        <f>'12-A. Print Sub-Annex'!E8</f>
        <v>RCH</v>
      </c>
      <c r="E98" s="3050" t="str">
        <f>'12-A. Print Sub-Annex'!F8</f>
        <v>MH</v>
      </c>
      <c r="F98" s="3050">
        <f>'12-A. Print Sub-Annex'!G8</f>
        <v>0</v>
      </c>
      <c r="G98" s="3050">
        <f>'12-A. Print Sub-Annex'!H8</f>
        <v>0</v>
      </c>
      <c r="H98" s="3050">
        <f>'12-A. Print Sub-Annex'!I8</f>
        <v>0</v>
      </c>
      <c r="I98" s="3050">
        <f>'12-A. Print Sub-Annex'!J8</f>
        <v>0</v>
      </c>
      <c r="J98" s="3050">
        <f>'12-A. Print Sub-Annex'!K8</f>
        <v>0</v>
      </c>
      <c r="K98" s="3050" t="str">
        <f>'12-A. Print Sub-Annex'!L8</f>
        <v>Per Booklet</v>
      </c>
      <c r="L98" s="3050">
        <f>'12-A. Print Sub-Annex'!M8</f>
        <v>20</v>
      </c>
      <c r="M98" s="3050">
        <f>'12-A. Print Sub-Annex'!N8</f>
        <v>2.0000000000000001E-4</v>
      </c>
      <c r="N98" s="3050">
        <f>'12-A. Print Sub-Annex'!O8</f>
        <v>3200000</v>
      </c>
      <c r="O98" s="3050">
        <f>'12-A. Print Sub-Annex'!P8</f>
        <v>640</v>
      </c>
      <c r="P98" s="3050" t="str">
        <f>'12-A. Print Sub-Annex'!Q8</f>
        <v xml:space="preserve">Continued Activity:
Printing of 32 lakhs MCP Card Booklet on art paper @Rs. 20/-  per piece, Total - 3200000x20 = 640.00 lakhs
</v>
      </c>
      <c r="Q98" s="3021"/>
      <c r="R98" s="3022"/>
    </row>
    <row r="99" spans="1:18" s="3023" customFormat="1" ht="150">
      <c r="A99" s="4609"/>
      <c r="B99" s="3052">
        <f>'12-A. Print Sub-Annex'!C9</f>
        <v>0</v>
      </c>
      <c r="C99" s="3045" t="str">
        <f>'12-A. Print Sub-Annex'!D9</f>
        <v xml:space="preserve">Printing of labour room registers and case sheets/ LaQshya related printing </v>
      </c>
      <c r="D99" s="3050" t="str">
        <f>'12-A. Print Sub-Annex'!E9</f>
        <v>RCH</v>
      </c>
      <c r="E99" s="3050" t="str">
        <f>'12-A. Print Sub-Annex'!F9</f>
        <v>MH</v>
      </c>
      <c r="F99" s="3050">
        <f>'12-A. Print Sub-Annex'!G9</f>
        <v>0</v>
      </c>
      <c r="G99" s="3050">
        <f>'12-A. Print Sub-Annex'!H9</f>
        <v>0</v>
      </c>
      <c r="H99" s="3050">
        <f>'12-A. Print Sub-Annex'!I9</f>
        <v>0</v>
      </c>
      <c r="I99" s="3050">
        <f>'12-A. Print Sub-Annex'!J9</f>
        <v>0</v>
      </c>
      <c r="J99" s="3050">
        <f>'12-A. Print Sub-Annex'!K9</f>
        <v>0</v>
      </c>
      <c r="K99" s="3050" t="str">
        <f>'12-A. Print Sub-Annex'!L9</f>
        <v>Per Case Sheet, Register, Format etc.</v>
      </c>
      <c r="L99" s="3050">
        <f>'12-A. Print Sub-Annex'!M9</f>
        <v>9.2042050544955867</v>
      </c>
      <c r="M99" s="3050">
        <f>'12-A. Print Sub-Annex'!N9</f>
        <v>9.2042050544955873E-5</v>
      </c>
      <c r="N99" s="3050">
        <f>'12-A. Print Sub-Annex'!O9</f>
        <v>1711100</v>
      </c>
      <c r="O99" s="3050">
        <f>'12-A. Print Sub-Annex'!P9</f>
        <v>157.49315268747398</v>
      </c>
      <c r="P99" s="3050" t="str">
        <f>'12-A. Print Sub-Annex'!Q9</f>
        <v>Continued Activity:
1. Printing of 3 types of Labour Room Case Sheet for Labour Room and Labour Room Register.
2. Printing of Pre/post-test questionnaire (2 sets per participant, OSCE sheet, Partograph for participants &amp; Case Study, Trainer's Feedback Form, Training skills checklists and session planning format etc. under "LAKSHYA Karyakram"
3. Printing of CAC 5 Items such as Admission Register, Evacuation Register, Consent Form, RMP Opinion Form and Form H.
Approx 500000 rupees required for these items.
(Calculation Sheet is attached as FMR 12.1.3_Annexure)</v>
      </c>
      <c r="Q99" s="3021"/>
      <c r="R99" s="3022"/>
    </row>
    <row r="100" spans="1:18" s="3023" customFormat="1" ht="60">
      <c r="A100" s="4610"/>
      <c r="B100" s="3052">
        <f>'12-A. Print Sub-Annex'!C10</f>
        <v>0</v>
      </c>
      <c r="C100" s="3045" t="str">
        <f>'12-A. Print Sub-Annex'!D11</f>
        <v>Any other (please specify)</v>
      </c>
      <c r="D100" s="3050" t="str">
        <f>'12-A. Print Sub-Annex'!E11</f>
        <v>RCH</v>
      </c>
      <c r="E100" s="3050" t="str">
        <f>'12-A. Print Sub-Annex'!F11</f>
        <v>MH</v>
      </c>
      <c r="F100" s="3050">
        <f>'12-A. Print Sub-Annex'!G11</f>
        <v>0</v>
      </c>
      <c r="G100" s="3050">
        <f>'12-A. Print Sub-Annex'!H11</f>
        <v>0</v>
      </c>
      <c r="H100" s="3050">
        <f>'12-A. Print Sub-Annex'!I11</f>
        <v>0</v>
      </c>
      <c r="I100" s="3050">
        <f>'12-A. Print Sub-Annex'!J11</f>
        <v>0</v>
      </c>
      <c r="J100" s="3050">
        <f>'12-A. Print Sub-Annex'!K11</f>
        <v>0</v>
      </c>
      <c r="K100" s="3050" t="str">
        <f>'12-A. Print Sub-Annex'!L11</f>
        <v>Per Flip book, card etc.</v>
      </c>
      <c r="L100" s="3050">
        <f>'12-A. Print Sub-Annex'!M11</f>
        <v>224000</v>
      </c>
      <c r="M100" s="3050">
        <f>'12-A. Print Sub-Annex'!N11</f>
        <v>2.2400000000000002</v>
      </c>
      <c r="N100" s="3050">
        <f>'12-A. Print Sub-Annex'!O11</f>
        <v>1</v>
      </c>
      <c r="O100" s="3050">
        <f>'12-A. Print Sub-Annex'!P11</f>
        <v>2.2400000000000002</v>
      </c>
      <c r="P100" s="3050" t="str">
        <f>'12-A. Print Sub-Annex'!Q11</f>
        <v>New Activity :
Printing of 1100 Algorithms card and1100 Flip Book related to Nutrition of Pregnant women for ANM of 3 Aspirational Districts.
(Calculation sheet is attached as Annexure _FMR 12.1.5)</v>
      </c>
      <c r="Q100" s="3021"/>
      <c r="R100" s="3022"/>
    </row>
    <row r="101" spans="1:18" s="3023" customFormat="1">
      <c r="A101" s="3053" t="s">
        <v>4351</v>
      </c>
      <c r="B101" s="3053"/>
      <c r="C101" s="3054" t="s">
        <v>4063</v>
      </c>
      <c r="D101" s="3055"/>
      <c r="E101" s="3055"/>
      <c r="F101" s="3055"/>
      <c r="G101" s="3055"/>
      <c r="H101" s="3056"/>
      <c r="I101" s="3055"/>
      <c r="J101" s="3056"/>
      <c r="K101" s="3055"/>
      <c r="L101" s="3056"/>
      <c r="M101" s="3056"/>
      <c r="N101" s="3057"/>
      <c r="O101" s="3058">
        <f>O102+O111+O113+O121+O126+O144+O146+O173+O175+O180</f>
        <v>15227.641351934373</v>
      </c>
      <c r="P101" s="3059"/>
      <c r="Q101" s="3060"/>
      <c r="R101" s="3061">
        <f>R102+R111+R113+R121+R126+R144+R146+R173+R175+R180</f>
        <v>0</v>
      </c>
    </row>
    <row r="102" spans="1:18" s="3029" customFormat="1">
      <c r="A102" s="3030">
        <f>'1.SD Facility Based Annex'!A7</f>
        <v>1</v>
      </c>
      <c r="B102" s="3030">
        <f>'1.SD Facility Based Annex'!B7</f>
        <v>0</v>
      </c>
      <c r="C102" s="3031" t="str">
        <f>'1.SD Facility Based Annex'!C7</f>
        <v>Service Delivery - Facility Based</v>
      </c>
      <c r="D102" s="3032"/>
      <c r="E102" s="3032"/>
      <c r="F102" s="3032"/>
      <c r="G102" s="3032"/>
      <c r="H102" s="3032"/>
      <c r="I102" s="3032"/>
      <c r="J102" s="3032"/>
      <c r="K102" s="3032"/>
      <c r="L102" s="3033"/>
      <c r="M102" s="3032"/>
      <c r="N102" s="3032"/>
      <c r="O102" s="3033">
        <f>SUM(O103:O110)</f>
        <v>1821.6366</v>
      </c>
      <c r="P102" s="3030"/>
      <c r="Q102" s="3034"/>
      <c r="R102" s="3035">
        <f>SUM(R103:R110)</f>
        <v>0</v>
      </c>
    </row>
    <row r="103" spans="1:18" s="3023" customFormat="1">
      <c r="A103" s="3017" t="str">
        <f>'1.SD Facility Based Annex'!A84</f>
        <v>1.3.1.1</v>
      </c>
      <c r="B103" s="3017" t="str">
        <f>'1.SD Facility Based Annex'!B84</f>
        <v>A.2.2.1</v>
      </c>
      <c r="C103" s="3018" t="str">
        <f>'1.SD Facility Based Annex'!C84</f>
        <v>Operating expenses for SNCU</v>
      </c>
      <c r="D103" s="3019" t="str">
        <f>'1.SD Facility Based Annex'!D84</f>
        <v>RCH</v>
      </c>
      <c r="E103" s="3019" t="str">
        <f>'1.SD Facility Based Annex'!E84</f>
        <v>CH</v>
      </c>
      <c r="F103" s="3019">
        <f>'1.SD Facility Based Annex'!F84</f>
        <v>0</v>
      </c>
      <c r="G103" s="3019">
        <f>'1.SD Facility Based Annex'!G84</f>
        <v>0</v>
      </c>
      <c r="H103" s="3019">
        <f>'1.SD Facility Based Annex'!H84</f>
        <v>0</v>
      </c>
      <c r="I103" s="3019">
        <f>'1.SD Facility Based Annex'!I84</f>
        <v>0</v>
      </c>
      <c r="J103" s="3019">
        <f>'1.SD Facility Based Annex'!J84</f>
        <v>0</v>
      </c>
      <c r="K103" s="3019" t="str">
        <f>'1.SD Facility Based Annex'!K84</f>
        <v>No.of SNCU</v>
      </c>
      <c r="L103" s="3020">
        <f>'1.SD Facility Based Annex'!L84</f>
        <v>1200000</v>
      </c>
      <c r="M103" s="3019">
        <f>'1.SD Facility Based Annex'!M84</f>
        <v>12</v>
      </c>
      <c r="N103" s="3019">
        <f>'1.SD Facility Based Annex'!N84</f>
        <v>43</v>
      </c>
      <c r="O103" s="3020">
        <f>'1.SD Facility Based Annex'!O84</f>
        <v>516</v>
      </c>
      <c r="P103" s="3017" t="str">
        <f>'1.SD Facility Based Annex'!P84</f>
        <v>continued activity. SNCU of 13 Aspirational districts are functional</v>
      </c>
      <c r="Q103" s="3021"/>
      <c r="R103" s="3022"/>
    </row>
    <row r="104" spans="1:18" s="3023" customFormat="1">
      <c r="A104" s="3017" t="str">
        <f>'1.SD Facility Based Annex'!A85</f>
        <v>1.3.1.2</v>
      </c>
      <c r="B104" s="3017" t="str">
        <f>'1.SD Facility Based Annex'!B85</f>
        <v>A.2.2.2</v>
      </c>
      <c r="C104" s="3018" t="str">
        <f>'1.SD Facility Based Annex'!C85</f>
        <v>Operating expenses for NBSU</v>
      </c>
      <c r="D104" s="3019" t="str">
        <f>'1.SD Facility Based Annex'!D85</f>
        <v>RCH</v>
      </c>
      <c r="E104" s="3019" t="str">
        <f>'1.SD Facility Based Annex'!E85</f>
        <v>CH</v>
      </c>
      <c r="F104" s="3019">
        <f>'1.SD Facility Based Annex'!F85</f>
        <v>0</v>
      </c>
      <c r="G104" s="3019">
        <f>'1.SD Facility Based Annex'!G85</f>
        <v>0</v>
      </c>
      <c r="H104" s="3019">
        <f>'1.SD Facility Based Annex'!H85</f>
        <v>0</v>
      </c>
      <c r="I104" s="3019">
        <f>'1.SD Facility Based Annex'!I85</f>
        <v>0</v>
      </c>
      <c r="J104" s="3019">
        <f>'1.SD Facility Based Annex'!J85</f>
        <v>0</v>
      </c>
      <c r="K104" s="3019" t="str">
        <f>'1.SD Facility Based Annex'!K85</f>
        <v>No.of NBSU</v>
      </c>
      <c r="L104" s="3020">
        <f>'1.SD Facility Based Annex'!L85</f>
        <v>87500</v>
      </c>
      <c r="M104" s="3019">
        <f>'1.SD Facility Based Annex'!M85</f>
        <v>0.875</v>
      </c>
      <c r="N104" s="3019">
        <f>'1.SD Facility Based Annex'!N85</f>
        <v>41</v>
      </c>
      <c r="O104" s="3020">
        <f>'1.SD Facility Based Annex'!O85</f>
        <v>35.875</v>
      </c>
      <c r="P104" s="3017" t="str">
        <f>'1.SD Facility Based Annex'!P85</f>
        <v>continued activity.</v>
      </c>
      <c r="Q104" s="3021"/>
      <c r="R104" s="3022"/>
    </row>
    <row r="105" spans="1:18" s="3023" customFormat="1">
      <c r="A105" s="3017" t="str">
        <f>'1.SD Facility Based Annex'!A86</f>
        <v>1.3.1.3</v>
      </c>
      <c r="B105" s="3017" t="str">
        <f>'1.SD Facility Based Annex'!B86</f>
        <v>A.2.2.3</v>
      </c>
      <c r="C105" s="3018" t="str">
        <f>'1.SD Facility Based Annex'!C86</f>
        <v>Operating expenses for NBCC</v>
      </c>
      <c r="D105" s="3019" t="str">
        <f>'1.SD Facility Based Annex'!D86</f>
        <v>RCH</v>
      </c>
      <c r="E105" s="3019" t="str">
        <f>'1.SD Facility Based Annex'!E86</f>
        <v>CH</v>
      </c>
      <c r="F105" s="3019">
        <f>'1.SD Facility Based Annex'!F86</f>
        <v>0</v>
      </c>
      <c r="G105" s="3019">
        <f>'1.SD Facility Based Annex'!G86</f>
        <v>0</v>
      </c>
      <c r="H105" s="3019">
        <f>'1.SD Facility Based Annex'!H86</f>
        <v>0</v>
      </c>
      <c r="I105" s="3019">
        <f>'1.SD Facility Based Annex'!I86</f>
        <v>0</v>
      </c>
      <c r="J105" s="3019">
        <f>'1.SD Facility Based Annex'!J86</f>
        <v>0</v>
      </c>
      <c r="K105" s="3019" t="str">
        <f>'1.SD Facility Based Annex'!K86</f>
        <v>No. of NBCC</v>
      </c>
      <c r="L105" s="3020">
        <f>'1.SD Facility Based Annex'!L86</f>
        <v>20000</v>
      </c>
      <c r="M105" s="3019">
        <f>'1.SD Facility Based Annex'!M86</f>
        <v>0.2</v>
      </c>
      <c r="N105" s="3019">
        <f>'1.SD Facility Based Annex'!N86</f>
        <v>860</v>
      </c>
      <c r="O105" s="3020">
        <f>'1.SD Facility Based Annex'!O86</f>
        <v>172</v>
      </c>
      <c r="P105" s="3017" t="str">
        <f>'1.SD Facility Based Annex'!P86</f>
        <v>continued activity.</v>
      </c>
      <c r="Q105" s="3021"/>
      <c r="R105" s="3022"/>
    </row>
    <row r="106" spans="1:18" s="3023" customFormat="1" ht="90">
      <c r="A106" s="3017" t="str">
        <f>'1.SD Facility Based Annex'!A87</f>
        <v>1.3.1.4</v>
      </c>
      <c r="B106" s="3017" t="str">
        <f>'1.SD Facility Based Annex'!B87</f>
        <v>A.2.5</v>
      </c>
      <c r="C106" s="3018" t="str">
        <f>'1.SD Facility Based Annex'!C87</f>
        <v>Operating expenses for NRCs</v>
      </c>
      <c r="D106" s="3019" t="str">
        <f>'1.SD Facility Based Annex'!D87</f>
        <v>RCH</v>
      </c>
      <c r="E106" s="3019" t="str">
        <f>'1.SD Facility Based Annex'!E87</f>
        <v>CH</v>
      </c>
      <c r="F106" s="3019">
        <f>'1.SD Facility Based Annex'!F87</f>
        <v>0</v>
      </c>
      <c r="G106" s="3019">
        <f>'1.SD Facility Based Annex'!G87</f>
        <v>0</v>
      </c>
      <c r="H106" s="3019">
        <f>'1.SD Facility Based Annex'!H87</f>
        <v>0</v>
      </c>
      <c r="I106" s="3019">
        <f>'1.SD Facility Based Annex'!I87</f>
        <v>0</v>
      </c>
      <c r="J106" s="3019">
        <f>'1.SD Facility Based Annex'!J87</f>
        <v>0</v>
      </c>
      <c r="K106" s="3019" t="str">
        <f>'1.SD Facility Based Annex'!K87</f>
        <v>No. of NRC</v>
      </c>
      <c r="L106" s="3020">
        <f>'1.SD Facility Based Annex'!L87</f>
        <v>99476160</v>
      </c>
      <c r="M106" s="3019">
        <f>'1.SD Facility Based Annex'!M87</f>
        <v>994.76160000000004</v>
      </c>
      <c r="N106" s="3019">
        <f>'1.SD Facility Based Annex'!N87</f>
        <v>1</v>
      </c>
      <c r="O106" s="3020">
        <f>'1.SD Facility Based Annex'!O87</f>
        <v>994.76160000000004</v>
      </c>
      <c r="P106" s="3017" t="str">
        <f>'1.SD Facility Based Annex'!P87</f>
        <v>Continued Activity: Budget is being proposed for 38 NRCs(20 beded)@25.13 lakh per NRC per annum (based on 70% bed occupancy rate) = 38 NRC*25.13 lakh =  955.04 lakh 
and for 3 NRCs(10 beded) @13.24 lakh per NRC(based on 70% bed occupancy rate)  = 3 NRC*13.24 lakh = 39.72 lakh. 
 Total budget required = 955.04 + 39.72 = Rs. 994.76 lakh
Detail Annexure attached.</v>
      </c>
      <c r="Q106" s="3021"/>
      <c r="R106" s="3022"/>
    </row>
    <row r="107" spans="1:18" s="3023" customFormat="1">
      <c r="A107" s="3017" t="str">
        <f>'1.SD Facility Based Annex'!A88</f>
        <v>1.3.1.5</v>
      </c>
      <c r="B107" s="3017">
        <f>'1.SD Facility Based Annex'!B88</f>
        <v>0</v>
      </c>
      <c r="C107" s="3018" t="str">
        <f>'1.SD Facility Based Annex'!C88</f>
        <v>Operating expenses for Family participatory care (KMC)</v>
      </c>
      <c r="D107" s="3019" t="str">
        <f>'1.SD Facility Based Annex'!D88</f>
        <v>RCH</v>
      </c>
      <c r="E107" s="3019" t="str">
        <f>'1.SD Facility Based Annex'!E88</f>
        <v>CH</v>
      </c>
      <c r="F107" s="3019">
        <f>'1.SD Facility Based Annex'!F88</f>
        <v>0</v>
      </c>
      <c r="G107" s="3019">
        <f>'1.SD Facility Based Annex'!G88</f>
        <v>0</v>
      </c>
      <c r="H107" s="3019">
        <f>'1.SD Facility Based Annex'!H88</f>
        <v>0</v>
      </c>
      <c r="I107" s="3019">
        <f>'1.SD Facility Based Annex'!I88</f>
        <v>0</v>
      </c>
      <c r="J107" s="3019">
        <f>'1.SD Facility Based Annex'!J88</f>
        <v>0</v>
      </c>
      <c r="K107" s="3019" t="str">
        <f>'1.SD Facility Based Annex'!K88</f>
        <v>No. of SNCU</v>
      </c>
      <c r="L107" s="3020">
        <f>'1.SD Facility Based Annex'!L88</f>
        <v>100000</v>
      </c>
      <c r="M107" s="3019">
        <f>'1.SD Facility Based Annex'!M88</f>
        <v>1</v>
      </c>
      <c r="N107" s="3019">
        <f>'1.SD Facility Based Annex'!N88</f>
        <v>43</v>
      </c>
      <c r="O107" s="3020">
        <f>'1.SD Facility Based Annex'!O88</f>
        <v>43</v>
      </c>
      <c r="P107" s="3017" t="str">
        <f>'1.SD Facility Based Annex'!P88</f>
        <v>continued activity.</v>
      </c>
      <c r="Q107" s="3021"/>
      <c r="R107" s="3022"/>
    </row>
    <row r="108" spans="1:18" s="3023" customFormat="1">
      <c r="A108" s="3017" t="str">
        <f>'1.SD Facility Based Annex'!A96</f>
        <v>1.3.1.13</v>
      </c>
      <c r="B108" s="3017">
        <f>'1.SD Facility Based Annex'!B96</f>
        <v>0</v>
      </c>
      <c r="C108" s="3018" t="str">
        <f>'1.SD Facility Based Annex'!C96</f>
        <v>Operating expenses for Mother new-born Care Unit</v>
      </c>
      <c r="D108" s="3019" t="str">
        <f>'1.SD Facility Based Annex'!D96</f>
        <v>RCH</v>
      </c>
      <c r="E108" s="3019" t="str">
        <f>'1.SD Facility Based Annex'!E96</f>
        <v>CH</v>
      </c>
      <c r="F108" s="3019">
        <f>'1.SD Facility Based Annex'!F96</f>
        <v>0</v>
      </c>
      <c r="G108" s="3019">
        <f>'1.SD Facility Based Annex'!G96</f>
        <v>0</v>
      </c>
      <c r="H108" s="3019">
        <f>'1.SD Facility Based Annex'!H96</f>
        <v>0</v>
      </c>
      <c r="I108" s="3019">
        <f>'1.SD Facility Based Annex'!I96</f>
        <v>0</v>
      </c>
      <c r="J108" s="3019">
        <f>'1.SD Facility Based Annex'!J96</f>
        <v>0</v>
      </c>
      <c r="K108" s="3019">
        <f>'1.SD Facility Based Annex'!K96</f>
        <v>0</v>
      </c>
      <c r="L108" s="3020">
        <f>'1.SD Facility Based Annex'!L96</f>
        <v>0</v>
      </c>
      <c r="M108" s="3019">
        <f>'1.SD Facility Based Annex'!M96</f>
        <v>0</v>
      </c>
      <c r="N108" s="3019">
        <f>'1.SD Facility Based Annex'!N96</f>
        <v>0</v>
      </c>
      <c r="O108" s="3020">
        <f>'1.SD Facility Based Annex'!O96</f>
        <v>0</v>
      </c>
      <c r="P108" s="3017">
        <f>'1.SD Facility Based Annex'!P96</f>
        <v>0</v>
      </c>
      <c r="Q108" s="3021"/>
      <c r="R108" s="3022"/>
    </row>
    <row r="109" spans="1:18" s="3023" customFormat="1">
      <c r="A109" s="3017" t="str">
        <f>'1.SD Facility Based Annex'!A97</f>
        <v>1.3.1.14</v>
      </c>
      <c r="B109" s="3017">
        <f>'1.SD Facility Based Annex'!B97</f>
        <v>0</v>
      </c>
      <c r="C109" s="3018" t="str">
        <f>'1.SD Facility Based Annex'!C97</f>
        <v>Operating expenses for State new-born resource centre</v>
      </c>
      <c r="D109" s="3019" t="str">
        <f>'1.SD Facility Based Annex'!D97</f>
        <v>RCH</v>
      </c>
      <c r="E109" s="3019" t="str">
        <f>'1.SD Facility Based Annex'!E97</f>
        <v>CH</v>
      </c>
      <c r="F109" s="3019">
        <f>'1.SD Facility Based Annex'!F97</f>
        <v>0</v>
      </c>
      <c r="G109" s="3019">
        <f>'1.SD Facility Based Annex'!G97</f>
        <v>0</v>
      </c>
      <c r="H109" s="3019">
        <f>'1.SD Facility Based Annex'!H97</f>
        <v>0</v>
      </c>
      <c r="I109" s="3019">
        <f>'1.SD Facility Based Annex'!I97</f>
        <v>0</v>
      </c>
      <c r="J109" s="3019">
        <f>'1.SD Facility Based Annex'!J97</f>
        <v>0</v>
      </c>
      <c r="K109" s="3019">
        <f>'1.SD Facility Based Annex'!K97</f>
        <v>0</v>
      </c>
      <c r="L109" s="3020">
        <f>'1.SD Facility Based Annex'!L97</f>
        <v>0</v>
      </c>
      <c r="M109" s="3019">
        <f>'1.SD Facility Based Annex'!M97</f>
        <v>0</v>
      </c>
      <c r="N109" s="3019">
        <f>'1.SD Facility Based Annex'!N97</f>
        <v>0</v>
      </c>
      <c r="O109" s="3020">
        <f>'1.SD Facility Based Annex'!O97</f>
        <v>0</v>
      </c>
      <c r="P109" s="3017">
        <f>'1.SD Facility Based Annex'!P97</f>
        <v>0</v>
      </c>
      <c r="Q109" s="3021"/>
      <c r="R109" s="3022"/>
    </row>
    <row r="110" spans="1:18" s="3023" customFormat="1" ht="30">
      <c r="A110" s="3017" t="str">
        <f>'1.SD Facility Based Annex'!A98</f>
        <v>1.3.1.15</v>
      </c>
      <c r="B110" s="3017">
        <f>'1.SD Facility Based Annex'!B98</f>
        <v>0</v>
      </c>
      <c r="C110" s="3018" t="str">
        <f>'1.SD Facility Based Annex'!C98</f>
        <v>Operating cost for Paediatric HDU, Emergency, OPD and Ward</v>
      </c>
      <c r="D110" s="3019" t="str">
        <f>'1.SD Facility Based Annex'!D98</f>
        <v>RCH</v>
      </c>
      <c r="E110" s="3019" t="str">
        <f>'1.SD Facility Based Annex'!E98</f>
        <v>CH</v>
      </c>
      <c r="F110" s="3019">
        <f>'1.SD Facility Based Annex'!F98</f>
        <v>0</v>
      </c>
      <c r="G110" s="3019">
        <f>'1.SD Facility Based Annex'!G98</f>
        <v>0</v>
      </c>
      <c r="H110" s="3019">
        <f>'1.SD Facility Based Annex'!H98</f>
        <v>0</v>
      </c>
      <c r="I110" s="3019">
        <f>'1.SD Facility Based Annex'!I98</f>
        <v>0</v>
      </c>
      <c r="J110" s="3019">
        <f>'1.SD Facility Based Annex'!J98</f>
        <v>0</v>
      </c>
      <c r="K110" s="3019" t="str">
        <f>'1.SD Facility Based Annex'!K98</f>
        <v>No. of Paediatric Unit</v>
      </c>
      <c r="L110" s="3020">
        <f>'1.SD Facility Based Annex'!L98</f>
        <v>300000</v>
      </c>
      <c r="M110" s="3019">
        <f>'1.SD Facility Based Annex'!M98</f>
        <v>3</v>
      </c>
      <c r="N110" s="3019">
        <f>'1.SD Facility Based Annex'!N98</f>
        <v>20</v>
      </c>
      <c r="O110" s="3020">
        <f>'1.SD Facility Based Annex'!O98</f>
        <v>60</v>
      </c>
      <c r="P110" s="3017" t="str">
        <f>'1.SD Facility Based Annex'!P98</f>
        <v xml:space="preserve">out of 38 districts ,20 districts are being  functional Paediatric Unit. </v>
      </c>
      <c r="Q110" s="3021"/>
      <c r="R110" s="3022"/>
    </row>
    <row r="111" spans="1:18" s="3023" customFormat="1">
      <c r="A111" s="3030">
        <f>'2.SD Community Based Annex'!A7</f>
        <v>2</v>
      </c>
      <c r="B111" s="3030">
        <f>'2.SD Community Based Annex'!B7</f>
        <v>0</v>
      </c>
      <c r="C111" s="3031" t="str">
        <f>'2.SD Community Based Annex'!C7</f>
        <v>Service Delivery - Community Based</v>
      </c>
      <c r="D111" s="3032"/>
      <c r="E111" s="3032"/>
      <c r="F111" s="3032"/>
      <c r="G111" s="3032"/>
      <c r="H111" s="3032"/>
      <c r="I111" s="3032"/>
      <c r="J111" s="3032"/>
      <c r="K111" s="3032"/>
      <c r="L111" s="3033"/>
      <c r="M111" s="3032"/>
      <c r="N111" s="3032"/>
      <c r="O111" s="3033">
        <f>O112</f>
        <v>0</v>
      </c>
      <c r="P111" s="3030"/>
      <c r="Q111" s="3034"/>
      <c r="R111" s="3035">
        <f>R112</f>
        <v>0</v>
      </c>
    </row>
    <row r="112" spans="1:18" s="3023" customFormat="1" ht="45">
      <c r="A112" s="3017" t="str">
        <f>'2.SD Community Based Annex'!A56</f>
        <v>2.3.3.1</v>
      </c>
      <c r="B112" s="3017" t="str">
        <f>'2.SD Community Based Annex'!B56</f>
        <v>A.2.10.1</v>
      </c>
      <c r="C112" s="3018" t="str">
        <f>'2.SD Community Based Annex'!C56</f>
        <v>One time Screening to Identify the carriers of Sickle cell trait, β Thalassemia, Haemoglobin variants at school especially class 8 students and in newborns</v>
      </c>
      <c r="D112" s="3019" t="str">
        <f>'2.SD Community Based Annex'!D56</f>
        <v>RCH</v>
      </c>
      <c r="E112" s="3019" t="str">
        <f>'2.SD Community Based Annex'!E56</f>
        <v>CH</v>
      </c>
      <c r="F112" s="3019">
        <f>'2.SD Community Based Annex'!F56</f>
        <v>0</v>
      </c>
      <c r="G112" s="3019">
        <f>'2.SD Community Based Annex'!G56</f>
        <v>0</v>
      </c>
      <c r="H112" s="3019">
        <f>'2.SD Community Based Annex'!H56</f>
        <v>0</v>
      </c>
      <c r="I112" s="3019">
        <f>'2.SD Community Based Annex'!I56</f>
        <v>0</v>
      </c>
      <c r="J112" s="3019">
        <f>'2.SD Community Based Annex'!J56</f>
        <v>0</v>
      </c>
      <c r="K112" s="3019">
        <f>'2.SD Community Based Annex'!K56</f>
        <v>0</v>
      </c>
      <c r="L112" s="3020">
        <f>'2.SD Community Based Annex'!L56</f>
        <v>0</v>
      </c>
      <c r="M112" s="3019">
        <f>'2.SD Community Based Annex'!M56</f>
        <v>0</v>
      </c>
      <c r="N112" s="3019">
        <f>'2.SD Community Based Annex'!N56</f>
        <v>0</v>
      </c>
      <c r="O112" s="3020">
        <f>'2.SD Community Based Annex'!O56</f>
        <v>0</v>
      </c>
      <c r="P112" s="3017">
        <f>'2.SD Community Based Annex'!P56</f>
        <v>0</v>
      </c>
      <c r="Q112" s="3021">
        <f>'Abs5. Blood services &amp; Disorder'!Q10</f>
        <v>0</v>
      </c>
      <c r="R112" s="3062">
        <f>'Abs5. Blood services &amp; Disorder'!R10</f>
        <v>0</v>
      </c>
    </row>
    <row r="113" spans="1:18" s="3023" customFormat="1">
      <c r="A113" s="3030">
        <f>'3.Community Intervention Annexn'!A7</f>
        <v>3</v>
      </c>
      <c r="B113" s="3030"/>
      <c r="C113" s="3031" t="str">
        <f>'3.Community Intervention Annexn'!C7</f>
        <v>Community Interventions</v>
      </c>
      <c r="D113" s="3032"/>
      <c r="E113" s="3032"/>
      <c r="F113" s="3032"/>
      <c r="G113" s="3032"/>
      <c r="H113" s="3033"/>
      <c r="I113" s="3032"/>
      <c r="J113" s="3033"/>
      <c r="K113" s="3032"/>
      <c r="L113" s="3033"/>
      <c r="M113" s="3033"/>
      <c r="N113" s="3039"/>
      <c r="O113" s="3040">
        <f>SUM(O114:O120)</f>
        <v>4810</v>
      </c>
      <c r="P113" s="3041"/>
      <c r="Q113" s="3042"/>
      <c r="R113" s="3043">
        <f>SUM(R114:R120)</f>
        <v>0</v>
      </c>
    </row>
    <row r="114" spans="1:18" s="3023" customFormat="1" ht="30">
      <c r="A114" s="4606" t="str">
        <f>'3.Community Intervention Annexn'!A12</f>
        <v>3.1.1.1.2</v>
      </c>
      <c r="B114" s="3017" t="str">
        <f>'3-A. CI Sub-Annex'!C13</f>
        <v>B1.1.3.2.6</v>
      </c>
      <c r="C114" s="3018" t="str">
        <f>'3-A. CI Sub-Annex'!D13</f>
        <v xml:space="preserve">ASHA incentive under MAA programme @ Rs 100 per ASHA for quarterly mother's meeting </v>
      </c>
      <c r="D114" s="3019" t="str">
        <f>'3-A. CI Sub-Annex'!E13</f>
        <v>RCH</v>
      </c>
      <c r="E114" s="3019" t="str">
        <f>'3-A. CI Sub-Annex'!F13</f>
        <v>CH/NHSRC-CP</v>
      </c>
      <c r="F114" s="3019">
        <f>'3-A. CI Sub-Annex'!G13</f>
        <v>0</v>
      </c>
      <c r="G114" s="3019">
        <f>'3-A. CI Sub-Annex'!H13</f>
        <v>0</v>
      </c>
      <c r="H114" s="3019">
        <f>'3-A. CI Sub-Annex'!I13</f>
        <v>0</v>
      </c>
      <c r="I114" s="3019">
        <f>'3-A. CI Sub-Annex'!J13</f>
        <v>0</v>
      </c>
      <c r="J114" s="3019">
        <f>'3-A. CI Sub-Annex'!K13</f>
        <v>0</v>
      </c>
      <c r="K114" s="3019" t="str">
        <f>'3-A. CI Sub-Annex'!L13</f>
        <v>No. of ASHA</v>
      </c>
      <c r="L114" s="3020">
        <f>'3-A. CI Sub-Annex'!M13</f>
        <v>400</v>
      </c>
      <c r="M114" s="3019">
        <f>'3-A. CI Sub-Annex'!N13</f>
        <v>4.0000000000000001E-3</v>
      </c>
      <c r="N114" s="3019">
        <f>'3-A. CI Sub-Annex'!O13</f>
        <v>90000</v>
      </c>
      <c r="O114" s="3020">
        <f>'3-A. CI Sub-Annex'!P13</f>
        <v>360</v>
      </c>
      <c r="P114" s="3017" t="str">
        <f>'3-A. CI Sub-Annex'!Q13</f>
        <v>Budget is being proposed for incentive to ASHA@100(4*100) per quarter mother's meeting</v>
      </c>
      <c r="Q114" s="3021"/>
      <c r="R114" s="3022"/>
    </row>
    <row r="115" spans="1:18" s="3023" customFormat="1" ht="30">
      <c r="A115" s="4606"/>
      <c r="B115" s="3017" t="str">
        <f>'3-A. CI Sub-Annex'!C14</f>
        <v>B1.1.3.2.1</v>
      </c>
      <c r="C115" s="3018" t="str">
        <f>'3-A. CI Sub-Annex'!D14</f>
        <v>Incentive for Home Based New-born Care programme</v>
      </c>
      <c r="D115" s="3019" t="str">
        <f>'3-A. CI Sub-Annex'!E14</f>
        <v>RCH</v>
      </c>
      <c r="E115" s="3019" t="str">
        <f>'3-A. CI Sub-Annex'!F14</f>
        <v>CH/NHSRC-CP</v>
      </c>
      <c r="F115" s="3019">
        <f>'3-A. CI Sub-Annex'!G14</f>
        <v>0</v>
      </c>
      <c r="G115" s="3019">
        <f>'3-A. CI Sub-Annex'!H14</f>
        <v>0</v>
      </c>
      <c r="H115" s="3019">
        <f>'3-A. CI Sub-Annex'!I14</f>
        <v>0</v>
      </c>
      <c r="I115" s="3019">
        <f>'3-A. CI Sub-Annex'!J14</f>
        <v>0</v>
      </c>
      <c r="J115" s="3019">
        <f>'3-A. CI Sub-Annex'!K14</f>
        <v>0</v>
      </c>
      <c r="K115" s="3019" t="str">
        <f>'3-A. CI Sub-Annex'!L14</f>
        <v>No. of live birth</v>
      </c>
      <c r="L115" s="3020">
        <f>'3-A. CI Sub-Annex'!M14</f>
        <v>250</v>
      </c>
      <c r="M115" s="3019">
        <f>'3-A. CI Sub-Annex'!N14</f>
        <v>2.5000000000000001E-3</v>
      </c>
      <c r="N115" s="3019">
        <f>'3-A. CI Sub-Annex'!O14</f>
        <v>1200000</v>
      </c>
      <c r="O115" s="3020">
        <f>'3-A. CI Sub-Annex'!P14</f>
        <v>3000</v>
      </c>
      <c r="P115" s="3017" t="str">
        <f>'3-A. CI Sub-Annex'!Q14</f>
        <v>Continued Activity: Budget is being proposed for incentive to ASHA@Rs.250 per newborn after completion of 6/7 home visits(as per guideline) = 160000*Rs250 = 4000 lakh</v>
      </c>
      <c r="Q115" s="3021"/>
      <c r="R115" s="3022"/>
    </row>
    <row r="116" spans="1:18" s="3023" customFormat="1" ht="90">
      <c r="A116" s="4606"/>
      <c r="B116" s="3017" t="str">
        <f>'3-A. CI Sub-Annex'!C15</f>
        <v>B1.1.3.2.2</v>
      </c>
      <c r="C116" s="3018" t="str">
        <f>'3-A. CI Sub-Annex'!D15</f>
        <v>Incentive to ASHA for follow up of SNCU discharge babies and for follow up of LBW babies</v>
      </c>
      <c r="D116" s="3019" t="str">
        <f>'3-A. CI Sub-Annex'!E15</f>
        <v>RCH</v>
      </c>
      <c r="E116" s="3019" t="str">
        <f>'3-A. CI Sub-Annex'!F15</f>
        <v>CH/NHSRC-CP</v>
      </c>
      <c r="F116" s="3019">
        <f>'3-A. CI Sub-Annex'!G15</f>
        <v>0</v>
      </c>
      <c r="G116" s="3019">
        <f>'3-A. CI Sub-Annex'!H15</f>
        <v>0</v>
      </c>
      <c r="H116" s="3019">
        <f>'3-A. CI Sub-Annex'!I15</f>
        <v>0</v>
      </c>
      <c r="I116" s="3019">
        <f>'3-A. CI Sub-Annex'!J15</f>
        <v>0</v>
      </c>
      <c r="J116" s="3019">
        <f>'3-A. CI Sub-Annex'!K15</f>
        <v>0</v>
      </c>
      <c r="K116" s="3019" t="str">
        <f>'3-A. CI Sub-Annex'!L15</f>
        <v>No. of SNCU Discharge babies and LBW babies</v>
      </c>
      <c r="L116" s="3020">
        <f>'3-A. CI Sub-Annex'!M15</f>
        <v>200</v>
      </c>
      <c r="M116" s="3019">
        <f>'3-A. CI Sub-Annex'!N15</f>
        <v>2E-3</v>
      </c>
      <c r="N116" s="3019">
        <f>'3-A. CI Sub-Annex'!O15</f>
        <v>50000</v>
      </c>
      <c r="O116" s="3020">
        <f>'3-A. CI Sub-Annex'!P15</f>
        <v>100</v>
      </c>
      <c r="P116" s="3017" t="str">
        <f>'3-A. CI Sub-Annex'!Q15</f>
        <v xml:space="preserve">Continued Activity: Budget is being proposed for incentive to ASHA for follow up of SNCU discharge babies and follow up of LBW babies@Rs.200 per babies. As per HMIS data(2018-19), around 1.93 lakh babies are identified as LBW babies in a year. It is assuming that 50% (1 lakh)of them are followed up by ASHA. Similarly  as per SNCU data,  around 45000 newborn are admitted in SNCU per year and 75% of babies are discharged from SNCU, hence 33750 babies are followed up by ASHA. </v>
      </c>
      <c r="Q116" s="3021"/>
      <c r="R116" s="3022"/>
    </row>
    <row r="117" spans="1:18" s="3023" customFormat="1" ht="210">
      <c r="A117" s="4606"/>
      <c r="B117" s="3017" t="str">
        <f>'3-A. CI Sub-Annex'!C16</f>
        <v>B1.1.3.2.4</v>
      </c>
      <c r="C117" s="3018" t="str">
        <f>'3-A. CI Sub-Annex'!D16</f>
        <v>Incentive for referral of SAM cases to NRC and for follow up of discharge SAM children from NRCs</v>
      </c>
      <c r="D117" s="3019" t="str">
        <f>'3-A. CI Sub-Annex'!E16</f>
        <v>RCH</v>
      </c>
      <c r="E117" s="3019" t="str">
        <f>'3-A. CI Sub-Annex'!F16</f>
        <v>CH/NHSRC-CP</v>
      </c>
      <c r="F117" s="3019">
        <f>'3-A. CI Sub-Annex'!G16</f>
        <v>0</v>
      </c>
      <c r="G117" s="3019">
        <f>'3-A. CI Sub-Annex'!H16</f>
        <v>0</v>
      </c>
      <c r="H117" s="3019">
        <f>'3-A. CI Sub-Annex'!I16</f>
        <v>0</v>
      </c>
      <c r="I117" s="3019">
        <f>'3-A. CI Sub-Annex'!J16</f>
        <v>0</v>
      </c>
      <c r="J117" s="3019">
        <f>'3-A. CI Sub-Annex'!K16</f>
        <v>0</v>
      </c>
      <c r="K117" s="3019" t="str">
        <f>'3-A. CI Sub-Annex'!L16</f>
        <v>No. of SAM referral and discharge follow up</v>
      </c>
      <c r="L117" s="3020">
        <f>'3-A. CI Sub-Annex'!M16</f>
        <v>2120000</v>
      </c>
      <c r="M117" s="3019">
        <f>'3-A. CI Sub-Annex'!N16</f>
        <v>21.2</v>
      </c>
      <c r="N117" s="3019">
        <f>'3-A. CI Sub-Annex'!O16</f>
        <v>1</v>
      </c>
      <c r="O117" s="3020">
        <f>'3-A. CI Sub-Annex'!P16</f>
        <v>21.2</v>
      </c>
      <c r="P117" s="3017" t="str">
        <f>'3-A. CI Sub-Annex'!Q16</f>
        <v>Continued Activity: Budget is being proposed for ASHA incentive for referal of SAM children to NRC. For 38 NRC(20 beded), total no. of children admitted in a year = 18240 (based on 100% BOR), It is expected that , 70%(12768) of SAM children admitted in NRC are refered by ASHA, therefore amount of incentive = 12768*Rs.100 = 12.76 lakh. 
Similarly,for 3 NRC(10 beded), total no. of children admitted in a year = 720, (based on 100% BOR), It is expected that  70%(500) of SAM children admitted in NRC are refered by ASHA, therefore amount of incentive = 500*Rs.100= 0.50 lakh
For 38 NRC(20 beded), total no. of children discharged in a year = 10944, As per reported data, 70%(7660) of total dicharged chidren are being follow up by ASHA, therefore amount of incentive = 7660*Rs.25*4 visit = 7.66 lakh. 
Similarly,For 3 NRC(10 beded), total no. of children discharged in a year = 400(60% of total admission), As per reported data, 70%(280) of total dicharged chidren are being follow up by ASHA, therefore amount of incentive = 280*Rs.25*4 visit =0.28 lakh.
Total budget required = 12.76 +0.50+7.66+0.28 = 21.20 lakh</v>
      </c>
      <c r="Q117" s="3021"/>
      <c r="R117" s="3022"/>
    </row>
    <row r="118" spans="1:18" s="3023" customFormat="1" ht="30">
      <c r="A118" s="4606"/>
      <c r="B118" s="3017" t="str">
        <f>'3-A. CI Sub-Annex'!C17</f>
        <v>B1.1.3.2.7</v>
      </c>
      <c r="C118" s="3018" t="str">
        <f>'3-A. CI Sub-Annex'!D17</f>
        <v>Incentive for National Deworming Day  for mobilising out of school children</v>
      </c>
      <c r="D118" s="3019" t="str">
        <f>'3-A. CI Sub-Annex'!E17</f>
        <v>RCH</v>
      </c>
      <c r="E118" s="3019" t="str">
        <f>'3-A. CI Sub-Annex'!F17</f>
        <v>CH/NHSRC-CP</v>
      </c>
      <c r="F118" s="3019">
        <f>'3-A. CI Sub-Annex'!G17</f>
        <v>0</v>
      </c>
      <c r="G118" s="3019">
        <f>'3-A. CI Sub-Annex'!H17</f>
        <v>0</v>
      </c>
      <c r="H118" s="3019">
        <f>'3-A. CI Sub-Annex'!I17</f>
        <v>0</v>
      </c>
      <c r="I118" s="3019">
        <f>'3-A. CI Sub-Annex'!J17</f>
        <v>0</v>
      </c>
      <c r="J118" s="3019">
        <f>'3-A. CI Sub-Annex'!K17</f>
        <v>0</v>
      </c>
      <c r="K118" s="3019" t="str">
        <f>'3-A. CI Sub-Annex'!L17</f>
        <v>No. of ASHA</v>
      </c>
      <c r="L118" s="3020">
        <f>'3-A. CI Sub-Annex'!M17</f>
        <v>200</v>
      </c>
      <c r="M118" s="3019">
        <f>'3-A. CI Sub-Annex'!N17</f>
        <v>2E-3</v>
      </c>
      <c r="N118" s="3019">
        <f>'3-A. CI Sub-Annex'!O17</f>
        <v>91000</v>
      </c>
      <c r="O118" s="3020">
        <f>'3-A. CI Sub-Annex'!P17</f>
        <v>182</v>
      </c>
      <c r="P118" s="3017" t="str">
        <f>'3-A. CI Sub-Annex'!Q17</f>
        <v>Budget is being proposed for 2 round of NDD@100 per ASHA per round</v>
      </c>
      <c r="Q118" s="3021"/>
      <c r="R118" s="3022"/>
    </row>
    <row r="119" spans="1:18" s="3023" customFormat="1" ht="30">
      <c r="A119" s="4606"/>
      <c r="B119" s="3017" t="str">
        <f>'3-A. CI Sub-Annex'!C18</f>
        <v>B1.1.3.2.8</v>
      </c>
      <c r="C119" s="3018" t="str">
        <f>'3-A. CI Sub-Annex'!D18</f>
        <v xml:space="preserve">Incentive for IDCF for prophylactic distribution of ORS  to family with under-five children. </v>
      </c>
      <c r="D119" s="3019" t="str">
        <f>'3-A. CI Sub-Annex'!E18</f>
        <v>RCH</v>
      </c>
      <c r="E119" s="3019" t="str">
        <f>'3-A. CI Sub-Annex'!F18</f>
        <v>CH/NHSRC-CP</v>
      </c>
      <c r="F119" s="3019">
        <f>'3-A. CI Sub-Annex'!G18</f>
        <v>0</v>
      </c>
      <c r="G119" s="3019">
        <f>'3-A. CI Sub-Annex'!H18</f>
        <v>0</v>
      </c>
      <c r="H119" s="3019">
        <f>'3-A. CI Sub-Annex'!I18</f>
        <v>0</v>
      </c>
      <c r="I119" s="3019">
        <f>'3-A. CI Sub-Annex'!J18</f>
        <v>0</v>
      </c>
      <c r="J119" s="3019">
        <f>'3-A. CI Sub-Annex'!K18</f>
        <v>0</v>
      </c>
      <c r="K119" s="3019" t="str">
        <f>'3-A. CI Sub-Annex'!L18</f>
        <v>No. of ASHA</v>
      </c>
      <c r="L119" s="3020">
        <f>'3-A. CI Sub-Annex'!M18</f>
        <v>100</v>
      </c>
      <c r="M119" s="3019">
        <f>'3-A. CI Sub-Annex'!N18</f>
        <v>1E-3</v>
      </c>
      <c r="N119" s="3019">
        <f>'3-A. CI Sub-Annex'!O18</f>
        <v>91000</v>
      </c>
      <c r="O119" s="3020">
        <f>'3-A. CI Sub-Annex'!P18</f>
        <v>91</v>
      </c>
      <c r="P119" s="3017" t="str">
        <f>'3-A. CI Sub-Annex'!Q18</f>
        <v>Budget is Being proposed for prepostioning  of ORS under IDCF program@100 Rs. Per ASHA</v>
      </c>
      <c r="Q119" s="3021"/>
      <c r="R119" s="3022"/>
    </row>
    <row r="120" spans="1:18" s="3023" customFormat="1" ht="75">
      <c r="A120" s="4606"/>
      <c r="B120" s="3017">
        <f>'3-A. CI Sub-Annex'!C19</f>
        <v>0</v>
      </c>
      <c r="C120" s="3018" t="str">
        <f>'3-A. CI Sub-Annex'!D19</f>
        <v xml:space="preserve">Incentive to ASHA for quarterly visits under HBYC </v>
      </c>
      <c r="D120" s="3019" t="str">
        <f>'3-A. CI Sub-Annex'!E19</f>
        <v>RCH</v>
      </c>
      <c r="E120" s="3019" t="str">
        <f>'3-A. CI Sub-Annex'!F19</f>
        <v>CH/NHSRC-CP</v>
      </c>
      <c r="F120" s="3019">
        <f>'3-A. CI Sub-Annex'!G19</f>
        <v>0</v>
      </c>
      <c r="G120" s="3019">
        <f>'3-A. CI Sub-Annex'!H19</f>
        <v>0</v>
      </c>
      <c r="H120" s="3019">
        <f>'3-A. CI Sub-Annex'!I19</f>
        <v>0</v>
      </c>
      <c r="I120" s="3019">
        <f>'3-A. CI Sub-Annex'!J19</f>
        <v>0</v>
      </c>
      <c r="J120" s="3019">
        <f>'3-A. CI Sub-Annex'!K19</f>
        <v>0</v>
      </c>
      <c r="K120" s="3019" t="str">
        <f>'3-A. CI Sub-Annex'!L19</f>
        <v>No. of ASHA</v>
      </c>
      <c r="L120" s="3020">
        <f>'3-A. CI Sub-Annex'!M19</f>
        <v>105580000</v>
      </c>
      <c r="M120" s="3019">
        <f>'3-A. CI Sub-Annex'!N19</f>
        <v>1055.8</v>
      </c>
      <c r="N120" s="3019">
        <f>'3-A. CI Sub-Annex'!O19</f>
        <v>1</v>
      </c>
      <c r="O120" s="3020">
        <f>'3-A. CI Sub-Annex'!P19</f>
        <v>1055.8</v>
      </c>
      <c r="P120" s="3017" t="str">
        <f>'3-A. CI Sub-Annex'!Q19</f>
        <v>Continued Activity: Budget is being proposed for 1.Incentive to ASHA- Rs 250 (50/visit X 5 visits) X 385000 (50% of total live birth) Children in 13 Aspirational districts=962.50 lakhs &amp; 
2.Monitoring and supervision of ASHA activities  under HBYC program by ASHA facilitator: Rs.500/month/ASHA faclitator X 12 months X 1555 ASHA Fac. = 93.30 lakh
Total Budget required = 962.50 + 93.30 = 1055.80 lakh</v>
      </c>
      <c r="Q120" s="3021"/>
      <c r="R120" s="3022"/>
    </row>
    <row r="121" spans="1:18" s="3023" customFormat="1">
      <c r="A121" s="3030">
        <f>'5.Infrastructure Annex'!A7</f>
        <v>5</v>
      </c>
      <c r="B121" s="3030"/>
      <c r="C121" s="3031" t="str">
        <f>'5.Infrastructure Annex'!C7</f>
        <v>Infrastructure</v>
      </c>
      <c r="D121" s="3032"/>
      <c r="E121" s="3032"/>
      <c r="F121" s="3032"/>
      <c r="G121" s="3032"/>
      <c r="H121" s="3033"/>
      <c r="I121" s="3032"/>
      <c r="J121" s="3033"/>
      <c r="K121" s="3032"/>
      <c r="L121" s="3033"/>
      <c r="M121" s="3033"/>
      <c r="N121" s="3039"/>
      <c r="O121" s="3040">
        <f>SUM(O122:O125)</f>
        <v>0</v>
      </c>
      <c r="P121" s="3041"/>
      <c r="Q121" s="3042"/>
      <c r="R121" s="3043">
        <f>SUM(R122:R125)</f>
        <v>0</v>
      </c>
    </row>
    <row r="122" spans="1:18" s="3023" customFormat="1" ht="45">
      <c r="A122" s="3017" t="str">
        <f>'5.Infrastructure Annex'!A43</f>
        <v>5.1.1.3.7</v>
      </c>
      <c r="B122" s="3017">
        <f>'5.Infrastructure Annex'!B43</f>
        <v>0</v>
      </c>
      <c r="C122" s="3017" t="str">
        <f>'5.Infrastructure Annex'!C43</f>
        <v>Spill over of Ongoing Upgradation-Facility based new-born care centres (SNCU/NBSU/NBCC/KMC unit)/MNCU &amp; State resource centre/CLMC units/Paediatric HDUs</v>
      </c>
      <c r="D122" s="3019" t="str">
        <f>'5.Infrastructure Annex'!D43</f>
        <v>HSS</v>
      </c>
      <c r="E122" s="3019" t="str">
        <f>'5.Infrastructure Annex'!E43</f>
        <v>HSS/ CH</v>
      </c>
      <c r="F122" s="3019">
        <f>'5.Infrastructure Annex'!F43</f>
        <v>0</v>
      </c>
      <c r="G122" s="3019">
        <f>'5.Infrastructure Annex'!G43</f>
        <v>0</v>
      </c>
      <c r="H122" s="3019">
        <f>'5.Infrastructure Annex'!H43</f>
        <v>0</v>
      </c>
      <c r="I122" s="3019">
        <f>'5.Infrastructure Annex'!I43</f>
        <v>0</v>
      </c>
      <c r="J122" s="3019">
        <f>'5.Infrastructure Annex'!J43</f>
        <v>0</v>
      </c>
      <c r="K122" s="3019">
        <f>'5.Infrastructure Annex'!K43</f>
        <v>0</v>
      </c>
      <c r="L122" s="3020">
        <f>'5.Infrastructure Annex'!L43</f>
        <v>0</v>
      </c>
      <c r="M122" s="3019">
        <f>'5.Infrastructure Annex'!M43</f>
        <v>0</v>
      </c>
      <c r="N122" s="3019">
        <f>'5.Infrastructure Annex'!N43</f>
        <v>0</v>
      </c>
      <c r="O122" s="3020">
        <f>'5.Infrastructure Annex'!O43</f>
        <v>0</v>
      </c>
      <c r="P122" s="3017">
        <f>'5.Infrastructure Annex'!P43</f>
        <v>0</v>
      </c>
      <c r="Q122" s="3021"/>
      <c r="R122" s="3022"/>
    </row>
    <row r="123" spans="1:18" s="3023" customFormat="1" ht="30">
      <c r="A123" s="3017" t="str">
        <f>'5.Infrastructure Annex'!A63</f>
        <v>5.2.1.7</v>
      </c>
      <c r="B123" s="3017" t="str">
        <f>'5.Infrastructure Annex'!B63</f>
        <v>B.5.6.1</v>
      </c>
      <c r="C123" s="3017" t="str">
        <f>'5.Infrastructure Annex'!C63</f>
        <v>New construction: Facility based new-born care centres (SNCU/NBSU/NBCC/KMC unit)</v>
      </c>
      <c r="D123" s="3019" t="str">
        <f>'5.Infrastructure Annex'!D63</f>
        <v>HSS</v>
      </c>
      <c r="E123" s="3019" t="str">
        <f>'5.Infrastructure Annex'!E63</f>
        <v>HSS/ CH</v>
      </c>
      <c r="F123" s="3019">
        <f>'5.Infrastructure Annex'!F63</f>
        <v>0</v>
      </c>
      <c r="G123" s="3019">
        <f>'5.Infrastructure Annex'!G63</f>
        <v>0</v>
      </c>
      <c r="H123" s="3019">
        <f>'5.Infrastructure Annex'!H63</f>
        <v>0</v>
      </c>
      <c r="I123" s="3019">
        <f>'5.Infrastructure Annex'!I63</f>
        <v>0</v>
      </c>
      <c r="J123" s="3019">
        <f>'5.Infrastructure Annex'!J63</f>
        <v>0</v>
      </c>
      <c r="K123" s="3019">
        <f>'5.Infrastructure Annex'!K63</f>
        <v>0</v>
      </c>
      <c r="L123" s="3020">
        <f>'5.Infrastructure Annex'!L63</f>
        <v>0</v>
      </c>
      <c r="M123" s="3019">
        <f>'5.Infrastructure Annex'!M63</f>
        <v>0</v>
      </c>
      <c r="N123" s="3019">
        <f>'5.Infrastructure Annex'!N63</f>
        <v>0</v>
      </c>
      <c r="O123" s="3020">
        <f>'5.Infrastructure Annex'!O63</f>
        <v>0</v>
      </c>
      <c r="P123" s="3017">
        <f>'5.Infrastructure Annex'!P63</f>
        <v>0</v>
      </c>
      <c r="Q123" s="3021"/>
      <c r="R123" s="3022"/>
    </row>
    <row r="124" spans="1:18" s="3023" customFormat="1">
      <c r="A124" s="3017" t="str">
        <f>'5.Infrastructure Annex'!A66</f>
        <v>5.2.1.10</v>
      </c>
      <c r="B124" s="3017" t="str">
        <f>'5.Infrastructure Annex'!B66</f>
        <v>A.2.5</v>
      </c>
      <c r="C124" s="3017" t="str">
        <f>'5.Infrastructure Annex'!C66</f>
        <v>Establishment of NRCs</v>
      </c>
      <c r="D124" s="3019" t="str">
        <f>'5.Infrastructure Annex'!D66</f>
        <v>RCH</v>
      </c>
      <c r="E124" s="3019" t="str">
        <f>'5.Infrastructure Annex'!E66</f>
        <v>CH</v>
      </c>
      <c r="F124" s="3019">
        <f>'5.Infrastructure Annex'!F66</f>
        <v>0</v>
      </c>
      <c r="G124" s="3019">
        <f>'5.Infrastructure Annex'!G66</f>
        <v>0</v>
      </c>
      <c r="H124" s="3019">
        <f>'5.Infrastructure Annex'!H66</f>
        <v>0</v>
      </c>
      <c r="I124" s="3019">
        <f>'5.Infrastructure Annex'!I66</f>
        <v>0</v>
      </c>
      <c r="J124" s="3019">
        <f>'5.Infrastructure Annex'!J66</f>
        <v>0</v>
      </c>
      <c r="K124" s="3019">
        <f>'5.Infrastructure Annex'!K66</f>
        <v>0</v>
      </c>
      <c r="L124" s="3020">
        <f>'5.Infrastructure Annex'!L66</f>
        <v>0</v>
      </c>
      <c r="M124" s="3019">
        <f>'5.Infrastructure Annex'!M66</f>
        <v>0</v>
      </c>
      <c r="N124" s="3019">
        <f>'5.Infrastructure Annex'!N66</f>
        <v>0</v>
      </c>
      <c r="O124" s="3020">
        <f>'5.Infrastructure Annex'!O66</f>
        <v>0</v>
      </c>
      <c r="P124" s="3017">
        <f>'5.Infrastructure Annex'!P66</f>
        <v>0</v>
      </c>
      <c r="Q124" s="3021"/>
      <c r="R124" s="3022"/>
    </row>
    <row r="125" spans="1:18" s="3023" customFormat="1" ht="45">
      <c r="A125" s="3017" t="str">
        <f>'5.Infrastructure Annex'!A77</f>
        <v>5.2.2.6</v>
      </c>
      <c r="B125" s="3017" t="str">
        <f>'5.Infrastructure Annex'!B77</f>
        <v>B.5.6.2</v>
      </c>
      <c r="C125" s="3017" t="str">
        <f>'5.Infrastructure Annex'!C77</f>
        <v>Carry forward: Facility based new-born care centres (SNCU/NBSU/NBCC/KMC unit/ Mother New-born Care Unit/ State Resource Centre/Paediatric HDU</v>
      </c>
      <c r="D125" s="3019" t="str">
        <f>'5.Infrastructure Annex'!D77</f>
        <v>HSS</v>
      </c>
      <c r="E125" s="3019" t="str">
        <f>'5.Infrastructure Annex'!E77</f>
        <v>HSS/ CH</v>
      </c>
      <c r="F125" s="3019">
        <f>'5.Infrastructure Annex'!F77</f>
        <v>0</v>
      </c>
      <c r="G125" s="3019">
        <f>'5.Infrastructure Annex'!G77</f>
        <v>0</v>
      </c>
      <c r="H125" s="3019">
        <f>'5.Infrastructure Annex'!H77</f>
        <v>0</v>
      </c>
      <c r="I125" s="3019">
        <f>'5.Infrastructure Annex'!I77</f>
        <v>0</v>
      </c>
      <c r="J125" s="3019">
        <f>'5.Infrastructure Annex'!J77</f>
        <v>0</v>
      </c>
      <c r="K125" s="3019">
        <f>'5.Infrastructure Annex'!K77</f>
        <v>0</v>
      </c>
      <c r="L125" s="3020">
        <f>'5.Infrastructure Annex'!L77</f>
        <v>0</v>
      </c>
      <c r="M125" s="3019">
        <f>'5.Infrastructure Annex'!M77</f>
        <v>0</v>
      </c>
      <c r="N125" s="3019">
        <f>'5.Infrastructure Annex'!N77</f>
        <v>0</v>
      </c>
      <c r="O125" s="3020">
        <f>'5.Infrastructure Annex'!O77</f>
        <v>0</v>
      </c>
      <c r="P125" s="3017">
        <f>'5.Infrastructure Annex'!P77</f>
        <v>0</v>
      </c>
      <c r="Q125" s="3021"/>
      <c r="R125" s="3022"/>
    </row>
    <row r="126" spans="1:18" s="3023" customFormat="1">
      <c r="A126" s="3030">
        <f>'6.Procurement Annex'!A7</f>
        <v>6</v>
      </c>
      <c r="B126" s="3030"/>
      <c r="C126" s="3031" t="str">
        <f>'6.Procurement Annex'!C7</f>
        <v>Procurement</v>
      </c>
      <c r="D126" s="3032"/>
      <c r="E126" s="3032"/>
      <c r="F126" s="3032"/>
      <c r="G126" s="3032"/>
      <c r="H126" s="3033"/>
      <c r="I126" s="3032"/>
      <c r="J126" s="3033"/>
      <c r="K126" s="3032"/>
      <c r="L126" s="3033"/>
      <c r="M126" s="3033"/>
      <c r="N126" s="3039"/>
      <c r="O126" s="3040">
        <f>SUM(O127:O143)</f>
        <v>6769.5305049999988</v>
      </c>
      <c r="P126" s="3041"/>
      <c r="Q126" s="3042"/>
      <c r="R126" s="3043">
        <f>SUM(R127:R143)</f>
        <v>0</v>
      </c>
    </row>
    <row r="127" spans="1:18" s="3023" customFormat="1">
      <c r="A127" s="4606" t="str">
        <f>'6.Procurement Annex'!A11</f>
        <v>6.1.1.2</v>
      </c>
      <c r="B127" s="3017" t="str">
        <f>'6-A. Proc. Sub-Annex'!C14</f>
        <v>B16.1.2.1</v>
      </c>
      <c r="C127" s="3018" t="str">
        <f>'6-A. Proc. Sub-Annex'!D14</f>
        <v>Equipment for Paediatric HDU, Emergency, OPD and Ward</v>
      </c>
      <c r="D127" s="3019" t="str">
        <f>'6-A. Proc. Sub-Annex'!E14</f>
        <v>RCH</v>
      </c>
      <c r="E127" s="3019" t="str">
        <f>'6-A. Proc. Sub-Annex'!F14</f>
        <v>CH</v>
      </c>
      <c r="F127" s="3019">
        <f>'6-A. Proc. Sub-Annex'!G14</f>
        <v>0</v>
      </c>
      <c r="G127" s="3019">
        <f>'6-A. Proc. Sub-Annex'!H14</f>
        <v>0</v>
      </c>
      <c r="H127" s="3019">
        <f>'6-A. Proc. Sub-Annex'!I14</f>
        <v>0</v>
      </c>
      <c r="I127" s="3019">
        <f>'6-A. Proc. Sub-Annex'!J14</f>
        <v>0</v>
      </c>
      <c r="J127" s="3019">
        <f>'6-A. Proc. Sub-Annex'!K14</f>
        <v>0</v>
      </c>
      <c r="K127" s="3019">
        <f>'6-A. Proc. Sub-Annex'!L14</f>
        <v>0</v>
      </c>
      <c r="L127" s="3020">
        <f>'6-A. Proc. Sub-Annex'!M14</f>
        <v>0</v>
      </c>
      <c r="M127" s="3019">
        <f>'6-A. Proc. Sub-Annex'!N14</f>
        <v>0</v>
      </c>
      <c r="N127" s="3019">
        <f>'6-A. Proc. Sub-Annex'!O14</f>
        <v>0</v>
      </c>
      <c r="O127" s="3020">
        <f>'6-A. Proc. Sub-Annex'!P14</f>
        <v>0</v>
      </c>
      <c r="P127" s="3017">
        <f>'6-A. Proc. Sub-Annex'!Q14</f>
        <v>0</v>
      </c>
      <c r="Q127" s="3021"/>
      <c r="R127" s="3022"/>
    </row>
    <row r="128" spans="1:18" s="3023" customFormat="1" ht="30">
      <c r="A128" s="4606"/>
      <c r="B128" s="3017" t="str">
        <f>'6-A. Proc. Sub-Annex'!C15</f>
        <v>B16.1.2.2</v>
      </c>
      <c r="C128" s="3018" t="str">
        <f>'6-A. Proc. Sub-Annex'!D15</f>
        <v>Digital hemoglobinometer (One digital hemoglobinometer per RBSK Team and One at each Sub-centre/ testing strip)</v>
      </c>
      <c r="D128" s="3019" t="str">
        <f>'6-A. Proc. Sub-Annex'!E15</f>
        <v>RCH</v>
      </c>
      <c r="E128" s="3019" t="str">
        <f>'6-A. Proc. Sub-Annex'!F15</f>
        <v>CH</v>
      </c>
      <c r="F128" s="3019">
        <f>'6-A. Proc. Sub-Annex'!G15</f>
        <v>0</v>
      </c>
      <c r="G128" s="3019">
        <f>'6-A. Proc. Sub-Annex'!H15</f>
        <v>0</v>
      </c>
      <c r="H128" s="3019">
        <f>'6-A. Proc. Sub-Annex'!I15</f>
        <v>0</v>
      </c>
      <c r="I128" s="3019">
        <f>'6-A. Proc. Sub-Annex'!J15</f>
        <v>0</v>
      </c>
      <c r="J128" s="3019">
        <f>'6-A. Proc. Sub-Annex'!K15</f>
        <v>0</v>
      </c>
      <c r="K128" s="3019">
        <f>'6-A. Proc. Sub-Annex'!L15</f>
        <v>0</v>
      </c>
      <c r="L128" s="3020">
        <f>'6-A. Proc. Sub-Annex'!M15</f>
        <v>0</v>
      </c>
      <c r="M128" s="3019">
        <f>'6-A. Proc. Sub-Annex'!N15</f>
        <v>0</v>
      </c>
      <c r="N128" s="3019">
        <f>'6-A. Proc. Sub-Annex'!O15</f>
        <v>0</v>
      </c>
      <c r="O128" s="3020">
        <f>'6-A. Proc. Sub-Annex'!P15</f>
        <v>0</v>
      </c>
      <c r="P128" s="3017">
        <f>'6-A. Proc. Sub-Annex'!Q15</f>
        <v>0</v>
      </c>
      <c r="Q128" s="3021"/>
      <c r="R128" s="3022"/>
    </row>
    <row r="129" spans="1:18" s="3023" customFormat="1" ht="120">
      <c r="A129" s="4606"/>
      <c r="B129" s="3017">
        <f>'6-A. Proc. Sub-Annex'!C16</f>
        <v>0</v>
      </c>
      <c r="C129" s="3018" t="str">
        <f>'6-A. Proc. Sub-Annex'!D16</f>
        <v>Handheld Pulse Oximeter and nebulizer under SAANS</v>
      </c>
      <c r="D129" s="3019" t="str">
        <f>'6-A. Proc. Sub-Annex'!E16</f>
        <v>RCH</v>
      </c>
      <c r="E129" s="3019" t="str">
        <f>'6-A. Proc. Sub-Annex'!F16</f>
        <v>CH</v>
      </c>
      <c r="F129" s="3019">
        <f>'6-A. Proc. Sub-Annex'!G16</f>
        <v>0</v>
      </c>
      <c r="G129" s="3019">
        <f>'6-A. Proc. Sub-Annex'!H16</f>
        <v>0</v>
      </c>
      <c r="H129" s="3019">
        <f>'6-A. Proc. Sub-Annex'!I16</f>
        <v>0</v>
      </c>
      <c r="I129" s="3019">
        <f>'6-A. Proc. Sub-Annex'!J16</f>
        <v>0</v>
      </c>
      <c r="J129" s="3019">
        <f>'6-A. Proc. Sub-Annex'!K16</f>
        <v>0</v>
      </c>
      <c r="K129" s="3019" t="str">
        <f>'6-A. Proc. Sub-Annex'!L16</f>
        <v>No. of Pulse Oximeter &amp; Nebuliser</v>
      </c>
      <c r="L129" s="3020">
        <f>'6-A. Proc. Sub-Annex'!M16</f>
        <v>17086000</v>
      </c>
      <c r="M129" s="3019">
        <f>'6-A. Proc. Sub-Annex'!N16</f>
        <v>170.86</v>
      </c>
      <c r="N129" s="3019">
        <f>'6-A. Proc. Sub-Annex'!O16</f>
        <v>1</v>
      </c>
      <c r="O129" s="3020">
        <f>'6-A. Proc. Sub-Annex'!P16</f>
        <v>170.86</v>
      </c>
      <c r="P129" s="3017" t="str">
        <f>'6-A. Proc. Sub-Annex'!Q16</f>
        <v>SAANS program is planned to be upscale in 12 Aspirational districts in FY 2021-22. . therefore budget is being proposed for procurement of 826 Pulse Oximeter@ Rs.15000 per Pulse Oximeter = 826*Rs.15000 = 123.90 lakh and
for 1456 Nebuliser@Rs.1000 per nebuliser = 1456*Rs.1000 = 14.56 Lakh
For 48 Paedeatric manniquin@40000 per manniquin = 19.20 lakh
For 24 Oxygen Concentrator@55000 = 13.20 lakh
Hence Total budget required = 170.86 lakh</v>
      </c>
      <c r="Q129" s="3021"/>
      <c r="R129" s="3022"/>
    </row>
    <row r="130" spans="1:18" s="3023" customFormat="1">
      <c r="A130" s="4606"/>
      <c r="B130" s="3017">
        <f>'6-A. Proc. Sub-Annex'!C17</f>
        <v>0</v>
      </c>
      <c r="C130" s="3018" t="str">
        <f>'6-A. Proc. Sub-Annex'!D17</f>
        <v>Furniture for paediatric OPD and ward</v>
      </c>
      <c r="D130" s="3019" t="str">
        <f>'6-A. Proc. Sub-Annex'!E17</f>
        <v>RCH</v>
      </c>
      <c r="E130" s="3019" t="str">
        <f>'6-A. Proc. Sub-Annex'!F17</f>
        <v>CH</v>
      </c>
      <c r="F130" s="3019">
        <f>'6-A. Proc. Sub-Annex'!G17</f>
        <v>0</v>
      </c>
      <c r="G130" s="3019">
        <f>'6-A. Proc. Sub-Annex'!H17</f>
        <v>0</v>
      </c>
      <c r="H130" s="3019">
        <f>'6-A. Proc. Sub-Annex'!I17</f>
        <v>0</v>
      </c>
      <c r="I130" s="3019">
        <f>'6-A. Proc. Sub-Annex'!J17</f>
        <v>0</v>
      </c>
      <c r="J130" s="3019">
        <f>'6-A. Proc. Sub-Annex'!K17</f>
        <v>0</v>
      </c>
      <c r="K130" s="3019">
        <f>'6-A. Proc. Sub-Annex'!L17</f>
        <v>0</v>
      </c>
      <c r="L130" s="3020">
        <f>'6-A. Proc. Sub-Annex'!M17</f>
        <v>0</v>
      </c>
      <c r="M130" s="3019">
        <f>'6-A. Proc. Sub-Annex'!N17</f>
        <v>0</v>
      </c>
      <c r="N130" s="3019">
        <f>'6-A. Proc. Sub-Annex'!O17</f>
        <v>0</v>
      </c>
      <c r="O130" s="3020">
        <f>'6-A. Proc. Sub-Annex'!P17</f>
        <v>0</v>
      </c>
      <c r="P130" s="3017">
        <f>'6-A. Proc. Sub-Annex'!Q17</f>
        <v>0</v>
      </c>
      <c r="Q130" s="3021"/>
      <c r="R130" s="3022"/>
    </row>
    <row r="131" spans="1:18" s="3023" customFormat="1" ht="375">
      <c r="A131" s="4606"/>
      <c r="B131" s="3017" t="str">
        <f>'6-A. Proc. Sub-Annex'!C18</f>
        <v>B16.1.2.2</v>
      </c>
      <c r="C131" s="3018" t="str">
        <f>'6-A. Proc. Sub-Annex'!D18</f>
        <v>Any other equipment (including equipment for SRC/MNCU/SNCU/ NBSU/NBCC/NRC/ etc</v>
      </c>
      <c r="D131" s="3019" t="str">
        <f>'6-A. Proc. Sub-Annex'!E18</f>
        <v>RCH</v>
      </c>
      <c r="E131" s="3019" t="str">
        <f>'6-A. Proc. Sub-Annex'!F18</f>
        <v>CH</v>
      </c>
      <c r="F131" s="3019">
        <f>'6-A. Proc. Sub-Annex'!G18</f>
        <v>0</v>
      </c>
      <c r="G131" s="3019">
        <f>'6-A. Proc. Sub-Annex'!H18</f>
        <v>0</v>
      </c>
      <c r="H131" s="3019">
        <f>'6-A. Proc. Sub-Annex'!I18</f>
        <v>0</v>
      </c>
      <c r="I131" s="3019">
        <f>'6-A. Proc. Sub-Annex'!J18</f>
        <v>0</v>
      </c>
      <c r="J131" s="3019">
        <f>'6-A. Proc. Sub-Annex'!K18</f>
        <v>0</v>
      </c>
      <c r="K131" s="3019">
        <f>'6-A. Proc. Sub-Annex'!L18</f>
        <v>0</v>
      </c>
      <c r="L131" s="3020">
        <f>'6-A. Proc. Sub-Annex'!M18</f>
        <v>25100000</v>
      </c>
      <c r="M131" s="3019">
        <f>'6-A. Proc. Sub-Annex'!N18</f>
        <v>251</v>
      </c>
      <c r="N131" s="3019">
        <f>'6-A. Proc. Sub-Annex'!O18</f>
        <v>1</v>
      </c>
      <c r="O131" s="3020">
        <f>'6-A. Proc. Sub-Annex'!P18</f>
        <v>251</v>
      </c>
      <c r="P131" s="3017" t="str">
        <f>'6-A. Proc. Sub-Annex'!Q18</f>
        <v>Budge is being proposed for FY 2021-22 
1.Procurement of 100 Radiant warmer@Rs.46000 per RW at NBCC to replace old(more than 6 years) unreparable RW = 46.00 lakh
2. Procurement of 400 Suction Machine@Rs.15000 per Suction Machine at NBCC = 400*Rs.15000 = 60.00 lakh 
3. Establishment of 40 CPAP@Rs.250000 per CPAP in 40 SNCU = 100.00 lakh
Total Budget required = 46 + 60 + 100 = 206 lakh 
NRC
1. Procurement of 14 Stadiometer@Rs.3000 per Stadiometer = Rs.0.42 lakh
2. Procurement of 15 Infantometer@Rs.3000 per infanntometer = Rs.0.45 lakh
3. Procurement of 14 Digital baby weighing Scale@Rs.5000 per weighing scale = Rs.0.70 lakh
4. Procurement of 29 LED TVs(42")@Rs. 30000 per LED TV = 29* Rs. 30000 = 8.70 lakh
5.  Procurement of 17 RO water purifiers@Rs. 20000 per RO = 17* Rs. 20000 = 3.40 lakh
6.  Procurement of 18 Refrigerator (more than or equal to 200 liters)@Rs. 20000 per Refrigerator = 18* Rs. 20000 = 3.60 lakh
7. Procurement of 26 Desktop Computer Set (Computer set, printer, mouse, antivirus etc.)@Rs. 60000 per Computer set = 26* Rs. 60000 = 15.60 lakh
Total Budget required = 0.42+ 0.45+0.70+8.70+ 3.40+4.00+ 15.60 = 32.87 lakh
IYCF Counsceling Centre  for 111 (New)
1. Procurement of 111 Stadiometer@Rs.3000 per Stadiometer = Rs.3.33 lakh
2. Procurement of 111 Infantometer@Rs.3000 per infanntometer = Rs.3.33 lakh
3. Procurement of 111 Digital baby weighing Scale@Rs.5000 per weighing scale = Rs.5.55 lakh
Total Budget = 12.21 lakh
TOTAL BuDGET</v>
      </c>
      <c r="Q131" s="3021"/>
      <c r="R131" s="3022"/>
    </row>
    <row r="132" spans="1:18" s="3023" customFormat="1">
      <c r="A132" s="3063" t="str">
        <f>'6.Procurement Annex'!A28</f>
        <v>6.1.3.2</v>
      </c>
      <c r="B132" s="3017" t="str">
        <f>'6-A. Proc. Sub-Annex'!C71</f>
        <v>A.2.9.1</v>
      </c>
      <c r="C132" s="3018" t="str">
        <f>'6-A. Proc. Sub-Annex'!D71</f>
        <v>Free Diagnostics for Sick infants under JSSK</v>
      </c>
      <c r="D132" s="3019" t="str">
        <f>'6-A. Proc. Sub-Annex'!E71</f>
        <v>RCH</v>
      </c>
      <c r="E132" s="3019" t="str">
        <f>'6-A. Proc. Sub-Annex'!F71</f>
        <v>CH</v>
      </c>
      <c r="F132" s="3019">
        <f>'6-A. Proc. Sub-Annex'!G71</f>
        <v>0</v>
      </c>
      <c r="G132" s="3019">
        <f>'6-A. Proc. Sub-Annex'!H71</f>
        <v>0</v>
      </c>
      <c r="H132" s="3019">
        <f>'6-A. Proc. Sub-Annex'!I71</f>
        <v>0</v>
      </c>
      <c r="I132" s="3019">
        <f>'6-A. Proc. Sub-Annex'!J71</f>
        <v>0</v>
      </c>
      <c r="J132" s="3019">
        <f>'6-A. Proc. Sub-Annex'!K71</f>
        <v>0</v>
      </c>
      <c r="K132" s="3019">
        <f>'6-A. Proc. Sub-Annex'!L71</f>
        <v>0</v>
      </c>
      <c r="L132" s="3020">
        <f>'6-A. Proc. Sub-Annex'!M71</f>
        <v>0</v>
      </c>
      <c r="M132" s="3019">
        <f>'6-A. Proc. Sub-Annex'!N71</f>
        <v>0</v>
      </c>
      <c r="N132" s="3019">
        <f>'6-A. Proc. Sub-Annex'!O71</f>
        <v>0</v>
      </c>
      <c r="O132" s="3020">
        <f>'6-A. Proc. Sub-Annex'!P71</f>
        <v>0</v>
      </c>
      <c r="P132" s="3017">
        <f>'6-A. Proc. Sub-Annex'!Q71</f>
        <v>0</v>
      </c>
      <c r="Q132" s="3021"/>
      <c r="R132" s="3022"/>
    </row>
    <row r="133" spans="1:18" s="3023" customFormat="1">
      <c r="A133" s="4606" t="str">
        <f>'6.Procurement Annex'!A57</f>
        <v>6.2.1.2</v>
      </c>
      <c r="B133" s="3017" t="str">
        <f>'6-A. Proc. Sub-Annex'!C161</f>
        <v>B.16.2.2.1</v>
      </c>
      <c r="C133" s="3018" t="str">
        <f>'6-A. Proc. Sub-Annex'!D161</f>
        <v>JSSK drugs and consumables</v>
      </c>
      <c r="D133" s="3019" t="str">
        <f>'6-A. Proc. Sub-Annex'!E161</f>
        <v>RCH</v>
      </c>
      <c r="E133" s="3019" t="str">
        <f>'6-A. Proc. Sub-Annex'!F161</f>
        <v>CH</v>
      </c>
      <c r="F133" s="3019">
        <f>'6-A. Proc. Sub-Annex'!G161</f>
        <v>0</v>
      </c>
      <c r="G133" s="3019">
        <f>'6-A. Proc. Sub-Annex'!H161</f>
        <v>0</v>
      </c>
      <c r="H133" s="3019">
        <f>'6-A. Proc. Sub-Annex'!I161</f>
        <v>0</v>
      </c>
      <c r="I133" s="3019">
        <f>'6-A. Proc. Sub-Annex'!J161</f>
        <v>0</v>
      </c>
      <c r="J133" s="3019">
        <f>'6-A. Proc. Sub-Annex'!K161</f>
        <v>0</v>
      </c>
      <c r="K133" s="3019" t="str">
        <f>'6-A. Proc. Sub-Annex'!L161</f>
        <v>No. of sick Child</v>
      </c>
      <c r="L133" s="3020">
        <f>'6-A. Proc. Sub-Annex'!M161</f>
        <v>400</v>
      </c>
      <c r="M133" s="3019">
        <f>'6-A. Proc. Sub-Annex'!N161</f>
        <v>4.0000000000000001E-3</v>
      </c>
      <c r="N133" s="3019">
        <f>'6-A. Proc. Sub-Annex'!O161</f>
        <v>153300</v>
      </c>
      <c r="O133" s="3020">
        <f>'6-A. Proc. Sub-Annex'!P161</f>
        <v>613.20000000000005</v>
      </c>
      <c r="P133" s="3017" t="str">
        <f>'6-A. Proc. Sub-Annex'!Q161</f>
        <v>(A) Amount for normal delivery - 1650000*350 = Rs.577500000</v>
      </c>
      <c r="Q133" s="3021"/>
      <c r="R133" s="3022"/>
    </row>
    <row r="134" spans="1:18" s="3023" customFormat="1">
      <c r="A134" s="4606"/>
      <c r="B134" s="3017" t="str">
        <f>'6-A. Proc. Sub-Annex'!C162</f>
        <v>B.16.2.6</v>
      </c>
      <c r="C134" s="3018" t="str">
        <f>'6-A. Proc. Sub-Annex'!D162</f>
        <v>Drugs &amp; Supplies for NIPI and National Deworming Day</v>
      </c>
      <c r="D134" s="3019" t="str">
        <f>'6-A. Proc. Sub-Annex'!E162</f>
        <v>RCH</v>
      </c>
      <c r="E134" s="3019" t="str">
        <f>'6-A. Proc. Sub-Annex'!F162</f>
        <v>CH</v>
      </c>
      <c r="F134" s="3019">
        <f>'6-A. Proc. Sub-Annex'!G162</f>
        <v>0</v>
      </c>
      <c r="G134" s="3019">
        <f>'6-A. Proc. Sub-Annex'!H162</f>
        <v>0</v>
      </c>
      <c r="H134" s="3019">
        <f>'6-A. Proc. Sub-Annex'!I162</f>
        <v>0</v>
      </c>
      <c r="I134" s="3019">
        <f>'6-A. Proc. Sub-Annex'!J162</f>
        <v>0</v>
      </c>
      <c r="J134" s="3019">
        <f>'6-A. Proc. Sub-Annex'!K162</f>
        <v>0</v>
      </c>
      <c r="K134" s="3019">
        <f>'6-A. Proc. Sub-Annex'!L162</f>
        <v>0</v>
      </c>
      <c r="L134" s="3020">
        <f>'6-A. Proc. Sub-Annex'!M162</f>
        <v>0</v>
      </c>
      <c r="M134" s="3019">
        <f>'6-A. Proc. Sub-Annex'!N162</f>
        <v>0</v>
      </c>
      <c r="N134" s="3019">
        <f>'6-A. Proc. Sub-Annex'!O162</f>
        <v>0</v>
      </c>
      <c r="O134" s="3020">
        <f>'6-A. Proc. Sub-Annex'!P162</f>
        <v>0</v>
      </c>
      <c r="P134" s="3017" t="str">
        <f>'6-A. Proc. Sub-Annex'!Q162</f>
        <v>(B) Amount C-Section- 50000*1600=Rs.80000000</v>
      </c>
      <c r="Q134" s="3021"/>
      <c r="R134" s="3022"/>
    </row>
    <row r="135" spans="1:18" s="3023" customFormat="1">
      <c r="A135" s="4606"/>
      <c r="B135" s="3017" t="str">
        <f>'6-A. Proc. Sub-Annex'!C163</f>
        <v>B.16.2.6.1.a</v>
      </c>
      <c r="C135" s="3018" t="str">
        <f>'6-A. Proc. Sub-Annex'!D163</f>
        <v>IFA syrups (with auto dispenser) for children (6-60months)</v>
      </c>
      <c r="D135" s="3019" t="str">
        <f>'6-A. Proc. Sub-Annex'!E163</f>
        <v>RCH</v>
      </c>
      <c r="E135" s="3019" t="str">
        <f>'6-A. Proc. Sub-Annex'!F163</f>
        <v>CH</v>
      </c>
      <c r="F135" s="3019">
        <f>'6-A. Proc. Sub-Annex'!G163</f>
        <v>0</v>
      </c>
      <c r="G135" s="3019">
        <f>'6-A. Proc. Sub-Annex'!H163</f>
        <v>0</v>
      </c>
      <c r="H135" s="3019">
        <f>'6-A. Proc. Sub-Annex'!I163</f>
        <v>0</v>
      </c>
      <c r="I135" s="3019">
        <f>'6-A. Proc. Sub-Annex'!J163</f>
        <v>0</v>
      </c>
      <c r="J135" s="3019">
        <f>'6-A. Proc. Sub-Annex'!K163</f>
        <v>0</v>
      </c>
      <c r="K135" s="3019" t="str">
        <f>'6-A. Proc. Sub-Annex'!L163</f>
        <v>No. of bottle</v>
      </c>
      <c r="L135" s="3020">
        <f>'6-A. Proc. Sub-Annex'!M163</f>
        <v>7.86</v>
      </c>
      <c r="M135" s="3019">
        <f>'6-A. Proc. Sub-Annex'!N163</f>
        <v>7.86E-5</v>
      </c>
      <c r="N135" s="3019">
        <f>'6-A. Proc. Sub-Annex'!O163</f>
        <v>33217439.199999992</v>
      </c>
      <c r="O135" s="3020">
        <f>'6-A. Proc. Sub-Annex'!P163</f>
        <v>2610.8907211199994</v>
      </c>
      <c r="P135" s="3017" t="str">
        <f>'6-A. Proc. Sub-Annex'!Q163</f>
        <v>Total Amount- Rs.577500000+Rs.80000000 =Rs. 657500000</v>
      </c>
      <c r="Q135" s="3021"/>
      <c r="R135" s="3022"/>
    </row>
    <row r="136" spans="1:18" s="3023" customFormat="1" ht="30">
      <c r="A136" s="4606"/>
      <c r="B136" s="3017" t="str">
        <f>'6-A. Proc. Sub-Annex'!C164</f>
        <v>B.16.2.6.1.b</v>
      </c>
      <c r="C136" s="3018" t="str">
        <f>'6-A. Proc. Sub-Annex'!D164</f>
        <v>Albendazole Tablets for children (6-60months)</v>
      </c>
      <c r="D136" s="3019" t="str">
        <f>'6-A. Proc. Sub-Annex'!E164</f>
        <v>RCH</v>
      </c>
      <c r="E136" s="3019" t="str">
        <f>'6-A. Proc. Sub-Annex'!F164</f>
        <v>CH</v>
      </c>
      <c r="F136" s="3019">
        <f>'6-A. Proc. Sub-Annex'!G164</f>
        <v>0</v>
      </c>
      <c r="G136" s="3019">
        <f>'6-A. Proc. Sub-Annex'!H164</f>
        <v>0</v>
      </c>
      <c r="H136" s="3019">
        <f>'6-A. Proc. Sub-Annex'!I164</f>
        <v>0</v>
      </c>
      <c r="I136" s="3019">
        <f>'6-A. Proc. Sub-Annex'!J164</f>
        <v>0</v>
      </c>
      <c r="J136" s="3019">
        <f>'6-A. Proc. Sub-Annex'!K164</f>
        <v>0</v>
      </c>
      <c r="K136" s="3019" t="str">
        <f>'6-A. Proc. Sub-Annex'!L164</f>
        <v>No. of tablet</v>
      </c>
      <c r="L136" s="3020">
        <f>'6-A. Proc. Sub-Annex'!M164</f>
        <v>40000000</v>
      </c>
      <c r="M136" s="3019">
        <f>'6-A. Proc. Sub-Annex'!N164</f>
        <v>400</v>
      </c>
      <c r="N136" s="3019">
        <f>'6-A. Proc. Sub-Annex'!O164</f>
        <v>1</v>
      </c>
      <c r="O136" s="3020">
        <f>'6-A. Proc. Sub-Annex'!P164</f>
        <v>400</v>
      </c>
      <c r="P136" s="3017" t="str">
        <f>'6-A. Proc. Sub-Annex'!Q164</f>
        <v>Continued Activity: Budget is being proposed for procuremnt of Albendazole tablets for NDD program</v>
      </c>
      <c r="Q136" s="3021"/>
      <c r="R136" s="3022"/>
    </row>
    <row r="137" spans="1:18" s="3023" customFormat="1" ht="30">
      <c r="A137" s="4606"/>
      <c r="B137" s="3017" t="str">
        <f>'6-A. Proc. Sub-Annex'!C165</f>
        <v>B.16.2.6.2.a</v>
      </c>
      <c r="C137" s="3018" t="str">
        <f>'6-A. Proc. Sub-Annex'!D165</f>
        <v>IFA tablets  (IFA WIFS Junior tablets- pink sugar coated) for children (5-10 yrs.)</v>
      </c>
      <c r="D137" s="3019" t="str">
        <f>'6-A. Proc. Sub-Annex'!E165</f>
        <v>RCH</v>
      </c>
      <c r="E137" s="3019" t="str">
        <f>'6-A. Proc. Sub-Annex'!F165</f>
        <v>CH</v>
      </c>
      <c r="F137" s="3019">
        <f>'6-A. Proc. Sub-Annex'!G165</f>
        <v>0</v>
      </c>
      <c r="G137" s="3019">
        <f>'6-A. Proc. Sub-Annex'!H165</f>
        <v>0</v>
      </c>
      <c r="H137" s="3019">
        <f>'6-A. Proc. Sub-Annex'!I165</f>
        <v>0</v>
      </c>
      <c r="I137" s="3019">
        <f>'6-A. Proc. Sub-Annex'!J165</f>
        <v>0</v>
      </c>
      <c r="J137" s="3019">
        <f>'6-A. Proc. Sub-Annex'!K165</f>
        <v>0</v>
      </c>
      <c r="K137" s="3019" t="str">
        <f>'6-A. Proc. Sub-Annex'!L165</f>
        <v>No. of Tablets</v>
      </c>
      <c r="L137" s="3020">
        <f>'6-A. Proc. Sub-Annex'!M165</f>
        <v>0.11</v>
      </c>
      <c r="M137" s="3019">
        <f>'6-A. Proc. Sub-Annex'!N165</f>
        <v>1.1000000000000001E-6</v>
      </c>
      <c r="N137" s="3019">
        <f>'6-A. Proc. Sub-Annex'!O165</f>
        <v>1100584570.7999997</v>
      </c>
      <c r="O137" s="3020">
        <f>'6-A. Proc. Sub-Annex'!P165</f>
        <v>1210.6430278799996</v>
      </c>
      <c r="P137" s="3017" t="str">
        <f>'6-A. Proc. Sub-Annex'!Q165</f>
        <v>Continued Activity: 1,10,05,84,571 Pink IFA tablet for 52 dose in year (with 10 % buffer) for targeted 1,92,40,989 (5-9 years) children.</v>
      </c>
      <c r="Q137" s="3021"/>
      <c r="R137" s="3022"/>
    </row>
    <row r="138" spans="1:18" s="3023" customFormat="1" ht="30">
      <c r="A138" s="4606"/>
      <c r="B138" s="3017" t="str">
        <f>'6-A. Proc. Sub-Annex'!C166</f>
        <v>B.16.2.6.2.b</v>
      </c>
      <c r="C138" s="3018" t="str">
        <f>'6-A. Proc. Sub-Annex'!D166</f>
        <v>Albendazole Tablets for children (5-10 yrs.)</v>
      </c>
      <c r="D138" s="3019" t="str">
        <f>'6-A. Proc. Sub-Annex'!E166</f>
        <v>RCH</v>
      </c>
      <c r="E138" s="3019" t="str">
        <f>'6-A. Proc. Sub-Annex'!F166</f>
        <v>CH</v>
      </c>
      <c r="F138" s="3019">
        <f>'6-A. Proc. Sub-Annex'!G166</f>
        <v>0</v>
      </c>
      <c r="G138" s="3019">
        <f>'6-A. Proc. Sub-Annex'!H166</f>
        <v>0</v>
      </c>
      <c r="H138" s="3019">
        <f>'6-A. Proc. Sub-Annex'!I166</f>
        <v>0</v>
      </c>
      <c r="I138" s="3019">
        <f>'6-A. Proc. Sub-Annex'!J166</f>
        <v>0</v>
      </c>
      <c r="J138" s="3019">
        <f>'6-A. Proc. Sub-Annex'!K166</f>
        <v>0</v>
      </c>
      <c r="K138" s="3019" t="str">
        <f>'6-A. Proc. Sub-Annex'!L166</f>
        <v>No. of tablet</v>
      </c>
      <c r="L138" s="3020">
        <f>'6-A. Proc. Sub-Annex'!M166</f>
        <v>40000000</v>
      </c>
      <c r="M138" s="3019">
        <f>'6-A. Proc. Sub-Annex'!N166</f>
        <v>400</v>
      </c>
      <c r="N138" s="3019">
        <f>'6-A. Proc. Sub-Annex'!O166</f>
        <v>1</v>
      </c>
      <c r="O138" s="3020">
        <f>'6-A. Proc. Sub-Annex'!P166</f>
        <v>400</v>
      </c>
      <c r="P138" s="3017" t="str">
        <f>'6-A. Proc. Sub-Annex'!Q166</f>
        <v>continued activity:Budget is being proposed for procuremnt of Albendazole tablets for NDD program</v>
      </c>
      <c r="Q138" s="3021"/>
      <c r="R138" s="3022"/>
    </row>
    <row r="139" spans="1:18" s="3023" customFormat="1" ht="75">
      <c r="A139" s="4606"/>
      <c r="B139" s="3017" t="str">
        <f>'6-A. Proc. Sub-Annex'!C167</f>
        <v>B.16.2.2.2</v>
      </c>
      <c r="C139" s="3018" t="str">
        <f>'6-A. Proc. Sub-Annex'!D167</f>
        <v>Vitamin A syrup</v>
      </c>
      <c r="D139" s="3019" t="str">
        <f>'6-A. Proc. Sub-Annex'!E167</f>
        <v>RCH</v>
      </c>
      <c r="E139" s="3019" t="str">
        <f>'6-A. Proc. Sub-Annex'!F167</f>
        <v>CH</v>
      </c>
      <c r="F139" s="3019">
        <f>'6-A. Proc. Sub-Annex'!G167</f>
        <v>306703</v>
      </c>
      <c r="G139" s="3019">
        <f>'6-A. Proc. Sub-Annex'!H167</f>
        <v>0</v>
      </c>
      <c r="H139" s="3019">
        <f>'6-A. Proc. Sub-Annex'!I167</f>
        <v>337.37</v>
      </c>
      <c r="I139" s="3019">
        <f>'6-A. Proc. Sub-Annex'!J167</f>
        <v>0</v>
      </c>
      <c r="J139" s="3019">
        <f>'6-A. Proc. Sub-Annex'!K167</f>
        <v>0</v>
      </c>
      <c r="K139" s="3019" t="str">
        <f>'6-A. Proc. Sub-Annex'!L167</f>
        <v>Procurement of Vit. A Bottle</v>
      </c>
      <c r="L139" s="3020">
        <f>'6-A. Proc. Sub-Annex'!M167</f>
        <v>110</v>
      </c>
      <c r="M139" s="3019">
        <f>'6-A. Proc. Sub-Annex'!N167</f>
        <v>1.1000000000000001E-3</v>
      </c>
      <c r="N139" s="3019">
        <f>'6-A. Proc. Sub-Annex'!O167</f>
        <v>400000</v>
      </c>
      <c r="O139" s="3020">
        <f>'6-A. Proc. Sub-Annex'!P167</f>
        <v>440</v>
      </c>
      <c r="P139" s="3017" t="str">
        <f>'6-A. Proc. Sub-Annex'!Q167</f>
        <v>Continued Activity:
Procurement of 4 lakhs bottles per round @ Rs. 110/ bottle for VAS program including transportation cost  from Ware house to District and upto PHC. Fund requirement: 110X400000 bottles X Round=Rs 44000000/-</v>
      </c>
      <c r="Q139" s="3021"/>
      <c r="R139" s="3022"/>
    </row>
    <row r="140" spans="1:18" s="3023" customFormat="1" ht="45">
      <c r="A140" s="4606"/>
      <c r="B140" s="3017" t="str">
        <f>'6-A. Proc. Sub-Annex'!C169</f>
        <v>B.16.2.2.3</v>
      </c>
      <c r="C140" s="3018" t="str">
        <f>'6-A. Proc. Sub-Annex'!D169</f>
        <v>ORS</v>
      </c>
      <c r="D140" s="3019" t="str">
        <f>'6-A. Proc. Sub-Annex'!E169</f>
        <v>RCH</v>
      </c>
      <c r="E140" s="3019" t="str">
        <f>'6-A. Proc. Sub-Annex'!F169</f>
        <v>CH</v>
      </c>
      <c r="F140" s="3019">
        <f>'6-A. Proc. Sub-Annex'!G169</f>
        <v>0</v>
      </c>
      <c r="G140" s="3019">
        <f>'6-A. Proc. Sub-Annex'!H169</f>
        <v>0</v>
      </c>
      <c r="H140" s="3019">
        <f>'6-A. Proc. Sub-Annex'!I169</f>
        <v>0</v>
      </c>
      <c r="I140" s="3019">
        <f>'6-A. Proc. Sub-Annex'!J169</f>
        <v>0</v>
      </c>
      <c r="J140" s="3019">
        <f>'6-A. Proc. Sub-Annex'!K169</f>
        <v>0</v>
      </c>
      <c r="K140" s="3019" t="str">
        <f>'6-A. Proc. Sub-Annex'!L169</f>
        <v>No. of ORS packet</v>
      </c>
      <c r="L140" s="3020">
        <f>'6-A. Proc. Sub-Annex'!M169</f>
        <v>2.46</v>
      </c>
      <c r="M140" s="3019">
        <f>'6-A. Proc. Sub-Annex'!N169</f>
        <v>2.4599999999999998E-5</v>
      </c>
      <c r="N140" s="3019">
        <f>'6-A. Proc. Sub-Annex'!O169</f>
        <v>24165560</v>
      </c>
      <c r="O140" s="3020">
        <f>'6-A. Proc. Sub-Annex'!P169</f>
        <v>594.47277599999995</v>
      </c>
      <c r="P140" s="3017" t="str">
        <f>'6-A. Proc. Sub-Annex'!Q169</f>
        <v>Continued activity: Budget is being proposed for procurement of ORS sachet@Rs.2.46 per sachet for implementaion of IDCF program to cover 1.72 crore under 5 population(as projected)</v>
      </c>
      <c r="Q140" s="3021"/>
      <c r="R140" s="3022"/>
    </row>
    <row r="141" spans="1:18" s="3023" customFormat="1" ht="30">
      <c r="A141" s="4606"/>
      <c r="B141" s="3017" t="str">
        <f>'6-A. Proc. Sub-Annex'!C170</f>
        <v>B.16.2.2.4</v>
      </c>
      <c r="C141" s="3018" t="str">
        <f>'6-A. Proc. Sub-Annex'!D170</f>
        <v>Zinc</v>
      </c>
      <c r="D141" s="3019" t="str">
        <f>'6-A. Proc. Sub-Annex'!E170</f>
        <v>RCH</v>
      </c>
      <c r="E141" s="3019" t="str">
        <f>'6-A. Proc. Sub-Annex'!F170</f>
        <v>CH</v>
      </c>
      <c r="F141" s="3019">
        <f>'6-A. Proc. Sub-Annex'!G170</f>
        <v>0</v>
      </c>
      <c r="G141" s="3019">
        <f>'6-A. Proc. Sub-Annex'!H170</f>
        <v>0</v>
      </c>
      <c r="H141" s="3019">
        <f>'6-A. Proc. Sub-Annex'!I170</f>
        <v>0</v>
      </c>
      <c r="I141" s="3019">
        <f>'6-A. Proc. Sub-Annex'!J170</f>
        <v>0</v>
      </c>
      <c r="J141" s="3019">
        <f>'6-A. Proc. Sub-Annex'!K170</f>
        <v>0</v>
      </c>
      <c r="K141" s="3019" t="str">
        <f>'6-A. Proc. Sub-Annex'!L170</f>
        <v>No. of Zinc tab.</v>
      </c>
      <c r="L141" s="3020">
        <f>'6-A. Proc. Sub-Annex'!M170</f>
        <v>0.3</v>
      </c>
      <c r="M141" s="3019">
        <f>'6-A. Proc. Sub-Annex'!N170</f>
        <v>3.0000000000000001E-6</v>
      </c>
      <c r="N141" s="3019">
        <f>'6-A. Proc. Sub-Annex'!O170</f>
        <v>26154660</v>
      </c>
      <c r="O141" s="3020">
        <f>'6-A. Proc. Sub-Annex'!P170</f>
        <v>78.463980000000006</v>
      </c>
      <c r="P141" s="3017" t="str">
        <f>'6-A. Proc. Sub-Annex'!Q170</f>
        <v>Continued Activity: Budget is being proposed for procurement of Zinc tablet@Rs.0.30(including taxes) per tablet for implementaion of IDCF program.</v>
      </c>
      <c r="Q141" s="3021"/>
      <c r="R141" s="3022"/>
    </row>
    <row r="142" spans="1:18" s="3023" customFormat="1">
      <c r="A142" s="4606"/>
      <c r="B142" s="3017">
        <f>'6-A. Proc. Sub-Annex'!C171</f>
        <v>0</v>
      </c>
      <c r="C142" s="3018" t="str">
        <f>'6-A. Proc. Sub-Annex'!D171</f>
        <v>Others (please specify)</v>
      </c>
      <c r="D142" s="3019" t="str">
        <f>'6-A. Proc. Sub-Annex'!E171</f>
        <v>RCH</v>
      </c>
      <c r="E142" s="3019" t="str">
        <f>'6-A. Proc. Sub-Annex'!F171</f>
        <v>CH</v>
      </c>
      <c r="F142" s="3019">
        <f>'6-A. Proc. Sub-Annex'!G171</f>
        <v>0</v>
      </c>
      <c r="G142" s="3019">
        <f>'6-A. Proc. Sub-Annex'!H171</f>
        <v>0</v>
      </c>
      <c r="H142" s="3019">
        <f>'6-A. Proc. Sub-Annex'!I171</f>
        <v>0</v>
      </c>
      <c r="I142" s="3019">
        <f>'6-A. Proc. Sub-Annex'!J171</f>
        <v>0</v>
      </c>
      <c r="J142" s="3019">
        <f>'6-A. Proc. Sub-Annex'!K171</f>
        <v>0</v>
      </c>
      <c r="K142" s="3019">
        <f>'6-A. Proc. Sub-Annex'!L171</f>
        <v>0</v>
      </c>
      <c r="L142" s="3020">
        <f>'6-A. Proc. Sub-Annex'!M171</f>
        <v>0</v>
      </c>
      <c r="M142" s="3019">
        <f>'6-A. Proc. Sub-Annex'!N171</f>
        <v>0</v>
      </c>
      <c r="N142" s="3019">
        <f>'6-A. Proc. Sub-Annex'!O171</f>
        <v>0</v>
      </c>
      <c r="O142" s="3020">
        <f>'6-A. Proc. Sub-Annex'!P171</f>
        <v>0</v>
      </c>
      <c r="P142" s="3017">
        <f>'6-A. Proc. Sub-Annex'!Q171</f>
        <v>0</v>
      </c>
      <c r="Q142" s="3021"/>
      <c r="R142" s="3022"/>
    </row>
    <row r="143" spans="1:18" s="3023" customFormat="1">
      <c r="A143" s="4606"/>
      <c r="B143" s="3017">
        <f>'6-A. Proc. Sub-Annex'!C172</f>
        <v>0</v>
      </c>
      <c r="C143" s="3018" t="str">
        <f>'6-A. Proc. Sub-Annex'!D172</f>
        <v>Any other Drugs &amp; Supplies (Please specify)</v>
      </c>
      <c r="D143" s="3019" t="str">
        <f>'6-A. Proc. Sub-Annex'!E172</f>
        <v>RCH</v>
      </c>
      <c r="E143" s="3019" t="str">
        <f>'6-A. Proc. Sub-Annex'!F172</f>
        <v>CH</v>
      </c>
      <c r="F143" s="3019">
        <f>'6-A. Proc. Sub-Annex'!G172</f>
        <v>0</v>
      </c>
      <c r="G143" s="3019">
        <f>'6-A. Proc. Sub-Annex'!H172</f>
        <v>0</v>
      </c>
      <c r="H143" s="3019">
        <f>'6-A. Proc. Sub-Annex'!I172</f>
        <v>0</v>
      </c>
      <c r="I143" s="3019">
        <f>'6-A. Proc. Sub-Annex'!J172</f>
        <v>0</v>
      </c>
      <c r="J143" s="3019">
        <f>'6-A. Proc. Sub-Annex'!K172</f>
        <v>0</v>
      </c>
      <c r="K143" s="3019">
        <f>'6-A. Proc. Sub-Annex'!L172</f>
        <v>0</v>
      </c>
      <c r="L143" s="3020">
        <f>'6-A. Proc. Sub-Annex'!M172</f>
        <v>0</v>
      </c>
      <c r="M143" s="3019">
        <f>'6-A. Proc. Sub-Annex'!N172</f>
        <v>0</v>
      </c>
      <c r="N143" s="3019">
        <f>'6-A. Proc. Sub-Annex'!O172</f>
        <v>0</v>
      </c>
      <c r="O143" s="3020">
        <f>'6-A. Proc. Sub-Annex'!P172</f>
        <v>0</v>
      </c>
      <c r="P143" s="3017">
        <f>'6-A. Proc. Sub-Annex'!Q172</f>
        <v>0</v>
      </c>
      <c r="Q143" s="3021"/>
      <c r="R143" s="3022"/>
    </row>
    <row r="144" spans="1:18" s="3023" customFormat="1">
      <c r="A144" s="3030">
        <f>'7.Referral Transport Annex'!A7</f>
        <v>7</v>
      </c>
      <c r="B144" s="3038"/>
      <c r="C144" s="3031" t="str">
        <f>'7.Referral Transport Annex'!C7</f>
        <v>Referral Transport</v>
      </c>
      <c r="D144" s="3032"/>
      <c r="E144" s="3032"/>
      <c r="F144" s="3032"/>
      <c r="G144" s="3032"/>
      <c r="H144" s="3033"/>
      <c r="I144" s="3032"/>
      <c r="J144" s="3033"/>
      <c r="K144" s="3032"/>
      <c r="L144" s="3033"/>
      <c r="M144" s="3033"/>
      <c r="N144" s="3039"/>
      <c r="O144" s="3040">
        <f>SUM(O145:O145)</f>
        <v>0</v>
      </c>
      <c r="P144" s="3041"/>
      <c r="Q144" s="3042"/>
      <c r="R144" s="3043">
        <f>SUM(R145:R145)</f>
        <v>0</v>
      </c>
    </row>
    <row r="145" spans="1:18" s="3023" customFormat="1">
      <c r="A145" s="3017">
        <f>'7.Referral Transport Annex'!A9</f>
        <v>7.2</v>
      </c>
      <c r="B145" s="3017" t="str">
        <f>'7.Referral Transport Annex'!B9</f>
        <v>A.2.9.2</v>
      </c>
      <c r="C145" s="3018" t="str">
        <f>'7.Referral Transport Annex'!C9</f>
        <v>Free Referral Transport - JSSK for Sick Infants</v>
      </c>
      <c r="D145" s="3019" t="str">
        <f>'7.Referral Transport Annex'!D9</f>
        <v>RCH</v>
      </c>
      <c r="E145" s="3019" t="str">
        <f>'7.Referral Transport Annex'!E9</f>
        <v>CH</v>
      </c>
      <c r="F145" s="3019">
        <f>'7.Referral Transport Annex'!F9</f>
        <v>0</v>
      </c>
      <c r="G145" s="3019">
        <f>'7.Referral Transport Annex'!G9</f>
        <v>0</v>
      </c>
      <c r="H145" s="3019">
        <f>'7.Referral Transport Annex'!H9</f>
        <v>0</v>
      </c>
      <c r="I145" s="3019">
        <f>'7.Referral Transport Annex'!I9</f>
        <v>0</v>
      </c>
      <c r="J145" s="3019">
        <f>'7.Referral Transport Annex'!J9</f>
        <v>0</v>
      </c>
      <c r="K145" s="3019">
        <f>'7.Referral Transport Annex'!K9</f>
        <v>0</v>
      </c>
      <c r="L145" s="3020">
        <f>'7.Referral Transport Annex'!L9</f>
        <v>0</v>
      </c>
      <c r="M145" s="3019">
        <f>'7.Referral Transport Annex'!M9</f>
        <v>0</v>
      </c>
      <c r="N145" s="3019">
        <f>'7.Referral Transport Annex'!N9</f>
        <v>0</v>
      </c>
      <c r="O145" s="3020">
        <f>'7.Referral Transport Annex'!O9</f>
        <v>0</v>
      </c>
      <c r="P145" s="3017">
        <f>'7.Referral Transport Annex'!P9</f>
        <v>0</v>
      </c>
      <c r="Q145" s="3021"/>
      <c r="R145" s="3022"/>
    </row>
    <row r="146" spans="1:18" s="3023" customFormat="1">
      <c r="A146" s="3030">
        <f>'9.Training Annex'!A7</f>
        <v>9</v>
      </c>
      <c r="B146" s="3030"/>
      <c r="C146" s="3031" t="str">
        <f>'9.Training Annex'!C7</f>
        <v>Training and Capacity Building</v>
      </c>
      <c r="D146" s="3032"/>
      <c r="E146" s="3032"/>
      <c r="F146" s="3032"/>
      <c r="G146" s="3032"/>
      <c r="H146" s="3032"/>
      <c r="I146" s="3032"/>
      <c r="J146" s="3032"/>
      <c r="K146" s="3032"/>
      <c r="L146" s="3033"/>
      <c r="M146" s="3032"/>
      <c r="N146" s="3032"/>
      <c r="O146" s="3033">
        <f>SUM(O147:O172)</f>
        <v>864.70744999999977</v>
      </c>
      <c r="P146" s="3030"/>
      <c r="Q146" s="3034"/>
      <c r="R146" s="3035">
        <f>SUM(R147:R172)</f>
        <v>0</v>
      </c>
    </row>
    <row r="147" spans="1:18" s="3023" customFormat="1" ht="45">
      <c r="A147" s="4606" t="str">
        <f>'9.Training Annex'!A22</f>
        <v>9.2.1.2</v>
      </c>
      <c r="B147" s="3044" t="str">
        <f>'9-A.Training Sub-Annex'!C55</f>
        <v>A.2.1</v>
      </c>
      <c r="C147" s="3045" t="str">
        <f>'9-A.Training Sub-Annex'!D55</f>
        <v>IMNCI (including F-IMNCI; primarily budget for  planning for pre-service IMNCI activities in medical colleges, nursing colleges, and ANMTCs other training)</v>
      </c>
      <c r="D147" s="3046" t="str">
        <f>'9-A.Training Sub-Annex'!E55</f>
        <v>RCH</v>
      </c>
      <c r="E147" s="3046" t="str">
        <f>'9-A.Training Sub-Annex'!F55</f>
        <v>CH</v>
      </c>
      <c r="F147" s="3046">
        <f>'9-A.Training Sub-Annex'!G55</f>
        <v>0</v>
      </c>
      <c r="G147" s="3046">
        <f>'9-A.Training Sub-Annex'!H55</f>
        <v>0</v>
      </c>
      <c r="H147" s="3046">
        <f>'9-A.Training Sub-Annex'!I55</f>
        <v>0</v>
      </c>
      <c r="I147" s="3046">
        <f>'9-A.Training Sub-Annex'!J55</f>
        <v>0</v>
      </c>
      <c r="J147" s="3046">
        <f>'9-A.Training Sub-Annex'!K55</f>
        <v>0</v>
      </c>
      <c r="K147" s="3046">
        <f>'9-A.Training Sub-Annex'!L55</f>
        <v>0</v>
      </c>
      <c r="L147" s="3020">
        <f>'9-A.Training Sub-Annex'!M55</f>
        <v>0</v>
      </c>
      <c r="M147" s="3046">
        <f>'9-A.Training Sub-Annex'!N55</f>
        <v>0</v>
      </c>
      <c r="N147" s="3046">
        <f>'9-A.Training Sub-Annex'!O55</f>
        <v>0</v>
      </c>
      <c r="O147" s="3020">
        <f>'9-A.Training Sub-Annex'!P55</f>
        <v>0</v>
      </c>
      <c r="P147" s="3044">
        <f>'9-A.Training Sub-Annex'!Q55</f>
        <v>0</v>
      </c>
      <c r="Q147" s="3021"/>
      <c r="R147" s="3022"/>
    </row>
    <row r="148" spans="1:18" s="3023" customFormat="1">
      <c r="A148" s="4606"/>
      <c r="B148" s="3044">
        <f>'9-A.Training Sub-Annex'!C56</f>
        <v>0</v>
      </c>
      <c r="C148" s="3045" t="str">
        <f>'9-A.Training Sub-Annex'!D56</f>
        <v>Development of SAANS training modules</v>
      </c>
      <c r="D148" s="3046" t="str">
        <f>'9-A.Training Sub-Annex'!E56</f>
        <v>RCH</v>
      </c>
      <c r="E148" s="3046" t="str">
        <f>'9-A.Training Sub-Annex'!F56</f>
        <v>CH</v>
      </c>
      <c r="F148" s="3046">
        <f>'9-A.Training Sub-Annex'!G56</f>
        <v>0</v>
      </c>
      <c r="G148" s="3046">
        <f>'9-A.Training Sub-Annex'!H56</f>
        <v>0</v>
      </c>
      <c r="H148" s="3046">
        <f>'9-A.Training Sub-Annex'!I56</f>
        <v>0</v>
      </c>
      <c r="I148" s="3046">
        <f>'9-A.Training Sub-Annex'!J56</f>
        <v>0</v>
      </c>
      <c r="J148" s="3046">
        <f>'9-A.Training Sub-Annex'!K56</f>
        <v>0</v>
      </c>
      <c r="K148" s="3046">
        <f>'9-A.Training Sub-Annex'!L56</f>
        <v>0</v>
      </c>
      <c r="L148" s="3020">
        <f>'9-A.Training Sub-Annex'!M56</f>
        <v>0</v>
      </c>
      <c r="M148" s="3046">
        <f>'9-A.Training Sub-Annex'!N56</f>
        <v>0</v>
      </c>
      <c r="N148" s="3046">
        <f>'9-A.Training Sub-Annex'!O56</f>
        <v>0</v>
      </c>
      <c r="O148" s="3020">
        <f>'9-A.Training Sub-Annex'!P56</f>
        <v>0</v>
      </c>
      <c r="P148" s="3044">
        <f>'9-A.Training Sub-Annex'!Q56</f>
        <v>0</v>
      </c>
      <c r="Q148" s="3021"/>
      <c r="R148" s="3022"/>
    </row>
    <row r="149" spans="1:18" s="3023" customFormat="1" ht="240">
      <c r="A149" s="4606"/>
      <c r="B149" s="3044" t="str">
        <f>'9-A.Training Sub-Annex'!C57</f>
        <v>A.2.6</v>
      </c>
      <c r="C149" s="3045" t="str">
        <f>'9-A.Training Sub-Annex'!D57</f>
        <v>Orientation/Planning Meeting/Launch on SAANS initiative at State or District (Pneumonia)/IDCF orientation</v>
      </c>
      <c r="D149" s="3046" t="str">
        <f>'9-A.Training Sub-Annex'!E57</f>
        <v>RCH</v>
      </c>
      <c r="E149" s="3046" t="str">
        <f>'9-A.Training Sub-Annex'!F57</f>
        <v>CH</v>
      </c>
      <c r="F149" s="3046">
        <f>'9-A.Training Sub-Annex'!G57</f>
        <v>0</v>
      </c>
      <c r="G149" s="3046">
        <f>'9-A.Training Sub-Annex'!H57</f>
        <v>0</v>
      </c>
      <c r="H149" s="3046">
        <f>'9-A.Training Sub-Annex'!I57</f>
        <v>0</v>
      </c>
      <c r="I149" s="3046">
        <f>'9-A.Training Sub-Annex'!J57</f>
        <v>0</v>
      </c>
      <c r="J149" s="3046">
        <f>'9-A.Training Sub-Annex'!K57</f>
        <v>0</v>
      </c>
      <c r="K149" s="3046" t="str">
        <f>'9-A.Training Sub-Annex'!L57</f>
        <v>No. of batch</v>
      </c>
      <c r="L149" s="3020">
        <f>'9-A.Training Sub-Annex'!M57</f>
        <v>12769000</v>
      </c>
      <c r="M149" s="3046">
        <f>'9-A.Training Sub-Annex'!N57</f>
        <v>127.69</v>
      </c>
      <c r="N149" s="3046">
        <f>'9-A.Training Sub-Annex'!O57</f>
        <v>1</v>
      </c>
      <c r="O149" s="3020">
        <f>'9-A.Training Sub-Annex'!P57</f>
        <v>127.69</v>
      </c>
      <c r="P149" s="3047" t="str">
        <f>'9-A.Training Sub-Annex'!Q57</f>
        <v xml:space="preserve">Continued activity: Budget is being proposed for state, district and block level training under IDCF program as below-
1. State level training = 0.67 lakh
2. District level@Rs.32050 per district*38 district = 12.18 lakh
3. Block level@Rs.3000 per district = 534 block*Rs.3000 = 21.36 lakh
Total Budget required = 0.67+12.18+21.36 = 29.77 lakh
SAANS program is planned to be upscale in 12 Aspirational districts in FY 2021-22. Total 71 batch is required to complete the training of all MO and SNs of 12 districts. Budget is being Proposed for 50% of 71 batch@242000 per batch = 36*242000 = 87.12 lakh (As per GOI Guideline)
2. District launch@50000 per district = 12 district*50000 = 6.00 lakh
3. State planning&amp; review Meeting = 2.00 lakh
4. district Planning &amp; Review Meeting@20000 = 14 districts*Rs.20000 = 2.80 lakh
Hence Total Budget required = 84.70+6+2+2.8=   = 95.50 lakh
TOTAL BUDGET = 29.77+95.50 = 125.27 lakh
 </v>
      </c>
      <c r="Q149" s="3021"/>
      <c r="R149" s="3022"/>
    </row>
    <row r="150" spans="1:18" s="3023" customFormat="1" ht="330">
      <c r="A150" s="4606"/>
      <c r="B150" s="3044" t="str">
        <f>'9-A.Training Sub-Annex'!C58</f>
        <v>A.2.7</v>
      </c>
      <c r="C150" s="3045" t="str">
        <f>'9-A.Training Sub-Annex'!D58</f>
        <v>Orientation activities on vitamin A supplementation and Anaemia Mukta Bharat Programme</v>
      </c>
      <c r="D150" s="3046" t="str">
        <f>'9-A.Training Sub-Annex'!E58</f>
        <v>RCH</v>
      </c>
      <c r="E150" s="3046" t="str">
        <f>'9-A.Training Sub-Annex'!F58</f>
        <v>CH</v>
      </c>
      <c r="F150" s="3046" t="str">
        <f>'9-A.Training Sub-Annex'!G58</f>
        <v>Vas Training</v>
      </c>
      <c r="G150" s="3046">
        <f>'9-A.Training Sub-Annex'!H58</f>
        <v>0</v>
      </c>
      <c r="H150" s="3046">
        <f>'9-A.Training Sub-Annex'!I58</f>
        <v>88.12</v>
      </c>
      <c r="I150" s="3046">
        <f>'9-A.Training Sub-Annex'!J58</f>
        <v>0</v>
      </c>
      <c r="J150" s="3046">
        <f>'9-A.Training Sub-Annex'!K58</f>
        <v>0</v>
      </c>
      <c r="K150" s="3046" t="str">
        <f>'9-A.Training Sub-Annex'!L58</f>
        <v>VAS Round inauguration &amp; orientation</v>
      </c>
      <c r="L150" s="3020">
        <f>'9-A.Training Sub-Annex'!M58</f>
        <v>12641050</v>
      </c>
      <c r="M150" s="3046">
        <f>'9-A.Training Sub-Annex'!N58</f>
        <v>126.4105</v>
      </c>
      <c r="N150" s="3046">
        <f>'9-A.Training Sub-Annex'!O58</f>
        <v>1</v>
      </c>
      <c r="O150" s="3020">
        <f>'9-A.Training Sub-Annex'!P58</f>
        <v>126.4105</v>
      </c>
      <c r="P150" s="3047" t="str">
        <f>'9-A.Training Sub-Annex'!Q58</f>
        <v xml:space="preserve">Continued Activity:
1. State, District &amp; Block Level Training and   Launching of  biannual Vitamin A round at state @ Rs. 1 lakh/round, at District @Rs. 10000/round &amp; Block Level @Rs. 5000/ round
Fund Calculation: Vitamin-A 
A. Supplementation round Inauguration-
(50000 X 1) +(10000 X38X1)+(534X4000X1)
 = 25,66,000/-
B. Orientation meeting-
Block Level : 117501 vaccinator X 1 X 50 = 5878050/-
Total amount= A+B
2566000+5878050 = 8444050/-
AMB
1. Training on comprehensive AMB training tool kit (5 batches State Level Trainings+151 Batches district level training)
At State level participants will be Health (DIO+DCM+ RPM), ICDS (DPO+1 CDPO), Education DPO (SSA)+DEO and Development Partners and at District level participants will be One BEEO+2 BRP, CDPO+LS, BCM + MOIC. 
Unit cost for one batch training is Rs. 19,164 including Job aid (Pen, Pad, Folder Etc.) + Participants Kit (Photo copy of resource material), Resource fee for the resource person, Lunch, Tea, Snacks to the participants, Audio-Video support (LCD Projector, screen,  mike etc), Venue charge, Banner and Incidental expenses
2. District Level- 63 batch one day refresher training / orientation of DIOs/DCMs/MOICs  District/Block Store Keeper/Pharmacist, Block BHM/BCM on AVD Green channel program to strengthen the AMB IFA supply chain management </v>
      </c>
      <c r="Q150" s="3021"/>
      <c r="R150" s="3022"/>
    </row>
    <row r="151" spans="1:18" s="3023" customFormat="1">
      <c r="A151" s="4606"/>
      <c r="B151" s="3044" t="str">
        <f>'9-A.Training Sub-Annex'!C59</f>
        <v>A.2.8</v>
      </c>
      <c r="C151" s="3045" t="str">
        <f>'9-A.Training Sub-Annex'!D59</f>
        <v xml:space="preserve">Child Death Review Trainings </v>
      </c>
      <c r="D151" s="3046" t="str">
        <f>'9-A.Training Sub-Annex'!E59</f>
        <v>RCH</v>
      </c>
      <c r="E151" s="3046" t="str">
        <f>'9-A.Training Sub-Annex'!F59</f>
        <v>CH</v>
      </c>
      <c r="F151" s="3046">
        <f>'9-A.Training Sub-Annex'!G59</f>
        <v>0</v>
      </c>
      <c r="G151" s="3046">
        <f>'9-A.Training Sub-Annex'!H59</f>
        <v>0</v>
      </c>
      <c r="H151" s="3046">
        <f>'9-A.Training Sub-Annex'!I59</f>
        <v>0</v>
      </c>
      <c r="I151" s="3046">
        <f>'9-A.Training Sub-Annex'!J59</f>
        <v>0</v>
      </c>
      <c r="J151" s="3046">
        <f>'9-A.Training Sub-Annex'!K59</f>
        <v>0</v>
      </c>
      <c r="K151" s="3046">
        <f>'9-A.Training Sub-Annex'!L59</f>
        <v>0</v>
      </c>
      <c r="L151" s="3020">
        <f>'9-A.Training Sub-Annex'!M59</f>
        <v>0</v>
      </c>
      <c r="M151" s="3046">
        <f>'9-A.Training Sub-Annex'!N59</f>
        <v>0</v>
      </c>
      <c r="N151" s="3046">
        <f>'9-A.Training Sub-Annex'!O59</f>
        <v>0</v>
      </c>
      <c r="O151" s="3020">
        <f>'9-A.Training Sub-Annex'!P59</f>
        <v>0</v>
      </c>
      <c r="P151" s="3047">
        <f>'9-A.Training Sub-Annex'!Q59</f>
        <v>0</v>
      </c>
      <c r="Q151" s="3021"/>
      <c r="R151" s="3022"/>
    </row>
    <row r="152" spans="1:18" s="3023" customFormat="1" ht="45">
      <c r="A152" s="4606"/>
      <c r="B152" s="3044" t="str">
        <f>'9-A.Training Sub-Annex'!C60</f>
        <v>A.2.11.1</v>
      </c>
      <c r="C152" s="3045" t="str">
        <f>'9-A.Training Sub-Annex'!D60</f>
        <v>Provision for State &amp; District level (Training and Workshops) (Dissemination to be budgeted under IEC; Meetings/ review meetings to be budgeted under PM)</v>
      </c>
      <c r="D152" s="3046" t="str">
        <f>'9-A.Training Sub-Annex'!E60</f>
        <v>RCH</v>
      </c>
      <c r="E152" s="3046" t="str">
        <f>'9-A.Training Sub-Annex'!F60</f>
        <v>CH</v>
      </c>
      <c r="F152" s="3046">
        <f>'9-A.Training Sub-Annex'!G60</f>
        <v>0</v>
      </c>
      <c r="G152" s="3046">
        <f>'9-A.Training Sub-Annex'!H60</f>
        <v>0</v>
      </c>
      <c r="H152" s="3046">
        <f>'9-A.Training Sub-Annex'!I60</f>
        <v>0</v>
      </c>
      <c r="I152" s="3046">
        <f>'9-A.Training Sub-Annex'!J60</f>
        <v>0</v>
      </c>
      <c r="J152" s="3046">
        <f>'9-A.Training Sub-Annex'!K60</f>
        <v>0</v>
      </c>
      <c r="K152" s="3046">
        <f>'9-A.Training Sub-Annex'!L60</f>
        <v>0</v>
      </c>
      <c r="L152" s="3020">
        <f>'9-A.Training Sub-Annex'!M60</f>
        <v>0</v>
      </c>
      <c r="M152" s="3046">
        <f>'9-A.Training Sub-Annex'!N60</f>
        <v>0</v>
      </c>
      <c r="N152" s="3046">
        <f>'9-A.Training Sub-Annex'!O60</f>
        <v>0</v>
      </c>
      <c r="O152" s="3020">
        <f>'9-A.Training Sub-Annex'!P60</f>
        <v>0</v>
      </c>
      <c r="P152" s="3047">
        <f>'9-A.Training Sub-Annex'!Q60</f>
        <v>0</v>
      </c>
      <c r="Q152" s="3021"/>
      <c r="R152" s="3022"/>
    </row>
    <row r="153" spans="1:18" s="3023" customFormat="1">
      <c r="A153" s="4606"/>
      <c r="B153" s="3044" t="str">
        <f>'9-A.Training Sub-Annex'!C61</f>
        <v>A.9.5.1.1</v>
      </c>
      <c r="C153" s="3045" t="str">
        <f>'9-A.Training Sub-Annex'!D61</f>
        <v>TOT on IMNCI (pre-service and in-service)</v>
      </c>
      <c r="D153" s="3046" t="str">
        <f>'9-A.Training Sub-Annex'!E61</f>
        <v>RCH</v>
      </c>
      <c r="E153" s="3046" t="str">
        <f>'9-A.Training Sub-Annex'!F61</f>
        <v>CH</v>
      </c>
      <c r="F153" s="3046">
        <f>'9-A.Training Sub-Annex'!G61</f>
        <v>0</v>
      </c>
      <c r="G153" s="3046">
        <f>'9-A.Training Sub-Annex'!H61</f>
        <v>0</v>
      </c>
      <c r="H153" s="3046">
        <f>'9-A.Training Sub-Annex'!I61</f>
        <v>0</v>
      </c>
      <c r="I153" s="3046">
        <f>'9-A.Training Sub-Annex'!J61</f>
        <v>0</v>
      </c>
      <c r="J153" s="3046">
        <f>'9-A.Training Sub-Annex'!K61</f>
        <v>0</v>
      </c>
      <c r="K153" s="3046">
        <f>'9-A.Training Sub-Annex'!L61</f>
        <v>0</v>
      </c>
      <c r="L153" s="3020">
        <f>'9-A.Training Sub-Annex'!M61</f>
        <v>0</v>
      </c>
      <c r="M153" s="3046">
        <f>'9-A.Training Sub-Annex'!N61</f>
        <v>0</v>
      </c>
      <c r="N153" s="3046">
        <f>'9-A.Training Sub-Annex'!O61</f>
        <v>0</v>
      </c>
      <c r="O153" s="3020">
        <f>'9-A.Training Sub-Annex'!P61</f>
        <v>0</v>
      </c>
      <c r="P153" s="3047">
        <f>'9-A.Training Sub-Annex'!Q61</f>
        <v>0</v>
      </c>
      <c r="Q153" s="3021"/>
      <c r="R153" s="3022"/>
    </row>
    <row r="154" spans="1:18" s="3023" customFormat="1">
      <c r="A154" s="4606"/>
      <c r="B154" s="3044" t="str">
        <f>'9-A.Training Sub-Annex'!C62</f>
        <v>A.9.5.1.2</v>
      </c>
      <c r="C154" s="3045" t="str">
        <f>'9-A.Training Sub-Annex'!D62</f>
        <v>IMNCI Training for ANMs / LHVs</v>
      </c>
      <c r="D154" s="3046" t="str">
        <f>'9-A.Training Sub-Annex'!E62</f>
        <v>RCH</v>
      </c>
      <c r="E154" s="3046" t="str">
        <f>'9-A.Training Sub-Annex'!F62</f>
        <v>CH</v>
      </c>
      <c r="F154" s="3046">
        <f>'9-A.Training Sub-Annex'!G62</f>
        <v>0</v>
      </c>
      <c r="G154" s="3046">
        <f>'9-A.Training Sub-Annex'!H62</f>
        <v>0</v>
      </c>
      <c r="H154" s="3046">
        <f>'9-A.Training Sub-Annex'!I62</f>
        <v>0</v>
      </c>
      <c r="I154" s="3046">
        <f>'9-A.Training Sub-Annex'!J62</f>
        <v>0</v>
      </c>
      <c r="J154" s="3046">
        <f>'9-A.Training Sub-Annex'!K62</f>
        <v>0</v>
      </c>
      <c r="K154" s="3046">
        <f>'9-A.Training Sub-Annex'!L62</f>
        <v>0</v>
      </c>
      <c r="L154" s="3020">
        <f>'9-A.Training Sub-Annex'!M62</f>
        <v>0</v>
      </c>
      <c r="M154" s="3046">
        <f>'9-A.Training Sub-Annex'!N62</f>
        <v>0</v>
      </c>
      <c r="N154" s="3046">
        <f>'9-A.Training Sub-Annex'!O62</f>
        <v>0</v>
      </c>
      <c r="O154" s="3020">
        <f>'9-A.Training Sub-Annex'!P62</f>
        <v>0</v>
      </c>
      <c r="P154" s="3047">
        <f>'9-A.Training Sub-Annex'!Q62</f>
        <v>0</v>
      </c>
      <c r="Q154" s="3021"/>
      <c r="R154" s="3022"/>
    </row>
    <row r="155" spans="1:18" s="3023" customFormat="1">
      <c r="A155" s="4606"/>
      <c r="B155" s="3044" t="str">
        <f>'9-A.Training Sub-Annex'!C63</f>
        <v>A.9.5.2.1</v>
      </c>
      <c r="C155" s="3045" t="str">
        <f>'9-A.Training Sub-Annex'!D63</f>
        <v>TOT on F-IMNCI</v>
      </c>
      <c r="D155" s="3046" t="str">
        <f>'9-A.Training Sub-Annex'!E63</f>
        <v>RCH</v>
      </c>
      <c r="E155" s="3046" t="str">
        <f>'9-A.Training Sub-Annex'!F63</f>
        <v>CH</v>
      </c>
      <c r="F155" s="3046">
        <f>'9-A.Training Sub-Annex'!G63</f>
        <v>0</v>
      </c>
      <c r="G155" s="3046">
        <f>'9-A.Training Sub-Annex'!H63</f>
        <v>0</v>
      </c>
      <c r="H155" s="3046">
        <f>'9-A.Training Sub-Annex'!I63</f>
        <v>0</v>
      </c>
      <c r="I155" s="3046">
        <f>'9-A.Training Sub-Annex'!J63</f>
        <v>0</v>
      </c>
      <c r="J155" s="3046">
        <f>'9-A.Training Sub-Annex'!K63</f>
        <v>0</v>
      </c>
      <c r="K155" s="3046">
        <f>'9-A.Training Sub-Annex'!L63</f>
        <v>0</v>
      </c>
      <c r="L155" s="3020">
        <f>'9-A.Training Sub-Annex'!M63</f>
        <v>0</v>
      </c>
      <c r="M155" s="3046">
        <f>'9-A.Training Sub-Annex'!N63</f>
        <v>0</v>
      </c>
      <c r="N155" s="3046">
        <f>'9-A.Training Sub-Annex'!O63</f>
        <v>0</v>
      </c>
      <c r="O155" s="3020">
        <f>'9-A.Training Sub-Annex'!P63</f>
        <v>0</v>
      </c>
      <c r="P155" s="3047">
        <f>'9-A.Training Sub-Annex'!Q63</f>
        <v>0</v>
      </c>
      <c r="Q155" s="3021"/>
      <c r="R155" s="3022"/>
    </row>
    <row r="156" spans="1:18" s="3023" customFormat="1" ht="45">
      <c r="A156" s="4606"/>
      <c r="B156" s="3044" t="str">
        <f>'9-A.Training Sub-Annex'!C64</f>
        <v>A.9.5.2.2</v>
      </c>
      <c r="C156" s="3045" t="str">
        <f>'9-A.Training Sub-Annex'!D64</f>
        <v>F-IMNCI Training for Medical Officers</v>
      </c>
      <c r="D156" s="3046" t="str">
        <f>'9-A.Training Sub-Annex'!E64</f>
        <v>RCH</v>
      </c>
      <c r="E156" s="3046" t="str">
        <f>'9-A.Training Sub-Annex'!F64</f>
        <v>CH</v>
      </c>
      <c r="F156" s="3046">
        <f>'9-A.Training Sub-Annex'!G64</f>
        <v>0</v>
      </c>
      <c r="G156" s="3046">
        <f>'9-A.Training Sub-Annex'!H64</f>
        <v>0</v>
      </c>
      <c r="H156" s="3046">
        <f>'9-A.Training Sub-Annex'!I64</f>
        <v>0</v>
      </c>
      <c r="I156" s="3046">
        <f>'9-A.Training Sub-Annex'!J64</f>
        <v>0</v>
      </c>
      <c r="J156" s="3046">
        <f>'9-A.Training Sub-Annex'!K64</f>
        <v>0</v>
      </c>
      <c r="K156" s="3046" t="str">
        <f>'9-A.Training Sub-Annex'!L64</f>
        <v>Per Batch (16 Mos)</v>
      </c>
      <c r="L156" s="3020">
        <f>'9-A.Training Sub-Annex'!M64</f>
        <v>570500</v>
      </c>
      <c r="M156" s="3046">
        <f>'9-A.Training Sub-Annex'!N64</f>
        <v>5.7050000000000001</v>
      </c>
      <c r="N156" s="3046">
        <f>'9-A.Training Sub-Annex'!O64</f>
        <v>6</v>
      </c>
      <c r="O156" s="3020">
        <f>'9-A.Training Sub-Annex'!P64</f>
        <v>34.230000000000004</v>
      </c>
      <c r="P156" s="3047" t="str">
        <f>'9-A.Training Sub-Annex'!Q64</f>
        <v>Continued activity : By this training the better health services to the children at the facility level may be ensured which may ultimately reduce the IMR in the state. Budget Rs. Lakhs 34.23 @ Rs. 570500/- batch (total batches 06).</v>
      </c>
      <c r="Q156" s="3021"/>
      <c r="R156" s="3022"/>
    </row>
    <row r="157" spans="1:18" s="3023" customFormat="1">
      <c r="A157" s="4606"/>
      <c r="B157" s="3044" t="str">
        <f>'9-A.Training Sub-Annex'!C65</f>
        <v>A.9.5.2.3</v>
      </c>
      <c r="C157" s="3045" t="str">
        <f>'9-A.Training Sub-Annex'!D65</f>
        <v>F-IMNCI Training for Staff Nurses</v>
      </c>
      <c r="D157" s="3046" t="str">
        <f>'9-A.Training Sub-Annex'!E65</f>
        <v>RCH</v>
      </c>
      <c r="E157" s="3046" t="str">
        <f>'9-A.Training Sub-Annex'!F65</f>
        <v>CH</v>
      </c>
      <c r="F157" s="3046">
        <f>'9-A.Training Sub-Annex'!G65</f>
        <v>0</v>
      </c>
      <c r="G157" s="3046">
        <f>'9-A.Training Sub-Annex'!H65</f>
        <v>0</v>
      </c>
      <c r="H157" s="3046">
        <f>'9-A.Training Sub-Annex'!I65</f>
        <v>0</v>
      </c>
      <c r="I157" s="3046">
        <f>'9-A.Training Sub-Annex'!J65</f>
        <v>0</v>
      </c>
      <c r="J157" s="3046">
        <f>'9-A.Training Sub-Annex'!K65</f>
        <v>0</v>
      </c>
      <c r="K157" s="3046">
        <f>'9-A.Training Sub-Annex'!L65</f>
        <v>0</v>
      </c>
      <c r="L157" s="3020">
        <f>'9-A.Training Sub-Annex'!M65</f>
        <v>0</v>
      </c>
      <c r="M157" s="3046">
        <f>'9-A.Training Sub-Annex'!N65</f>
        <v>0</v>
      </c>
      <c r="N157" s="3046">
        <f>'9-A.Training Sub-Annex'!O65</f>
        <v>0</v>
      </c>
      <c r="O157" s="3020">
        <f>'9-A.Training Sub-Annex'!P65</f>
        <v>0</v>
      </c>
      <c r="P157" s="3047">
        <f>'9-A.Training Sub-Annex'!Q65</f>
        <v>0</v>
      </c>
      <c r="Q157" s="3021"/>
      <c r="R157" s="3022"/>
    </row>
    <row r="158" spans="1:18" s="3023" customFormat="1" ht="285">
      <c r="A158" s="4606"/>
      <c r="B158" s="3044" t="str">
        <f>'9-A.Training Sub-Annex'!C66</f>
        <v>A.9.5.4.1</v>
      </c>
      <c r="C158" s="3045" t="str">
        <f>'9-A.Training Sub-Annex'!D66</f>
        <v>Training on facility based management of Severe Acute Malnutrition (including refreshers)</v>
      </c>
      <c r="D158" s="3046" t="str">
        <f>'9-A.Training Sub-Annex'!E66</f>
        <v>RCH</v>
      </c>
      <c r="E158" s="3046" t="str">
        <f>'9-A.Training Sub-Annex'!F66</f>
        <v>CH</v>
      </c>
      <c r="F158" s="3046">
        <f>'9-A.Training Sub-Annex'!G66</f>
        <v>0</v>
      </c>
      <c r="G158" s="3046">
        <f>'9-A.Training Sub-Annex'!H66</f>
        <v>0</v>
      </c>
      <c r="H158" s="3046">
        <f>'9-A.Training Sub-Annex'!I66</f>
        <v>0</v>
      </c>
      <c r="I158" s="3046">
        <f>'9-A.Training Sub-Annex'!J66</f>
        <v>0</v>
      </c>
      <c r="J158" s="3046">
        <f>'9-A.Training Sub-Annex'!K66</f>
        <v>0</v>
      </c>
      <c r="K158" s="3046" t="str">
        <f>'9-A.Training Sub-Annex'!L66</f>
        <v>No. of training</v>
      </c>
      <c r="L158" s="3020">
        <f>'9-A.Training Sub-Annex'!M66</f>
        <v>3974000</v>
      </c>
      <c r="M158" s="3046">
        <f>'9-A.Training Sub-Annex'!N66</f>
        <v>39.74</v>
      </c>
      <c r="N158" s="3046">
        <f>'9-A.Training Sub-Annex'!O66</f>
        <v>1</v>
      </c>
      <c r="O158" s="3020">
        <f>'9-A.Training Sub-Annex'!P66</f>
        <v>39.74</v>
      </c>
      <c r="P158" s="3047" t="str">
        <f>'9-A.Training Sub-Annex'!Q66</f>
        <v>Continued Activity: Budget is being proposed as below:
1. 4 days training of newly joined SN/ANM/FD/@
305100 per batch for 6 batch = rs.3.05*6 batch = 18.31 lakh
 2. 3 days training of Medical Officer on SAM manangement@2.42 lakh per batch. For 2 batch = 2.42*2 =4.84 lakh 
3. With objective of upgrading the skills and capacity of medical practitioners, community mobilizer and front line workers, the state is planning to organize two days state level orientation @132,800 for two batches of one pediatrician/ medical officer from all 38 districts on identification, care and treatment of SAM in coordination with CoE-IMSAM, PMCH. Budget required = 2 batch * 132800 = 2.64 lakh
4. They will further train all the MOICs , community moiblizers and health managers of blocks and districts on anthropometry, health check up, assessment of dangers signs and level of care and treatment of children with SAM. Every districts will be provided 36700 Rs to organize one day district level orientation. Budget required = 38 batch*36700 = 13.95 lakh
Hence Total budget required = 18.31+ 4.84 +2..64+13.95 = 39.74 lakh</v>
      </c>
      <c r="Q158" s="3021"/>
      <c r="R158" s="3022"/>
    </row>
    <row r="159" spans="1:18" s="3023" customFormat="1">
      <c r="A159" s="4606"/>
      <c r="B159" s="3044" t="str">
        <f>'9-A.Training Sub-Annex'!C67</f>
        <v>A.9.5.5.1.1</v>
      </c>
      <c r="C159" s="3045" t="str">
        <f>'9-A.Training Sub-Annex'!D67</f>
        <v>TOT for NSSK</v>
      </c>
      <c r="D159" s="3046" t="str">
        <f>'9-A.Training Sub-Annex'!E67</f>
        <v>RCH</v>
      </c>
      <c r="E159" s="3046" t="str">
        <f>'9-A.Training Sub-Annex'!F67</f>
        <v>CH</v>
      </c>
      <c r="F159" s="3046">
        <f>'9-A.Training Sub-Annex'!G67</f>
        <v>0</v>
      </c>
      <c r="G159" s="3046">
        <f>'9-A.Training Sub-Annex'!H67</f>
        <v>0</v>
      </c>
      <c r="H159" s="3046">
        <f>'9-A.Training Sub-Annex'!I67</f>
        <v>0</v>
      </c>
      <c r="I159" s="3046">
        <f>'9-A.Training Sub-Annex'!J67</f>
        <v>0</v>
      </c>
      <c r="J159" s="3046">
        <f>'9-A.Training Sub-Annex'!K67</f>
        <v>0</v>
      </c>
      <c r="K159" s="3046" t="str">
        <f>'9-A.Training Sub-Annex'!L67</f>
        <v>No. of batch</v>
      </c>
      <c r="L159" s="3020">
        <f>'9-A.Training Sub-Annex'!M67</f>
        <v>230800</v>
      </c>
      <c r="M159" s="3046">
        <f>'9-A.Training Sub-Annex'!N67</f>
        <v>2.3079999999999998</v>
      </c>
      <c r="N159" s="3046">
        <f>'9-A.Training Sub-Annex'!O67</f>
        <v>2</v>
      </c>
      <c r="O159" s="3020">
        <f>'9-A.Training Sub-Annex'!P67</f>
        <v>4.6159999999999997</v>
      </c>
      <c r="P159" s="3047" t="str">
        <f>'9-A.Training Sub-Annex'!Q67</f>
        <v>Continued activity</v>
      </c>
      <c r="Q159" s="3021"/>
      <c r="R159" s="3022"/>
    </row>
    <row r="160" spans="1:18" s="3023" customFormat="1">
      <c r="A160" s="4606"/>
      <c r="B160" s="3044" t="str">
        <f>'9-A.Training Sub-Annex'!C68</f>
        <v>A.9.5.5.1.2</v>
      </c>
      <c r="C160" s="3045" t="str">
        <f>'9-A.Training Sub-Annex'!D68</f>
        <v>NSSK Training for Medical Officers</v>
      </c>
      <c r="D160" s="3046" t="str">
        <f>'9-A.Training Sub-Annex'!E68</f>
        <v>RCH</v>
      </c>
      <c r="E160" s="3046" t="str">
        <f>'9-A.Training Sub-Annex'!F68</f>
        <v>CH</v>
      </c>
      <c r="F160" s="3046">
        <f>'9-A.Training Sub-Annex'!G68</f>
        <v>0</v>
      </c>
      <c r="G160" s="3046">
        <f>'9-A.Training Sub-Annex'!H68</f>
        <v>0</v>
      </c>
      <c r="H160" s="3046">
        <f>'9-A.Training Sub-Annex'!I68</f>
        <v>0</v>
      </c>
      <c r="I160" s="3046">
        <f>'9-A.Training Sub-Annex'!J68</f>
        <v>0</v>
      </c>
      <c r="J160" s="3046">
        <f>'9-A.Training Sub-Annex'!K68</f>
        <v>0</v>
      </c>
      <c r="K160" s="3046" t="str">
        <f>'9-A.Training Sub-Annex'!L68</f>
        <v>No. of Batch</v>
      </c>
      <c r="L160" s="3020">
        <f>'9-A.Training Sub-Annex'!M68</f>
        <v>155200</v>
      </c>
      <c r="M160" s="3046">
        <f>'9-A.Training Sub-Annex'!N68</f>
        <v>1.552</v>
      </c>
      <c r="N160" s="3046">
        <f>'9-A.Training Sub-Annex'!O68</f>
        <v>38</v>
      </c>
      <c r="O160" s="3020">
        <f>'9-A.Training Sub-Annex'!P68</f>
        <v>58.975999999999999</v>
      </c>
      <c r="P160" s="3047" t="str">
        <f>'9-A.Training Sub-Annex'!Q68</f>
        <v>Continued activity</v>
      </c>
      <c r="Q160" s="3021"/>
      <c r="R160" s="3022"/>
    </row>
    <row r="161" spans="1:18" s="3023" customFormat="1">
      <c r="A161" s="4606"/>
      <c r="B161" s="3044" t="str">
        <f>'9-A.Training Sub-Annex'!C69</f>
        <v>A.9.5.5.1.3</v>
      </c>
      <c r="C161" s="3045" t="str">
        <f>'9-A.Training Sub-Annex'!D69</f>
        <v>NSSK Training for SNs</v>
      </c>
      <c r="D161" s="3046" t="str">
        <f>'9-A.Training Sub-Annex'!E69</f>
        <v>RCH</v>
      </c>
      <c r="E161" s="3046" t="str">
        <f>'9-A.Training Sub-Annex'!F69</f>
        <v>CH</v>
      </c>
      <c r="F161" s="3046">
        <f>'9-A.Training Sub-Annex'!G69</f>
        <v>0</v>
      </c>
      <c r="G161" s="3046">
        <f>'9-A.Training Sub-Annex'!H69</f>
        <v>0</v>
      </c>
      <c r="H161" s="3046">
        <f>'9-A.Training Sub-Annex'!I69</f>
        <v>0</v>
      </c>
      <c r="I161" s="3046">
        <f>'9-A.Training Sub-Annex'!J69</f>
        <v>0</v>
      </c>
      <c r="J161" s="3046">
        <f>'9-A.Training Sub-Annex'!K69</f>
        <v>0</v>
      </c>
      <c r="K161" s="3046" t="str">
        <f>'9-A.Training Sub-Annex'!L69</f>
        <v>No. of Batch</v>
      </c>
      <c r="L161" s="3020">
        <f>'9-A.Training Sub-Annex'!M69</f>
        <v>142400</v>
      </c>
      <c r="M161" s="3046">
        <f>'9-A.Training Sub-Annex'!N69</f>
        <v>1.4239999999999999</v>
      </c>
      <c r="N161" s="3046">
        <f>'9-A.Training Sub-Annex'!O69</f>
        <v>38</v>
      </c>
      <c r="O161" s="3020">
        <f>'9-A.Training Sub-Annex'!P69</f>
        <v>54.111999999999995</v>
      </c>
      <c r="P161" s="3047" t="str">
        <f>'9-A.Training Sub-Annex'!Q69</f>
        <v>Continued activity</v>
      </c>
      <c r="Q161" s="3021"/>
      <c r="R161" s="3022"/>
    </row>
    <row r="162" spans="1:18" s="3023" customFormat="1">
      <c r="A162" s="4606"/>
      <c r="B162" s="3044" t="str">
        <f>'9-A.Training Sub-Annex'!C70</f>
        <v>A.9.5.5.1.4</v>
      </c>
      <c r="C162" s="3045" t="str">
        <f>'9-A.Training Sub-Annex'!D70</f>
        <v>NSSK Training for ANMs</v>
      </c>
      <c r="D162" s="3046" t="str">
        <f>'9-A.Training Sub-Annex'!E70</f>
        <v>RCH</v>
      </c>
      <c r="E162" s="3046" t="str">
        <f>'9-A.Training Sub-Annex'!F70</f>
        <v>CH</v>
      </c>
      <c r="F162" s="3046">
        <f>'9-A.Training Sub-Annex'!G70</f>
        <v>0</v>
      </c>
      <c r="G162" s="3046">
        <f>'9-A.Training Sub-Annex'!H70</f>
        <v>0</v>
      </c>
      <c r="H162" s="3046">
        <f>'9-A.Training Sub-Annex'!I70</f>
        <v>0</v>
      </c>
      <c r="I162" s="3046">
        <f>'9-A.Training Sub-Annex'!J70</f>
        <v>0</v>
      </c>
      <c r="J162" s="3046">
        <f>'9-A.Training Sub-Annex'!K70</f>
        <v>0</v>
      </c>
      <c r="K162" s="3046" t="str">
        <f>'9-A.Training Sub-Annex'!L70</f>
        <v>No. of Batch</v>
      </c>
      <c r="L162" s="3020">
        <f>'9-A.Training Sub-Annex'!M70</f>
        <v>142400</v>
      </c>
      <c r="M162" s="3046">
        <f>'9-A.Training Sub-Annex'!N70</f>
        <v>1.4239999999999999</v>
      </c>
      <c r="N162" s="3046">
        <f>'9-A.Training Sub-Annex'!O70</f>
        <v>38</v>
      </c>
      <c r="O162" s="3020">
        <f>'9-A.Training Sub-Annex'!P70</f>
        <v>54.111999999999995</v>
      </c>
      <c r="P162" s="3047" t="str">
        <f>'9-A.Training Sub-Annex'!Q70</f>
        <v>Continued activity</v>
      </c>
      <c r="Q162" s="3021"/>
      <c r="R162" s="3022"/>
    </row>
    <row r="163" spans="1:18" s="3023" customFormat="1">
      <c r="A163" s="4606"/>
      <c r="B163" s="3044" t="str">
        <f>'9-A.Training Sub-Annex'!C71</f>
        <v>A.9.5.5.2.a</v>
      </c>
      <c r="C163" s="3045" t="str">
        <f>'9-A.Training Sub-Annex'!D71</f>
        <v xml:space="preserve">4 days Training for facility based new-born care </v>
      </c>
      <c r="D163" s="3046" t="str">
        <f>'9-A.Training Sub-Annex'!E71</f>
        <v>RCH</v>
      </c>
      <c r="E163" s="3046" t="str">
        <f>'9-A.Training Sub-Annex'!F71</f>
        <v>CH</v>
      </c>
      <c r="F163" s="3046">
        <f>'9-A.Training Sub-Annex'!G71</f>
        <v>0</v>
      </c>
      <c r="G163" s="3046">
        <f>'9-A.Training Sub-Annex'!H71</f>
        <v>0</v>
      </c>
      <c r="H163" s="3046">
        <f>'9-A.Training Sub-Annex'!I71</f>
        <v>0</v>
      </c>
      <c r="I163" s="3046">
        <f>'9-A.Training Sub-Annex'!J71</f>
        <v>0</v>
      </c>
      <c r="J163" s="3046">
        <f>'9-A.Training Sub-Annex'!K71</f>
        <v>0</v>
      </c>
      <c r="K163" s="3046" t="str">
        <f>'9-A.Training Sub-Annex'!L71</f>
        <v>No. of batch</v>
      </c>
      <c r="L163" s="3020">
        <f>'9-A.Training Sub-Annex'!M71</f>
        <v>383200</v>
      </c>
      <c r="M163" s="3046">
        <f>'9-A.Training Sub-Annex'!N71</f>
        <v>3.8319999999999999</v>
      </c>
      <c r="N163" s="3046">
        <f>'9-A.Training Sub-Annex'!O71</f>
        <v>5</v>
      </c>
      <c r="O163" s="3020">
        <f>'9-A.Training Sub-Annex'!P71</f>
        <v>19.16</v>
      </c>
      <c r="P163" s="3047" t="str">
        <f>'9-A.Training Sub-Annex'!Q71</f>
        <v>Continued activity</v>
      </c>
      <c r="Q163" s="3021"/>
      <c r="R163" s="3022"/>
    </row>
    <row r="164" spans="1:18" s="3023" customFormat="1">
      <c r="A164" s="4606"/>
      <c r="B164" s="3044" t="str">
        <f>'9-A.Training Sub-Annex'!C72</f>
        <v>A.9.5.5.2.b</v>
      </c>
      <c r="C164" s="3045" t="str">
        <f>'9-A.Training Sub-Annex'!D72</f>
        <v>2 weeks observership for facility based new-born care</v>
      </c>
      <c r="D164" s="3046" t="str">
        <f>'9-A.Training Sub-Annex'!E72</f>
        <v>RCH</v>
      </c>
      <c r="E164" s="3046" t="str">
        <f>'9-A.Training Sub-Annex'!F72</f>
        <v>CH</v>
      </c>
      <c r="F164" s="3046">
        <f>'9-A.Training Sub-Annex'!G72</f>
        <v>0</v>
      </c>
      <c r="G164" s="3046">
        <f>'9-A.Training Sub-Annex'!H72</f>
        <v>0</v>
      </c>
      <c r="H164" s="3046">
        <f>'9-A.Training Sub-Annex'!I72</f>
        <v>0</v>
      </c>
      <c r="I164" s="3046">
        <f>'9-A.Training Sub-Annex'!J72</f>
        <v>0</v>
      </c>
      <c r="J164" s="3046">
        <f>'9-A.Training Sub-Annex'!K72</f>
        <v>0</v>
      </c>
      <c r="K164" s="3046" t="str">
        <f>'9-A.Training Sub-Annex'!L72</f>
        <v>No. of Batch</v>
      </c>
      <c r="L164" s="3020">
        <f>'9-A.Training Sub-Annex'!M72</f>
        <v>264600</v>
      </c>
      <c r="M164" s="3046">
        <f>'9-A.Training Sub-Annex'!N72</f>
        <v>2.6459999999999999</v>
      </c>
      <c r="N164" s="3046">
        <f>'9-A.Training Sub-Annex'!O72</f>
        <v>20</v>
      </c>
      <c r="O164" s="3020">
        <f>'9-A.Training Sub-Annex'!P72</f>
        <v>52.92</v>
      </c>
      <c r="P164" s="3047" t="str">
        <f>'9-A.Training Sub-Annex'!Q72</f>
        <v>Continued activity</v>
      </c>
      <c r="Q164" s="3021"/>
      <c r="R164" s="3022"/>
    </row>
    <row r="165" spans="1:18" s="3023" customFormat="1" ht="180">
      <c r="A165" s="4606"/>
      <c r="B165" s="3044" t="str">
        <f>'9-A.Training Sub-Annex'!C73</f>
        <v>A.9.5.5.2.c</v>
      </c>
      <c r="C165" s="3045" t="str">
        <f>'9-A.Training Sub-Annex'!D73</f>
        <v>4 days Trainings on IYCF for MOs, SNs, ANMs of all DPs and SCs (ToT, 4 days IYCF Trainings &amp; 1 day Sensitisation on MAA Program)</v>
      </c>
      <c r="D165" s="3046" t="str">
        <f>'9-A.Training Sub-Annex'!E73</f>
        <v>RCH</v>
      </c>
      <c r="E165" s="3046" t="str">
        <f>'9-A.Training Sub-Annex'!F73</f>
        <v>CH</v>
      </c>
      <c r="F165" s="3046">
        <f>'9-A.Training Sub-Annex'!G73</f>
        <v>0</v>
      </c>
      <c r="G165" s="3046">
        <f>'9-A.Training Sub-Annex'!H73</f>
        <v>0</v>
      </c>
      <c r="H165" s="3046">
        <f>'9-A.Training Sub-Annex'!I73</f>
        <v>0</v>
      </c>
      <c r="I165" s="3046">
        <f>'9-A.Training Sub-Annex'!J73</f>
        <v>0</v>
      </c>
      <c r="J165" s="3046">
        <f>'9-A.Training Sub-Annex'!K73</f>
        <v>0</v>
      </c>
      <c r="K165" s="3046" t="str">
        <f>'9-A.Training Sub-Annex'!L73</f>
        <v>No. of batch</v>
      </c>
      <c r="L165" s="3020">
        <f>'9-A.Training Sub-Annex'!M73</f>
        <v>8443260</v>
      </c>
      <c r="M165" s="3046">
        <f>'9-A.Training Sub-Annex'!N73</f>
        <v>84.432599999999994</v>
      </c>
      <c r="N165" s="3046">
        <f>'9-A.Training Sub-Annex'!O73</f>
        <v>1</v>
      </c>
      <c r="O165" s="3020">
        <f>'9-A.Training Sub-Annex'!P73</f>
        <v>84.432599999999994</v>
      </c>
      <c r="P165" s="3047" t="str">
        <f>'9-A.Training Sub-Annex'!Q73</f>
        <v>1. One day orientation of ANM/ Grade A Nurse (mainly for the newly recruited ANMs/ Grade A nurses)@27090 per batch. for 38 batch = 38*27090 = 10.29420 lakh
2. 4 days  Training of IYCF for RMNCH+A Counselors (4 batches)@385350 per batch = 4* 385350 = 15.41400 lakh
Continued Activity: Budget is being proposed as below:
3. 7 days MLT training on IYCF for MO &amp; Faculty of Nursing School@390600 per batch. Hence for 2 batch = Rs.3.91 lakh * 2 batch = 7.81200 lakh
4. 4 days training on IYCF for MO/SN/ANM of DPs@Rs.137340 per batch. For 38 district = 36 batch*1.03 lakh = 49.44240 lakh
5. One Day state Orientation on IMS Act = 1.47000 lakh
Hence Total budget required = 10.29 + 15.41 + 7.81+49.45 = 84.43 lakh</v>
      </c>
      <c r="Q165" s="3021"/>
      <c r="R165" s="3022"/>
    </row>
    <row r="166" spans="1:18" s="3023" customFormat="1" ht="75">
      <c r="A166" s="4606"/>
      <c r="B166" s="3044" t="str">
        <f>'9-A.Training Sub-Annex'!C74</f>
        <v>A.9.5.5.2.d</v>
      </c>
      <c r="C166" s="3045" t="str">
        <f>'9-A.Training Sub-Annex'!D74</f>
        <v>Orientation on National Deworming Day</v>
      </c>
      <c r="D166" s="3046" t="str">
        <f>'9-A.Training Sub-Annex'!E74</f>
        <v>RCH</v>
      </c>
      <c r="E166" s="3046" t="str">
        <f>'9-A.Training Sub-Annex'!F74</f>
        <v>CH</v>
      </c>
      <c r="F166" s="3046">
        <f>'9-A.Training Sub-Annex'!G74</f>
        <v>0</v>
      </c>
      <c r="G166" s="3046">
        <f>'9-A.Training Sub-Annex'!H74</f>
        <v>0</v>
      </c>
      <c r="H166" s="3046">
        <f>'9-A.Training Sub-Annex'!I74</f>
        <v>0</v>
      </c>
      <c r="I166" s="3046">
        <f>'9-A.Training Sub-Annex'!J74</f>
        <v>0</v>
      </c>
      <c r="J166" s="3046">
        <f>'9-A.Training Sub-Annex'!K74</f>
        <v>0</v>
      </c>
      <c r="K166" s="3046" t="str">
        <f>'9-A.Training Sub-Annex'!L74</f>
        <v>No. of batch</v>
      </c>
      <c r="L166" s="3020">
        <f>'9-A.Training Sub-Annex'!M74</f>
        <v>3000</v>
      </c>
      <c r="M166" s="3046">
        <f>'9-A.Training Sub-Annex'!N74</f>
        <v>0.03</v>
      </c>
      <c r="N166" s="3046">
        <f>'9-A.Training Sub-Annex'!O74</f>
        <v>1068</v>
      </c>
      <c r="O166" s="3020">
        <f>'9-A.Training Sub-Annex'!P74</f>
        <v>32.04</v>
      </c>
      <c r="P166" s="3047" t="str">
        <f>'9-A.Training Sub-Annex'!Q74</f>
        <v>Budget is being proposed for Half-day orientation on NDD and integrated distribution of drug, IEC and training material to teachers (Government schools, Private schools, Madarsa, Tribal Welfare Department schools, Kendriya Vidyalaya, Navodaya Vidyalaya, ITI/Polytechnics), ANMs, AWWs and ASHAs. Block level training @3000 per block (534 blocks)</v>
      </c>
      <c r="Q166" s="3021"/>
      <c r="R166" s="3022"/>
    </row>
    <row r="167" spans="1:18" s="3023" customFormat="1" ht="30">
      <c r="A167" s="4606"/>
      <c r="B167" s="3044">
        <f>'9-A.Training Sub-Annex'!C75</f>
        <v>0</v>
      </c>
      <c r="C167" s="3045" t="str">
        <f>'9-A.Training Sub-Annex'!D75</f>
        <v>TOT (MO, SN) for Family participatory care (KMC)</v>
      </c>
      <c r="D167" s="3046" t="str">
        <f>'9-A.Training Sub-Annex'!E75</f>
        <v>RCH</v>
      </c>
      <c r="E167" s="3046" t="str">
        <f>'9-A.Training Sub-Annex'!F75</f>
        <v>CH</v>
      </c>
      <c r="F167" s="3046">
        <f>'9-A.Training Sub-Annex'!G75</f>
        <v>0</v>
      </c>
      <c r="G167" s="3046">
        <f>'9-A.Training Sub-Annex'!H75</f>
        <v>0</v>
      </c>
      <c r="H167" s="3046">
        <f>'9-A.Training Sub-Annex'!I75</f>
        <v>0</v>
      </c>
      <c r="I167" s="3046">
        <f>'9-A.Training Sub-Annex'!J75</f>
        <v>0</v>
      </c>
      <c r="J167" s="3046">
        <f>'9-A.Training Sub-Annex'!K75</f>
        <v>0</v>
      </c>
      <c r="K167" s="3046" t="str">
        <f>'9-A.Training Sub-Annex'!L75</f>
        <v>No. of batch</v>
      </c>
      <c r="L167" s="3020">
        <f>'9-A.Training Sub-Annex'!M75</f>
        <v>278700</v>
      </c>
      <c r="M167" s="3046">
        <f>'9-A.Training Sub-Annex'!N75</f>
        <v>2.7869999999999999</v>
      </c>
      <c r="N167" s="3046">
        <f>'9-A.Training Sub-Annex'!O75</f>
        <v>5</v>
      </c>
      <c r="O167" s="3020">
        <f>'9-A.Training Sub-Annex'!P75</f>
        <v>13.934999999999999</v>
      </c>
      <c r="P167" s="3047" t="str">
        <f>'9-A.Training Sub-Annex'!Q75</f>
        <v>Budget is being proposed for 5 batches of state TOT @ 278700 per batch ( Based up on GOI guideline.</v>
      </c>
      <c r="Q167" s="3021"/>
      <c r="R167" s="3022"/>
    </row>
    <row r="168" spans="1:18" s="3023" customFormat="1">
      <c r="A168" s="4606"/>
      <c r="B168" s="3044">
        <f>'9-A.Training Sub-Annex'!C76</f>
        <v>0</v>
      </c>
      <c r="C168" s="3045" t="str">
        <f>'9-A.Training Sub-Annex'!D76</f>
        <v>Trainings for Family participatory care (KMC)</v>
      </c>
      <c r="D168" s="3046" t="str">
        <f>'9-A.Training Sub-Annex'!E76</f>
        <v>RCH</v>
      </c>
      <c r="E168" s="3046" t="str">
        <f>'9-A.Training Sub-Annex'!F76</f>
        <v>CH</v>
      </c>
      <c r="F168" s="3046">
        <f>'9-A.Training Sub-Annex'!G76</f>
        <v>0</v>
      </c>
      <c r="G168" s="3046">
        <f>'9-A.Training Sub-Annex'!H76</f>
        <v>0</v>
      </c>
      <c r="H168" s="3046">
        <f>'9-A.Training Sub-Annex'!I76</f>
        <v>0</v>
      </c>
      <c r="I168" s="3046">
        <f>'9-A.Training Sub-Annex'!J76</f>
        <v>0</v>
      </c>
      <c r="J168" s="3046">
        <f>'9-A.Training Sub-Annex'!K76</f>
        <v>0</v>
      </c>
      <c r="K168" s="3046">
        <f>'9-A.Training Sub-Annex'!L76</f>
        <v>0</v>
      </c>
      <c r="L168" s="3020">
        <f>'9-A.Training Sub-Annex'!M76</f>
        <v>0</v>
      </c>
      <c r="M168" s="3046">
        <f>'9-A.Training Sub-Annex'!N76</f>
        <v>0</v>
      </c>
      <c r="N168" s="3046">
        <f>'9-A.Training Sub-Annex'!O76</f>
        <v>0</v>
      </c>
      <c r="O168" s="3020">
        <f>'9-A.Training Sub-Annex'!P76</f>
        <v>0</v>
      </c>
      <c r="P168" s="3047">
        <f>'9-A.Training Sub-Annex'!Q76</f>
        <v>0</v>
      </c>
      <c r="Q168" s="3021"/>
      <c r="R168" s="3022"/>
    </row>
    <row r="169" spans="1:18" s="3023" customFormat="1" ht="150">
      <c r="A169" s="4606"/>
      <c r="B169" s="3044">
        <f>'9-A.Training Sub-Annex'!C77</f>
        <v>0</v>
      </c>
      <c r="C169" s="3045" t="str">
        <f>'9-A.Training Sub-Annex'!D77</f>
        <v>New Born Stabilization training Package for Medical Officers and Staff nurses</v>
      </c>
      <c r="D169" s="3046" t="str">
        <f>'9-A.Training Sub-Annex'!E77</f>
        <v>RCH</v>
      </c>
      <c r="E169" s="3046" t="str">
        <f>'9-A.Training Sub-Annex'!F77</f>
        <v>CH</v>
      </c>
      <c r="F169" s="3046">
        <f>'9-A.Training Sub-Annex'!G77</f>
        <v>0</v>
      </c>
      <c r="G169" s="3046">
        <f>'9-A.Training Sub-Annex'!H77</f>
        <v>0</v>
      </c>
      <c r="H169" s="3046">
        <f>'9-A.Training Sub-Annex'!I77</f>
        <v>0</v>
      </c>
      <c r="I169" s="3046">
        <f>'9-A.Training Sub-Annex'!J77</f>
        <v>0</v>
      </c>
      <c r="J169" s="3046">
        <f>'9-A.Training Sub-Annex'!K77</f>
        <v>0</v>
      </c>
      <c r="K169" s="3046" t="str">
        <f>'9-A.Training Sub-Annex'!L77</f>
        <v>No. of batch</v>
      </c>
      <c r="L169" s="3020">
        <f>'9-A.Training Sub-Annex'!M77</f>
        <v>1475050</v>
      </c>
      <c r="M169" s="3046">
        <f>'9-A.Training Sub-Annex'!N77</f>
        <v>14.750500000000001</v>
      </c>
      <c r="N169" s="3046">
        <f>'9-A.Training Sub-Annex'!O77</f>
        <v>1</v>
      </c>
      <c r="O169" s="3020">
        <f>'9-A.Training Sub-Annex'!P77</f>
        <v>14.750500000000001</v>
      </c>
      <c r="P169" s="3047" t="str">
        <f>'9-A.Training Sub-Annex'!Q77</f>
        <v xml:space="preserve">* As per GoI guidance, Budget is being proposed for NBSU TOT , Training for MO &amp; SN and NBSU data Management training of MO/SN/DEO as per below details-
(1) Three days State ToT (20 person) on NBSU module on clinical &amp; data management @ Rs 280650/- per batch x 1 batch. Total Amount Rs. 280650/-
(2) Three days State/Regional NBSU Training (20 person).  on Clinical practices to train 1 MO &amp; 1 SN from each NBSU@ 247650 per batch * 2 batch = Rs.990600 
(3) One day on data management of SN/Assigned DEO @ Rs. 101900/- per batch x 2 batches = Rs. 203800/- 
Total Budget = 280650 + 990600 + 203800 = Rs.1475050/- 
</v>
      </c>
      <c r="Q169" s="3021"/>
      <c r="R169" s="3022"/>
    </row>
    <row r="170" spans="1:18" s="3023" customFormat="1" ht="75">
      <c r="A170" s="4606"/>
      <c r="B170" s="3044">
        <f>'9-A.Training Sub-Annex'!C78</f>
        <v>0</v>
      </c>
      <c r="C170" s="3045" t="str">
        <f>'9-A.Training Sub-Annex'!D78</f>
        <v>One day Orientation of frontline workers (ASHA/ANM) and allied department workers (Teachers/AWW) on Anaemia Mukt Bharat strategy. As per RCH training norms</v>
      </c>
      <c r="D170" s="3046" t="str">
        <f>'9-A.Training Sub-Annex'!E78</f>
        <v>RCH</v>
      </c>
      <c r="E170" s="3046" t="str">
        <f>'9-A.Training Sub-Annex'!F78</f>
        <v>CH</v>
      </c>
      <c r="F170" s="3046">
        <f>'9-A.Training Sub-Annex'!G78</f>
        <v>0</v>
      </c>
      <c r="G170" s="3046">
        <f>'9-A.Training Sub-Annex'!H78</f>
        <v>0</v>
      </c>
      <c r="H170" s="3046">
        <f>'9-A.Training Sub-Annex'!I78</f>
        <v>0</v>
      </c>
      <c r="I170" s="3046">
        <f>'9-A.Training Sub-Annex'!J78</f>
        <v>0</v>
      </c>
      <c r="J170" s="3046">
        <f>'9-A.Training Sub-Annex'!K78</f>
        <v>0</v>
      </c>
      <c r="K170" s="3046" t="str">
        <f>'9-A.Training Sub-Annex'!L78</f>
        <v>Training batches</v>
      </c>
      <c r="L170" s="3020">
        <f>'9-A.Training Sub-Annex'!M78</f>
        <v>1790</v>
      </c>
      <c r="M170" s="3046">
        <f>'9-A.Training Sub-Annex'!N78</f>
        <v>1.7899999999999999E-2</v>
      </c>
      <c r="N170" s="3046">
        <f>'9-A.Training Sub-Annex'!O78</f>
        <v>7567</v>
      </c>
      <c r="O170" s="3020">
        <f>'9-A.Training Sub-Annex'!P78</f>
        <v>135.44929999999999</v>
      </c>
      <c r="P170" s="3047" t="str">
        <f>'9-A.Training Sub-Annex'!Q78</f>
        <v xml:space="preserve">Training on comprehensive AMB training tool kit (7,567 batches Block Level Trainings of FLWs)
Participants will be all AWWs, Two teach/Schools, all ANMs, all ASHA Facilitators, and all ASHAs.
Per batch training budget is Rs. 1,790 for 7,567 batches= Rs. 1,35.44,930 </v>
      </c>
      <c r="Q170" s="3021"/>
      <c r="R170" s="3022"/>
    </row>
    <row r="171" spans="1:18" s="3023" customFormat="1" ht="105">
      <c r="A171" s="4606"/>
      <c r="B171" s="3044">
        <f>'9-A.Training Sub-Annex'!C79</f>
        <v>0</v>
      </c>
      <c r="C171" s="3045" t="str">
        <f>'9-A.Training Sub-Annex'!D79</f>
        <v>State/District ToT of SAANS, Skill Stations under SAANS</v>
      </c>
      <c r="D171" s="3046" t="str">
        <f>'9-A.Training Sub-Annex'!E79</f>
        <v>RCH</v>
      </c>
      <c r="E171" s="3046" t="str">
        <f>'9-A.Training Sub-Annex'!F79</f>
        <v>CH</v>
      </c>
      <c r="F171" s="3046">
        <f>'9-A.Training Sub-Annex'!G79</f>
        <v>0</v>
      </c>
      <c r="G171" s="3046">
        <f>'9-A.Training Sub-Annex'!H79</f>
        <v>0</v>
      </c>
      <c r="H171" s="3046">
        <f>'9-A.Training Sub-Annex'!I79</f>
        <v>0</v>
      </c>
      <c r="I171" s="3046">
        <f>'9-A.Training Sub-Annex'!J79</f>
        <v>0</v>
      </c>
      <c r="J171" s="3046">
        <f>'9-A.Training Sub-Annex'!K79</f>
        <v>0</v>
      </c>
      <c r="K171" s="3046" t="str">
        <f>'9-A.Training Sub-Annex'!L79</f>
        <v>No. batch</v>
      </c>
      <c r="L171" s="3020">
        <f>'9-A.Training Sub-Annex'!M79</f>
        <v>1213355</v>
      </c>
      <c r="M171" s="3046">
        <f>'9-A.Training Sub-Annex'!N79</f>
        <v>12.13355</v>
      </c>
      <c r="N171" s="3046">
        <f>'9-A.Training Sub-Annex'!O79</f>
        <v>1</v>
      </c>
      <c r="O171" s="3020">
        <f>'9-A.Training Sub-Annex'!P79</f>
        <v>12.13355</v>
      </c>
      <c r="P171" s="3047" t="str">
        <f>'9-A.Training Sub-Annex'!Q79</f>
        <v>Budget is being proposed for 
1. 2 day State TOT of SAANS  (As per SAANS Guidline)
of Paedeatrician/MO/SN@Rs.262955 per batch = 1 btach*262955 =2.63 lakh
2. 2 day District TOT of SAANS of Paedeatrician/MO/SN@237600 per batch = 4 batch*237600 = 9.50400 lakh 
 Total budget required = 2.63 + 9.50 = 12.13 lakh
 Annexure attached</v>
      </c>
      <c r="Q171" s="3021"/>
      <c r="R171" s="3022"/>
    </row>
    <row r="172" spans="1:18" s="3023" customFormat="1">
      <c r="A172" s="4606"/>
      <c r="B172" s="3044" t="str">
        <f>'9-A.Training Sub-Annex'!C80</f>
        <v>9.5.2.23</v>
      </c>
      <c r="C172" s="3045" t="str">
        <f>'9-A.Training Sub-Annex'!D80</f>
        <v>Other Child Health trainings (please specify)</v>
      </c>
      <c r="D172" s="3046" t="str">
        <f>'9-A.Training Sub-Annex'!E80</f>
        <v>RCH</v>
      </c>
      <c r="E172" s="3046" t="str">
        <f>'9-A.Training Sub-Annex'!F80</f>
        <v>CH</v>
      </c>
      <c r="F172" s="3046">
        <f>'9-A.Training Sub-Annex'!G80</f>
        <v>0</v>
      </c>
      <c r="G172" s="3046">
        <f>'9-A.Training Sub-Annex'!H80</f>
        <v>0</v>
      </c>
      <c r="H172" s="3046">
        <f>'9-A.Training Sub-Annex'!I80</f>
        <v>0</v>
      </c>
      <c r="I172" s="3046">
        <f>'9-A.Training Sub-Annex'!J80</f>
        <v>0</v>
      </c>
      <c r="J172" s="3046">
        <f>'9-A.Training Sub-Annex'!K80</f>
        <v>0</v>
      </c>
      <c r="K172" s="3046">
        <f>'9-A.Training Sub-Annex'!L80</f>
        <v>0</v>
      </c>
      <c r="L172" s="3020">
        <f>'9-A.Training Sub-Annex'!M80</f>
        <v>0</v>
      </c>
      <c r="M172" s="3046">
        <f>'9-A.Training Sub-Annex'!N80</f>
        <v>0</v>
      </c>
      <c r="N172" s="3046">
        <f>'9-A.Training Sub-Annex'!O80</f>
        <v>0</v>
      </c>
      <c r="O172" s="3020">
        <f>'9-A.Training Sub-Annex'!P80</f>
        <v>0</v>
      </c>
      <c r="P172" s="3047">
        <f>'9-A.Training Sub-Annex'!Q80</f>
        <v>0</v>
      </c>
      <c r="Q172" s="3021"/>
      <c r="R172" s="3022"/>
    </row>
    <row r="173" spans="1:18" s="3023" customFormat="1">
      <c r="A173" s="3030">
        <f>'10.Review Research &amp; Surveillen'!A7</f>
        <v>10</v>
      </c>
      <c r="B173" s="3038"/>
      <c r="C173" s="3031" t="str">
        <f>'10.Review Research &amp; Surveillen'!C7</f>
        <v>Reviews, Research, Surveys and Surveillance</v>
      </c>
      <c r="D173" s="3032"/>
      <c r="E173" s="3032"/>
      <c r="F173" s="3032"/>
      <c r="G173" s="3032"/>
      <c r="H173" s="3033"/>
      <c r="I173" s="3032"/>
      <c r="J173" s="3033"/>
      <c r="K173" s="3032"/>
      <c r="L173" s="3033"/>
      <c r="M173" s="3033"/>
      <c r="N173" s="3039"/>
      <c r="O173" s="3040">
        <f>O174</f>
        <v>40</v>
      </c>
      <c r="P173" s="3064"/>
      <c r="Q173" s="3042"/>
      <c r="R173" s="3043">
        <f>R174</f>
        <v>0</v>
      </c>
    </row>
    <row r="174" spans="1:18" s="3023" customFormat="1" ht="90">
      <c r="A174" s="3048" t="str">
        <f>'10.Review Research &amp; Surveillen'!A10</f>
        <v>10.1.2</v>
      </c>
      <c r="B174" s="3048" t="str">
        <f>'10.Review Research &amp; Surveillen'!B10</f>
        <v>A.2.8</v>
      </c>
      <c r="C174" s="3049" t="str">
        <f>'10.Review Research &amp; Surveillen'!C10</f>
        <v>Child Death Review</v>
      </c>
      <c r="D174" s="3050" t="str">
        <f>'10.Review Research &amp; Surveillen'!D10</f>
        <v>RCH</v>
      </c>
      <c r="E174" s="3050" t="str">
        <f>'10.Review Research &amp; Surveillen'!E10</f>
        <v>CH</v>
      </c>
      <c r="F174" s="3050">
        <f>'10.Review Research &amp; Surveillen'!F10</f>
        <v>0</v>
      </c>
      <c r="G174" s="3050">
        <f>'10.Review Research &amp; Surveillen'!G10</f>
        <v>0</v>
      </c>
      <c r="H174" s="3050">
        <f>'10.Review Research &amp; Surveillen'!H10</f>
        <v>0</v>
      </c>
      <c r="I174" s="3050">
        <f>'10.Review Research &amp; Surveillen'!I10</f>
        <v>0</v>
      </c>
      <c r="J174" s="3050">
        <f>'10.Review Research &amp; Surveillen'!J10</f>
        <v>0</v>
      </c>
      <c r="K174" s="3050" t="str">
        <f>'10.Review Research &amp; Surveillen'!K10</f>
        <v>No. of Child Death</v>
      </c>
      <c r="L174" s="3020">
        <f>'10.Review Research &amp; Surveillen'!L10</f>
        <v>4000000</v>
      </c>
      <c r="M174" s="3050">
        <f>'10.Review Research &amp; Surveillen'!M10</f>
        <v>40</v>
      </c>
      <c r="N174" s="3050">
        <f>'10.Review Research &amp; Surveillen'!N10</f>
        <v>1</v>
      </c>
      <c r="O174" s="3020">
        <f>'10.Review Research &amp; Surveillen'!O10</f>
        <v>40</v>
      </c>
      <c r="P174" s="3047" t="str">
        <f>'10.Review Research &amp; Surveillen'!P10</f>
        <v>Continued Activity: Budget is being proposed for incentive to ASHA@Rs. 50 per notification and ANM@Rs. 100 per FBIR, Honoronium for verbal Autopsy team@Rs.500 per Child death review(maximum 6 review/month) and reimbursement of travel expenses for attendent/parent/relative of deceased child who participates in DM review meeting@100 per person (Maximum for 2 person as per Guideline for 3 DM review meeting per month) = Rs. 40 lakh (10% of total budget)</v>
      </c>
      <c r="Q174" s="3021"/>
      <c r="R174" s="3022"/>
    </row>
    <row r="175" spans="1:18" s="3023" customFormat="1">
      <c r="A175" s="3030">
        <f>'11.IEC-BCC Annex'!A7</f>
        <v>11</v>
      </c>
      <c r="B175" s="3038"/>
      <c r="C175" s="3031" t="str">
        <f>'11.IEC-BCC Annex'!C7</f>
        <v>IEC/BCC</v>
      </c>
      <c r="D175" s="3032"/>
      <c r="E175" s="3032"/>
      <c r="F175" s="3032"/>
      <c r="G175" s="3032"/>
      <c r="H175" s="3033"/>
      <c r="I175" s="3032"/>
      <c r="J175" s="3033"/>
      <c r="K175" s="3032"/>
      <c r="L175" s="3033"/>
      <c r="M175" s="3033"/>
      <c r="N175" s="3039"/>
      <c r="O175" s="3040">
        <f>SUM(O176:O179)</f>
        <v>183.02352199999996</v>
      </c>
      <c r="P175" s="3064"/>
      <c r="Q175" s="3042"/>
      <c r="R175" s="3043">
        <f>SUM(R176:R179)</f>
        <v>0</v>
      </c>
    </row>
    <row r="176" spans="1:18" s="3023" customFormat="1" ht="90">
      <c r="A176" s="4606" t="str">
        <f>'11.IEC-BCC Annex'!A10</f>
        <v>11.1.2</v>
      </c>
      <c r="B176" s="3017" t="str">
        <f>'11-A. IEC Sub-Annex'!C11</f>
        <v>B.10.3.2.1</v>
      </c>
      <c r="C176" s="3018" t="str">
        <f>'11-A. IEC Sub-Annex'!D11</f>
        <v>Media Mix of Mid Media/ Mass Media</v>
      </c>
      <c r="D176" s="3019" t="str">
        <f>'11-A. IEC Sub-Annex'!E11</f>
        <v>RCH</v>
      </c>
      <c r="E176" s="3019" t="str">
        <f>'11-A. IEC Sub-Annex'!F11</f>
        <v>CH</v>
      </c>
      <c r="F176" s="3019">
        <f>'11-A. IEC Sub-Annex'!G11</f>
        <v>0</v>
      </c>
      <c r="G176" s="3019">
        <f>'11-A. IEC Sub-Annex'!H11</f>
        <v>0</v>
      </c>
      <c r="H176" s="3019">
        <f>'11-A. IEC Sub-Annex'!I11</f>
        <v>0</v>
      </c>
      <c r="I176" s="3019">
        <f>'11-A. IEC Sub-Annex'!J11</f>
        <v>0</v>
      </c>
      <c r="J176" s="3019">
        <f>'11-A. IEC Sub-Annex'!K11</f>
        <v>0</v>
      </c>
      <c r="K176" s="3019" t="str">
        <f>'11-A. IEC Sub-Annex'!L11</f>
        <v>Per Advt., Spot, video, miking etc.</v>
      </c>
      <c r="L176" s="3020">
        <f>'11-A. IEC Sub-Annex'!M11</f>
        <v>0.93301373784850827</v>
      </c>
      <c r="M176" s="3019">
        <f>'11-A. IEC Sub-Annex'!N11</f>
        <v>9.3301373784850819E-6</v>
      </c>
      <c r="N176" s="3019">
        <f>'11-A. IEC Sub-Annex'!O11</f>
        <v>14055476</v>
      </c>
      <c r="O176" s="3020">
        <f>'11-A. IEC Sub-Annex'!P11</f>
        <v>131.13952199999997</v>
      </c>
      <c r="P176" s="3047" t="str">
        <f>'11-A. IEC Sub-Annex'!Q11</f>
        <v>Continued Activity:
1. Advt.+Radio Spot/Jingle+Video spot, Miking, SMS Campaign, Media Workshop etc. of NDD for two Round and IDCF one Round.
2. Advt./Radio and Video spot etc. reg. other child Health Program such as World Pneumonia Day, World Breast Feeding Day, Newborn week etc..
(Calculation Sheet is attached as FMR 11.5.1_Annexure)</v>
      </c>
      <c r="Q176" s="3021"/>
      <c r="R176" s="3022"/>
    </row>
    <row r="177" spans="1:18" s="3023" customFormat="1" ht="75">
      <c r="A177" s="4606"/>
      <c r="B177" s="3017" t="str">
        <f>'11-A. IEC Sub-Annex'!C12</f>
        <v>B.10.3.2.2</v>
      </c>
      <c r="C177" s="3018" t="str">
        <f>'11-A. IEC Sub-Annex'!D12</f>
        <v>Inter Personal Communication</v>
      </c>
      <c r="D177" s="3019" t="str">
        <f>'11-A. IEC Sub-Annex'!E12</f>
        <v>RCH</v>
      </c>
      <c r="E177" s="3019" t="str">
        <f>'11-A. IEC Sub-Annex'!F12</f>
        <v>CH</v>
      </c>
      <c r="F177" s="3019">
        <f>'11-A. IEC Sub-Annex'!G12</f>
        <v>0</v>
      </c>
      <c r="G177" s="3019">
        <f>'11-A. IEC Sub-Annex'!H12</f>
        <v>0</v>
      </c>
      <c r="H177" s="3019">
        <f>'11-A. IEC Sub-Annex'!I12</f>
        <v>0</v>
      </c>
      <c r="I177" s="3019">
        <f>'11-A. IEC Sub-Annex'!J12</f>
        <v>0</v>
      </c>
      <c r="J177" s="3019">
        <f>'11-A. IEC Sub-Annex'!K12</f>
        <v>0</v>
      </c>
      <c r="K177" s="3019" t="str">
        <f>'11-A. IEC Sub-Annex'!L12</f>
        <v>Per Wall Writing, Workshop etc.</v>
      </c>
      <c r="L177" s="3020">
        <f>'11-A. IEC Sub-Annex'!M12</f>
        <v>1263.0600169061709</v>
      </c>
      <c r="M177" s="3019">
        <f>'11-A. IEC Sub-Annex'!N12</f>
        <v>1.2630600169061708E-2</v>
      </c>
      <c r="N177" s="3019">
        <f>'11-A. IEC Sub-Annex'!O12</f>
        <v>2366</v>
      </c>
      <c r="O177" s="3020">
        <f>'11-A. IEC Sub-Annex'!P12</f>
        <v>29.884</v>
      </c>
      <c r="P177" s="3047" t="str">
        <f>'11-A. IEC Sub-Annex'!Q12</f>
        <v>Continued Activities:
1. National Deworming Day Inaugural  launches at District Level, Awareness Workshop at state/district level for  Private Schools for National Deworming Day program.
2. Wall writing of NDD (2 Round) and IDCF Round.                                                                               Calculation Sheet is attached as Annexure_11.5.2 (FMR)</v>
      </c>
      <c r="Q177" s="3021"/>
      <c r="R177" s="3022"/>
    </row>
    <row r="178" spans="1:18" s="3023" customFormat="1">
      <c r="A178" s="4606"/>
      <c r="B178" s="3017">
        <f>'11-A. IEC Sub-Annex'!C13</f>
        <v>0</v>
      </c>
      <c r="C178" s="3018" t="str">
        <f>'11-A. IEC Sub-Annex'!D13</f>
        <v>IEC for family participatory care</v>
      </c>
      <c r="D178" s="3019" t="str">
        <f>'11-A. IEC Sub-Annex'!E13</f>
        <v>RCH</v>
      </c>
      <c r="E178" s="3019" t="str">
        <f>'11-A. IEC Sub-Annex'!F13</f>
        <v>CH</v>
      </c>
      <c r="F178" s="3019">
        <f>'11-A. IEC Sub-Annex'!G13</f>
        <v>0</v>
      </c>
      <c r="G178" s="3019">
        <f>'11-A. IEC Sub-Annex'!H13</f>
        <v>0</v>
      </c>
      <c r="H178" s="3019">
        <f>'11-A. IEC Sub-Annex'!I13</f>
        <v>0</v>
      </c>
      <c r="I178" s="3019">
        <f>'11-A. IEC Sub-Annex'!J13</f>
        <v>0</v>
      </c>
      <c r="J178" s="3019">
        <f>'11-A. IEC Sub-Annex'!K13</f>
        <v>0</v>
      </c>
      <c r="K178" s="3019">
        <f>'11-A. IEC Sub-Annex'!L13</f>
        <v>0</v>
      </c>
      <c r="L178" s="3020">
        <f>'11-A. IEC Sub-Annex'!M13</f>
        <v>0</v>
      </c>
      <c r="M178" s="3019">
        <f>'11-A. IEC Sub-Annex'!N13</f>
        <v>0</v>
      </c>
      <c r="N178" s="3019">
        <f>'11-A. IEC Sub-Annex'!O13</f>
        <v>0</v>
      </c>
      <c r="O178" s="3020">
        <f>'11-A. IEC Sub-Annex'!P13</f>
        <v>0</v>
      </c>
      <c r="P178" s="3047">
        <f>'11-A. IEC Sub-Annex'!Q13</f>
        <v>0</v>
      </c>
      <c r="Q178" s="3021"/>
      <c r="R178" s="3022"/>
    </row>
    <row r="179" spans="1:18" s="3023" customFormat="1" ht="90">
      <c r="A179" s="4606"/>
      <c r="B179" s="3017">
        <f>'11-A. IEC Sub-Annex'!C14</f>
        <v>0</v>
      </c>
      <c r="C179" s="3018" t="str">
        <f>'11-A. IEC Sub-Annex'!D14</f>
        <v>Any other IEC/BCC activities (please specify) including SAANS campaign IEC at state/district level</v>
      </c>
      <c r="D179" s="3019" t="str">
        <f>'11-A. IEC Sub-Annex'!E14</f>
        <v>RCH</v>
      </c>
      <c r="E179" s="3019" t="str">
        <f>'11-A. IEC Sub-Annex'!F14</f>
        <v>CH</v>
      </c>
      <c r="F179" s="3019">
        <f>'11-A. IEC Sub-Annex'!G14</f>
        <v>0</v>
      </c>
      <c r="G179" s="3019">
        <f>'11-A. IEC Sub-Annex'!H14</f>
        <v>0</v>
      </c>
      <c r="H179" s="3019">
        <f>'11-A. IEC Sub-Annex'!I14</f>
        <v>0</v>
      </c>
      <c r="I179" s="3019">
        <f>'11-A. IEC Sub-Annex'!J14</f>
        <v>0</v>
      </c>
      <c r="J179" s="3019">
        <f>'11-A. IEC Sub-Annex'!K14</f>
        <v>0</v>
      </c>
      <c r="K179" s="3019" t="str">
        <f>'11-A. IEC Sub-Annex'!L14</f>
        <v>Per wall writing, Hoarding Banner etc.</v>
      </c>
      <c r="L179" s="3020">
        <f>'11-A. IEC Sub-Annex'!M14</f>
        <v>1068.4798445847498</v>
      </c>
      <c r="M179" s="3019">
        <f>'11-A. IEC Sub-Annex'!N14</f>
        <v>1.0684798445847498E-2</v>
      </c>
      <c r="N179" s="3019">
        <f>'11-A. IEC Sub-Annex'!O14</f>
        <v>2059</v>
      </c>
      <c r="O179" s="3020">
        <f>'11-A. IEC Sub-Annex'!P14</f>
        <v>22</v>
      </c>
      <c r="P179" s="3047" t="str">
        <f>'11-A. IEC Sub-Annex'!Q14</f>
        <v>Continued Activities:
1. Publication of  SAANS Advt. 6 times in a year.               
2. Broadcasting of SAANS Audio spots on local radio channels and video spots on local TV channels.
3. Awareness of SAANS Program through Wall Writing, Hoarding Banner, Banner etc.
Calculation Sheet is attached as Annexure_11.5.4 (FMR)</v>
      </c>
      <c r="Q179" s="3021"/>
      <c r="R179" s="3022"/>
    </row>
    <row r="180" spans="1:18" s="3023" customFormat="1">
      <c r="A180" s="3030">
        <f>'12.Printing Annex'!A7</f>
        <v>12</v>
      </c>
      <c r="B180" s="3038"/>
      <c r="C180" s="3031" t="str">
        <f>'12.Printing Annex'!C7</f>
        <v>Printing</v>
      </c>
      <c r="D180" s="3032"/>
      <c r="E180" s="3032"/>
      <c r="F180" s="3032"/>
      <c r="G180" s="3032"/>
      <c r="H180" s="3033"/>
      <c r="I180" s="3032"/>
      <c r="J180" s="3033"/>
      <c r="K180" s="3032"/>
      <c r="L180" s="3033"/>
      <c r="M180" s="3033"/>
      <c r="N180" s="3039"/>
      <c r="O180" s="3040">
        <f>SUM(O181:O195)</f>
        <v>738.74327493437499</v>
      </c>
      <c r="P180" s="3064"/>
      <c r="Q180" s="3042"/>
      <c r="R180" s="3043">
        <f>SUM(R181:R195)</f>
        <v>0</v>
      </c>
    </row>
    <row r="181" spans="1:18" s="3023" customFormat="1" ht="75">
      <c r="A181" s="3017" t="str">
        <f>'12.Printing Annex'!A10</f>
        <v>12.1.2</v>
      </c>
      <c r="B181" s="3017">
        <f>'12-A. Print Sub-Annex'!C10</f>
        <v>0</v>
      </c>
      <c r="C181" s="3018" t="str">
        <f>'12-A. Print Sub-Annex'!D10</f>
        <v>Printing cost for MAA programme</v>
      </c>
      <c r="D181" s="3019" t="str">
        <f>'12-A. Print Sub-Annex'!E10</f>
        <v>RCH</v>
      </c>
      <c r="E181" s="3019" t="str">
        <f>'12-A. Print Sub-Annex'!F10</f>
        <v>CH</v>
      </c>
      <c r="F181" s="3019">
        <f>'12-A. Print Sub-Annex'!G10</f>
        <v>0</v>
      </c>
      <c r="G181" s="3019">
        <f>'12-A. Print Sub-Annex'!H10</f>
        <v>0</v>
      </c>
      <c r="H181" s="3019">
        <f>'12-A. Print Sub-Annex'!I10</f>
        <v>0</v>
      </c>
      <c r="I181" s="3019">
        <f>'12-A. Print Sub-Annex'!J10</f>
        <v>0</v>
      </c>
      <c r="J181" s="3019">
        <f>'12-A. Print Sub-Annex'!K10</f>
        <v>0</v>
      </c>
      <c r="K181" s="3019" t="str">
        <f>'12-A. Print Sub-Annex'!L10</f>
        <v>Per Format, Flip Book, Module, Register etc.</v>
      </c>
      <c r="L181" s="3020">
        <f>'12-A. Print Sub-Annex'!M10</f>
        <v>2.8653192502892182</v>
      </c>
      <c r="M181" s="3019">
        <f>'12-A. Print Sub-Annex'!N10</f>
        <v>2.8653192502892182E-5</v>
      </c>
      <c r="N181" s="3019">
        <f>'12-A. Print Sub-Annex'!O10</f>
        <v>1396005</v>
      </c>
      <c r="O181" s="3020">
        <f>'12-A. Print Sub-Annex'!P10</f>
        <v>40</v>
      </c>
      <c r="P181" s="3047" t="str">
        <f>'12-A. Print Sub-Annex'!Q10</f>
        <v>Printing of MAA/IYCF various items such as Infokit for ASHA and ANM, Flip Book for ASHAs, ANM Training module for  Staff Nurses  and ANM, IYCF Sensitization module, Ten steps of successfully Breastfeeding (Hindi), IMS Act, MAA Monthly reporting format, IYCF Counseling Centre's register and Flip book for IYCF Ccentre etc.
(Calculation sheet is attached as Annexure _FMR 12.1.4)</v>
      </c>
      <c r="Q181" s="3021"/>
      <c r="R181" s="3022"/>
    </row>
    <row r="182" spans="1:18" s="3023" customFormat="1" ht="60">
      <c r="A182" s="3017"/>
      <c r="B182" s="3017" t="str">
        <f>'12-A. Print Sub-Annex'!C13</f>
        <v>A.2.1</v>
      </c>
      <c r="C182" s="3018" t="str">
        <f>'12-A. Print Sub-Annex'!D13</f>
        <v>Printing for IMNCI, FIMNCI, FBNC, NBSU training packages and the translation</v>
      </c>
      <c r="D182" s="3019" t="str">
        <f>'12-A. Print Sub-Annex'!E13</f>
        <v>RCH</v>
      </c>
      <c r="E182" s="3019" t="str">
        <f>'12-A. Print Sub-Annex'!F13</f>
        <v>CH</v>
      </c>
      <c r="F182" s="3019">
        <f>'12-A. Print Sub-Annex'!G13</f>
        <v>0</v>
      </c>
      <c r="G182" s="3019">
        <f>'12-A. Print Sub-Annex'!H13</f>
        <v>0</v>
      </c>
      <c r="H182" s="3019">
        <f>'12-A. Print Sub-Annex'!I13</f>
        <v>0</v>
      </c>
      <c r="I182" s="3019">
        <f>'12-A. Print Sub-Annex'!J13</f>
        <v>0</v>
      </c>
      <c r="J182" s="3019">
        <f>'12-A. Print Sub-Annex'!K13</f>
        <v>0</v>
      </c>
      <c r="K182" s="3019" t="str">
        <f>'12-A. Print Sub-Annex'!L13</f>
        <v>Per Module</v>
      </c>
      <c r="L182" s="3020">
        <f>'12-A. Print Sub-Annex'!M13</f>
        <v>35.246548401819915</v>
      </c>
      <c r="M182" s="3019">
        <f>'12-A. Print Sub-Annex'!N13</f>
        <v>3.5246548401819916E-4</v>
      </c>
      <c r="N182" s="3019">
        <f>'12-A. Print Sub-Annex'!O13</f>
        <v>47606.828571428574</v>
      </c>
      <c r="O182" s="3020">
        <f>'12-A. Print Sub-Annex'!P13</f>
        <v>16.779763875000004</v>
      </c>
      <c r="P182" s="3047" t="str">
        <f>'12-A. Print Sub-Annex'!Q13</f>
        <v>Continuted Activity:
1. Pringing of 1 type of Training calendar and 7 types of training modules.
2. Printing of 8 types NBSU Registers, formats, file folder etc.
(Calculation Sheet attached as FMR 12.2.1_Annexure)</v>
      </c>
      <c r="Q182" s="3021"/>
      <c r="R182" s="3022"/>
    </row>
    <row r="183" spans="1:18" s="3023" customFormat="1" ht="30">
      <c r="A183" s="3017"/>
      <c r="B183" s="3017" t="str">
        <f>'12-A. Print Sub-Annex'!C14</f>
        <v>A.2.6</v>
      </c>
      <c r="C183" s="3018" t="str">
        <f>'12-A. Print Sub-Annex'!D14</f>
        <v>Printing for National Childhood Pneumonia Management Guidelines under SAANS</v>
      </c>
      <c r="D183" s="3019" t="str">
        <f>'12-A. Print Sub-Annex'!E14</f>
        <v>RCH</v>
      </c>
      <c r="E183" s="3019" t="str">
        <f>'12-A. Print Sub-Annex'!F14</f>
        <v>CH</v>
      </c>
      <c r="F183" s="3019">
        <f>'12-A. Print Sub-Annex'!G14</f>
        <v>0</v>
      </c>
      <c r="G183" s="3019">
        <f>'12-A. Print Sub-Annex'!H14</f>
        <v>0</v>
      </c>
      <c r="H183" s="3019">
        <f>'12-A. Print Sub-Annex'!I14</f>
        <v>0</v>
      </c>
      <c r="I183" s="3019">
        <f>'12-A. Print Sub-Annex'!J14</f>
        <v>0</v>
      </c>
      <c r="J183" s="3019">
        <f>'12-A. Print Sub-Annex'!K14</f>
        <v>0</v>
      </c>
      <c r="K183" s="3019" t="str">
        <f>'12-A. Print Sub-Annex'!L14</f>
        <v>Per Module</v>
      </c>
      <c r="L183" s="3020">
        <f>'12-A. Print Sub-Annex'!M14</f>
        <v>60.400160993560256</v>
      </c>
      <c r="M183" s="3019">
        <f>'12-A. Print Sub-Annex'!N14</f>
        <v>6.0400160993560252E-4</v>
      </c>
      <c r="N183" s="3019">
        <f>'12-A. Print Sub-Annex'!O14</f>
        <v>21740</v>
      </c>
      <c r="O183" s="3020">
        <f>'12-A. Print Sub-Annex'!P14</f>
        <v>13.130994999999999</v>
      </c>
      <c r="P183" s="3047" t="str">
        <f>'12-A. Print Sub-Annex'!Q14</f>
        <v>Printing of 4 types SAANS Guidelines/Modules.
Calculation Sheet is attached as Annexure_FMR 12.2.2</v>
      </c>
      <c r="Q183" s="3021"/>
      <c r="R183" s="3022"/>
    </row>
    <row r="184" spans="1:18" s="3023" customFormat="1" ht="90">
      <c r="A184" s="3017"/>
      <c r="B184" s="3017" t="str">
        <f>'12-A. Print Sub-Annex'!C15</f>
        <v>A.2.7</v>
      </c>
      <c r="C184" s="3018" t="str">
        <f>'12-A. Print Sub-Annex'!D15</f>
        <v>Printing for Micronutrient Supplementation Programme including IEC materials, reporting formats, guidelines / training materials etc. (For AMB and Vitamin A supplementation programmes)</v>
      </c>
      <c r="D184" s="3019" t="str">
        <f>'12-A. Print Sub-Annex'!E15</f>
        <v>RCH</v>
      </c>
      <c r="E184" s="3019" t="str">
        <f>'12-A. Print Sub-Annex'!F15</f>
        <v>CH</v>
      </c>
      <c r="F184" s="3019">
        <f>'12-A. Print Sub-Annex'!G15</f>
        <v>0</v>
      </c>
      <c r="G184" s="3019">
        <f>'12-A. Print Sub-Annex'!H15</f>
        <v>0</v>
      </c>
      <c r="H184" s="3019">
        <f>'12-A. Print Sub-Annex'!I15</f>
        <v>0</v>
      </c>
      <c r="I184" s="3019">
        <f>'12-A. Print Sub-Annex'!J15</f>
        <v>0</v>
      </c>
      <c r="J184" s="3019">
        <f>'12-A. Print Sub-Annex'!K15</f>
        <v>0</v>
      </c>
      <c r="K184" s="3019" t="str">
        <f>'12-A. Print Sub-Annex'!L15</f>
        <v>Per advt., poster, format, toolkit etc.</v>
      </c>
      <c r="L184" s="3020">
        <f>'12-A. Print Sub-Annex'!M15</f>
        <v>1.6165744141534324</v>
      </c>
      <c r="M184" s="3019">
        <f>'12-A. Print Sub-Annex'!N15</f>
        <v>1.6165744141534324E-5</v>
      </c>
      <c r="N184" s="3019">
        <f>'12-A. Print Sub-Annex'!O15</f>
        <v>2474368</v>
      </c>
      <c r="O184" s="3020">
        <f>'12-A. Print Sub-Annex'!P15</f>
        <v>40</v>
      </c>
      <c r="P184" s="3047" t="str">
        <f>'12-A. Print Sub-Annex'!Q15</f>
        <v xml:space="preserve">Continued Activity: 
1. Printing of AMB  Format, Poster, Toolkit etc. 
2. AMB Awareness through Advt., Radio/video spot etc.
3. Printing of 7 types of Vitamin A formats/IEC materials etc. for one round.
Calculation Sheet is attached as Annexure_FMR 12.2.3
</v>
      </c>
      <c r="Q184" s="3021"/>
      <c r="R184" s="3022"/>
    </row>
    <row r="185" spans="1:18" s="3023" customFormat="1" ht="30">
      <c r="A185" s="3017"/>
      <c r="B185" s="3017" t="str">
        <f>'12-A. Print Sub-Annex'!C16</f>
        <v>A.2.8</v>
      </c>
      <c r="C185" s="3018" t="str">
        <f>'12-A. Print Sub-Annex'!D16</f>
        <v>Printing of Child Death Review formats</v>
      </c>
      <c r="D185" s="3019" t="str">
        <f>'12-A. Print Sub-Annex'!E16</f>
        <v>RCH</v>
      </c>
      <c r="E185" s="3019" t="str">
        <f>'12-A. Print Sub-Annex'!F16</f>
        <v>CH</v>
      </c>
      <c r="F185" s="3019">
        <f>'12-A. Print Sub-Annex'!G16</f>
        <v>0</v>
      </c>
      <c r="G185" s="3019">
        <f>'12-A. Print Sub-Annex'!H16</f>
        <v>0</v>
      </c>
      <c r="H185" s="3019">
        <f>'12-A. Print Sub-Annex'!I16</f>
        <v>0</v>
      </c>
      <c r="I185" s="3019">
        <f>'12-A. Print Sub-Annex'!J16</f>
        <v>0</v>
      </c>
      <c r="J185" s="3019">
        <f>'12-A. Print Sub-Annex'!K16</f>
        <v>0</v>
      </c>
      <c r="K185" s="3019" t="str">
        <f>'12-A. Print Sub-Annex'!L16</f>
        <v>Per Format</v>
      </c>
      <c r="L185" s="3020">
        <f>'12-A. Print Sub-Annex'!M16</f>
        <v>3.2045192307692303</v>
      </c>
      <c r="M185" s="3019">
        <f>'12-A. Print Sub-Annex'!N16</f>
        <v>3.2045192307692302E-5</v>
      </c>
      <c r="N185" s="3019">
        <f>'12-A. Print Sub-Annex'!O16</f>
        <v>260000</v>
      </c>
      <c r="O185" s="3020">
        <f>'12-A. Print Sub-Annex'!P16</f>
        <v>8.3317499999999978</v>
      </c>
      <c r="P185" s="3047" t="str">
        <f>'12-A. Print Sub-Annex'!Q16</f>
        <v>Printing of CDR Reporting Format for ASHA and ANM.
Calculation Sheet is attached as Annexure_FMR 12.2.4</v>
      </c>
      <c r="Q185" s="3021"/>
      <c r="R185" s="3022"/>
    </row>
    <row r="186" spans="1:18" s="3023" customFormat="1" ht="45">
      <c r="A186" s="3017"/>
      <c r="B186" s="3017" t="str">
        <f>'12-A. Print Sub-Annex'!C17</f>
        <v>B.10.7.4.1</v>
      </c>
      <c r="C186" s="3018" t="str">
        <f>'12-A. Print Sub-Annex'!D17</f>
        <v>Printing of compliance cards and reporting formats for National Iron Plus Initiative-for 6-59 months  age group and for 5-10 years age group</v>
      </c>
      <c r="D186" s="3019" t="str">
        <f>'12-A. Print Sub-Annex'!E17</f>
        <v>RCH</v>
      </c>
      <c r="E186" s="3019" t="str">
        <f>'12-A. Print Sub-Annex'!F17</f>
        <v>CH</v>
      </c>
      <c r="F186" s="3019">
        <f>'12-A. Print Sub-Annex'!G17</f>
        <v>0</v>
      </c>
      <c r="G186" s="3019">
        <f>'12-A. Print Sub-Annex'!H17</f>
        <v>0</v>
      </c>
      <c r="H186" s="3019">
        <f>'12-A. Print Sub-Annex'!I17</f>
        <v>0</v>
      </c>
      <c r="I186" s="3019">
        <f>'12-A. Print Sub-Annex'!J17</f>
        <v>0</v>
      </c>
      <c r="J186" s="3019">
        <f>'12-A. Print Sub-Annex'!K17</f>
        <v>0</v>
      </c>
      <c r="K186" s="3019" t="str">
        <f>'12-A. Print Sub-Annex'!L17</f>
        <v>Per Card</v>
      </c>
      <c r="L186" s="3020">
        <f>'12-A. Print Sub-Annex'!M17</f>
        <v>5</v>
      </c>
      <c r="M186" s="3019">
        <f>'12-A. Print Sub-Annex'!N17</f>
        <v>5.0000000000000002E-5</v>
      </c>
      <c r="N186" s="3019">
        <f>'12-A. Print Sub-Annex'!O17</f>
        <v>7000000</v>
      </c>
      <c r="O186" s="3020">
        <f>'12-A. Print Sub-Annex'!P17</f>
        <v>350</v>
      </c>
      <c r="P186" s="3047" t="str">
        <f>'12-A. Print Sub-Annex'!Q17</f>
        <v>Estimated 30 Lakh compliance card for the newly added in the age group 6-59 months + Estimated 40 Lakhs compliance card for newly added in the age group 5-9 years total = 70,00,000 compliance cards x Rs. 5/Card= Rs 3,50,00,000</v>
      </c>
      <c r="Q186" s="3021"/>
      <c r="R186" s="3022"/>
    </row>
    <row r="187" spans="1:18" s="3023" customFormat="1" ht="45">
      <c r="A187" s="3017"/>
      <c r="B187" s="3017" t="str">
        <f>'12-A. Print Sub-Annex'!C18</f>
        <v>B.10.7.4.7</v>
      </c>
      <c r="C187" s="3018" t="str">
        <f>'12-A. Print Sub-Annex'!D18</f>
        <v>Printing of IEC materials and reporting formats etc.  for National Deworming Day</v>
      </c>
      <c r="D187" s="3019" t="str">
        <f>'12-A. Print Sub-Annex'!E18</f>
        <v>RCH</v>
      </c>
      <c r="E187" s="3019" t="str">
        <f>'12-A. Print Sub-Annex'!F18</f>
        <v>CH</v>
      </c>
      <c r="F187" s="3019">
        <f>'12-A. Print Sub-Annex'!G18</f>
        <v>0</v>
      </c>
      <c r="G187" s="3019">
        <f>'12-A. Print Sub-Annex'!H18</f>
        <v>0</v>
      </c>
      <c r="H187" s="3019">
        <f>'12-A. Print Sub-Annex'!I18</f>
        <v>0</v>
      </c>
      <c r="I187" s="3019">
        <f>'12-A. Print Sub-Annex'!J18</f>
        <v>0</v>
      </c>
      <c r="J187" s="3019">
        <f>'12-A. Print Sub-Annex'!K18</f>
        <v>0</v>
      </c>
      <c r="K187" s="3019" t="str">
        <f>'12-A. Print Sub-Annex'!L18</f>
        <v>Per Handbill/format/Poster etc.</v>
      </c>
      <c r="L187" s="3020">
        <f>'12-A. Print Sub-Annex'!M18</f>
        <v>2.9984078015122191</v>
      </c>
      <c r="M187" s="3019">
        <f>'12-A. Print Sub-Annex'!N18</f>
        <v>2.9984078015122191E-5</v>
      </c>
      <c r="N187" s="3019">
        <f>'12-A. Print Sub-Annex'!O18</f>
        <v>2873789</v>
      </c>
      <c r="O187" s="3020">
        <f>'12-A. Print Sub-Annex'!P18</f>
        <v>86.167913574999986</v>
      </c>
      <c r="P187" s="3047" t="str">
        <f>'12-A. Print Sub-Annex'!Q18</f>
        <v>Continued Acivity:
Printing of 14 types of material for NDD two round.
Calculation Sheet is attached as Annexure FMR_12.2.6</v>
      </c>
      <c r="Q187" s="3021"/>
      <c r="R187" s="3022"/>
    </row>
    <row r="188" spans="1:18" s="3023" customFormat="1" ht="60">
      <c r="A188" s="3017"/>
      <c r="B188" s="3017" t="str">
        <f>'12-A. Print Sub-Annex'!C19</f>
        <v>B.10.7.4.8</v>
      </c>
      <c r="C188" s="3018" t="str">
        <f>'12-A. Print Sub-Annex'!D19</f>
        <v>Printing of IEC Materials and monitoring formats for IDCF</v>
      </c>
      <c r="D188" s="3019" t="str">
        <f>'12-A. Print Sub-Annex'!E19</f>
        <v>RCH</v>
      </c>
      <c r="E188" s="3019" t="str">
        <f>'12-A. Print Sub-Annex'!F19</f>
        <v>CH</v>
      </c>
      <c r="F188" s="3019">
        <f>'12-A. Print Sub-Annex'!G19</f>
        <v>0</v>
      </c>
      <c r="G188" s="3019">
        <f>'12-A. Print Sub-Annex'!H19</f>
        <v>0</v>
      </c>
      <c r="H188" s="3019">
        <f>'12-A. Print Sub-Annex'!I19</f>
        <v>0</v>
      </c>
      <c r="I188" s="3019">
        <f>'12-A. Print Sub-Annex'!J19</f>
        <v>0</v>
      </c>
      <c r="J188" s="3019">
        <f>'12-A. Print Sub-Annex'!K19</f>
        <v>0</v>
      </c>
      <c r="K188" s="3019" t="str">
        <f>'12-A. Print Sub-Annex'!L19</f>
        <v>Per Toolkit, format, poster etc.</v>
      </c>
      <c r="L188" s="3020">
        <f>'12-A. Print Sub-Annex'!M19</f>
        <v>2.6416340393414783</v>
      </c>
      <c r="M188" s="3019">
        <f>'12-A. Print Sub-Annex'!N19</f>
        <v>2.6416340393414782E-5</v>
      </c>
      <c r="N188" s="3019">
        <f>'12-A. Print Sub-Annex'!O19</f>
        <v>2649875</v>
      </c>
      <c r="O188" s="3020">
        <f>'12-A. Print Sub-Annex'!P19</f>
        <v>70</v>
      </c>
      <c r="P188" s="3047" t="str">
        <f>'12-A. Print Sub-Annex'!Q19</f>
        <v>Continuted Activity:
Printing of IDCF 16 types materials such as Checklist, leaflet, format, Poster, Training Module etc.
(Calculation sheet is attached as FMR 12.2.7_Annexure)</v>
      </c>
      <c r="Q188" s="3021"/>
      <c r="R188" s="3022"/>
    </row>
    <row r="189" spans="1:18" s="3023" customFormat="1" ht="30">
      <c r="A189" s="3017"/>
      <c r="B189" s="3017" t="str">
        <f>'12-A. Print Sub-Annex'!C20</f>
        <v>B.10.7.4.9</v>
      </c>
      <c r="C189" s="3018" t="str">
        <f>'12-A. Print Sub-Annex'!D20</f>
        <v>Printing cost of IEC materials, monitoring forms etc. for intensification of school health activities</v>
      </c>
      <c r="D189" s="3019" t="str">
        <f>'12-A. Print Sub-Annex'!E20</f>
        <v>RCH</v>
      </c>
      <c r="E189" s="3019" t="str">
        <f>'12-A. Print Sub-Annex'!F20</f>
        <v>CH</v>
      </c>
      <c r="F189" s="3019">
        <f>'12-A. Print Sub-Annex'!G20</f>
        <v>0</v>
      </c>
      <c r="G189" s="3019">
        <f>'12-A. Print Sub-Annex'!H20</f>
        <v>0</v>
      </c>
      <c r="H189" s="3019">
        <f>'12-A. Print Sub-Annex'!I20</f>
        <v>0</v>
      </c>
      <c r="I189" s="3019">
        <f>'12-A. Print Sub-Annex'!J20</f>
        <v>0</v>
      </c>
      <c r="J189" s="3019">
        <f>'12-A. Print Sub-Annex'!K20</f>
        <v>0</v>
      </c>
      <c r="K189" s="3019">
        <f>'12-A. Print Sub-Annex'!L20</f>
        <v>0</v>
      </c>
      <c r="L189" s="3020">
        <f>'12-A. Print Sub-Annex'!M20</f>
        <v>0</v>
      </c>
      <c r="M189" s="3019">
        <f>'12-A. Print Sub-Annex'!N20</f>
        <v>0</v>
      </c>
      <c r="N189" s="3019">
        <f>'12-A. Print Sub-Annex'!O20</f>
        <v>0</v>
      </c>
      <c r="O189" s="3020">
        <f>'12-A. Print Sub-Annex'!P20</f>
        <v>0</v>
      </c>
      <c r="P189" s="3047">
        <f>'12-A. Print Sub-Annex'!Q20</f>
        <v>0</v>
      </c>
      <c r="Q189" s="3021"/>
      <c r="R189" s="3022"/>
    </row>
    <row r="190" spans="1:18" s="3023" customFormat="1" ht="45">
      <c r="A190" s="3017"/>
      <c r="B190" s="3017">
        <f>'12-A. Print Sub-Annex'!C21</f>
        <v>0</v>
      </c>
      <c r="C190" s="3018" t="str">
        <f>'12-A. Print Sub-Annex'!D21</f>
        <v>Printing &amp; translation cost for Family participatory care (KMC)</v>
      </c>
      <c r="D190" s="3019" t="str">
        <f>'12-A. Print Sub-Annex'!E21</f>
        <v>RCH</v>
      </c>
      <c r="E190" s="3019" t="str">
        <f>'12-A. Print Sub-Annex'!F21</f>
        <v>CH</v>
      </c>
      <c r="F190" s="3019">
        <f>'12-A. Print Sub-Annex'!G21</f>
        <v>0</v>
      </c>
      <c r="G190" s="3019">
        <f>'12-A. Print Sub-Annex'!H21</f>
        <v>0</v>
      </c>
      <c r="H190" s="3019">
        <f>'12-A. Print Sub-Annex'!I21</f>
        <v>0</v>
      </c>
      <c r="I190" s="3019">
        <f>'12-A. Print Sub-Annex'!J21</f>
        <v>0</v>
      </c>
      <c r="J190" s="3019">
        <f>'12-A. Print Sub-Annex'!K21</f>
        <v>0</v>
      </c>
      <c r="K190" s="3019" t="str">
        <f>'12-A. Print Sub-Annex'!L21</f>
        <v>Per Module</v>
      </c>
      <c r="L190" s="3020">
        <f>'12-A. Print Sub-Annex'!M21</f>
        <v>122.50245</v>
      </c>
      <c r="M190" s="3019">
        <f>'12-A. Print Sub-Annex'!N21</f>
        <v>1.2250244999999999E-3</v>
      </c>
      <c r="N190" s="3019">
        <f>'12-A. Print Sub-Annex'!O21</f>
        <v>1500</v>
      </c>
      <c r="O190" s="3020">
        <f>'12-A. Print Sub-Annex'!P21</f>
        <v>1.8375367499999997</v>
      </c>
      <c r="P190" s="3047" t="str">
        <f>'12-A. Print Sub-Annex'!Q21</f>
        <v>Continuted Activity:
Printing of Family Participatory Module
(Calculation sheet is attached as FMR 12.2.9_Annexure)</v>
      </c>
      <c r="Q190" s="3021"/>
      <c r="R190" s="3022"/>
    </row>
    <row r="191" spans="1:18" s="3023" customFormat="1" ht="45">
      <c r="A191" s="3017"/>
      <c r="B191" s="3017">
        <f>'12-A. Print Sub-Annex'!C22</f>
        <v>0</v>
      </c>
      <c r="C191" s="3018" t="str">
        <f>'12-A. Print Sub-Annex'!D22</f>
        <v>Printing (SNCU data management)</v>
      </c>
      <c r="D191" s="3019" t="str">
        <f>'12-A. Print Sub-Annex'!E22</f>
        <v>RCH</v>
      </c>
      <c r="E191" s="3019" t="str">
        <f>'12-A. Print Sub-Annex'!F22</f>
        <v>CH</v>
      </c>
      <c r="F191" s="3019">
        <f>'12-A. Print Sub-Annex'!G22</f>
        <v>0</v>
      </c>
      <c r="G191" s="3019">
        <f>'12-A. Print Sub-Annex'!H22</f>
        <v>0</v>
      </c>
      <c r="H191" s="3019">
        <f>'12-A. Print Sub-Annex'!I22</f>
        <v>0</v>
      </c>
      <c r="I191" s="3019">
        <f>'12-A. Print Sub-Annex'!J22</f>
        <v>0</v>
      </c>
      <c r="J191" s="3019">
        <f>'12-A. Print Sub-Annex'!K22</f>
        <v>0</v>
      </c>
      <c r="K191" s="3019" t="str">
        <f>'12-A. Print Sub-Annex'!L22</f>
        <v>Per format, card etc.</v>
      </c>
      <c r="L191" s="3020">
        <f>'12-A. Print Sub-Annex'!M22</f>
        <v>2.5681027087257582</v>
      </c>
      <c r="M191" s="3019">
        <f>'12-A. Print Sub-Annex'!N22</f>
        <v>2.5681027087257581E-5</v>
      </c>
      <c r="N191" s="3019">
        <f>'12-A. Print Sub-Annex'!O22</f>
        <v>889768</v>
      </c>
      <c r="O191" s="3020">
        <f>'12-A. Print Sub-Annex'!P22</f>
        <v>22.850156109375003</v>
      </c>
      <c r="P191" s="3047" t="str">
        <f>'12-A. Print Sub-Annex'!Q22</f>
        <v>Continued activity:
Printing of 14 types of SNCU formats, Cards, Forms, Registers etc. for existing SNCUs.
(Calculation Sheet is attached as FMR 12.2.10_Annexure)</v>
      </c>
      <c r="Q191" s="3021"/>
      <c r="R191" s="3022"/>
    </row>
    <row r="192" spans="1:18" s="3023" customFormat="1" ht="60">
      <c r="A192" s="3017"/>
      <c r="B192" s="3017">
        <f>'12-A. Print Sub-Annex'!C23</f>
        <v>0</v>
      </c>
      <c r="C192" s="3018" t="str">
        <f>'12-A. Print Sub-Annex'!D23</f>
        <v>Printing of HBNC referral cards and other formats</v>
      </c>
      <c r="D192" s="3019" t="str">
        <f>'12-A. Print Sub-Annex'!E23</f>
        <v>RCH</v>
      </c>
      <c r="E192" s="3019" t="str">
        <f>'12-A. Print Sub-Annex'!F23</f>
        <v>CH</v>
      </c>
      <c r="F192" s="3019">
        <f>'12-A. Print Sub-Annex'!G23</f>
        <v>0</v>
      </c>
      <c r="G192" s="3019">
        <f>'12-A. Print Sub-Annex'!H23</f>
        <v>0</v>
      </c>
      <c r="H192" s="3019">
        <f>'12-A. Print Sub-Annex'!I23</f>
        <v>0</v>
      </c>
      <c r="I192" s="3019">
        <f>'12-A. Print Sub-Annex'!J23</f>
        <v>0</v>
      </c>
      <c r="J192" s="3019">
        <f>'12-A. Print Sub-Annex'!K23</f>
        <v>0</v>
      </c>
      <c r="K192" s="3019" t="str">
        <f>'12-A. Print Sub-Annex'!L23</f>
        <v>Per format</v>
      </c>
      <c r="L192" s="3020">
        <f>'12-A. Print Sub-Annex'!M23</f>
        <v>2.9662500000000001</v>
      </c>
      <c r="M192" s="3019">
        <f>'12-A. Print Sub-Annex'!N23</f>
        <v>2.9662499999999999E-5</v>
      </c>
      <c r="N192" s="3019">
        <f>'12-A. Print Sub-Annex'!O23</f>
        <v>2000000</v>
      </c>
      <c r="O192" s="3020">
        <f>'12-A. Print Sub-Annex'!P23</f>
        <v>59.324999999999996</v>
      </c>
      <c r="P192" s="3047" t="str">
        <f>'12-A. Print Sub-Annex'!Q23</f>
        <v xml:space="preserve">Continued Activity:
Printing of  HBNC Format/
(Calculation sheet is attached as Annexure_FMR 12.2.11)
</v>
      </c>
      <c r="Q192" s="3021"/>
      <c r="R192" s="3022"/>
    </row>
    <row r="193" spans="1:18" s="3023" customFormat="1" ht="60">
      <c r="A193" s="3017"/>
      <c r="B193" s="3017">
        <f>'12-A. Print Sub-Annex'!C24</f>
        <v>0</v>
      </c>
      <c r="C193" s="3018" t="str">
        <f>'12-A. Print Sub-Annex'!D24</f>
        <v>Printing cost for HBYC</v>
      </c>
      <c r="D193" s="3019" t="str">
        <f>'12-A. Print Sub-Annex'!E24</f>
        <v>RCH</v>
      </c>
      <c r="E193" s="3019" t="str">
        <f>'12-A. Print Sub-Annex'!F24</f>
        <v>CH</v>
      </c>
      <c r="F193" s="3019">
        <f>'12-A. Print Sub-Annex'!G24</f>
        <v>0</v>
      </c>
      <c r="G193" s="3019">
        <f>'12-A. Print Sub-Annex'!H24</f>
        <v>0</v>
      </c>
      <c r="H193" s="3019">
        <f>'12-A. Print Sub-Annex'!I24</f>
        <v>0</v>
      </c>
      <c r="I193" s="3019">
        <f>'12-A. Print Sub-Annex'!J24</f>
        <v>0</v>
      </c>
      <c r="J193" s="3019">
        <f>'12-A. Print Sub-Annex'!K24</f>
        <v>0</v>
      </c>
      <c r="K193" s="3019" t="str">
        <f>'12-A. Print Sub-Annex'!L24</f>
        <v>Per Format, Poster, Register etc.</v>
      </c>
      <c r="L193" s="3020">
        <f>'12-A. Print Sub-Annex'!M24</f>
        <v>5.8794181937172763</v>
      </c>
      <c r="M193" s="3019">
        <f>'12-A. Print Sub-Annex'!N24</f>
        <v>5.8794181937172765E-5</v>
      </c>
      <c r="N193" s="3019">
        <f>'12-A. Print Sub-Annex'!O24</f>
        <v>515700</v>
      </c>
      <c r="O193" s="3020">
        <f>'12-A. Print Sub-Annex'!P24</f>
        <v>30.320159624999995</v>
      </c>
      <c r="P193" s="3047" t="str">
        <f>'12-A. Print Sub-Annex'!Q24</f>
        <v xml:space="preserve">Continued Activity:
Printing of  12  types of HBYC Format/poster/register, operational guideline, module etc.
(Calculation sheet is attached as Annexure_FMR 12.2.12)
</v>
      </c>
      <c r="Q193" s="3021"/>
      <c r="R193" s="3022"/>
    </row>
    <row r="194" spans="1:18" s="3023" customFormat="1">
      <c r="A194" s="3017"/>
      <c r="B194" s="3017">
        <f>'12-A. Print Sub-Annex'!C25</f>
        <v>0</v>
      </c>
      <c r="C194" s="3018" t="str">
        <f>'12-A. Print Sub-Annex'!D25</f>
        <v>Printing for Paediatric HDU, Emergency, OPD and Ward</v>
      </c>
      <c r="D194" s="3019" t="str">
        <f>'12-A. Print Sub-Annex'!E25</f>
        <v>RCH</v>
      </c>
      <c r="E194" s="3019" t="str">
        <f>'12-A. Print Sub-Annex'!F25</f>
        <v>CH</v>
      </c>
      <c r="F194" s="3019">
        <f>'12-A. Print Sub-Annex'!G25</f>
        <v>0</v>
      </c>
      <c r="G194" s="3019">
        <f>'12-A. Print Sub-Annex'!H25</f>
        <v>0</v>
      </c>
      <c r="H194" s="3019">
        <f>'12-A. Print Sub-Annex'!I25</f>
        <v>0</v>
      </c>
      <c r="I194" s="3019">
        <f>'12-A. Print Sub-Annex'!J25</f>
        <v>0</v>
      </c>
      <c r="J194" s="3019">
        <f>'12-A. Print Sub-Annex'!K25</f>
        <v>0</v>
      </c>
      <c r="K194" s="3019">
        <f>'12-A. Print Sub-Annex'!L25</f>
        <v>0</v>
      </c>
      <c r="L194" s="3020">
        <f>'12-A. Print Sub-Annex'!M25</f>
        <v>0</v>
      </c>
      <c r="M194" s="3019">
        <f>'12-A. Print Sub-Annex'!N25</f>
        <v>0</v>
      </c>
      <c r="N194" s="3019">
        <f>'12-A. Print Sub-Annex'!O25</f>
        <v>0</v>
      </c>
      <c r="O194" s="3020">
        <f>'12-A. Print Sub-Annex'!P25</f>
        <v>0</v>
      </c>
      <c r="P194" s="3047">
        <f>'12-A. Print Sub-Annex'!Q25</f>
        <v>0</v>
      </c>
      <c r="Q194" s="3021"/>
      <c r="R194" s="3022"/>
    </row>
    <row r="195" spans="1:18" s="3023" customFormat="1">
      <c r="A195" s="3024"/>
      <c r="B195" s="3017" t="str">
        <f>'12-A. Print Sub-Annex'!C26</f>
        <v>12.2.12</v>
      </c>
      <c r="C195" s="3018" t="str">
        <f>'12-A. Print Sub-Annex'!D26</f>
        <v>Any other (please specify)</v>
      </c>
      <c r="D195" s="3019" t="str">
        <f>'12-A. Print Sub-Annex'!E26</f>
        <v>RCH</v>
      </c>
      <c r="E195" s="3019" t="str">
        <f>'12-A. Print Sub-Annex'!F26</f>
        <v>CH</v>
      </c>
      <c r="F195" s="3019">
        <f>'12-A. Print Sub-Annex'!G26</f>
        <v>0</v>
      </c>
      <c r="G195" s="3019">
        <f>'12-A. Print Sub-Annex'!H26</f>
        <v>0</v>
      </c>
      <c r="H195" s="3019">
        <f>'12-A. Print Sub-Annex'!I26</f>
        <v>0</v>
      </c>
      <c r="I195" s="3019">
        <f>'12-A. Print Sub-Annex'!J26</f>
        <v>0</v>
      </c>
      <c r="J195" s="3019">
        <f>'12-A. Print Sub-Annex'!K26</f>
        <v>0</v>
      </c>
      <c r="K195" s="3019">
        <f>'12-A. Print Sub-Annex'!L26</f>
        <v>0</v>
      </c>
      <c r="L195" s="3020">
        <f>'12-A. Print Sub-Annex'!M26</f>
        <v>0</v>
      </c>
      <c r="M195" s="3019">
        <f>'12-A. Print Sub-Annex'!N26</f>
        <v>0</v>
      </c>
      <c r="N195" s="3019">
        <f>'12-A. Print Sub-Annex'!O26</f>
        <v>0</v>
      </c>
      <c r="O195" s="3020">
        <f>'12-A. Print Sub-Annex'!P26</f>
        <v>0</v>
      </c>
      <c r="P195" s="3047">
        <f>'12-A. Print Sub-Annex'!Q26</f>
        <v>0</v>
      </c>
      <c r="Q195" s="3021"/>
      <c r="R195" s="3022"/>
    </row>
    <row r="196" spans="1:18" s="3023" customFormat="1">
      <c r="A196" s="3053" t="s">
        <v>4354</v>
      </c>
      <c r="B196" s="3053"/>
      <c r="C196" s="3054" t="s">
        <v>2941</v>
      </c>
      <c r="D196" s="3055"/>
      <c r="E196" s="3055"/>
      <c r="F196" s="3055"/>
      <c r="G196" s="3055"/>
      <c r="H196" s="3056"/>
      <c r="I196" s="3055"/>
      <c r="J196" s="3056"/>
      <c r="K196" s="3055"/>
      <c r="L196" s="3056"/>
      <c r="M196" s="3056"/>
      <c r="N196" s="3057"/>
      <c r="O196" s="3058">
        <f>O197+O211+O213+O224+O234+O236+O241+O270+O277+O283+O285</f>
        <v>19309.831709100003</v>
      </c>
      <c r="P196" s="3065"/>
      <c r="Q196" s="3060"/>
      <c r="R196" s="3061">
        <f>R197+R211+R213+R224+R234+R236+R241+R270+R277+R283+R285</f>
        <v>0</v>
      </c>
    </row>
    <row r="197" spans="1:18" s="3029" customFormat="1">
      <c r="A197" s="3030">
        <f>'1.SD Facility Based Annex'!A7</f>
        <v>1</v>
      </c>
      <c r="B197" s="3030">
        <f>'1.SD Facility Based Annex'!B7</f>
        <v>0</v>
      </c>
      <c r="C197" s="3031" t="str">
        <f>'1.SD Facility Based Annex'!C7</f>
        <v>Service Delivery - Facility Based</v>
      </c>
      <c r="D197" s="3032"/>
      <c r="E197" s="3032"/>
      <c r="F197" s="3032"/>
      <c r="G197" s="3032"/>
      <c r="H197" s="3032"/>
      <c r="I197" s="3032"/>
      <c r="J197" s="3032"/>
      <c r="K197" s="3032"/>
      <c r="L197" s="3033"/>
      <c r="M197" s="3032"/>
      <c r="N197" s="3032"/>
      <c r="O197" s="3033">
        <f>SUM(O198:O210)</f>
        <v>12677.650025000001</v>
      </c>
      <c r="P197" s="3066"/>
      <c r="Q197" s="3034"/>
      <c r="R197" s="3035">
        <f>SUM(R198:R210)</f>
        <v>0</v>
      </c>
    </row>
    <row r="198" spans="1:18" s="3023" customFormat="1" ht="91.5" customHeight="1">
      <c r="A198" s="3017" t="str">
        <f>'1.SD Facility Based Annex'!A23</f>
        <v>1.1.3.1.1</v>
      </c>
      <c r="B198" s="3017" t="str">
        <f>'1.SD Facility Based Annex'!B23</f>
        <v>A.3.1.1</v>
      </c>
      <c r="C198" s="3018" t="str">
        <f>'1.SD Facility Based Annex'!C23</f>
        <v>Female sterilization fixed day services</v>
      </c>
      <c r="D198" s="3019" t="str">
        <f>'1.SD Facility Based Annex'!D23</f>
        <v>RCH</v>
      </c>
      <c r="E198" s="3019" t="str">
        <f>'1.SD Facility Based Annex'!E23</f>
        <v>FP</v>
      </c>
      <c r="F198" s="3019">
        <f>'1.SD Facility Based Annex'!F23</f>
        <v>6692</v>
      </c>
      <c r="G198" s="3019">
        <f>'1.SD Facility Based Annex'!G23</f>
        <v>2378</v>
      </c>
      <c r="H198" s="3019">
        <f>'1.SD Facility Based Annex'!H23</f>
        <v>334.6</v>
      </c>
      <c r="I198" s="3019">
        <f>'1.SD Facility Based Annex'!I23</f>
        <v>576.67999999999995</v>
      </c>
      <c r="J198" s="3019">
        <f>'1.SD Facility Based Annex'!J23</f>
        <v>0</v>
      </c>
      <c r="K198" s="3019" t="str">
        <f>'1.SD Facility Based Annex'!K23</f>
        <v>FDS for female ster.</v>
      </c>
      <c r="L198" s="3020">
        <f>'1.SD Facility Based Annex'!L23</f>
        <v>5000</v>
      </c>
      <c r="M198" s="3019">
        <f>'1.SD Facility Based Annex'!M23</f>
        <v>0.05</v>
      </c>
      <c r="N198" s="3019">
        <f>'1.SD Facility Based Annex'!N23</f>
        <v>8828</v>
      </c>
      <c r="O198" s="3020">
        <f>'1.SD Facility Based Annex'!O23</f>
        <v>441.40000000000003</v>
      </c>
      <c r="P198" s="3047" t="str">
        <f>'1.SD Facility Based Annex'!P23</f>
        <v xml:space="preserve">Activity continued from previous year.(Key deliverable- mCPR)
534 PHCs * 16 Fixed day services per year + 2 Fixed day services per year * 142 APHC having more than 8 rooms=  8828 FDS Rs 5000 per fixed day services. 
Total budget proposed for this activity is: 8828 Fixed Day Services * Rs. 5000= Rs.441.40Lacs
</v>
      </c>
      <c r="Q198" s="3021"/>
      <c r="R198" s="3022"/>
    </row>
    <row r="199" spans="1:18" s="3023" customFormat="1" ht="63" customHeight="1">
      <c r="A199" s="3017" t="str">
        <f>'1.SD Facility Based Annex'!A24</f>
        <v>1.1.3.1.2</v>
      </c>
      <c r="B199" s="3017" t="str">
        <f>'1.SD Facility Based Annex'!B24</f>
        <v>A.3.1.2</v>
      </c>
      <c r="C199" s="3018" t="str">
        <f>'1.SD Facility Based Annex'!C24</f>
        <v>Male Sterilization fixed day services</v>
      </c>
      <c r="D199" s="3019" t="str">
        <f>'1.SD Facility Based Annex'!D24</f>
        <v>RCH</v>
      </c>
      <c r="E199" s="3019" t="str">
        <f>'1.SD Facility Based Annex'!E24</f>
        <v>FP</v>
      </c>
      <c r="F199" s="3019">
        <f>'1.SD Facility Based Annex'!F24</f>
        <v>368</v>
      </c>
      <c r="G199" s="3019">
        <f>'1.SD Facility Based Annex'!G24</f>
        <v>43</v>
      </c>
      <c r="H199" s="3019">
        <f>'1.SD Facility Based Annex'!H24</f>
        <v>18.399999999999999</v>
      </c>
      <c r="I199" s="3019">
        <f>'1.SD Facility Based Annex'!I24</f>
        <v>2.2599999999999998</v>
      </c>
      <c r="J199" s="3019">
        <f>'1.SD Facility Based Annex'!J24</f>
        <v>0</v>
      </c>
      <c r="K199" s="3019" t="str">
        <f>'1.SD Facility Based Annex'!K24</f>
        <v>FDS for male ster.</v>
      </c>
      <c r="L199" s="3020">
        <f>'1.SD Facility Based Annex'!L24</f>
        <v>5000</v>
      </c>
      <c r="M199" s="3019">
        <f>'1.SD Facility Based Annex'!M24</f>
        <v>0.05</v>
      </c>
      <c r="N199" s="3019">
        <f>'1.SD Facility Based Annex'!N24</f>
        <v>368</v>
      </c>
      <c r="O199" s="3020">
        <f>'1.SD Facility Based Annex'!O24</f>
        <v>18.400000000000002</v>
      </c>
      <c r="P199" s="3047" t="str">
        <f>'1.SD Facility Based Annex'!P24</f>
        <v>Activity continued from previous year. (Key deliverable- mCPR)
All FRUs till SDH across districts are expected to conduct 1 NSV fixed day services every three month (Quarter) i.e 4 FDS every year i.e. 92*4=368 fixed day services.  
Budget: Rs 5000*368 Fixed day services=18.40 lacs</v>
      </c>
      <c r="Q199" s="3021"/>
      <c r="R199" s="3022"/>
    </row>
    <row r="200" spans="1:18" s="3023" customFormat="1">
      <c r="A200" s="3017" t="str">
        <f>'1.SD Facility Based Annex'!A26</f>
        <v>1.1.3.2.1</v>
      </c>
      <c r="B200" s="3017" t="str">
        <f>'1.SD Facility Based Annex'!B26</f>
        <v>A.3.2.1</v>
      </c>
      <c r="C200" s="3018" t="str">
        <f>'1.SD Facility Based Annex'!C26</f>
        <v>IUCD fixed day services</v>
      </c>
      <c r="D200" s="3019" t="str">
        <f>'1.SD Facility Based Annex'!D26</f>
        <v>RCH</v>
      </c>
      <c r="E200" s="3019" t="str">
        <f>'1.SD Facility Based Annex'!E26</f>
        <v>FP</v>
      </c>
      <c r="F200" s="3019">
        <f>'1.SD Facility Based Annex'!F26</f>
        <v>2974</v>
      </c>
      <c r="G200" s="3019">
        <f>'1.SD Facility Based Annex'!G26</f>
        <v>414</v>
      </c>
      <c r="H200" s="3019">
        <f>'1.SD Facility Based Annex'!H26</f>
        <v>29.74</v>
      </c>
      <c r="I200" s="3019">
        <f>'1.SD Facility Based Annex'!I26</f>
        <v>3.87</v>
      </c>
      <c r="J200" s="3019">
        <f>'1.SD Facility Based Annex'!J26</f>
        <v>0</v>
      </c>
      <c r="K200" s="3019">
        <f>'1.SD Facility Based Annex'!K26</f>
        <v>0</v>
      </c>
      <c r="L200" s="3020">
        <f>'1.SD Facility Based Annex'!L26</f>
        <v>0</v>
      </c>
      <c r="M200" s="3019">
        <f>'1.SD Facility Based Annex'!M26</f>
        <v>0</v>
      </c>
      <c r="N200" s="3019">
        <f>'1.SD Facility Based Annex'!N26</f>
        <v>0</v>
      </c>
      <c r="O200" s="3020">
        <f>'1.SD Facility Based Annex'!O26</f>
        <v>0</v>
      </c>
      <c r="P200" s="3047">
        <f>'1.SD Facility Based Annex'!P26</f>
        <v>0</v>
      </c>
      <c r="Q200" s="3021"/>
      <c r="R200" s="3022"/>
    </row>
    <row r="201" spans="1:18" s="3023" customFormat="1" ht="30">
      <c r="A201" s="3017" t="str">
        <f>'1.SD Facility Based Annex'!A27</f>
        <v>1.1.3.2.1</v>
      </c>
      <c r="B201" s="3017" t="str">
        <f>'1.SD Facility Based Annex'!B27</f>
        <v>A.3.7.5</v>
      </c>
      <c r="C201" s="3018" t="str">
        <f>'1.SD Facility Based Annex'!C27</f>
        <v>Other activities (demand generation, strengthening service delivery etc.)</v>
      </c>
      <c r="D201" s="3019" t="str">
        <f>'1.SD Facility Based Annex'!D27</f>
        <v>RCH</v>
      </c>
      <c r="E201" s="3019" t="str">
        <f>'1.SD Facility Based Annex'!E27</f>
        <v>FP</v>
      </c>
      <c r="F201" s="3019">
        <f>'1.SD Facility Based Annex'!F27</f>
        <v>0</v>
      </c>
      <c r="G201" s="3019">
        <f>'1.SD Facility Based Annex'!G27</f>
        <v>0</v>
      </c>
      <c r="H201" s="3019">
        <f>'1.SD Facility Based Annex'!H27</f>
        <v>0</v>
      </c>
      <c r="I201" s="3019">
        <f>'1.SD Facility Based Annex'!I27</f>
        <v>0</v>
      </c>
      <c r="J201" s="3019">
        <f>'1.SD Facility Based Annex'!J27</f>
        <v>0</v>
      </c>
      <c r="K201" s="3019">
        <f>'1.SD Facility Based Annex'!K27</f>
        <v>0</v>
      </c>
      <c r="L201" s="3020">
        <f>'1.SD Facility Based Annex'!L27</f>
        <v>0</v>
      </c>
      <c r="M201" s="3019">
        <f>'1.SD Facility Based Annex'!M27</f>
        <v>0</v>
      </c>
      <c r="N201" s="3019">
        <f>'1.SD Facility Based Annex'!N27</f>
        <v>0</v>
      </c>
      <c r="O201" s="3020">
        <f>'1.SD Facility Based Annex'!O27</f>
        <v>0</v>
      </c>
      <c r="P201" s="3047">
        <f>'1.SD Facility Based Annex'!P27</f>
        <v>0</v>
      </c>
      <c r="Q201" s="3021"/>
      <c r="R201" s="3022"/>
    </row>
    <row r="202" spans="1:18" s="3023" customFormat="1">
      <c r="A202" s="3017" t="str">
        <f>'1.SD Facility Based Annex'!A28</f>
        <v>1.1.3.3</v>
      </c>
      <c r="B202" s="3017">
        <f>'1.SD Facility Based Annex'!B28</f>
        <v>0</v>
      </c>
      <c r="C202" s="3018" t="str">
        <f>'1.SD Facility Based Annex'!C28</f>
        <v>Any other (please specify)</v>
      </c>
      <c r="D202" s="3019" t="str">
        <f>'1.SD Facility Based Annex'!D28</f>
        <v>RCH</v>
      </c>
      <c r="E202" s="3019" t="str">
        <f>'1.SD Facility Based Annex'!E28</f>
        <v>FP</v>
      </c>
      <c r="F202" s="3019">
        <f>'1.SD Facility Based Annex'!F28</f>
        <v>0</v>
      </c>
      <c r="G202" s="3019">
        <f>'1.SD Facility Based Annex'!G28</f>
        <v>0</v>
      </c>
      <c r="H202" s="3019">
        <f>'1.SD Facility Based Annex'!H28</f>
        <v>0</v>
      </c>
      <c r="I202" s="3019">
        <f>'1.SD Facility Based Annex'!I28</f>
        <v>0</v>
      </c>
      <c r="J202" s="3019">
        <f>'1.SD Facility Based Annex'!J28</f>
        <v>0</v>
      </c>
      <c r="K202" s="3019">
        <f>'1.SD Facility Based Annex'!K28</f>
        <v>0</v>
      </c>
      <c r="L202" s="3020">
        <f>'1.SD Facility Based Annex'!L28</f>
        <v>0</v>
      </c>
      <c r="M202" s="3019">
        <f>'1.SD Facility Based Annex'!M28</f>
        <v>0</v>
      </c>
      <c r="N202" s="3019">
        <f>'1.SD Facility Based Annex'!N28</f>
        <v>0</v>
      </c>
      <c r="O202" s="3020">
        <f>'1.SD Facility Based Annex'!O28</f>
        <v>0</v>
      </c>
      <c r="P202" s="3047">
        <f>'1.SD Facility Based Annex'!P28</f>
        <v>0</v>
      </c>
      <c r="Q202" s="3021"/>
      <c r="R202" s="3022"/>
    </row>
    <row r="203" spans="1:18" s="3023" customFormat="1" ht="105">
      <c r="A203" s="3017" t="str">
        <f>'1.SD Facility Based Annex'!A68</f>
        <v>1.2.2.1.1</v>
      </c>
      <c r="B203" s="3017" t="str">
        <f>'1.SD Facility Based Annex'!B68</f>
        <v>A.3.1.3</v>
      </c>
      <c r="C203" s="3018" t="str">
        <f>'1.SD Facility Based Annex'!C68</f>
        <v>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v>
      </c>
      <c r="D203" s="3019" t="str">
        <f>'1.SD Facility Based Annex'!D68</f>
        <v>RCH</v>
      </c>
      <c r="E203" s="3019" t="str">
        <f>'1.SD Facility Based Annex'!E68</f>
        <v>FP</v>
      </c>
      <c r="F203" s="3019">
        <f>'1.SD Facility Based Annex'!F68</f>
        <v>407500</v>
      </c>
      <c r="G203" s="3019">
        <f>'1.SD Facility Based Annex'!G68</f>
        <v>48324</v>
      </c>
      <c r="H203" s="3019">
        <f>'1.SD Facility Based Annex'!H68</f>
        <v>11000</v>
      </c>
      <c r="I203" s="3019">
        <f>'1.SD Facility Based Annex'!I68</f>
        <v>1572.07</v>
      </c>
      <c r="J203" s="3019">
        <f>'1.SD Facility Based Annex'!J68</f>
        <v>0</v>
      </c>
      <c r="K203" s="3019" t="str">
        <f>'1.SD Facility Based Annex'!K68</f>
        <v>No. Of female ster. cases</v>
      </c>
      <c r="L203" s="3020">
        <f>'1.SD Facility Based Annex'!L68</f>
        <v>3283.5821000000001</v>
      </c>
      <c r="M203" s="3019">
        <f>'1.SD Facility Based Annex'!M68</f>
        <v>3.2835821000000001E-2</v>
      </c>
      <c r="N203" s="3019">
        <f>'1.SD Facility Based Annex'!N68</f>
        <v>335000</v>
      </c>
      <c r="O203" s="3020">
        <f>'1.SD Facility Based Annex'!O68</f>
        <v>11000.000035000001</v>
      </c>
      <c r="P203" s="3047" t="str">
        <f>'1.SD Facility Based Annex'!P68</f>
        <v>Activity continued from previous year (MPV + Patna at same rate)
2 lac female ster. At public@ Rs 2800 + PPS 35000 case@ Rs 4000 + Accrediated Nursing home 50000 @ Rs 3500 + COT mode 50000 @ Rs 4500 . Rs 560000000 + 140000000 + 175000000 + 225000000 = 110 crores</v>
      </c>
      <c r="Q203" s="3021"/>
      <c r="R203" s="3022"/>
    </row>
    <row r="204" spans="1:18" s="3023" customFormat="1" ht="75">
      <c r="A204" s="3017" t="str">
        <f>'1.SD Facility Based Annex'!A69</f>
        <v>1.2.2.1.2</v>
      </c>
      <c r="B204" s="3017" t="str">
        <f>'1.SD Facility Based Annex'!B69</f>
        <v>A.3.1.4</v>
      </c>
      <c r="C204" s="3018" t="str">
        <f>'1.SD Facility Based Annex'!C69</f>
        <v>Compensation for male sterilization/NSV 
(Provide breakup for cases covered in public facility, private facility. 
Male sterilization done in MPV districts may also be budgeted in this head and the break up to be reflected)</v>
      </c>
      <c r="D204" s="3019" t="str">
        <f>'1.SD Facility Based Annex'!D69</f>
        <v>RCH</v>
      </c>
      <c r="E204" s="3019" t="str">
        <f>'1.SD Facility Based Annex'!E69</f>
        <v>FP</v>
      </c>
      <c r="F204" s="3019">
        <f>'1.SD Facility Based Annex'!F69</f>
        <v>5387</v>
      </c>
      <c r="G204" s="3019">
        <f>'1.SD Facility Based Annex'!G69</f>
        <v>315</v>
      </c>
      <c r="H204" s="3019">
        <f>'1.SD Facility Based Annex'!H69</f>
        <v>230.57</v>
      </c>
      <c r="I204" s="3019">
        <f>'1.SD Facility Based Annex'!I69</f>
        <v>40.76</v>
      </c>
      <c r="J204" s="3019">
        <f>'1.SD Facility Based Annex'!J69</f>
        <v>0</v>
      </c>
      <c r="K204" s="3019" t="str">
        <f>'1.SD Facility Based Annex'!K69</f>
        <v>No. Of male ster. cases</v>
      </c>
      <c r="L204" s="3020">
        <f>'1.SD Facility Based Annex'!L69</f>
        <v>4312.5</v>
      </c>
      <c r="M204" s="3019">
        <f>'1.SD Facility Based Annex'!M69</f>
        <v>4.3124999999999997E-2</v>
      </c>
      <c r="N204" s="3019">
        <f>'1.SD Facility Based Annex'!N69</f>
        <v>4000</v>
      </c>
      <c r="O204" s="3020">
        <f>'1.SD Facility Based Annex'!O69</f>
        <v>172.5</v>
      </c>
      <c r="P204" s="3047" t="str">
        <f>'1.SD Facility Based Annex'!P69</f>
        <v>Activity continued from previous year (MPV + Patna at same rate)
2000 case at public inst. @ Rs 4000 + 500 case at Acc. N. Home @ Rs 3500 + 1500 case by COT @ Rs 5000. Rs 8000000 + 1750000 + 7500000 = Rs 17250000.</v>
      </c>
      <c r="Q204" s="3021"/>
      <c r="R204" s="3022"/>
    </row>
    <row r="205" spans="1:18" s="3023" customFormat="1" ht="45">
      <c r="A205" s="3017" t="str">
        <f>'1.SD Facility Based Annex'!A71</f>
        <v>1.2.2.2.1</v>
      </c>
      <c r="B205" s="3017" t="str">
        <f>'1.SD Facility Based Annex'!B71</f>
        <v>A.3.2.2</v>
      </c>
      <c r="C205" s="3018" t="str">
        <f>'1.SD Facility Based Annex'!C71</f>
        <v>Compensation for IUCD insertion at health facilities (including fixed day services at SHC and PHC)
[Provide breakup: Private Sector]</v>
      </c>
      <c r="D205" s="3019" t="str">
        <f>'1.SD Facility Based Annex'!D71</f>
        <v>RCH</v>
      </c>
      <c r="E205" s="3019" t="str">
        <f>'1.SD Facility Based Annex'!E71</f>
        <v>FP</v>
      </c>
      <c r="F205" s="3019">
        <f>'1.SD Facility Based Annex'!F71</f>
        <v>610000</v>
      </c>
      <c r="G205" s="3019">
        <f>'1.SD Facility Based Annex'!G71</f>
        <v>59496</v>
      </c>
      <c r="H205" s="3019">
        <f>'1.SD Facility Based Annex'!H71</f>
        <v>127.5</v>
      </c>
      <c r="I205" s="3019">
        <f>'1.SD Facility Based Annex'!I71</f>
        <v>0.21</v>
      </c>
      <c r="J205" s="3019">
        <f>'1.SD Facility Based Annex'!J71</f>
        <v>0</v>
      </c>
      <c r="K205" s="3019" t="str">
        <f>'1.SD Facility Based Annex'!K71</f>
        <v>No. Of IUCD cases</v>
      </c>
      <c r="L205" s="3020">
        <f>'1.SD Facility Based Annex'!L71</f>
        <v>20</v>
      </c>
      <c r="M205" s="3019">
        <f>'1.SD Facility Based Annex'!M71</f>
        <v>2.0000000000000001E-4</v>
      </c>
      <c r="N205" s="3019">
        <f>'1.SD Facility Based Annex'!N71</f>
        <v>538000</v>
      </c>
      <c r="O205" s="3020">
        <f>'1.SD Facility Based Annex'!O71</f>
        <v>107.60000000000001</v>
      </c>
      <c r="P205" s="3047" t="str">
        <f>'1.SD Facility Based Annex'!P71</f>
        <v>Continued activity - 15000 per CHC for renovation of FP corner + 4 Regional Traingng center X 500000 per RTC + Rs 75 per IUCD service X 10000 cases under PPP mode. = 8010000+ 2000000 + 750000 = Rs 10760000</v>
      </c>
      <c r="Q205" s="3021"/>
      <c r="R205" s="3022"/>
    </row>
    <row r="206" spans="1:18" s="3023" customFormat="1" ht="30">
      <c r="A206" s="3017" t="str">
        <f>'1.SD Facility Based Annex'!A72</f>
        <v>1.2.2.2.2</v>
      </c>
      <c r="B206" s="3017" t="str">
        <f>'1.SD Facility Based Annex'!B72</f>
        <v>A.3.2.3</v>
      </c>
      <c r="C206" s="3018" t="str">
        <f>'1.SD Facility Based Annex'!C72</f>
        <v>PPIUCD services: Compensation to beneficiary for PPIUCD insertion</v>
      </c>
      <c r="D206" s="3019" t="str">
        <f>'1.SD Facility Based Annex'!D72</f>
        <v>RCH</v>
      </c>
      <c r="E206" s="3019" t="str">
        <f>'1.SD Facility Based Annex'!E72</f>
        <v>FP</v>
      </c>
      <c r="F206" s="3019">
        <f>'1.SD Facility Based Annex'!F72</f>
        <v>200000</v>
      </c>
      <c r="G206" s="3019">
        <f>'1.SD Facility Based Annex'!G72</f>
        <v>89458</v>
      </c>
      <c r="H206" s="3019">
        <f>'1.SD Facility Based Annex'!H72</f>
        <v>600</v>
      </c>
      <c r="I206" s="3019">
        <f>'1.SD Facility Based Annex'!I72</f>
        <v>29.29</v>
      </c>
      <c r="J206" s="3019">
        <f>'1.SD Facility Based Annex'!J72</f>
        <v>0</v>
      </c>
      <c r="K206" s="3019" t="str">
        <f>'1.SD Facility Based Annex'!K72</f>
        <v>No. Of PPIUCD caseas</v>
      </c>
      <c r="L206" s="3020">
        <f>'1.SD Facility Based Annex'!L72</f>
        <v>300</v>
      </c>
      <c r="M206" s="3019">
        <f>'1.SD Facility Based Annex'!M72</f>
        <v>3.0000000000000001E-3</v>
      </c>
      <c r="N206" s="3019">
        <f>'1.SD Facility Based Annex'!N72</f>
        <v>200000</v>
      </c>
      <c r="O206" s="3020">
        <f>'1.SD Facility Based Annex'!O72</f>
        <v>600</v>
      </c>
      <c r="P206" s="3047" t="str">
        <f>'1.SD Facility Based Annex'!P72</f>
        <v>Continued Activity
2 lacs PPIUCD cases X Rs 300 = 600 lacs</v>
      </c>
      <c r="Q206" s="3021"/>
      <c r="R206" s="3022"/>
    </row>
    <row r="207" spans="1:18" s="3023" customFormat="1" ht="30">
      <c r="A207" s="3017" t="str">
        <f>'1.SD Facility Based Annex'!A73</f>
        <v>1.2.2.2.3</v>
      </c>
      <c r="B207" s="3017" t="str">
        <f>'1.SD Facility Based Annex'!B73</f>
        <v>A.3.2.4</v>
      </c>
      <c r="C207" s="3018" t="str">
        <f>'1.SD Facility Based Annex'!C73</f>
        <v>PAIUCD Services: Compensation to beneficiary per PAIUCD insertion</v>
      </c>
      <c r="D207" s="3019" t="str">
        <f>'1.SD Facility Based Annex'!D73</f>
        <v>RCH</v>
      </c>
      <c r="E207" s="3019" t="str">
        <f>'1.SD Facility Based Annex'!E73</f>
        <v>FP</v>
      </c>
      <c r="F207" s="3019">
        <f>'1.SD Facility Based Annex'!F73</f>
        <v>2000</v>
      </c>
      <c r="G207" s="3019">
        <f>'1.SD Facility Based Annex'!G73</f>
        <v>889</v>
      </c>
      <c r="H207" s="3019">
        <f>'1.SD Facility Based Annex'!H73</f>
        <v>6</v>
      </c>
      <c r="I207" s="3019">
        <f>'1.SD Facility Based Annex'!I73</f>
        <v>2.0299999999999998</v>
      </c>
      <c r="J207" s="3019">
        <f>'1.SD Facility Based Annex'!J73</f>
        <v>0</v>
      </c>
      <c r="K207" s="3019" t="str">
        <f>'1.SD Facility Based Annex'!K73</f>
        <v>No. Of PAIUCD cases</v>
      </c>
      <c r="L207" s="3020">
        <f>'1.SD Facility Based Annex'!L73</f>
        <v>300</v>
      </c>
      <c r="M207" s="3019">
        <f>'1.SD Facility Based Annex'!M73</f>
        <v>3.0000000000000001E-3</v>
      </c>
      <c r="N207" s="3019">
        <f>'1.SD Facility Based Annex'!N73</f>
        <v>2000</v>
      </c>
      <c r="O207" s="3020">
        <f>'1.SD Facility Based Annex'!O73</f>
        <v>6</v>
      </c>
      <c r="P207" s="3047" t="str">
        <f>'1.SD Facility Based Annex'!P73</f>
        <v>Continued Activity
2000 PAIUCD cases X Rs 300 = Rs 6 lacs</v>
      </c>
      <c r="Q207" s="3021"/>
      <c r="R207" s="3022"/>
    </row>
    <row r="208" spans="1:18" s="3023" customFormat="1" ht="30">
      <c r="A208" s="3017" t="str">
        <f>'1.SD Facility Based Annex'!A74</f>
        <v>1.2.2.2.4</v>
      </c>
      <c r="B208" s="3017" t="str">
        <f>'1.SD Facility Based Annex'!B74</f>
        <v>A.3.7.3</v>
      </c>
      <c r="C208" s="3018" t="str">
        <f>'1.SD Facility Based Annex'!C74</f>
        <v>Injectable contraceptive incentive for beneficiaries</v>
      </c>
      <c r="D208" s="3019" t="str">
        <f>'1.SD Facility Based Annex'!D74</f>
        <v>RCH</v>
      </c>
      <c r="E208" s="3019" t="str">
        <f>'1.SD Facility Based Annex'!E74</f>
        <v>FP</v>
      </c>
      <c r="F208" s="3019">
        <f>'1.SD Facility Based Annex'!F74</f>
        <v>300000</v>
      </c>
      <c r="G208" s="3019">
        <f>'1.SD Facility Based Annex'!G74</f>
        <v>136618</v>
      </c>
      <c r="H208" s="3019">
        <f>'1.SD Facility Based Annex'!H74</f>
        <v>300</v>
      </c>
      <c r="I208" s="3019">
        <f>'1.SD Facility Based Annex'!I74</f>
        <v>18.420000000000002</v>
      </c>
      <c r="J208" s="3019">
        <f>'1.SD Facility Based Annex'!J74</f>
        <v>0</v>
      </c>
      <c r="K208" s="3019" t="str">
        <f>'1.SD Facility Based Annex'!K74</f>
        <v>No. Of MPA doses</v>
      </c>
      <c r="L208" s="3020">
        <f>'1.SD Facility Based Annex'!L74</f>
        <v>100</v>
      </c>
      <c r="M208" s="3019">
        <f>'1.SD Facility Based Annex'!M74</f>
        <v>1E-3</v>
      </c>
      <c r="N208" s="3019">
        <f>'1.SD Facility Based Annex'!N74</f>
        <v>300000</v>
      </c>
      <c r="O208" s="3020">
        <f>'1.SD Facility Based Annex'!O74</f>
        <v>300</v>
      </c>
      <c r="P208" s="3047" t="str">
        <f>'1.SD Facility Based Annex'!P74</f>
        <v>Continued Activity (MPV + Patna)
3 lacs MPA cases X Rs 100 = Rs 300 lacs</v>
      </c>
      <c r="Q208" s="3021"/>
      <c r="R208" s="3022"/>
    </row>
    <row r="209" spans="1:18" s="3023" customFormat="1" ht="150">
      <c r="A209" s="3017" t="str">
        <f>'1.SD Facility Based Annex'!A75</f>
        <v>1.2.2.3</v>
      </c>
      <c r="B209" s="3017" t="str">
        <f>'1.SD Facility Based Annex'!B75</f>
        <v>A.3.6</v>
      </c>
      <c r="C209" s="3018" t="str">
        <f>'1.SD Facility Based Annex'!C75</f>
        <v>Family Planning Indemnity Scheme</v>
      </c>
      <c r="D209" s="3019" t="str">
        <f>'1.SD Facility Based Annex'!D75</f>
        <v>RCH</v>
      </c>
      <c r="E209" s="3019" t="str">
        <f>'1.SD Facility Based Annex'!E75</f>
        <v>FP</v>
      </c>
      <c r="F209" s="3019">
        <f>'1.SD Facility Based Annex'!F75</f>
        <v>41</v>
      </c>
      <c r="G209" s="3019">
        <f>'1.SD Facility Based Annex'!G75</f>
        <v>11</v>
      </c>
      <c r="H209" s="3019">
        <f>'1.SD Facility Based Annex'!H75</f>
        <v>31.75</v>
      </c>
      <c r="I209" s="3019">
        <f>'1.SD Facility Based Annex'!I75</f>
        <v>0</v>
      </c>
      <c r="J209" s="3019">
        <f>'1.SD Facility Based Annex'!J75</f>
        <v>0</v>
      </c>
      <c r="K209" s="3019" t="str">
        <f>'1.SD Facility Based Annex'!K75</f>
        <v>No. Of claims under FPIS</v>
      </c>
      <c r="L209" s="3020">
        <f>'1.SD Facility Based Annex'!L75</f>
        <v>77439</v>
      </c>
      <c r="M209" s="3019">
        <f>'1.SD Facility Based Annex'!M75</f>
        <v>0.77439000000000002</v>
      </c>
      <c r="N209" s="3019">
        <f>'1.SD Facility Based Annex'!N75</f>
        <v>41</v>
      </c>
      <c r="O209" s="3020">
        <f>'1.SD Facility Based Annex'!O75</f>
        <v>31.74999</v>
      </c>
      <c r="P209" s="3047" t="str">
        <f>'1.SD Facility Based Annex'!P75</f>
        <v>Activity continued from previous year.
Proposed budget under FP Indemnity Scheme are as follows-
I. Deaths under FPIS: 10 cases * 2 lac= 20 lac
II)Death following Sterilisation within 8-30 days, under FPIS prposed is: 5 case *50,000= 2.5 lac
III)Failure of Sterilisation ,  
     20 case *30,000= 6 lac
IV)Complications :  5 case *25,000= 1.25 lac
v) Indemnity per doctor:  1 case *2 lac= 2 lac
Total Budget proposed under this scheme is : 20 lac+2.5 lac+6 lac+1.25 lac+2 lac=Rs.31.75 lac</v>
      </c>
      <c r="Q209" s="3021"/>
      <c r="R209" s="3022"/>
    </row>
    <row r="210" spans="1:18" s="3023" customFormat="1">
      <c r="A210" s="3017" t="str">
        <f>'1.SD Facility Based Annex'!A76</f>
        <v>1.2.2.4</v>
      </c>
      <c r="B210" s="3017">
        <f>'1.SD Facility Based Annex'!B76</f>
        <v>0</v>
      </c>
      <c r="C210" s="3018" t="str">
        <f>'1.SD Facility Based Annex'!C76</f>
        <v>Any other (please specify)</v>
      </c>
      <c r="D210" s="3019" t="str">
        <f>'1.SD Facility Based Annex'!D76</f>
        <v>RCH</v>
      </c>
      <c r="E210" s="3019" t="str">
        <f>'1.SD Facility Based Annex'!E76</f>
        <v>FP</v>
      </c>
      <c r="F210" s="3019">
        <f>'1.SD Facility Based Annex'!F76</f>
        <v>0</v>
      </c>
      <c r="G210" s="3019">
        <f>'1.SD Facility Based Annex'!G76</f>
        <v>0</v>
      </c>
      <c r="H210" s="3019">
        <f>'1.SD Facility Based Annex'!H76</f>
        <v>0</v>
      </c>
      <c r="I210" s="3019">
        <f>'1.SD Facility Based Annex'!I76</f>
        <v>0</v>
      </c>
      <c r="J210" s="3019">
        <f>'1.SD Facility Based Annex'!J76</f>
        <v>0</v>
      </c>
      <c r="K210" s="3019">
        <f>'1.SD Facility Based Annex'!K76</f>
        <v>0</v>
      </c>
      <c r="L210" s="3020">
        <f>'1.SD Facility Based Annex'!L76</f>
        <v>0</v>
      </c>
      <c r="M210" s="3019">
        <f>'1.SD Facility Based Annex'!M76</f>
        <v>0</v>
      </c>
      <c r="N210" s="3019">
        <f>'1.SD Facility Based Annex'!N76</f>
        <v>0</v>
      </c>
      <c r="O210" s="3020">
        <f>'1.SD Facility Based Annex'!O76</f>
        <v>0</v>
      </c>
      <c r="P210" s="3047">
        <f>'1.SD Facility Based Annex'!P76</f>
        <v>0</v>
      </c>
      <c r="Q210" s="3021"/>
      <c r="R210" s="3022"/>
    </row>
    <row r="211" spans="1:18" s="3023" customFormat="1">
      <c r="A211" s="3030">
        <f>'2.SD Community Based Annex'!A7</f>
        <v>2</v>
      </c>
      <c r="B211" s="3030"/>
      <c r="C211" s="3031" t="str">
        <f>'2.SD Community Based Annex'!C7</f>
        <v>Service Delivery - Community Based</v>
      </c>
      <c r="D211" s="3032"/>
      <c r="E211" s="3032"/>
      <c r="F211" s="3032"/>
      <c r="G211" s="3032"/>
      <c r="H211" s="3033"/>
      <c r="I211" s="3032"/>
      <c r="J211" s="3033"/>
      <c r="K211" s="3032"/>
      <c r="L211" s="3033"/>
      <c r="M211" s="3033"/>
      <c r="N211" s="3039"/>
      <c r="O211" s="3033">
        <f>O212</f>
        <v>107.26991389999999</v>
      </c>
      <c r="P211" s="3064"/>
      <c r="Q211" s="3042"/>
      <c r="R211" s="3035">
        <f>R212</f>
        <v>0</v>
      </c>
    </row>
    <row r="212" spans="1:18" s="3023" customFormat="1" ht="270">
      <c r="A212" s="3017" t="str">
        <f>'2.SD Community Based Annex'!A20</f>
        <v>2.2.1</v>
      </c>
      <c r="B212" s="3017" t="str">
        <f>'2.SD Community Based Annex'!B20</f>
        <v>A.3.3</v>
      </c>
      <c r="C212" s="3018" t="str">
        <f>'2.SD Community Based Annex'!C20</f>
        <v>POL for Family Planning/ Others (including additional mobility support to surgeon's team if req)</v>
      </c>
      <c r="D212" s="3019" t="str">
        <f>'2.SD Community Based Annex'!D20</f>
        <v>RCH</v>
      </c>
      <c r="E212" s="3019" t="str">
        <f>'2.SD Community Based Annex'!E20</f>
        <v>FP</v>
      </c>
      <c r="F212" s="3019">
        <f>'2.SD Community Based Annex'!F20</f>
        <v>2078</v>
      </c>
      <c r="G212" s="3019">
        <f>'2.SD Community Based Annex'!G20</f>
        <v>696</v>
      </c>
      <c r="H212" s="3019">
        <f>'2.SD Community Based Annex'!H20</f>
        <v>86.75</v>
      </c>
      <c r="I212" s="3019">
        <f>'2.SD Community Based Annex'!I20</f>
        <v>7.75</v>
      </c>
      <c r="J212" s="3019">
        <f>'2.SD Community Based Annex'!J20</f>
        <v>0</v>
      </c>
      <c r="K212" s="3019" t="str">
        <f>'2.SD Community Based Annex'!K20</f>
        <v>No. Of health inst.</v>
      </c>
      <c r="L212" s="3020">
        <f>'2.SD Community Based Annex'!L20</f>
        <v>5420.41</v>
      </c>
      <c r="M212" s="3019">
        <f>'2.SD Community Based Annex'!M20</f>
        <v>5.4204099999999998E-2</v>
      </c>
      <c r="N212" s="3019">
        <f>'2.SD Community Based Annex'!N20</f>
        <v>1979</v>
      </c>
      <c r="O212" s="3020">
        <f>'2.SD Community Based Annex'!O20</f>
        <v>107.26991389999999</v>
      </c>
      <c r="P212" s="3047" t="str">
        <f>'2.SD Community Based Annex'!P20</f>
        <v>Activity continued from previous year. (Key deliverable- mCPR, MPA, PPIUCD &amp; FPLMIS)
 Monitoring of FP Services is done by the state Program Officer, CS, Dist.ACMO, RDD office etc.The detail  is as follows-
I. Monitoring of FP Services at 534 PHCs  by Dist.ACMO/FP Nodal Officer, this fund will be also utilised for mobility for surgeon -Hence budget is earmaarked at District level @Rs.10000/- per dist per month . = Rs.10000*12*38= 45.6 Lacs
i)i 4-5 days monitoring per month by RPMU/ RDD Office in the respective districts. Rs.5000 per division per month*12 mth*9 div = Rs 5.40 lacs
iii) Monitoring of Family Planning programme in the State by State Level Officials. @Rs.35000 pm*1*12 months= Rs 4.20  lakh for monitoring at State level. 
iii) For transportation of FP materials(Condom, OCP,ECP and PTK from State Drug Store to District drug store) @ Rs 25000 per district in a year.= Rs.25,000/-*38= Rs 9.50 lacs
iv) For transportation of FP Materials (contraceptives) from district store of CHC/PHC = Rs.5000/- *534 phc= 26.70lacs/-
iv) For transportation of FP materials(Condom, OCP,ECP and PTK from State Drug Store to Medical College) @ Rs 20000 per Medical College in a year.= Rs.20,000/-*10= Rs 2 lacs
iv) As per GoI Lt. No. 11012/3/2010-FP, dt.10-01-17 for transportation of FP materials(Condom, OCP,ECP and PTK from PHC Drug Store to APHC) @ Rs 1000 per APHC = 13.87 .  This will be used as POL /Vehicle hiring , transportation of FP materails etc. 
(Total Budget in Rs = 45.6+ 5.40+ 4.20+9.50+ 26.70+ 2 + 13.87=  Rs 107.27 lacs. )
No.of dists, division and state has been taken in to account for calculating the unit cost.(38 dist.+9 div.+1 State+10 Medical College + 534 phc+1387 APHC+  ) =1979 health inst.</v>
      </c>
      <c r="Q212" s="3021"/>
      <c r="R212" s="3022"/>
    </row>
    <row r="213" spans="1:18" s="3023" customFormat="1">
      <c r="A213" s="3030">
        <f>'3.Community Intervention Annexn'!A7</f>
        <v>3</v>
      </c>
      <c r="B213" s="3030"/>
      <c r="C213" s="3031" t="str">
        <f>'3.Community Intervention Annexn'!C7</f>
        <v>Community Interventions</v>
      </c>
      <c r="D213" s="3032"/>
      <c r="E213" s="3032"/>
      <c r="F213" s="3032"/>
      <c r="G213" s="3032"/>
      <c r="H213" s="3032"/>
      <c r="I213" s="3032"/>
      <c r="J213" s="3032"/>
      <c r="K213" s="3032"/>
      <c r="L213" s="3033"/>
      <c r="M213" s="3032"/>
      <c r="N213" s="3032"/>
      <c r="O213" s="3033">
        <f>SUM(O214:O223)</f>
        <v>3553.5290002000002</v>
      </c>
      <c r="P213" s="3066"/>
      <c r="Q213" s="3036"/>
      <c r="R213" s="3035">
        <f>SUM(R214:R223)</f>
        <v>0</v>
      </c>
    </row>
    <row r="214" spans="1:18" s="3023" customFormat="1" ht="45">
      <c r="A214" s="4606" t="str">
        <f>'3.Community Intervention Annexn'!A14</f>
        <v>3.1.1.1.4</v>
      </c>
      <c r="B214" s="3017" t="str">
        <f>'3-A. CI Sub-Annex'!C24</f>
        <v>A.3.7.1</v>
      </c>
      <c r="C214" s="3018" t="str">
        <f>'3-A. CI Sub-Annex'!D24</f>
        <v>ASHA Incentives under Saas Bahu Sammellan</v>
      </c>
      <c r="D214" s="3019" t="str">
        <f>'3-A. CI Sub-Annex'!E24</f>
        <v>RCH</v>
      </c>
      <c r="E214" s="3019" t="str">
        <f>'3-A. CI Sub-Annex'!F24</f>
        <v>FP/NHSRC-CP</v>
      </c>
      <c r="F214" s="3019">
        <f>'3-A. CI Sub-Annex'!G24</f>
        <v>91677</v>
      </c>
      <c r="G214" s="3019">
        <f>'3-A. CI Sub-Annex'!H24</f>
        <v>2971</v>
      </c>
      <c r="H214" s="3019">
        <f>'3-A. CI Sub-Annex'!I24</f>
        <v>91.68</v>
      </c>
      <c r="I214" s="3019">
        <f>'3-A. CI Sub-Annex'!J24</f>
        <v>2.97</v>
      </c>
      <c r="J214" s="3019">
        <f>'3-A. CI Sub-Annex'!K24</f>
        <v>0</v>
      </c>
      <c r="K214" s="3019" t="str">
        <f>'3-A. CI Sub-Annex'!L24</f>
        <v>No. Of saas Bahu Beti Sammelan organised</v>
      </c>
      <c r="L214" s="3020">
        <f>'3-A. CI Sub-Annex'!M24</f>
        <v>100</v>
      </c>
      <c r="M214" s="3019">
        <f>'3-A. CI Sub-Annex'!N24</f>
        <v>1E-3</v>
      </c>
      <c r="N214" s="3019">
        <f>'3-A. CI Sub-Annex'!O24</f>
        <v>92037</v>
      </c>
      <c r="O214" s="3020">
        <f>'3-A. CI Sub-Annex'!P24</f>
        <v>92.037000000000006</v>
      </c>
      <c r="P214" s="3047" t="str">
        <f>'3-A. CI Sub-Annex'!Q24</f>
        <v>(Key deliverable- mCPR) Continued activity- 92037 AWC X 1 SBS X Rs 100 per SBS (for all 38 districts)</v>
      </c>
      <c r="Q214" s="3021"/>
      <c r="R214" s="3022"/>
    </row>
    <row r="215" spans="1:18" s="3023" customFormat="1" ht="30">
      <c r="A215" s="4606"/>
      <c r="B215" s="3017" t="str">
        <f>'3-A. CI Sub-Annex'!C25</f>
        <v>A.3.7.2</v>
      </c>
      <c r="C215" s="3018" t="str">
        <f>'3-A. CI Sub-Annex'!D25</f>
        <v>ASHA Incentives under Nayi Pehl Kit</v>
      </c>
      <c r="D215" s="3019" t="str">
        <f>'3-A. CI Sub-Annex'!E25</f>
        <v>RCH</v>
      </c>
      <c r="E215" s="3019" t="str">
        <f>'3-A. CI Sub-Annex'!F25</f>
        <v>FP/NHSRC-CP</v>
      </c>
      <c r="F215" s="3019">
        <f>'3-A. CI Sub-Annex'!G25</f>
        <v>89007</v>
      </c>
      <c r="G215" s="3019">
        <f>'3-A. CI Sub-Annex'!H25</f>
        <v>2003</v>
      </c>
      <c r="H215" s="3019">
        <f>'3-A. CI Sub-Annex'!I25</f>
        <v>89.01</v>
      </c>
      <c r="I215" s="3019">
        <f>'3-A. CI Sub-Annex'!J25</f>
        <v>2</v>
      </c>
      <c r="J215" s="3019">
        <f>'3-A. CI Sub-Annex'!K25</f>
        <v>0</v>
      </c>
      <c r="K215" s="3019" t="str">
        <f>'3-A. CI Sub-Annex'!L25</f>
        <v>No. Of Nayi Pahel kit distributed</v>
      </c>
      <c r="L215" s="3020">
        <f>'3-A. CI Sub-Annex'!M25</f>
        <v>100</v>
      </c>
      <c r="M215" s="3019">
        <f>'3-A. CI Sub-Annex'!N25</f>
        <v>1E-3</v>
      </c>
      <c r="N215" s="3019">
        <f>'3-A. CI Sub-Annex'!O25</f>
        <v>88076</v>
      </c>
      <c r="O215" s="3020">
        <f>'3-A. CI Sub-Annex'!P25</f>
        <v>88.076000000000008</v>
      </c>
      <c r="P215" s="3047" t="str">
        <f>'3-A. CI Sub-Annex'!Q25</f>
        <v>(Key deliverable- mCPR) Continued activity- 88076 ASHA X Rs 100 as incentive for distribution of Nayi pahel kit X 1 kit per ASHA (for all 38 districts)</v>
      </c>
      <c r="Q215" s="3021"/>
      <c r="R215" s="3022"/>
    </row>
    <row r="216" spans="1:18" s="3023" customFormat="1" ht="30">
      <c r="A216" s="4606"/>
      <c r="B216" s="3017">
        <f>'3-A. CI Sub-Annex'!C26</f>
        <v>0</v>
      </c>
      <c r="C216" s="3018" t="str">
        <f>'3-A. CI Sub-Annex'!D26</f>
        <v>ASHA incentive for updation of EC survey before each MPV campaign</v>
      </c>
      <c r="D216" s="3019" t="str">
        <f>'3-A. CI Sub-Annex'!E26</f>
        <v>RCH</v>
      </c>
      <c r="E216" s="3019" t="str">
        <f>'3-A. CI Sub-Annex'!F26</f>
        <v>FP/NHSRC-CP</v>
      </c>
      <c r="F216" s="3019">
        <f>'3-A. CI Sub-Annex'!G26</f>
        <v>89007</v>
      </c>
      <c r="G216" s="3019">
        <f>'3-A. CI Sub-Annex'!H26</f>
        <v>5980</v>
      </c>
      <c r="H216" s="3019">
        <f>'3-A. CI Sub-Annex'!I26</f>
        <v>178.01</v>
      </c>
      <c r="I216" s="3019">
        <f>'3-A. CI Sub-Annex'!J26</f>
        <v>11.96</v>
      </c>
      <c r="J216" s="3019">
        <f>'3-A. CI Sub-Annex'!K26</f>
        <v>0</v>
      </c>
      <c r="K216" s="3019" t="str">
        <f>'3-A. CI Sub-Annex'!L26</f>
        <v>No. Of ASHA</v>
      </c>
      <c r="L216" s="3020">
        <f>'3-A. CI Sub-Annex'!M26</f>
        <v>600</v>
      </c>
      <c r="M216" s="3019">
        <f>'3-A. CI Sub-Annex'!N26</f>
        <v>6.0000000000000001E-3</v>
      </c>
      <c r="N216" s="3019">
        <f>'3-A. CI Sub-Annex'!O26</f>
        <v>88076</v>
      </c>
      <c r="O216" s="3020">
        <f>'3-A. CI Sub-Annex'!P26</f>
        <v>528.45600000000002</v>
      </c>
      <c r="P216" s="3047" t="str">
        <f>'3-A. CI Sub-Annex'!Q26</f>
        <v>Continued activity - 88076 ASHA X Rs 200 per drive X 3 MPV drives = Rs 528.46 (For Community Need assessment and Pre registration scheme)</v>
      </c>
      <c r="Q216" s="3021"/>
      <c r="R216" s="3022"/>
    </row>
    <row r="217" spans="1:18" s="3023" customFormat="1" ht="75">
      <c r="A217" s="4606"/>
      <c r="B217" s="3017" t="str">
        <f>'3-A. CI Sub-Annex'!C27</f>
        <v>B1.1.3.3.1</v>
      </c>
      <c r="C217" s="3018" t="str">
        <f>'3-A. CI Sub-Annex'!D27</f>
        <v>ASHA PPIUCD incentive for accompanying the client for PPIUCD insertion (@ Rs. 150/ASHA/insertion)</v>
      </c>
      <c r="D217" s="3019" t="str">
        <f>'3-A. CI Sub-Annex'!E27</f>
        <v>RCH</v>
      </c>
      <c r="E217" s="3019" t="str">
        <f>'3-A. CI Sub-Annex'!F27</f>
        <v>FP/NHSRC-CP</v>
      </c>
      <c r="F217" s="3019">
        <f>'3-A. CI Sub-Annex'!G27</f>
        <v>20000</v>
      </c>
      <c r="G217" s="3019">
        <f>'3-A. CI Sub-Annex'!H27</f>
        <v>33410</v>
      </c>
      <c r="H217" s="3019">
        <f>'3-A. CI Sub-Annex'!I27</f>
        <v>300</v>
      </c>
      <c r="I217" s="3019">
        <f>'3-A. CI Sub-Annex'!J27</f>
        <v>50.11</v>
      </c>
      <c r="J217" s="3019">
        <f>'3-A. CI Sub-Annex'!K27</f>
        <v>0</v>
      </c>
      <c r="K217" s="3019" t="str">
        <f>'3-A. CI Sub-Annex'!L27</f>
        <v>No. Of PPIUCD cases</v>
      </c>
      <c r="L217" s="3020">
        <f>'3-A. CI Sub-Annex'!M27</f>
        <v>150</v>
      </c>
      <c r="M217" s="3019">
        <f>'3-A. CI Sub-Annex'!N27</f>
        <v>1.5E-3</v>
      </c>
      <c r="N217" s="3019">
        <f>'3-A. CI Sub-Annex'!O27</f>
        <v>200000</v>
      </c>
      <c r="O217" s="3020">
        <f>'3-A. CI Sub-Annex'!P27</f>
        <v>300</v>
      </c>
      <c r="P217" s="3047" t="str">
        <f>'3-A. CI Sub-Annex'!Q27</f>
        <v>Continued Activity
State requests a total amount of 200.00 lacs for PPIUCD incentives for ASHAs accompanying client.
The budget proposed under the head is ;
200000 Case*Rs.150/- = 300.00 lacs</v>
      </c>
      <c r="Q217" s="3021"/>
      <c r="R217" s="3022"/>
    </row>
    <row r="218" spans="1:18" s="3023" customFormat="1" ht="90">
      <c r="A218" s="4606"/>
      <c r="B218" s="3017" t="str">
        <f>'3-A. CI Sub-Annex'!C28</f>
        <v>B1.1.3.3.2</v>
      </c>
      <c r="C218" s="3018" t="str">
        <f>'3-A. CI Sub-Annex'!D28</f>
        <v>ASHA PAIUCD incentive for accompanying the client for PAIUCD insertion (@ Rs. 150/ASHA/insertion)</v>
      </c>
      <c r="D218" s="3019" t="str">
        <f>'3-A. CI Sub-Annex'!E28</f>
        <v>RCH</v>
      </c>
      <c r="E218" s="3019" t="str">
        <f>'3-A. CI Sub-Annex'!F28</f>
        <v>FP/NHSRC-CP</v>
      </c>
      <c r="F218" s="3019">
        <f>'3-A. CI Sub-Annex'!G28</f>
        <v>2000</v>
      </c>
      <c r="G218" s="3019">
        <f>'3-A. CI Sub-Annex'!H28</f>
        <v>1653</v>
      </c>
      <c r="H218" s="3019">
        <f>'3-A. CI Sub-Annex'!I28</f>
        <v>3</v>
      </c>
      <c r="I218" s="3019">
        <f>'3-A. CI Sub-Annex'!J28</f>
        <v>2.48</v>
      </c>
      <c r="J218" s="3019">
        <f>'3-A. CI Sub-Annex'!K28</f>
        <v>0</v>
      </c>
      <c r="K218" s="3019" t="str">
        <f>'3-A. CI Sub-Annex'!L28</f>
        <v>No. Of PAIUCD cases</v>
      </c>
      <c r="L218" s="3020">
        <f>'3-A. CI Sub-Annex'!M28</f>
        <v>150</v>
      </c>
      <c r="M218" s="3019">
        <f>'3-A. CI Sub-Annex'!N28</f>
        <v>1.5E-3</v>
      </c>
      <c r="N218" s="3019">
        <f>'3-A. CI Sub-Annex'!O28</f>
        <v>2000</v>
      </c>
      <c r="O218" s="3020">
        <f>'3-A. CI Sub-Annex'!P28</f>
        <v>3</v>
      </c>
      <c r="P218" s="3047" t="str">
        <f>'3-A. CI Sub-Annex'!Q28</f>
        <v xml:space="preserve">Continued Activity
State requests a total amount of 3.00 lacs for PAIUCD incentives for ASHAs accompanying client.
The budget proposed under the head is ;
2000 Case*Rs.150/- = 3.0 lacs
</v>
      </c>
      <c r="Q218" s="3021"/>
      <c r="R218" s="3022"/>
    </row>
    <row r="219" spans="1:18" s="3023" customFormat="1" ht="75">
      <c r="A219" s="4606"/>
      <c r="B219" s="3017" t="str">
        <f>'3-A. CI Sub-Annex'!C29</f>
        <v>B1.1.3.3.3</v>
      </c>
      <c r="C219" s="3018" t="str">
        <f>'3-A. CI Sub-Annex'!D29</f>
        <v>ASHA incentive under ESB scheme for promoting spacing of births</v>
      </c>
      <c r="D219" s="3019" t="str">
        <f>'3-A. CI Sub-Annex'!E29</f>
        <v>RCH</v>
      </c>
      <c r="E219" s="3019" t="str">
        <f>'3-A. CI Sub-Annex'!F29</f>
        <v>FP/NHSRC-CP</v>
      </c>
      <c r="F219" s="3019">
        <f>'3-A. CI Sub-Annex'!G29</f>
        <v>20000</v>
      </c>
      <c r="G219" s="3019">
        <f>'3-A. CI Sub-Annex'!H29</f>
        <v>1870</v>
      </c>
      <c r="H219" s="3019">
        <f>'3-A. CI Sub-Annex'!I29</f>
        <v>100</v>
      </c>
      <c r="I219" s="3019">
        <f>'3-A. CI Sub-Annex'!J29</f>
        <v>9.35</v>
      </c>
      <c r="J219" s="3019">
        <f>'3-A. CI Sub-Annex'!K29</f>
        <v>0</v>
      </c>
      <c r="K219" s="3019" t="str">
        <f>'3-A. CI Sub-Annex'!L29</f>
        <v>No. Of spacing claims under ADY</v>
      </c>
      <c r="L219" s="3020">
        <f>'3-A. CI Sub-Annex'!M29</f>
        <v>500</v>
      </c>
      <c r="M219" s="3019">
        <f>'3-A. CI Sub-Annex'!N29</f>
        <v>5.0000000000000001E-3</v>
      </c>
      <c r="N219" s="3019">
        <f>'3-A. CI Sub-Annex'!O29</f>
        <v>20000</v>
      </c>
      <c r="O219" s="3020">
        <f>'3-A. CI Sub-Annex'!P29</f>
        <v>100</v>
      </c>
      <c r="P219" s="3047" t="str">
        <f>'3-A. CI Sub-Annex'!Q29</f>
        <v>Continued Activity
State requests a total amount of 100.0 lacs for ASHAs incentive @ Rs 500 under ESB scheme for promoting spacing of birth for 20000 cases..
The budget proposed under the head is ;
20000 Case * Rs. 500/- = 100.0 lacs</v>
      </c>
      <c r="Q219" s="3021"/>
      <c r="R219" s="3022"/>
    </row>
    <row r="220" spans="1:18" s="3023" customFormat="1" ht="75">
      <c r="A220" s="4606"/>
      <c r="B220" s="3017" t="str">
        <f>'3-A. CI Sub-Annex'!C30</f>
        <v>B1.1.3.3.4</v>
      </c>
      <c r="C220" s="3018" t="str">
        <f>'3-A. CI Sub-Annex'!D30</f>
        <v>ASHA Incentive under ESB scheme for promoting adoption of limiting method up to two children</v>
      </c>
      <c r="D220" s="3019" t="str">
        <f>'3-A. CI Sub-Annex'!E30</f>
        <v>RCH</v>
      </c>
      <c r="E220" s="3019" t="str">
        <f>'3-A. CI Sub-Annex'!F30</f>
        <v>FP/NHSRC-CP</v>
      </c>
      <c r="F220" s="3019">
        <f>'3-A. CI Sub-Annex'!G30</f>
        <v>36000</v>
      </c>
      <c r="G220" s="3019">
        <f>'3-A. CI Sub-Annex'!H30</f>
        <v>5897</v>
      </c>
      <c r="H220" s="3019">
        <f>'3-A. CI Sub-Annex'!I30</f>
        <v>360</v>
      </c>
      <c r="I220" s="3019">
        <f>'3-A. CI Sub-Annex'!J30</f>
        <v>58.97</v>
      </c>
      <c r="J220" s="3019">
        <f>'3-A. CI Sub-Annex'!K30</f>
        <v>0</v>
      </c>
      <c r="K220" s="3019" t="str">
        <f>'3-A. CI Sub-Annex'!L30</f>
        <v>No. Of limiting claim under ADY</v>
      </c>
      <c r="L220" s="3020">
        <f>'3-A. CI Sub-Annex'!M30</f>
        <v>1000</v>
      </c>
      <c r="M220" s="3019">
        <f>'3-A. CI Sub-Annex'!N30</f>
        <v>0.01</v>
      </c>
      <c r="N220" s="3019">
        <f>'3-A. CI Sub-Annex'!O30</f>
        <v>40000</v>
      </c>
      <c r="O220" s="3020">
        <f>'3-A. CI Sub-Annex'!P30</f>
        <v>400</v>
      </c>
      <c r="P220" s="3047" t="str">
        <f>'3-A. CI Sub-Annex'!Q30</f>
        <v>Continued Activity
State requests a total amount of 400.00 lacs for ASHAs incentive @ Rs 1000 under ESB scheme for promoting adoption of limiting method upto two children for 40000 cases.
The budget proposed under the head is ;
40000 Case* Rs. 1000/-= 400 lacs</v>
      </c>
      <c r="Q220" s="3021"/>
      <c r="R220" s="3022"/>
    </row>
    <row r="221" spans="1:18" s="3023" customFormat="1" ht="90">
      <c r="A221" s="4606"/>
      <c r="B221" s="3017" t="str">
        <f>'3-A. CI Sub-Annex'!C31</f>
        <v>A.3.7.3/ 3.1.1.2.8</v>
      </c>
      <c r="C221" s="3018" t="str">
        <f>'3-A. CI Sub-Annex'!D31</f>
        <v>ASHA incentive for accompanying the client for Injectable MPA (Antara Prog) administration ( @Rs 100/dose/beneficiary)- Only for 146 Mission Parivar Vikas districts</v>
      </c>
      <c r="D221" s="3019" t="str">
        <f>'3-A. CI Sub-Annex'!E31</f>
        <v>RCH</v>
      </c>
      <c r="E221" s="3019" t="str">
        <f>'3-A. CI Sub-Annex'!F31</f>
        <v>FP/ RC-CP</v>
      </c>
      <c r="F221" s="3019">
        <f>'3-A. CI Sub-Annex'!G31</f>
        <v>400000</v>
      </c>
      <c r="G221" s="3019">
        <f>'3-A. CI Sub-Annex'!H31</f>
        <v>13310</v>
      </c>
      <c r="H221" s="3019">
        <f>'3-A. CI Sub-Annex'!I31</f>
        <v>400</v>
      </c>
      <c r="I221" s="3019">
        <f>'3-A. CI Sub-Annex'!J31</f>
        <v>13.31</v>
      </c>
      <c r="J221" s="3019">
        <f>'3-A. CI Sub-Annex'!K31</f>
        <v>0</v>
      </c>
      <c r="K221" s="3019" t="str">
        <f>'3-A. CI Sub-Annex'!L31</f>
        <v>No. Of MPA doses</v>
      </c>
      <c r="L221" s="3020">
        <f>'3-A. CI Sub-Annex'!M31</f>
        <v>100</v>
      </c>
      <c r="M221" s="3019">
        <f>'3-A. CI Sub-Annex'!N31</f>
        <v>1E-3</v>
      </c>
      <c r="N221" s="3019">
        <f>'3-A. CI Sub-Annex'!O31</f>
        <v>300000</v>
      </c>
      <c r="O221" s="3020">
        <f>'3-A. CI Sub-Annex'!P31</f>
        <v>300</v>
      </c>
      <c r="P221" s="3047" t="str">
        <f>'3-A. CI Sub-Annex'!Q31</f>
        <v xml:space="preserve">Continued Activity 
State estimates Incentive payment @ Rs 100/- per injectabe dose (MPA) per ASHA for  400000 ASHAs for Financial year 2020-21
Budget required:
300000 cases * Rs. 100/ = 300 Lacs
</v>
      </c>
      <c r="Q221" s="3021"/>
      <c r="R221" s="3022"/>
    </row>
    <row r="222" spans="1:18" s="3023" customFormat="1">
      <c r="A222" s="4606"/>
      <c r="B222" s="3017">
        <f>'3-A. CI Sub-Annex'!C32</f>
        <v>0</v>
      </c>
      <c r="C222" s="3018" t="str">
        <f>'3-A. CI Sub-Annex'!D32</f>
        <v>Any other ASHA incentives (please specify)</v>
      </c>
      <c r="D222" s="3019" t="str">
        <f>'3-A. CI Sub-Annex'!E32</f>
        <v>RCH</v>
      </c>
      <c r="E222" s="3019" t="str">
        <f>'3-A. CI Sub-Annex'!F32</f>
        <v>FP/ RC-CP</v>
      </c>
      <c r="F222" s="3019">
        <f>'3-A. CI Sub-Annex'!G32</f>
        <v>0</v>
      </c>
      <c r="G222" s="3019">
        <f>'3-A. CI Sub-Annex'!H32</f>
        <v>0</v>
      </c>
      <c r="H222" s="3019">
        <f>'3-A. CI Sub-Annex'!I32</f>
        <v>0</v>
      </c>
      <c r="I222" s="3019">
        <f>'3-A. CI Sub-Annex'!J32</f>
        <v>0</v>
      </c>
      <c r="J222" s="3019">
        <f>'3-A. CI Sub-Annex'!K32</f>
        <v>0</v>
      </c>
      <c r="K222" s="3019">
        <f>'3-A. CI Sub-Annex'!L32</f>
        <v>0</v>
      </c>
      <c r="L222" s="3020">
        <f>'3-A. CI Sub-Annex'!M32</f>
        <v>0</v>
      </c>
      <c r="M222" s="3019">
        <f>'3-A. CI Sub-Annex'!N32</f>
        <v>0</v>
      </c>
      <c r="N222" s="3019">
        <f>'3-A. CI Sub-Annex'!O32</f>
        <v>0</v>
      </c>
      <c r="O222" s="3020">
        <f>'3-A. CI Sub-Annex'!P32</f>
        <v>0</v>
      </c>
      <c r="P222" s="3047" t="str">
        <f>'3-A. CI Sub-Annex'!Q32</f>
        <v>Proposal withdrawn as per discussion in NPCC</v>
      </c>
      <c r="Q222" s="3021"/>
      <c r="R222" s="3022"/>
    </row>
    <row r="223" spans="1:18" s="3023" customFormat="1" ht="120">
      <c r="A223" s="3017" t="str">
        <f>'3.Community Intervention Annexn'!A35</f>
        <v>3.2.1.1</v>
      </c>
      <c r="B223" s="3017" t="str">
        <f>'3-A. CI Sub-Annex'!C89</f>
        <v>A.3.7.5</v>
      </c>
      <c r="C223" s="3018" t="str">
        <f>'3-A. CI Sub-Annex'!D89</f>
        <v>Other activities under Mission Parivar Vikas : Demand Generation (Saarthi, Saas Bahu Sammellan, Creating enabling environment)</v>
      </c>
      <c r="D223" s="3019" t="str">
        <f>'3-A. CI Sub-Annex'!E89</f>
        <v>RCH</v>
      </c>
      <c r="E223" s="3019" t="str">
        <f>'3-A. CI Sub-Annex'!F89</f>
        <v>FP</v>
      </c>
      <c r="F223" s="3019">
        <f>'3-A. CI Sub-Annex'!G89</f>
        <v>4</v>
      </c>
      <c r="G223" s="3019">
        <f>'3-A. CI Sub-Annex'!H89</f>
        <v>2</v>
      </c>
      <c r="H223" s="3019">
        <f>'3-A. CI Sub-Annex'!I89</f>
        <v>1024.47</v>
      </c>
      <c r="I223" s="3019">
        <f>'3-A. CI Sub-Annex'!J89</f>
        <v>7.46</v>
      </c>
      <c r="J223" s="3019">
        <f>'3-A. CI Sub-Annex'!K89</f>
        <v>0</v>
      </c>
      <c r="K223" s="3019" t="str">
        <f>'3-A. CI Sub-Annex'!L89</f>
        <v>No. Of activity</v>
      </c>
      <c r="L223" s="3020">
        <f>'3-A. CI Sub-Annex'!M89</f>
        <v>58065333.340000004</v>
      </c>
      <c r="M223" s="3019">
        <f>'3-A. CI Sub-Annex'!N89</f>
        <v>580.65333340000007</v>
      </c>
      <c r="N223" s="3019">
        <f>'3-A. CI Sub-Annex'!O89</f>
        <v>3</v>
      </c>
      <c r="O223" s="3020">
        <f>'3-A. CI Sub-Annex'!P89</f>
        <v>1741.9600002000002</v>
      </c>
      <c r="P223" s="3047" t="str">
        <f>'3-A. CI Sub-Annex'!Q89</f>
        <v>Continued activity (Key deliverable- mCPR)
For Saarthi-Awareness on wheel    534 block X  3 drive X  5 days X Rs 2000 = Rs 160.20 lacs
For Saas Bahu Sammellan:- 92037 AWC *1 SBS* Rs 1500= 1380.56 lacs
For Creating Enabling Environment  -: State Level Meeting 3 lacs + District Biannualy Meeting Rs.50000  *2 round* 38 Distirct. Block Level Qrt.Meeting Rs. 10000/- * 3 Meeting * 534 Block = 201.20 lacs
Total Budget propsoed under the head is:
Grand total= 160.20+ 1380.56 + 201.20 = Rs. 1741.96 lacs</v>
      </c>
      <c r="Q223" s="3021"/>
      <c r="R223" s="3022"/>
    </row>
    <row r="224" spans="1:18" s="3023" customFormat="1">
      <c r="A224" s="3030">
        <f>'6.Procurement Annex'!A7</f>
        <v>6</v>
      </c>
      <c r="B224" s="3030"/>
      <c r="C224" s="3031" t="str">
        <f>'6.Procurement Annex'!C7</f>
        <v>Procurement</v>
      </c>
      <c r="D224" s="3032"/>
      <c r="E224" s="3032"/>
      <c r="F224" s="3032"/>
      <c r="G224" s="3032"/>
      <c r="H224" s="3032"/>
      <c r="I224" s="3032"/>
      <c r="J224" s="3032"/>
      <c r="K224" s="3032"/>
      <c r="L224" s="3033"/>
      <c r="M224" s="3032"/>
      <c r="N224" s="3032"/>
      <c r="O224" s="3033">
        <f>SUM(O225:O233)</f>
        <v>707.07609000000002</v>
      </c>
      <c r="P224" s="3066"/>
      <c r="Q224" s="3036"/>
      <c r="R224" s="3035">
        <f>SUM(R225:R233)</f>
        <v>0</v>
      </c>
    </row>
    <row r="225" spans="1:18" s="3023" customFormat="1" ht="90">
      <c r="A225" s="4606" t="str">
        <f>'6.Procurement Annex'!A12</f>
        <v>6.1.1.3</v>
      </c>
      <c r="B225" s="3017" t="str">
        <f>'6-A. Proc. Sub-Annex'!C20</f>
        <v>B16.1.3.1</v>
      </c>
      <c r="C225" s="3018" t="str">
        <f>'6-A. Proc. Sub-Annex'!D20</f>
        <v>NSV kits</v>
      </c>
      <c r="D225" s="3019" t="str">
        <f>'6-A. Proc. Sub-Annex'!E20</f>
        <v>RCH</v>
      </c>
      <c r="E225" s="3019" t="str">
        <f>'6-A. Proc. Sub-Annex'!F20</f>
        <v>FP</v>
      </c>
      <c r="F225" s="3019">
        <f>'6-A. Proc. Sub-Annex'!G20</f>
        <v>1444</v>
      </c>
      <c r="G225" s="3019">
        <f>'6-A. Proc. Sub-Annex'!H20</f>
        <v>82</v>
      </c>
      <c r="H225" s="3019">
        <f>'6-A. Proc. Sub-Annex'!I20</f>
        <v>28.88</v>
      </c>
      <c r="I225" s="3019">
        <f>'6-A. Proc. Sub-Annex'!J20</f>
        <v>1.64</v>
      </c>
      <c r="J225" s="3019">
        <f>'6-A. Proc. Sub-Annex'!K20</f>
        <v>0</v>
      </c>
      <c r="K225" s="3019" t="str">
        <f>'6-A. Proc. Sub-Annex'!L20</f>
        <v>NSV kit</v>
      </c>
      <c r="L225" s="3020">
        <f>'6-A. Proc. Sub-Annex'!M20</f>
        <v>2000</v>
      </c>
      <c r="M225" s="3019">
        <f>'6-A. Proc. Sub-Annex'!N20</f>
        <v>0.02</v>
      </c>
      <c r="N225" s="3019">
        <f>'6-A. Proc. Sub-Annex'!O20</f>
        <v>910</v>
      </c>
      <c r="O225" s="3020">
        <f>'6-A. Proc. Sub-Annex'!P20</f>
        <v>18.2</v>
      </c>
      <c r="P225" s="3047" t="str">
        <f>'6-A. Proc. Sub-Annex'!Q20</f>
        <v>Continued Activity  
Provision is made for 2 Kit per 9 RTCs @2000/- per kit and  161 FRUs. 2 kits per training batches to be also procured. vasecomy kits can be provided 1 per 534 PHCs. Total NSV kit required is 376 while Vasectomy kit required is 534. 
Budget required is : 376 NSV kit*Rs.2000 + 534 Vasectomy Kit (534PHC*1) *Rs. 2000= Rs 18.20Lacs</v>
      </c>
      <c r="Q225" s="3021"/>
      <c r="R225" s="3022"/>
    </row>
    <row r="226" spans="1:18" s="3023" customFormat="1" ht="105">
      <c r="A226" s="4606"/>
      <c r="B226" s="3017" t="str">
        <f>'6-A. Proc. Sub-Annex'!C21</f>
        <v>B16.1.3.2</v>
      </c>
      <c r="C226" s="3018" t="str">
        <f>'6-A. Proc. Sub-Annex'!D21</f>
        <v>IUCD kits</v>
      </c>
      <c r="D226" s="3019" t="str">
        <f>'6-A. Proc. Sub-Annex'!E21</f>
        <v>RCH</v>
      </c>
      <c r="E226" s="3019" t="str">
        <f>'6-A. Proc. Sub-Annex'!F21</f>
        <v>FP</v>
      </c>
      <c r="F226" s="3019">
        <f>'6-A. Proc. Sub-Annex'!G21</f>
        <v>14194</v>
      </c>
      <c r="G226" s="3019">
        <f>'6-A. Proc. Sub-Annex'!H21</f>
        <v>908</v>
      </c>
      <c r="H226" s="3019">
        <f>'6-A. Proc. Sub-Annex'!I21</f>
        <v>354.85</v>
      </c>
      <c r="I226" s="3019">
        <f>'6-A. Proc. Sub-Annex'!J21</f>
        <v>22.69</v>
      </c>
      <c r="J226" s="3019">
        <f>'6-A. Proc. Sub-Annex'!K21</f>
        <v>0</v>
      </c>
      <c r="K226" s="3019" t="str">
        <f>'6-A. Proc. Sub-Annex'!L21</f>
        <v>IUCD kit</v>
      </c>
      <c r="L226" s="3020">
        <f>'6-A. Proc. Sub-Annex'!M21</f>
        <v>2500</v>
      </c>
      <c r="M226" s="3019">
        <f>'6-A. Proc. Sub-Annex'!N21</f>
        <v>2.5000000000000001E-2</v>
      </c>
      <c r="N226" s="3019">
        <f>'6-A. Proc. Sub-Annex'!O21</f>
        <v>7938</v>
      </c>
      <c r="O226" s="3020">
        <f>'6-A. Proc. Sub-Annex'!P21</f>
        <v>198.45000000000002</v>
      </c>
      <c r="P226" s="3047" t="str">
        <f>'6-A. Proc. Sub-Annex'!Q21</f>
        <v xml:space="preserve">Continued Activity (Key deliverable- mCPR)
2 IUCD Kit is to be provided at each PHCs, 1 Kit to be provided to all APHCs and 1 kit each to be provided to each HSCs.
161 FRU *3 +534 PHC*2+1387 APHC*1+ 5000 HSC*1 = 7938 IUCD Kit
Per Kit budget is  of Rs 2500/kit . 
Total Budget for this activity is Rs.2500*7938 kits= Rs 198.45 lacs
</v>
      </c>
      <c r="Q226" s="3021"/>
      <c r="R226" s="3022"/>
    </row>
    <row r="227" spans="1:18" s="3023" customFormat="1" ht="60">
      <c r="A227" s="4606"/>
      <c r="B227" s="3017" t="str">
        <f>'6-A. Proc. Sub-Annex'!C22</f>
        <v>B16.1.3.3</v>
      </c>
      <c r="C227" s="3018" t="str">
        <f>'6-A. Proc. Sub-Annex'!D22</f>
        <v>minilap kits</v>
      </c>
      <c r="D227" s="3019" t="str">
        <f>'6-A. Proc. Sub-Annex'!E22</f>
        <v>RCH</v>
      </c>
      <c r="E227" s="3019" t="str">
        <f>'6-A. Proc. Sub-Annex'!F22</f>
        <v>FP</v>
      </c>
      <c r="F227" s="3019">
        <f>'6-A. Proc. Sub-Annex'!G22</f>
        <v>1735</v>
      </c>
      <c r="G227" s="3019">
        <f>'6-A. Proc. Sub-Annex'!H22</f>
        <v>100</v>
      </c>
      <c r="H227" s="3019">
        <f>'6-A. Proc. Sub-Annex'!I22</f>
        <v>121.45</v>
      </c>
      <c r="I227" s="3019">
        <f>'6-A. Proc. Sub-Annex'!J22</f>
        <v>6.96</v>
      </c>
      <c r="J227" s="3019">
        <f>'6-A. Proc. Sub-Annex'!K22</f>
        <v>0</v>
      </c>
      <c r="K227" s="3019" t="str">
        <f>'6-A. Proc. Sub-Annex'!L22</f>
        <v>No. Of minilap kit</v>
      </c>
      <c r="L227" s="3020">
        <f>'6-A. Proc. Sub-Annex'!M22</f>
        <v>7000</v>
      </c>
      <c r="M227" s="3019">
        <f>'6-A. Proc. Sub-Annex'!N22</f>
        <v>7.0000000000000007E-2</v>
      </c>
      <c r="N227" s="3019">
        <f>'6-A. Proc. Sub-Annex'!O22</f>
        <v>1835</v>
      </c>
      <c r="O227" s="3020">
        <f>'6-A. Proc. Sub-Annex'!P22</f>
        <v>128.45000000000002</v>
      </c>
      <c r="P227" s="3047" t="str">
        <f>'6-A. Proc. Sub-Annex'!Q22</f>
        <v>Continued Activity (Key deliverable- mCPR)
2 Minilap set would be provided at all the 534 PHCs, 2 Minilap sets to be provided to 161 FRUs and 2 sets to be provided to 142 APHCs having 8 or more rooms in the state.
Budget proposed for this activity is : Rs. 7000*1835 kit: 128.45 lacs.</v>
      </c>
      <c r="Q227" s="3021"/>
      <c r="R227" s="3022"/>
    </row>
    <row r="228" spans="1:18" s="3023" customFormat="1" ht="105">
      <c r="A228" s="4606"/>
      <c r="B228" s="3017" t="str">
        <f>'6-A. Proc. Sub-Annex'!C23</f>
        <v>B16.1.3.4</v>
      </c>
      <c r="C228" s="3018" t="str">
        <f>'6-A. Proc. Sub-Annex'!D23</f>
        <v>laparoscopes</v>
      </c>
      <c r="D228" s="3019" t="str">
        <f>'6-A. Proc. Sub-Annex'!E23</f>
        <v>RCH</v>
      </c>
      <c r="E228" s="3019" t="str">
        <f>'6-A. Proc. Sub-Annex'!F23</f>
        <v>FP</v>
      </c>
      <c r="F228" s="3019">
        <f>'6-A. Proc. Sub-Annex'!G23</f>
        <v>10</v>
      </c>
      <c r="G228" s="3019">
        <f>'6-A. Proc. Sub-Annex'!H23</f>
        <v>0</v>
      </c>
      <c r="H228" s="3019">
        <f>'6-A. Proc. Sub-Annex'!I23</f>
        <v>50</v>
      </c>
      <c r="I228" s="3019">
        <f>'6-A. Proc. Sub-Annex'!J23</f>
        <v>0</v>
      </c>
      <c r="J228" s="3019">
        <f>'6-A. Proc. Sub-Annex'!K23</f>
        <v>0</v>
      </c>
      <c r="K228" s="3019" t="str">
        <f>'6-A. Proc. Sub-Annex'!L23</f>
        <v>No. Of laproscope set</v>
      </c>
      <c r="L228" s="3020">
        <f>'6-A. Proc. Sub-Annex'!M23</f>
        <v>2000000</v>
      </c>
      <c r="M228" s="3019">
        <f>'6-A. Proc. Sub-Annex'!N23</f>
        <v>20</v>
      </c>
      <c r="N228" s="3019">
        <f>'6-A. Proc. Sub-Annex'!O23</f>
        <v>4</v>
      </c>
      <c r="O228" s="3020">
        <f>'6-A. Proc. Sub-Annex'!P23</f>
        <v>80</v>
      </c>
      <c r="P228" s="3047" t="str">
        <f>'6-A. Proc. Sub-Annex'!Q23</f>
        <v xml:space="preserve">Continued Activity (Key deliverable- mCPR)
1 laproscopes set would be provided to 4 selected  District Hopital in the state to introduce Laproscopic services at tertiary center at Medical Collage (IGIMS, GMC, Betiah, KTMCH, Madhepura &amp; VIMS, Pawapuri. 
Budget proposed for this activity is : Rs. 2000000*4 kit: 80 lacs.
</v>
      </c>
      <c r="Q228" s="3021"/>
      <c r="R228" s="3022"/>
    </row>
    <row r="229" spans="1:18" s="3023" customFormat="1" ht="75">
      <c r="A229" s="4606"/>
      <c r="B229" s="3017" t="str">
        <f>'6-A. Proc. Sub-Annex'!C24</f>
        <v>B16.1.3.5</v>
      </c>
      <c r="C229" s="3018" t="str">
        <f>'6-A. Proc. Sub-Annex'!D24</f>
        <v>PPIUCD forceps</v>
      </c>
      <c r="D229" s="3019" t="str">
        <f>'6-A. Proc. Sub-Annex'!E24</f>
        <v>RCH</v>
      </c>
      <c r="E229" s="3019" t="str">
        <f>'6-A. Proc. Sub-Annex'!F24</f>
        <v>FP</v>
      </c>
      <c r="F229" s="3019">
        <f>'6-A. Proc. Sub-Annex'!G24</f>
        <v>2923</v>
      </c>
      <c r="G229" s="3019">
        <f>'6-A. Proc. Sub-Annex'!H24</f>
        <v>151</v>
      </c>
      <c r="H229" s="3019">
        <f>'6-A. Proc. Sub-Annex'!I24</f>
        <v>23.38</v>
      </c>
      <c r="I229" s="3019">
        <f>'6-A. Proc. Sub-Annex'!J24</f>
        <v>1.21</v>
      </c>
      <c r="J229" s="3019">
        <f>'6-A. Proc. Sub-Annex'!K24</f>
        <v>0</v>
      </c>
      <c r="K229" s="3019" t="str">
        <f>'6-A. Proc. Sub-Annex'!L24</f>
        <v>No. Of PPIUCD forcep</v>
      </c>
      <c r="L229" s="3020">
        <f>'6-A. Proc. Sub-Annex'!M24</f>
        <v>800</v>
      </c>
      <c r="M229" s="3019">
        <f>'6-A. Proc. Sub-Annex'!N24</f>
        <v>8.0000000000000002E-3</v>
      </c>
      <c r="N229" s="3019">
        <f>'6-A. Proc. Sub-Annex'!O24</f>
        <v>3379</v>
      </c>
      <c r="O229" s="3020">
        <f>'6-A. Proc. Sub-Annex'!P24</f>
        <v>27.032</v>
      </c>
      <c r="P229" s="3047" t="str">
        <f>'6-A. Proc. Sub-Annex'!Q24</f>
        <v>Continued Activity(Key deliverable- mCPR &amp; PPIUCD)
534 APHC*2 pcs + 534 PHC*2 pc + 161 FRU*2 pc +9 RTC*1 pc +76 PPIUCD training Batch @ 12 participants= Total 3379 pieces
Hence 3379 Kit is planned for 2020-21@Rs.800=27.08 lacs</v>
      </c>
      <c r="Q229" s="3021"/>
      <c r="R229" s="3022"/>
    </row>
    <row r="230" spans="1:18" s="3023" customFormat="1" ht="75">
      <c r="A230" s="4606"/>
      <c r="B230" s="3017" t="str">
        <f>'6-A. Proc. Sub-Annex'!C25</f>
        <v>B16.1.3.6</v>
      </c>
      <c r="C230" s="3018" t="str">
        <f>'6-A. Proc. Sub-Annex'!D25</f>
        <v>Any other equipment (please specify)</v>
      </c>
      <c r="D230" s="3019" t="str">
        <f>'6-A. Proc. Sub-Annex'!E25</f>
        <v>RCH</v>
      </c>
      <c r="E230" s="3019" t="str">
        <f>'6-A. Proc. Sub-Annex'!F25</f>
        <v>FP</v>
      </c>
      <c r="F230" s="3019">
        <f>'6-A. Proc. Sub-Annex'!G25</f>
        <v>6645</v>
      </c>
      <c r="G230" s="3019">
        <f>'6-A. Proc. Sub-Annex'!H25</f>
        <v>800</v>
      </c>
      <c r="H230" s="3019">
        <f>'6-A. Proc. Sub-Annex'!I25</f>
        <v>49.84</v>
      </c>
      <c r="I230" s="3019">
        <f>'6-A. Proc. Sub-Annex'!J25</f>
        <v>6</v>
      </c>
      <c r="J230" s="3019">
        <f>'6-A. Proc. Sub-Annex'!K25</f>
        <v>0</v>
      </c>
      <c r="K230" s="3019" t="str">
        <f>'6-A. Proc. Sub-Annex'!L25</f>
        <v>No. Of Condom box &amp; Display Tray</v>
      </c>
      <c r="L230" s="3020">
        <f>'6-A. Proc. Sub-Annex'!M25</f>
        <v>800</v>
      </c>
      <c r="M230" s="3019">
        <f>'6-A. Proc. Sub-Annex'!N25</f>
        <v>8.0000000000000002E-3</v>
      </c>
      <c r="N230" s="3019">
        <f>'6-A. Proc. Sub-Annex'!O25</f>
        <v>2938</v>
      </c>
      <c r="O230" s="3020">
        <f>'6-A. Proc. Sub-Annex'!P25</f>
        <v>23.504000000000001</v>
      </c>
      <c r="P230" s="3047" t="str">
        <f>'6-A. Proc. Sub-Annex'!Q25</f>
        <v>Continued Activity (Key deliverable- mCPR)
Condom box @Rs.500/-and contraceptive basket@Rs.300/- is to be procured.
Required Budget is : Condom BOX &amp; Contcraceptive Display tray/ basket- 3028 (161 FRUsX3 + 534 PHC*2 + 1387 APHCX1) 
The Budget proposed for the purpose is = 2938 Units *Rs.800 = Rs 23.50 LAcs</v>
      </c>
      <c r="Q230" s="3021"/>
      <c r="R230" s="3022"/>
    </row>
    <row r="231" spans="1:18" s="3023" customFormat="1">
      <c r="A231" s="3017" t="str">
        <f>'6.Procurement Annex'!A47</f>
        <v>6.1.6.1</v>
      </c>
      <c r="B231" s="3044" t="str">
        <f>'6-A. Proc. Sub-Annex'!C137</f>
        <v>A.3.4</v>
      </c>
      <c r="C231" s="3045" t="str">
        <f>'6-A. Proc. Sub-Annex'!D137</f>
        <v>Repairs of Laparoscopes</v>
      </c>
      <c r="D231" s="3046" t="str">
        <f>'6-A. Proc. Sub-Annex'!E137</f>
        <v>RCH</v>
      </c>
      <c r="E231" s="3046" t="str">
        <f>'6-A. Proc. Sub-Annex'!F137</f>
        <v>FP</v>
      </c>
      <c r="F231" s="3046">
        <f>'6-A. Proc. Sub-Annex'!G137</f>
        <v>0</v>
      </c>
      <c r="G231" s="3046">
        <f>'6-A. Proc. Sub-Annex'!H137</f>
        <v>0</v>
      </c>
      <c r="H231" s="3046">
        <f>'6-A. Proc. Sub-Annex'!I137</f>
        <v>0</v>
      </c>
      <c r="I231" s="3046">
        <f>'6-A. Proc. Sub-Annex'!J137</f>
        <v>0</v>
      </c>
      <c r="J231" s="3046">
        <f>'6-A. Proc. Sub-Annex'!K137</f>
        <v>0</v>
      </c>
      <c r="K231" s="3046">
        <f>'6-A. Proc. Sub-Annex'!L137</f>
        <v>0</v>
      </c>
      <c r="L231" s="3020">
        <f>'6-A. Proc. Sub-Annex'!M137</f>
        <v>0</v>
      </c>
      <c r="M231" s="3046">
        <f>'6-A. Proc. Sub-Annex'!N137</f>
        <v>0</v>
      </c>
      <c r="N231" s="3046">
        <f>'6-A. Proc. Sub-Annex'!O137</f>
        <v>0</v>
      </c>
      <c r="O231" s="3020">
        <f>'6-A. Proc. Sub-Annex'!P137</f>
        <v>0</v>
      </c>
      <c r="P231" s="3047">
        <f>'6-A. Proc. Sub-Annex'!Q137</f>
        <v>0</v>
      </c>
      <c r="Q231" s="3021"/>
      <c r="R231" s="3022"/>
    </row>
    <row r="232" spans="1:18" s="3023" customFormat="1" ht="45">
      <c r="A232" s="4606" t="str">
        <f>'6.Procurement Annex'!A58</f>
        <v>6.2.1.3</v>
      </c>
      <c r="B232" s="3044" t="str">
        <f>'6-A. Proc. Sub-Annex'!C174</f>
        <v>A.3.7.2</v>
      </c>
      <c r="C232" s="3045" t="str">
        <f>'6-A. Proc. Sub-Annex'!D174</f>
        <v>Nayi Pehl Kit</v>
      </c>
      <c r="D232" s="3046" t="str">
        <f>'6-A. Proc. Sub-Annex'!E174</f>
        <v>RCH</v>
      </c>
      <c r="E232" s="3046" t="str">
        <f>'6-A. Proc. Sub-Annex'!F174</f>
        <v>FP</v>
      </c>
      <c r="F232" s="3046">
        <f>'6-A. Proc. Sub-Annex'!G174</f>
        <v>89007</v>
      </c>
      <c r="G232" s="3046">
        <f>'6-A. Proc. Sub-Annex'!H174</f>
        <v>197388</v>
      </c>
      <c r="H232" s="3046">
        <f>'6-A. Proc. Sub-Annex'!I174</f>
        <v>222.52</v>
      </c>
      <c r="I232" s="3046">
        <f>'6-A. Proc. Sub-Annex'!J174</f>
        <v>493.47</v>
      </c>
      <c r="J232" s="3046">
        <f>'6-A. Proc. Sub-Annex'!K174</f>
        <v>0</v>
      </c>
      <c r="K232" s="3046" t="str">
        <f>'6-A. Proc. Sub-Annex'!L174</f>
        <v>No. Of NPK</v>
      </c>
      <c r="L232" s="3020">
        <f>'6-A. Proc. Sub-Annex'!M174</f>
        <v>250</v>
      </c>
      <c r="M232" s="3046">
        <f>'6-A. Proc. Sub-Annex'!N174</f>
        <v>2.5000000000000001E-3</v>
      </c>
      <c r="N232" s="3046">
        <f>'6-A. Proc. Sub-Annex'!O174</f>
        <v>88076</v>
      </c>
      <c r="O232" s="3020">
        <f>'6-A. Proc. Sub-Annex'!P174</f>
        <v>220.19</v>
      </c>
      <c r="P232" s="3047" t="str">
        <f>'6-A. Proc. Sub-Annex'!Q174</f>
        <v>Continued Activity (Key deliverable- mCPR)
Nayi Pehl Kit is to be provided to ASHAs The requird budget is as follows; 88076 ASHA *1 per ASHA @Rs 250 = 220.19 lakh</v>
      </c>
      <c r="Q232" s="3021"/>
      <c r="R232" s="3022"/>
    </row>
    <row r="233" spans="1:18" s="3023" customFormat="1" ht="45">
      <c r="A233" s="4606"/>
      <c r="B233" s="3044" t="str">
        <f>'6-A. Proc. Sub-Annex'!C175</f>
        <v>B.16.2.3.1</v>
      </c>
      <c r="C233" s="3045" t="str">
        <f>'6-A. Proc. Sub-Annex'!D175</f>
        <v>Any other Drugs &amp; Supplies (Please specify)</v>
      </c>
      <c r="D233" s="3046" t="str">
        <f>'6-A. Proc. Sub-Annex'!E175</f>
        <v>RCH</v>
      </c>
      <c r="E233" s="3046" t="str">
        <f>'6-A. Proc. Sub-Annex'!F175</f>
        <v>FP</v>
      </c>
      <c r="F233" s="3046">
        <f>'6-A. Proc. Sub-Annex'!G175</f>
        <v>47</v>
      </c>
      <c r="G233" s="3046">
        <f>'6-A. Proc. Sub-Annex'!H175</f>
        <v>15</v>
      </c>
      <c r="H233" s="3046">
        <f>'6-A. Proc. Sub-Annex'!I175</f>
        <v>14.1</v>
      </c>
      <c r="I233" s="3046">
        <f>'6-A. Proc. Sub-Annex'!J175</f>
        <v>4.33</v>
      </c>
      <c r="J233" s="3046">
        <f>'6-A. Proc. Sub-Annex'!K175</f>
        <v>0</v>
      </c>
      <c r="K233" s="3046" t="str">
        <f>'6-A. Proc. Sub-Annex'!L175</f>
        <v>No. of training tools</v>
      </c>
      <c r="L233" s="3020">
        <f>'6-A. Proc. Sub-Annex'!M175</f>
        <v>41667</v>
      </c>
      <c r="M233" s="3046">
        <f>'6-A. Proc. Sub-Annex'!N175</f>
        <v>0.41666999999999998</v>
      </c>
      <c r="N233" s="3046">
        <f>'6-A. Proc. Sub-Annex'!O175</f>
        <v>27</v>
      </c>
      <c r="O233" s="3020">
        <f>'6-A. Proc. Sub-Annex'!P175</f>
        <v>11.25009</v>
      </c>
      <c r="P233" s="3047" t="str">
        <f>'6-A. Proc. Sub-Annex'!Q175</f>
        <v xml:space="preserve">scrotal model for NSV/Vasectomy training - 18 Regional training center X Rs 25000 X 1 unit= Rs 4.5 lacs; Gynaecological Simulator (zoe model) - 9 division X 1 unit X Rs 75000= Rs 6.75 lacs. 4.5 lacs + 6.75 lacs= 11.25 lacs </v>
      </c>
      <c r="Q233" s="3021"/>
      <c r="R233" s="3022"/>
    </row>
    <row r="234" spans="1:18" s="3023" customFormat="1">
      <c r="A234" s="3030">
        <f>'7.Referral Transport Annex'!A7</f>
        <v>7</v>
      </c>
      <c r="B234" s="3038"/>
      <c r="C234" s="3031" t="str">
        <f>'7.Referral Transport Annex'!C7</f>
        <v>Referral Transport</v>
      </c>
      <c r="D234" s="3032"/>
      <c r="E234" s="3032"/>
      <c r="F234" s="3032"/>
      <c r="G234" s="3032"/>
      <c r="H234" s="3033"/>
      <c r="I234" s="3032"/>
      <c r="J234" s="3033"/>
      <c r="K234" s="3032"/>
      <c r="L234" s="3033"/>
      <c r="M234" s="3033"/>
      <c r="N234" s="3039"/>
      <c r="O234" s="3040">
        <f>SUM(O235:O235)</f>
        <v>750</v>
      </c>
      <c r="P234" s="3064"/>
      <c r="Q234" s="3042"/>
      <c r="R234" s="3043">
        <f>SUM(R235:R235)</f>
        <v>0</v>
      </c>
    </row>
    <row r="235" spans="1:18" s="3023" customFormat="1" ht="60">
      <c r="A235" s="3017">
        <f>'7.Referral Transport Annex'!A10</f>
        <v>7.3</v>
      </c>
      <c r="B235" s="3017" t="str">
        <f>'7.Referral Transport Annex'!B10</f>
        <v>B12.2.9.1</v>
      </c>
      <c r="C235" s="3018" t="str">
        <f>'7.Referral Transport Annex'!C10</f>
        <v>Drop back scheme for sterilization clients</v>
      </c>
      <c r="D235" s="3019" t="str">
        <f>'7.Referral Transport Annex'!D10</f>
        <v>RCH</v>
      </c>
      <c r="E235" s="3019" t="str">
        <f>'7.Referral Transport Annex'!E10</f>
        <v>FP</v>
      </c>
      <c r="F235" s="3019">
        <f>'7.Referral Transport Annex'!F10</f>
        <v>300000</v>
      </c>
      <c r="G235" s="3019">
        <f>'7.Referral Transport Annex'!G10</f>
        <v>132</v>
      </c>
      <c r="H235" s="3019">
        <f>'7.Referral Transport Annex'!H10</f>
        <v>750</v>
      </c>
      <c r="I235" s="3019">
        <f>'7.Referral Transport Annex'!I10</f>
        <v>0.99</v>
      </c>
      <c r="J235" s="3019">
        <f>'7.Referral Transport Annex'!J10</f>
        <v>0</v>
      </c>
      <c r="K235" s="3019" t="str">
        <f>'7.Referral Transport Annex'!K10</f>
        <v>No. Of ster. Clients</v>
      </c>
      <c r="L235" s="3020">
        <f>'7.Referral Transport Annex'!L10</f>
        <v>250</v>
      </c>
      <c r="M235" s="3019">
        <f>'7.Referral Transport Annex'!M10</f>
        <v>2.5000000000000001E-3</v>
      </c>
      <c r="N235" s="3019">
        <f>'7.Referral Transport Annex'!N10</f>
        <v>300000</v>
      </c>
      <c r="O235" s="3020">
        <f>'7.Referral Transport Annex'!O10</f>
        <v>750</v>
      </c>
      <c r="P235" s="3047" t="str">
        <f>'7.Referral Transport Annex'!P10</f>
        <v>Continued Activity
Rs. 250 is being proposed for 300000 cases under the head Drop Back for Sterilization clients
The total requried budget is : 300000 case * Rs 250 = 750 lacs.</v>
      </c>
      <c r="Q235" s="3021"/>
      <c r="R235" s="3022"/>
    </row>
    <row r="236" spans="1:18" s="3023" customFormat="1">
      <c r="A236" s="3030">
        <f>'8.Human Resources (SD) Annex'!A7</f>
        <v>8</v>
      </c>
      <c r="B236" s="3030"/>
      <c r="C236" s="3031" t="str">
        <f>'8.Human Resources (SD) Annex'!C7</f>
        <v>Human Resources</v>
      </c>
      <c r="D236" s="3032"/>
      <c r="E236" s="3032"/>
      <c r="F236" s="3032"/>
      <c r="G236" s="3032"/>
      <c r="H236" s="3032"/>
      <c r="I236" s="3032"/>
      <c r="J236" s="3032"/>
      <c r="K236" s="3032"/>
      <c r="L236" s="3033"/>
      <c r="M236" s="3032"/>
      <c r="N236" s="3032"/>
      <c r="O236" s="3033">
        <f>SUM(O237:O240)</f>
        <v>367.20042000000001</v>
      </c>
      <c r="P236" s="3066"/>
      <c r="Q236" s="3034"/>
      <c r="R236" s="3035">
        <f>SUM(R237:R240)</f>
        <v>0</v>
      </c>
    </row>
    <row r="237" spans="1:18" s="3023" customFormat="1" ht="60">
      <c r="A237" s="3017" t="str">
        <f>'8.Human Resources (SD) Annex'!A168</f>
        <v>8.4.5</v>
      </c>
      <c r="B237" s="3017" t="str">
        <f>'8.Human Resources (SD) Annex'!B168</f>
        <v>A.3.5.3</v>
      </c>
      <c r="C237" s="3018" t="str">
        <f>'8.Human Resources (SD) Annex'!C168</f>
        <v>Performance reward if any</v>
      </c>
      <c r="D237" s="3019" t="str">
        <f>'8.Human Resources (SD) Annex'!D168</f>
        <v>RCH</v>
      </c>
      <c r="E237" s="3019" t="str">
        <f>'8.Human Resources (SD) Annex'!E168</f>
        <v>FP</v>
      </c>
      <c r="F237" s="3019">
        <f>'8.Human Resources (SD) Annex'!F168</f>
        <v>582</v>
      </c>
      <c r="G237" s="3019">
        <f>'8.Human Resources (SD) Annex'!G168</f>
        <v>0</v>
      </c>
      <c r="H237" s="3019">
        <f>'8.Human Resources (SD) Annex'!H168</f>
        <v>64.2</v>
      </c>
      <c r="I237" s="3019">
        <f>'8.Human Resources (SD) Annex'!I168</f>
        <v>0.12</v>
      </c>
      <c r="J237" s="3019">
        <f>'8.Human Resources (SD) Annex'!J168</f>
        <v>0</v>
      </c>
      <c r="K237" s="3019" t="str">
        <f>'8.Human Resources (SD) Annex'!L168</f>
        <v>No. Of reward given centers</v>
      </c>
      <c r="L237" s="3020">
        <f>'8.Human Resources (SD) Annex'!M168</f>
        <v>11031</v>
      </c>
      <c r="M237" s="3019">
        <f>'8.Human Resources (SD) Annex'!N168</f>
        <v>0.11031000000000001</v>
      </c>
      <c r="N237" s="3019">
        <f>'8.Human Resources (SD) Annex'!O168</f>
        <v>582</v>
      </c>
      <c r="O237" s="3020">
        <f>'8.Human Resources (SD) Annex'!P168</f>
        <v>64.200420000000008</v>
      </c>
      <c r="P237" s="3047" t="str">
        <f>'8.Human Resources (SD) Annex'!Q168</f>
        <v>Continued Activity
Performance reward at State, Regsional, District and Block Level 
Rs. 50000/- x 1 State+ 9 Division x Rs.30000/-+Rs. 20000/-x 38 District+Rs.10000/-x 534 Block= 64.20 Lacs</v>
      </c>
      <c r="Q237" s="3067"/>
      <c r="R237" s="3022"/>
    </row>
    <row r="238" spans="1:18" s="3023" customFormat="1" ht="45">
      <c r="A238" s="3017" t="str">
        <f>'8.Human Resources (SD) Annex'!A169</f>
        <v>8.4.6</v>
      </c>
      <c r="B238" s="3017" t="str">
        <f>'8.Human Resources (SD) Annex'!B169</f>
        <v>A.3.2.2</v>
      </c>
      <c r="C238" s="3018" t="str">
        <f>'8.Human Resources (SD) Annex'!C169</f>
        <v>Incentive to provider for IUCD insertion at health facilities (including fixed day services at SHC and PHC) [Provide breakup: Public Sector]</v>
      </c>
      <c r="D238" s="3019" t="str">
        <f>'8.Human Resources (SD) Annex'!D169</f>
        <v>RCH</v>
      </c>
      <c r="E238" s="3019" t="str">
        <f>'8.Human Resources (SD) Annex'!E169</f>
        <v>FP</v>
      </c>
      <c r="F238" s="3019">
        <f>'8.Human Resources (SD) Annex'!F169</f>
        <v>0</v>
      </c>
      <c r="G238" s="3019">
        <f>'8.Human Resources (SD) Annex'!G169</f>
        <v>0</v>
      </c>
      <c r="H238" s="3019">
        <f>'8.Human Resources (SD) Annex'!H169</f>
        <v>0</v>
      </c>
      <c r="I238" s="3019">
        <f>'8.Human Resources (SD) Annex'!I169</f>
        <v>0</v>
      </c>
      <c r="J238" s="3019">
        <f>'8.Human Resources (SD) Annex'!J169</f>
        <v>0</v>
      </c>
      <c r="K238" s="3019">
        <f>'8.Human Resources (SD) Annex'!L169</f>
        <v>0</v>
      </c>
      <c r="L238" s="3020">
        <f>'8.Human Resources (SD) Annex'!M169</f>
        <v>0</v>
      </c>
      <c r="M238" s="3019">
        <f>'8.Human Resources (SD) Annex'!N169</f>
        <v>0</v>
      </c>
      <c r="N238" s="3019">
        <f>'8.Human Resources (SD) Annex'!O169</f>
        <v>0</v>
      </c>
      <c r="O238" s="3020">
        <f>'8.Human Resources (SD) Annex'!P169</f>
        <v>0</v>
      </c>
      <c r="P238" s="3047">
        <f>'8.Human Resources (SD) Annex'!Q169</f>
        <v>0</v>
      </c>
      <c r="Q238" s="3021"/>
      <c r="R238" s="3022"/>
    </row>
    <row r="239" spans="1:18" s="3023" customFormat="1" ht="90">
      <c r="A239" s="3017" t="str">
        <f>'8.Human Resources (SD) Annex'!A170</f>
        <v>8.4.7</v>
      </c>
      <c r="B239" s="3017" t="str">
        <f>'8.Human Resources (SD) Annex'!B170</f>
        <v>A.3.2.3</v>
      </c>
      <c r="C239" s="3018" t="str">
        <f>'8.Human Resources (SD) Annex'!C170</f>
        <v>Incentive to provider for PPIUCD services</v>
      </c>
      <c r="D239" s="3019" t="str">
        <f>'8.Human Resources (SD) Annex'!D170</f>
        <v>RCH</v>
      </c>
      <c r="E239" s="3019" t="str">
        <f>'8.Human Resources (SD) Annex'!E170</f>
        <v>FP</v>
      </c>
      <c r="F239" s="3019">
        <f>'8.Human Resources (SD) Annex'!F170</f>
        <v>200000</v>
      </c>
      <c r="G239" s="3019">
        <f>'8.Human Resources (SD) Annex'!G170</f>
        <v>15704</v>
      </c>
      <c r="H239" s="3019">
        <f>'8.Human Resources (SD) Annex'!H170</f>
        <v>300</v>
      </c>
      <c r="I239" s="3019">
        <f>'8.Human Resources (SD) Annex'!I170</f>
        <v>23.56</v>
      </c>
      <c r="J239" s="3019">
        <f>'8.Human Resources (SD) Annex'!J170</f>
        <v>0</v>
      </c>
      <c r="K239" s="3019" t="str">
        <f>'8.Human Resources (SD) Annex'!L170</f>
        <v>No. Of PPIUCD insertion</v>
      </c>
      <c r="L239" s="3020">
        <f>'8.Human Resources (SD) Annex'!M170</f>
        <v>150</v>
      </c>
      <c r="M239" s="3019">
        <f>'8.Human Resources (SD) Annex'!N170</f>
        <v>1.5E-3</v>
      </c>
      <c r="N239" s="3019">
        <f>'8.Human Resources (SD) Annex'!O170</f>
        <v>200000</v>
      </c>
      <c r="O239" s="3020">
        <f>'8.Human Resources (SD) Annex'!P170</f>
        <v>300</v>
      </c>
      <c r="P239" s="3047" t="str">
        <f>'8.Human Resources (SD) Annex'!Q170</f>
        <v>Continued Activity
State requests a total amount of 200.00 lacs for PPIUCD incentives for MO/Staff Nurse/ANM for service.
The budget proposed under the head is ;
200000 Case*Rs.150/- = 300.00 lacs</v>
      </c>
      <c r="Q239" s="3021"/>
      <c r="R239" s="3022"/>
    </row>
    <row r="240" spans="1:18" s="3023" customFormat="1" ht="105">
      <c r="A240" s="3017" t="str">
        <f>'8.Human Resources (SD) Annex'!A171</f>
        <v>8.4.8</v>
      </c>
      <c r="B240" s="3017" t="str">
        <f>'8.Human Resources (SD) Annex'!B171</f>
        <v>A.3.2.4</v>
      </c>
      <c r="C240" s="3018" t="str">
        <f>'8.Human Resources (SD) Annex'!C171</f>
        <v>Incentive to provider for PAIUCD Services</v>
      </c>
      <c r="D240" s="3019" t="str">
        <f>'8.Human Resources (SD) Annex'!D171</f>
        <v>RCH</v>
      </c>
      <c r="E240" s="3019" t="str">
        <f>'8.Human Resources (SD) Annex'!E171</f>
        <v>FP</v>
      </c>
      <c r="F240" s="3019">
        <f>'8.Human Resources (SD) Annex'!F171</f>
        <v>2000</v>
      </c>
      <c r="G240" s="3019">
        <f>'8.Human Resources (SD) Annex'!G171</f>
        <v>751</v>
      </c>
      <c r="H240" s="3019">
        <f>'8.Human Resources (SD) Annex'!H171</f>
        <v>3</v>
      </c>
      <c r="I240" s="3019">
        <f>'8.Human Resources (SD) Annex'!I171</f>
        <v>1.1299999999999999</v>
      </c>
      <c r="J240" s="3019">
        <f>'8.Human Resources (SD) Annex'!J171</f>
        <v>0</v>
      </c>
      <c r="K240" s="3019" t="str">
        <f>'8.Human Resources (SD) Annex'!L171</f>
        <v>No. Of PAIUCD case</v>
      </c>
      <c r="L240" s="3020">
        <f>'8.Human Resources (SD) Annex'!M171</f>
        <v>150</v>
      </c>
      <c r="M240" s="3019">
        <f>'8.Human Resources (SD) Annex'!N171</f>
        <v>1.5E-3</v>
      </c>
      <c r="N240" s="3019">
        <f>'8.Human Resources (SD) Annex'!O171</f>
        <v>2000</v>
      </c>
      <c r="O240" s="3020">
        <f>'8.Human Resources (SD) Annex'!P171</f>
        <v>3</v>
      </c>
      <c r="P240" s="3047" t="str">
        <f>'8.Human Resources (SD) Annex'!Q171</f>
        <v xml:space="preserve">Continued Activity
State requests a total amount of 3.00 lacs for PAIUCD incentives for MO/SN/ANM for Servcie.
The budget proposed under the head is ;
2000 Case*Rs.150/- = 3.0 lacs
</v>
      </c>
      <c r="Q240" s="3021"/>
      <c r="R240" s="3022"/>
    </row>
    <row r="241" spans="1:18" s="3023" customFormat="1">
      <c r="A241" s="3030">
        <f>'9.Training Annex'!A7</f>
        <v>9</v>
      </c>
      <c r="B241" s="3030"/>
      <c r="C241" s="3031" t="str">
        <f>'9.Training Annex'!C7</f>
        <v>Training and Capacity Building</v>
      </c>
      <c r="D241" s="3032"/>
      <c r="E241" s="3032"/>
      <c r="F241" s="3032"/>
      <c r="G241" s="3032"/>
      <c r="H241" s="3032"/>
      <c r="I241" s="3032"/>
      <c r="J241" s="3032"/>
      <c r="K241" s="3032"/>
      <c r="L241" s="3033"/>
      <c r="M241" s="3032"/>
      <c r="N241" s="3032"/>
      <c r="O241" s="3033">
        <f>SUM(O242:O269)</f>
        <v>551.49628000000007</v>
      </c>
      <c r="P241" s="3066"/>
      <c r="Q241" s="3036"/>
      <c r="R241" s="3035">
        <f>SUM(R242:R269)</f>
        <v>0</v>
      </c>
    </row>
    <row r="242" spans="1:18" s="3023" customFormat="1">
      <c r="A242" s="3017" t="str">
        <f>'9.Training Annex'!A23</f>
        <v>9.2.1.3</v>
      </c>
      <c r="B242" s="3017" t="str">
        <f>'9-A.Training Sub-Annex'!C82</f>
        <v>A.9.6.8</v>
      </c>
      <c r="C242" s="3018" t="str">
        <f>'9-A.Training Sub-Annex'!D82</f>
        <v>Training / Orientation technical manuals</v>
      </c>
      <c r="D242" s="3019" t="str">
        <f>'9-A.Training Sub-Annex'!E82</f>
        <v>RCH</v>
      </c>
      <c r="E242" s="3019" t="str">
        <f>'9-A.Training Sub-Annex'!F82</f>
        <v>FP</v>
      </c>
      <c r="F242" s="3019">
        <f>'9-A.Training Sub-Annex'!G82</f>
        <v>0</v>
      </c>
      <c r="G242" s="3019">
        <f>'9-A.Training Sub-Annex'!H82</f>
        <v>0</v>
      </c>
      <c r="H242" s="3019">
        <f>'9-A.Training Sub-Annex'!I82</f>
        <v>0</v>
      </c>
      <c r="I242" s="3019">
        <f>'9-A.Training Sub-Annex'!J82</f>
        <v>0</v>
      </c>
      <c r="J242" s="3019">
        <f>'9-A.Training Sub-Annex'!K82</f>
        <v>0</v>
      </c>
      <c r="K242" s="3019">
        <f>'9-A.Training Sub-Annex'!L82</f>
        <v>0</v>
      </c>
      <c r="L242" s="3020">
        <f>'9-A.Training Sub-Annex'!M82</f>
        <v>0</v>
      </c>
      <c r="M242" s="3019">
        <f>'9-A.Training Sub-Annex'!N82</f>
        <v>0</v>
      </c>
      <c r="N242" s="3019">
        <f>'9-A.Training Sub-Annex'!O82</f>
        <v>0</v>
      </c>
      <c r="O242" s="3020">
        <f>'9-A.Training Sub-Annex'!P82</f>
        <v>0</v>
      </c>
      <c r="P242" s="3047">
        <f>'9-A.Training Sub-Annex'!Q82</f>
        <v>0</v>
      </c>
      <c r="Q242" s="3021"/>
      <c r="R242" s="3022"/>
    </row>
    <row r="243" spans="1:18" s="3023" customFormat="1" ht="75">
      <c r="A243" s="3017"/>
      <c r="B243" s="3017" t="str">
        <f>'9-A.Training Sub-Annex'!C83</f>
        <v>A.3.2.6</v>
      </c>
      <c r="C243" s="3018" t="str">
        <f>'9-A.Training Sub-Annex'!D83</f>
        <v xml:space="preserve">Orientation/review  of ANM/AWW (as applicable) for New schemes, FP-LMIS, new contraceptives, Post partum and post abortion Family Planning, Scheme for home delivery of contraceptives (HDC), Ensuring spacing at birth (ESB {wherever applicable}), Pregnancy Testing Kits (PTK) </v>
      </c>
      <c r="D243" s="3019" t="str">
        <f>'9-A.Training Sub-Annex'!E83</f>
        <v>RCH</v>
      </c>
      <c r="E243" s="3019" t="str">
        <f>'9-A.Training Sub-Annex'!F83</f>
        <v>FP</v>
      </c>
      <c r="F243" s="3019">
        <f>'9-A.Training Sub-Annex'!G83</f>
        <v>534</v>
      </c>
      <c r="G243" s="3019">
        <f>'9-A.Training Sub-Annex'!H83</f>
        <v>47</v>
      </c>
      <c r="H243" s="3019">
        <f>'9-A.Training Sub-Annex'!I83</f>
        <v>10.68</v>
      </c>
      <c r="I243" s="3019">
        <f>'9-A.Training Sub-Annex'!J83</f>
        <v>0.93</v>
      </c>
      <c r="J243" s="3019">
        <f>'9-A.Training Sub-Annex'!K83</f>
        <v>0</v>
      </c>
      <c r="K243" s="3019" t="str">
        <f>'9-A.Training Sub-Annex'!L83</f>
        <v>No. Of Block</v>
      </c>
      <c r="L243" s="3020">
        <f>'9-A.Training Sub-Annex'!M83</f>
        <v>10000</v>
      </c>
      <c r="M243" s="3019">
        <f>'9-A.Training Sub-Annex'!N83</f>
        <v>0.1</v>
      </c>
      <c r="N243" s="3019">
        <f>'9-A.Training Sub-Annex'!O83</f>
        <v>695</v>
      </c>
      <c r="O243" s="3020">
        <f>'9-A.Training Sub-Annex'!P83</f>
        <v>69.5</v>
      </c>
      <c r="P243" s="3047" t="str">
        <f>'9-A.Training Sub-Annex'!Q83</f>
        <v>continued activity- (161 FRU + 534 block) X Rs 10000 per unit = 69.50 lacs</v>
      </c>
      <c r="Q243" s="3021"/>
      <c r="R243" s="3022"/>
    </row>
    <row r="244" spans="1:18" s="3023" customFormat="1" ht="30">
      <c r="A244" s="3017"/>
      <c r="B244" s="3017" t="str">
        <f>'9-A.Training Sub-Annex'!C84</f>
        <v>A.3.2.7</v>
      </c>
      <c r="C244" s="3018" t="str">
        <f>'9-A.Training Sub-Annex'!D84</f>
        <v>Dissemination of FP manuals and guidelines (workshops only)</v>
      </c>
      <c r="D244" s="3019" t="str">
        <f>'9-A.Training Sub-Annex'!E84</f>
        <v>RCH</v>
      </c>
      <c r="E244" s="3019" t="str">
        <f>'9-A.Training Sub-Annex'!F84</f>
        <v>FP</v>
      </c>
      <c r="F244" s="3019">
        <f>'9-A.Training Sub-Annex'!G84</f>
        <v>534</v>
      </c>
      <c r="G244" s="3019">
        <f>'9-A.Training Sub-Annex'!H84</f>
        <v>0</v>
      </c>
      <c r="H244" s="3019">
        <f>'9-A.Training Sub-Annex'!I84</f>
        <v>16.02</v>
      </c>
      <c r="I244" s="3019">
        <f>'9-A.Training Sub-Annex'!J84</f>
        <v>0</v>
      </c>
      <c r="J244" s="3019">
        <f>'9-A.Training Sub-Annex'!K84</f>
        <v>0</v>
      </c>
      <c r="K244" s="3019" t="str">
        <f>'9-A.Training Sub-Annex'!L84</f>
        <v>No. Of block</v>
      </c>
      <c r="L244" s="3020">
        <f>'9-A.Training Sub-Annex'!M84</f>
        <v>3000</v>
      </c>
      <c r="M244" s="3019">
        <f>'9-A.Training Sub-Annex'!N84</f>
        <v>0.03</v>
      </c>
      <c r="N244" s="3019">
        <f>'9-A.Training Sub-Annex'!O84</f>
        <v>534</v>
      </c>
      <c r="O244" s="3020">
        <f>'9-A.Training Sub-Annex'!P84</f>
        <v>16.02</v>
      </c>
      <c r="P244" s="3047" t="str">
        <f>'9-A.Training Sub-Annex'!Q84</f>
        <v>continued activity</v>
      </c>
      <c r="Q244" s="3021"/>
      <c r="R244" s="3022"/>
    </row>
    <row r="245" spans="1:18" s="3023" customFormat="1">
      <c r="A245" s="3017"/>
      <c r="B245" s="3017" t="str">
        <f>'9-A.Training Sub-Annex'!C85</f>
        <v>A.9.6.1.1</v>
      </c>
      <c r="C245" s="3018" t="str">
        <f>'9-A.Training Sub-Annex'!D85</f>
        <v>TOT on laparoscopic sterilization</v>
      </c>
      <c r="D245" s="3019" t="str">
        <f>'9-A.Training Sub-Annex'!E85</f>
        <v>RCH</v>
      </c>
      <c r="E245" s="3019" t="str">
        <f>'9-A.Training Sub-Annex'!F85</f>
        <v>FP</v>
      </c>
      <c r="F245" s="3019">
        <f>'9-A.Training Sub-Annex'!G85</f>
        <v>0</v>
      </c>
      <c r="G245" s="3019">
        <f>'9-A.Training Sub-Annex'!H85</f>
        <v>0</v>
      </c>
      <c r="H245" s="3019">
        <f>'9-A.Training Sub-Annex'!I85</f>
        <v>0</v>
      </c>
      <c r="I245" s="3019">
        <f>'9-A.Training Sub-Annex'!J85</f>
        <v>0</v>
      </c>
      <c r="J245" s="3019">
        <f>'9-A.Training Sub-Annex'!K85</f>
        <v>0</v>
      </c>
      <c r="K245" s="3019" t="str">
        <f>'9-A.Training Sub-Annex'!L85</f>
        <v>No. Of batch</v>
      </c>
      <c r="L245" s="3020">
        <f>'9-A.Training Sub-Annex'!M85</f>
        <v>300000</v>
      </c>
      <c r="M245" s="3019">
        <f>'9-A.Training Sub-Annex'!N85</f>
        <v>3</v>
      </c>
      <c r="N245" s="3019">
        <f>'9-A.Training Sub-Annex'!O85</f>
        <v>1</v>
      </c>
      <c r="O245" s="3020">
        <f>'9-A.Training Sub-Annex'!P85</f>
        <v>3</v>
      </c>
      <c r="P245" s="3047" t="str">
        <f>'9-A.Training Sub-Annex'!Q85</f>
        <v>New activity- Rs 3 lakh X 1 batch to trained master trainers for laproscope</v>
      </c>
      <c r="Q245" s="3021"/>
      <c r="R245" s="3022"/>
    </row>
    <row r="246" spans="1:18" s="3023" customFormat="1" ht="30">
      <c r="A246" s="3017"/>
      <c r="B246" s="3017" t="str">
        <f>'9-A.Training Sub-Annex'!C86</f>
        <v>A.9.6.1.2</v>
      </c>
      <c r="C246" s="3018" t="str">
        <f>'9-A.Training Sub-Annex'!D86</f>
        <v>Laparoscopic sterilization training for doctors (teams of doctor, SN and OT assistant)</v>
      </c>
      <c r="D246" s="3019" t="str">
        <f>'9-A.Training Sub-Annex'!E86</f>
        <v>RCH</v>
      </c>
      <c r="E246" s="3019" t="str">
        <f>'9-A.Training Sub-Annex'!F86</f>
        <v>FP</v>
      </c>
      <c r="F246" s="3019">
        <f>'9-A.Training Sub-Annex'!G86</f>
        <v>10</v>
      </c>
      <c r="G246" s="3019">
        <f>'9-A.Training Sub-Annex'!H86</f>
        <v>0</v>
      </c>
      <c r="H246" s="3019">
        <f>'9-A.Training Sub-Annex'!I86</f>
        <v>15</v>
      </c>
      <c r="I246" s="3019">
        <f>'9-A.Training Sub-Annex'!J86</f>
        <v>0</v>
      </c>
      <c r="J246" s="3019">
        <f>'9-A.Training Sub-Annex'!K86</f>
        <v>0</v>
      </c>
      <c r="K246" s="3019">
        <f>'9-A.Training Sub-Annex'!L86</f>
        <v>0</v>
      </c>
      <c r="L246" s="3020">
        <f>'9-A.Training Sub-Annex'!M86</f>
        <v>0</v>
      </c>
      <c r="M246" s="3019">
        <f>'9-A.Training Sub-Annex'!N86</f>
        <v>0</v>
      </c>
      <c r="N246" s="3019">
        <f>'9-A.Training Sub-Annex'!O86</f>
        <v>0</v>
      </c>
      <c r="O246" s="3020">
        <f>'9-A.Training Sub-Annex'!P86</f>
        <v>0</v>
      </c>
      <c r="P246" s="3047">
        <f>'9-A.Training Sub-Annex'!Q86</f>
        <v>0</v>
      </c>
      <c r="Q246" s="3021"/>
      <c r="R246" s="3022"/>
    </row>
    <row r="247" spans="1:18" s="3023" customFormat="1">
      <c r="A247" s="3017"/>
      <c r="B247" s="3017" t="str">
        <f>'9-A.Training Sub-Annex'!C87</f>
        <v>A.9.6.1.3</v>
      </c>
      <c r="C247" s="3018" t="str">
        <f>'9-A.Training Sub-Annex'!D87</f>
        <v>Refresher training on laparoscopic sterilization</v>
      </c>
      <c r="D247" s="3019" t="str">
        <f>'9-A.Training Sub-Annex'!E87</f>
        <v>RCH</v>
      </c>
      <c r="E247" s="3019" t="str">
        <f>'9-A.Training Sub-Annex'!F87</f>
        <v>FP</v>
      </c>
      <c r="F247" s="3019">
        <f>'9-A.Training Sub-Annex'!G87</f>
        <v>0</v>
      </c>
      <c r="G247" s="3019">
        <f>'9-A.Training Sub-Annex'!H87</f>
        <v>0</v>
      </c>
      <c r="H247" s="3019">
        <f>'9-A.Training Sub-Annex'!I87</f>
        <v>0</v>
      </c>
      <c r="I247" s="3019">
        <f>'9-A.Training Sub-Annex'!J87</f>
        <v>0</v>
      </c>
      <c r="J247" s="3019">
        <f>'9-A.Training Sub-Annex'!K87</f>
        <v>0</v>
      </c>
      <c r="K247" s="3019">
        <f>'9-A.Training Sub-Annex'!L87</f>
        <v>0</v>
      </c>
      <c r="L247" s="3020">
        <f>'9-A.Training Sub-Annex'!M87</f>
        <v>0</v>
      </c>
      <c r="M247" s="3019">
        <f>'9-A.Training Sub-Annex'!N87</f>
        <v>0</v>
      </c>
      <c r="N247" s="3019">
        <f>'9-A.Training Sub-Annex'!O87</f>
        <v>0</v>
      </c>
      <c r="O247" s="3020">
        <f>'9-A.Training Sub-Annex'!P87</f>
        <v>0</v>
      </c>
      <c r="P247" s="3047">
        <f>'9-A.Training Sub-Annex'!Q87</f>
        <v>0</v>
      </c>
      <c r="Q247" s="3021"/>
      <c r="R247" s="3022"/>
    </row>
    <row r="248" spans="1:18" s="3023" customFormat="1" ht="30">
      <c r="A248" s="3017"/>
      <c r="B248" s="3017" t="str">
        <f>'9-A.Training Sub-Annex'!C88</f>
        <v>A.9.6.2.1</v>
      </c>
      <c r="C248" s="3018" t="str">
        <f>'9-A.Training Sub-Annex'!D88</f>
        <v>TOT on Minilap</v>
      </c>
      <c r="D248" s="3019" t="str">
        <f>'9-A.Training Sub-Annex'!E88</f>
        <v>RCH</v>
      </c>
      <c r="E248" s="3019" t="str">
        <f>'9-A.Training Sub-Annex'!F88</f>
        <v>FP</v>
      </c>
      <c r="F248" s="3019">
        <f>'9-A.Training Sub-Annex'!G88</f>
        <v>0</v>
      </c>
      <c r="G248" s="3019">
        <f>'9-A.Training Sub-Annex'!H88</f>
        <v>0</v>
      </c>
      <c r="H248" s="3019">
        <f>'9-A.Training Sub-Annex'!I88</f>
        <v>0</v>
      </c>
      <c r="I248" s="3019">
        <f>'9-A.Training Sub-Annex'!J88</f>
        <v>0</v>
      </c>
      <c r="J248" s="3019">
        <f>'9-A.Training Sub-Annex'!K88</f>
        <v>0</v>
      </c>
      <c r="K248" s="3019" t="str">
        <f>'9-A.Training Sub-Annex'!L88</f>
        <v>No. Of batch</v>
      </c>
      <c r="L248" s="3020">
        <f>'9-A.Training Sub-Annex'!M88</f>
        <v>107812</v>
      </c>
      <c r="M248" s="3019">
        <f>'9-A.Training Sub-Annex'!N88</f>
        <v>1.07812</v>
      </c>
      <c r="N248" s="3019">
        <f>'9-A.Training Sub-Annex'!O88</f>
        <v>3</v>
      </c>
      <c r="O248" s="3020">
        <f>'9-A.Training Sub-Annex'!P88</f>
        <v>3.2343599999999997</v>
      </c>
      <c r="P248" s="3047" t="str">
        <f>'9-A.Training Sub-Annex'!Q88</f>
        <v>New activity- Training of master trainer at state from divisional HQ for training of Minilap at RTC by them</v>
      </c>
      <c r="Q248" s="3021"/>
      <c r="R248" s="3022"/>
    </row>
    <row r="249" spans="1:18" s="3023" customFormat="1">
      <c r="A249" s="3017"/>
      <c r="B249" s="3017" t="str">
        <f>'9-A.Training Sub-Annex'!C89</f>
        <v>A.9.6.2.2</v>
      </c>
      <c r="C249" s="3018" t="str">
        <f>'9-A.Training Sub-Annex'!D89</f>
        <v>Minilap training for medical officers</v>
      </c>
      <c r="D249" s="3019" t="str">
        <f>'9-A.Training Sub-Annex'!E89</f>
        <v>RCH</v>
      </c>
      <c r="E249" s="3019" t="str">
        <f>'9-A.Training Sub-Annex'!F89</f>
        <v>FP</v>
      </c>
      <c r="F249" s="3019">
        <f>'9-A.Training Sub-Annex'!G89</f>
        <v>38</v>
      </c>
      <c r="G249" s="3019">
        <f>'9-A.Training Sub-Annex'!H89</f>
        <v>1</v>
      </c>
      <c r="H249" s="3019">
        <f>'9-A.Training Sub-Annex'!I89</f>
        <v>57</v>
      </c>
      <c r="I249" s="3019">
        <f>'9-A.Training Sub-Annex'!J89</f>
        <v>0.09</v>
      </c>
      <c r="J249" s="3019">
        <f>'9-A.Training Sub-Annex'!K89</f>
        <v>0</v>
      </c>
      <c r="K249" s="3019" t="str">
        <f>'9-A.Training Sub-Annex'!L89</f>
        <v>No. Of batch</v>
      </c>
      <c r="L249" s="3020">
        <f>'9-A.Training Sub-Annex'!M89</f>
        <v>150000</v>
      </c>
      <c r="M249" s="3019">
        <f>'9-A.Training Sub-Annex'!N89</f>
        <v>1.5</v>
      </c>
      <c r="N249" s="3019">
        <f>'9-A.Training Sub-Annex'!O89</f>
        <v>38</v>
      </c>
      <c r="O249" s="3020">
        <f>'9-A.Training Sub-Annex'!P89</f>
        <v>57</v>
      </c>
      <c r="P249" s="3047" t="str">
        <f>'9-A.Training Sub-Annex'!Q89</f>
        <v>Continued activity</v>
      </c>
      <c r="Q249" s="3021"/>
      <c r="R249" s="3022"/>
    </row>
    <row r="250" spans="1:18" s="3023" customFormat="1">
      <c r="A250" s="3017"/>
      <c r="B250" s="3017" t="str">
        <f>'9-A.Training Sub-Annex'!C90</f>
        <v>A.9.6.2.3</v>
      </c>
      <c r="C250" s="3018" t="str">
        <f>'9-A.Training Sub-Annex'!D90</f>
        <v>Refresher training on Minilap sterilization</v>
      </c>
      <c r="D250" s="3019" t="str">
        <f>'9-A.Training Sub-Annex'!E90</f>
        <v>RCH</v>
      </c>
      <c r="E250" s="3019" t="str">
        <f>'9-A.Training Sub-Annex'!F90</f>
        <v>FP</v>
      </c>
      <c r="F250" s="3019">
        <f>'9-A.Training Sub-Annex'!G90</f>
        <v>9</v>
      </c>
      <c r="G250" s="3019">
        <f>'9-A.Training Sub-Annex'!H90</f>
        <v>0</v>
      </c>
      <c r="H250" s="3019">
        <f>'9-A.Training Sub-Annex'!I90</f>
        <v>4.68</v>
      </c>
      <c r="I250" s="3019">
        <f>'9-A.Training Sub-Annex'!J90</f>
        <v>0</v>
      </c>
      <c r="J250" s="3019">
        <f>'9-A.Training Sub-Annex'!K90</f>
        <v>0</v>
      </c>
      <c r="K250" s="3019" t="str">
        <f>'9-A.Training Sub-Annex'!L90</f>
        <v>No. Of batch</v>
      </c>
      <c r="L250" s="3020">
        <f>'9-A.Training Sub-Annex'!M90</f>
        <v>52000</v>
      </c>
      <c r="M250" s="3019">
        <f>'9-A.Training Sub-Annex'!N90</f>
        <v>0.52</v>
      </c>
      <c r="N250" s="3019">
        <f>'9-A.Training Sub-Annex'!O90</f>
        <v>18</v>
      </c>
      <c r="O250" s="3020">
        <f>'9-A.Training Sub-Annex'!P90</f>
        <v>9.36</v>
      </c>
      <c r="P250" s="3047" t="str">
        <f>'9-A.Training Sub-Annex'!Q90</f>
        <v>Continued activity</v>
      </c>
      <c r="Q250" s="3021"/>
      <c r="R250" s="3022"/>
    </row>
    <row r="251" spans="1:18" s="3023" customFormat="1" ht="30">
      <c r="A251" s="3017"/>
      <c r="B251" s="3017" t="str">
        <f>'9-A.Training Sub-Annex'!C91</f>
        <v>A.9.6.3.1</v>
      </c>
      <c r="C251" s="3018" t="str">
        <f>'9-A.Training Sub-Annex'!D91</f>
        <v>TOT on NSV</v>
      </c>
      <c r="D251" s="3019" t="str">
        <f>'9-A.Training Sub-Annex'!E91</f>
        <v>RCH</v>
      </c>
      <c r="E251" s="3019" t="str">
        <f>'9-A.Training Sub-Annex'!F91</f>
        <v>FP</v>
      </c>
      <c r="F251" s="3019">
        <f>'9-A.Training Sub-Annex'!G91</f>
        <v>0</v>
      </c>
      <c r="G251" s="3019">
        <f>'9-A.Training Sub-Annex'!H91</f>
        <v>0</v>
      </c>
      <c r="H251" s="3019">
        <f>'9-A.Training Sub-Annex'!I91</f>
        <v>0</v>
      </c>
      <c r="I251" s="3019">
        <f>'9-A.Training Sub-Annex'!J91</f>
        <v>0</v>
      </c>
      <c r="J251" s="3019">
        <f>'9-A.Training Sub-Annex'!K91</f>
        <v>0</v>
      </c>
      <c r="K251" s="3019" t="str">
        <f>'9-A.Training Sub-Annex'!L91</f>
        <v>No. Of batch</v>
      </c>
      <c r="L251" s="3020">
        <f>'9-A.Training Sub-Annex'!M91</f>
        <v>137252</v>
      </c>
      <c r="M251" s="3019">
        <f>'9-A.Training Sub-Annex'!N91</f>
        <v>1.37252</v>
      </c>
      <c r="N251" s="3019">
        <f>'9-A.Training Sub-Annex'!O91</f>
        <v>3</v>
      </c>
      <c r="O251" s="3020">
        <f>'9-A.Training Sub-Annex'!P91</f>
        <v>4.1175600000000001</v>
      </c>
      <c r="P251" s="3047" t="str">
        <f>'9-A.Training Sub-Annex'!Q91</f>
        <v>New activity - Training of master trainer at state from divisional HQ for training of NSV at RTC by them</v>
      </c>
      <c r="Q251" s="3021"/>
      <c r="R251" s="3022"/>
    </row>
    <row r="252" spans="1:18" s="3023" customFormat="1">
      <c r="A252" s="3017"/>
      <c r="B252" s="3017" t="str">
        <f>'9-A.Training Sub-Annex'!C92</f>
        <v>A.9.6.3.3</v>
      </c>
      <c r="C252" s="3018" t="str">
        <f>'9-A.Training Sub-Annex'!D92</f>
        <v>Refresher training on NSV sterilization</v>
      </c>
      <c r="D252" s="3019" t="str">
        <f>'9-A.Training Sub-Annex'!E92</f>
        <v>RCH</v>
      </c>
      <c r="E252" s="3019" t="str">
        <f>'9-A.Training Sub-Annex'!F92</f>
        <v>FP</v>
      </c>
      <c r="F252" s="3019">
        <f>'9-A.Training Sub-Annex'!G92</f>
        <v>18</v>
      </c>
      <c r="G252" s="3019">
        <f>'9-A.Training Sub-Annex'!H92</f>
        <v>1</v>
      </c>
      <c r="H252" s="3019">
        <f>'9-A.Training Sub-Annex'!I92</f>
        <v>7.56</v>
      </c>
      <c r="I252" s="3019">
        <f>'9-A.Training Sub-Annex'!J92</f>
        <v>0.08</v>
      </c>
      <c r="J252" s="3019">
        <f>'9-A.Training Sub-Annex'!K92</f>
        <v>0</v>
      </c>
      <c r="K252" s="3019" t="str">
        <f>'9-A.Training Sub-Annex'!L92</f>
        <v>No. Of batch</v>
      </c>
      <c r="L252" s="3020">
        <f>'9-A.Training Sub-Annex'!M92</f>
        <v>42000</v>
      </c>
      <c r="M252" s="3019">
        <f>'9-A.Training Sub-Annex'!N92</f>
        <v>0.42</v>
      </c>
      <c r="N252" s="3019">
        <f>'9-A.Training Sub-Annex'!O92</f>
        <v>18</v>
      </c>
      <c r="O252" s="3020">
        <f>'9-A.Training Sub-Annex'!P92</f>
        <v>7.56</v>
      </c>
      <c r="P252" s="3047" t="str">
        <f>'9-A.Training Sub-Annex'!Q92</f>
        <v>Continued activity</v>
      </c>
      <c r="Q252" s="3021"/>
      <c r="R252" s="3022"/>
    </row>
    <row r="253" spans="1:18" s="3023" customFormat="1" ht="30">
      <c r="A253" s="3017"/>
      <c r="B253" s="3017" t="str">
        <f>'9-A.Training Sub-Annex'!C93</f>
        <v>A.9.6.4.1</v>
      </c>
      <c r="C253" s="3018" t="str">
        <f>'9-A.Training Sub-Annex'!D93</f>
        <v>TOT (IUCD insertion training)</v>
      </c>
      <c r="D253" s="3019" t="str">
        <f>'9-A.Training Sub-Annex'!E93</f>
        <v>RCH</v>
      </c>
      <c r="E253" s="3019" t="str">
        <f>'9-A.Training Sub-Annex'!F93</f>
        <v>FP</v>
      </c>
      <c r="F253" s="3019">
        <f>'9-A.Training Sub-Annex'!G93</f>
        <v>0</v>
      </c>
      <c r="G253" s="3019">
        <f>'9-A.Training Sub-Annex'!H93</f>
        <v>0</v>
      </c>
      <c r="H253" s="3019">
        <f>'9-A.Training Sub-Annex'!I93</f>
        <v>0</v>
      </c>
      <c r="I253" s="3019">
        <f>'9-A.Training Sub-Annex'!J93</f>
        <v>0</v>
      </c>
      <c r="J253" s="3019">
        <f>'9-A.Training Sub-Annex'!K93</f>
        <v>0</v>
      </c>
      <c r="K253" s="3019" t="str">
        <f>'9-A.Training Sub-Annex'!L93</f>
        <v>No. Of batch</v>
      </c>
      <c r="L253" s="3020">
        <f>'9-A.Training Sub-Annex'!M93</f>
        <v>107812</v>
      </c>
      <c r="M253" s="3019">
        <f>'9-A.Training Sub-Annex'!N93</f>
        <v>1.07812</v>
      </c>
      <c r="N253" s="3019">
        <f>'9-A.Training Sub-Annex'!O93</f>
        <v>3</v>
      </c>
      <c r="O253" s="3020">
        <f>'9-A.Training Sub-Annex'!P93</f>
        <v>3.2343599999999997</v>
      </c>
      <c r="P253" s="3047" t="str">
        <f>'9-A.Training Sub-Annex'!Q93</f>
        <v>New activity- Training of master trainer at state from divisional HQ for training of integerated IUCD at RTC by them</v>
      </c>
      <c r="Q253" s="3021"/>
      <c r="R253" s="3022"/>
    </row>
    <row r="254" spans="1:18" s="3023" customFormat="1">
      <c r="A254" s="3017"/>
      <c r="B254" s="3017" t="str">
        <f>'9-A.Training Sub-Annex'!C94</f>
        <v>A.9.6.4.2</v>
      </c>
      <c r="C254" s="3018" t="str">
        <f>'9-A.Training Sub-Annex'!D94</f>
        <v>Training of Medical officers  (IUCD insertion training)</v>
      </c>
      <c r="D254" s="3019" t="str">
        <f>'9-A.Training Sub-Annex'!E94</f>
        <v>RCH</v>
      </c>
      <c r="E254" s="3019" t="str">
        <f>'9-A.Training Sub-Annex'!F94</f>
        <v>FP</v>
      </c>
      <c r="F254" s="3019">
        <f>'9-A.Training Sub-Annex'!G94</f>
        <v>0</v>
      </c>
      <c r="G254" s="3019">
        <f>'9-A.Training Sub-Annex'!H94</f>
        <v>0</v>
      </c>
      <c r="H254" s="3019">
        <f>'9-A.Training Sub-Annex'!I94</f>
        <v>0</v>
      </c>
      <c r="I254" s="3019">
        <f>'9-A.Training Sub-Annex'!J94</f>
        <v>0</v>
      </c>
      <c r="J254" s="3019">
        <f>'9-A.Training Sub-Annex'!K94</f>
        <v>0</v>
      </c>
      <c r="K254" s="3019">
        <f>'9-A.Training Sub-Annex'!L94</f>
        <v>0</v>
      </c>
      <c r="L254" s="3020">
        <f>'9-A.Training Sub-Annex'!M94</f>
        <v>0</v>
      </c>
      <c r="M254" s="3019">
        <f>'9-A.Training Sub-Annex'!N94</f>
        <v>0</v>
      </c>
      <c r="N254" s="3019">
        <f>'9-A.Training Sub-Annex'!O94</f>
        <v>0</v>
      </c>
      <c r="O254" s="3020">
        <f>'9-A.Training Sub-Annex'!P94</f>
        <v>0</v>
      </c>
      <c r="P254" s="3047">
        <f>'9-A.Training Sub-Annex'!Q94</f>
        <v>0</v>
      </c>
      <c r="Q254" s="3021"/>
      <c r="R254" s="3022"/>
    </row>
    <row r="255" spans="1:18" s="3023" customFormat="1" ht="30">
      <c r="A255" s="3017"/>
      <c r="B255" s="3017" t="str">
        <f>'9-A.Training Sub-Annex'!C95</f>
        <v>A.9.6.4.3</v>
      </c>
      <c r="C255" s="3018" t="str">
        <f>'9-A.Training Sub-Annex'!D95</f>
        <v>Training of AYUSH doctors  (IUCD insertion training)</v>
      </c>
      <c r="D255" s="3019" t="str">
        <f>'9-A.Training Sub-Annex'!E95</f>
        <v>RCH</v>
      </c>
      <c r="E255" s="3019" t="str">
        <f>'9-A.Training Sub-Annex'!F95</f>
        <v>FP</v>
      </c>
      <c r="F255" s="3019">
        <f>'9-A.Training Sub-Annex'!G95</f>
        <v>0</v>
      </c>
      <c r="G255" s="3019">
        <f>'9-A.Training Sub-Annex'!H95</f>
        <v>0</v>
      </c>
      <c r="H255" s="3019">
        <f>'9-A.Training Sub-Annex'!I95</f>
        <v>0</v>
      </c>
      <c r="I255" s="3019">
        <f>'9-A.Training Sub-Annex'!J95</f>
        <v>0</v>
      </c>
      <c r="J255" s="3019">
        <f>'9-A.Training Sub-Annex'!K95</f>
        <v>0</v>
      </c>
      <c r="K255" s="3019" t="str">
        <f>'9-A.Training Sub-Annex'!L95</f>
        <v>No. Of batch</v>
      </c>
      <c r="L255" s="3020">
        <f>'9-A.Training Sub-Annex'!M95</f>
        <v>123000</v>
      </c>
      <c r="M255" s="3019">
        <f>'9-A.Training Sub-Annex'!N95</f>
        <v>1.23</v>
      </c>
      <c r="N255" s="3019">
        <f>'9-A.Training Sub-Annex'!O95</f>
        <v>9</v>
      </c>
      <c r="O255" s="3020">
        <f>'9-A.Training Sub-Annex'!P95</f>
        <v>11.07</v>
      </c>
      <c r="P255" s="3047" t="str">
        <f>'9-A.Training Sub-Annex'!Q95</f>
        <v>New activity- Training of AYUSH MO/CHO at APHC (functional as HWC) for strengthening of IUCD services at HWC-APHC.</v>
      </c>
      <c r="Q255" s="3021"/>
      <c r="R255" s="3022"/>
    </row>
    <row r="256" spans="1:18" s="3023" customFormat="1" ht="30">
      <c r="A256" s="3017"/>
      <c r="B256" s="3017" t="str">
        <f>'9-A.Training Sub-Annex'!C96</f>
        <v>A.9.6.4.4</v>
      </c>
      <c r="C256" s="3018" t="str">
        <f>'9-A.Training Sub-Annex'!D96</f>
        <v>Training of Nurses (Staff Nurse/LHV/ANM)  (IUCD insertion training)</v>
      </c>
      <c r="D256" s="3019" t="str">
        <f>'9-A.Training Sub-Annex'!E96</f>
        <v>RCH</v>
      </c>
      <c r="E256" s="3019" t="str">
        <f>'9-A.Training Sub-Annex'!F96</f>
        <v>FP</v>
      </c>
      <c r="F256" s="3019">
        <f>'9-A.Training Sub-Annex'!G96</f>
        <v>38</v>
      </c>
      <c r="G256" s="3019">
        <f>'9-A.Training Sub-Annex'!H96</f>
        <v>1</v>
      </c>
      <c r="H256" s="3019">
        <f>'9-A.Training Sub-Annex'!I96</f>
        <v>57</v>
      </c>
      <c r="I256" s="3019">
        <f>'9-A.Training Sub-Annex'!J96</f>
        <v>0.16</v>
      </c>
      <c r="J256" s="3019">
        <f>'9-A.Training Sub-Annex'!K96</f>
        <v>0</v>
      </c>
      <c r="K256" s="3019" t="str">
        <f>'9-A.Training Sub-Annex'!L96</f>
        <v>No. Of batch</v>
      </c>
      <c r="L256" s="3020">
        <f>'9-A.Training Sub-Annex'!M96</f>
        <v>150000</v>
      </c>
      <c r="M256" s="3019">
        <f>'9-A.Training Sub-Annex'!N96</f>
        <v>1.5</v>
      </c>
      <c r="N256" s="3019">
        <f>'9-A.Training Sub-Annex'!O96</f>
        <v>76</v>
      </c>
      <c r="O256" s="3020">
        <f>'9-A.Training Sub-Annex'!P96</f>
        <v>114</v>
      </c>
      <c r="P256" s="3047" t="str">
        <f>'9-A.Training Sub-Annex'!Q96</f>
        <v>Continued activity</v>
      </c>
      <c r="Q256" s="3021"/>
      <c r="R256" s="3022"/>
    </row>
    <row r="257" spans="1:18" s="3023" customFormat="1">
      <c r="A257" s="3017"/>
      <c r="B257" s="3017" t="str">
        <f>'9-A.Training Sub-Annex'!C97</f>
        <v>A.9.6.5.1</v>
      </c>
      <c r="C257" s="3018" t="str">
        <f>'9-A.Training Sub-Annex'!D97</f>
        <v>TOT (PPIUCD insertion training)</v>
      </c>
      <c r="D257" s="3019" t="str">
        <f>'9-A.Training Sub-Annex'!E97</f>
        <v>RCH</v>
      </c>
      <c r="E257" s="3019" t="str">
        <f>'9-A.Training Sub-Annex'!F97</f>
        <v>FP</v>
      </c>
      <c r="F257" s="3019">
        <f>'9-A.Training Sub-Annex'!G97</f>
        <v>0</v>
      </c>
      <c r="G257" s="3019">
        <f>'9-A.Training Sub-Annex'!H97</f>
        <v>0</v>
      </c>
      <c r="H257" s="3019">
        <f>'9-A.Training Sub-Annex'!I97</f>
        <v>0</v>
      </c>
      <c r="I257" s="3019">
        <f>'9-A.Training Sub-Annex'!J97</f>
        <v>0</v>
      </c>
      <c r="J257" s="3019">
        <f>'9-A.Training Sub-Annex'!K97</f>
        <v>0</v>
      </c>
      <c r="K257" s="3019">
        <f>'9-A.Training Sub-Annex'!L97</f>
        <v>0</v>
      </c>
      <c r="L257" s="3020">
        <f>'9-A.Training Sub-Annex'!M97</f>
        <v>0</v>
      </c>
      <c r="M257" s="3019">
        <f>'9-A.Training Sub-Annex'!N97</f>
        <v>0</v>
      </c>
      <c r="N257" s="3019">
        <f>'9-A.Training Sub-Annex'!O97</f>
        <v>0</v>
      </c>
      <c r="O257" s="3020">
        <f>'9-A.Training Sub-Annex'!P97</f>
        <v>0</v>
      </c>
      <c r="P257" s="3047">
        <f>'9-A.Training Sub-Annex'!Q97</f>
        <v>0</v>
      </c>
      <c r="Q257" s="3021"/>
      <c r="R257" s="3022"/>
    </row>
    <row r="258" spans="1:18" s="3023" customFormat="1">
      <c r="A258" s="3017"/>
      <c r="B258" s="3017" t="str">
        <f>'9-A.Training Sub-Annex'!C98</f>
        <v>A.9.6.5.2</v>
      </c>
      <c r="C258" s="3018" t="str">
        <f>'9-A.Training Sub-Annex'!D98</f>
        <v>Training of Medical officers (PPIUCD insertion training)</v>
      </c>
      <c r="D258" s="3019" t="str">
        <f>'9-A.Training Sub-Annex'!E98</f>
        <v>RCH</v>
      </c>
      <c r="E258" s="3019" t="str">
        <f>'9-A.Training Sub-Annex'!F98</f>
        <v>FP</v>
      </c>
      <c r="F258" s="3019">
        <f>'9-A.Training Sub-Annex'!G98</f>
        <v>0</v>
      </c>
      <c r="G258" s="3019">
        <f>'9-A.Training Sub-Annex'!H98</f>
        <v>0</v>
      </c>
      <c r="H258" s="3019">
        <f>'9-A.Training Sub-Annex'!I98</f>
        <v>0</v>
      </c>
      <c r="I258" s="3019">
        <f>'9-A.Training Sub-Annex'!J98</f>
        <v>0</v>
      </c>
      <c r="J258" s="3019">
        <f>'9-A.Training Sub-Annex'!K98</f>
        <v>0</v>
      </c>
      <c r="K258" s="3019">
        <f>'9-A.Training Sub-Annex'!L98</f>
        <v>0</v>
      </c>
      <c r="L258" s="3020">
        <f>'9-A.Training Sub-Annex'!M98</f>
        <v>0</v>
      </c>
      <c r="M258" s="3019">
        <f>'9-A.Training Sub-Annex'!N98</f>
        <v>0</v>
      </c>
      <c r="N258" s="3019">
        <f>'9-A.Training Sub-Annex'!O98</f>
        <v>0</v>
      </c>
      <c r="O258" s="3020">
        <f>'9-A.Training Sub-Annex'!P98</f>
        <v>0</v>
      </c>
      <c r="P258" s="3047">
        <f>'9-A.Training Sub-Annex'!Q98</f>
        <v>0</v>
      </c>
      <c r="Q258" s="3021"/>
      <c r="R258" s="3022"/>
    </row>
    <row r="259" spans="1:18" s="3023" customFormat="1">
      <c r="A259" s="3017"/>
      <c r="B259" s="3017" t="str">
        <f>'9-A.Training Sub-Annex'!C99</f>
        <v>A.9.6.5.3</v>
      </c>
      <c r="C259" s="3018" t="str">
        <f>'9-A.Training Sub-Annex'!D99</f>
        <v>Training of AYUSH doctors (PPIUCD insertion training)</v>
      </c>
      <c r="D259" s="3019" t="str">
        <f>'9-A.Training Sub-Annex'!E99</f>
        <v>RCH</v>
      </c>
      <c r="E259" s="3019" t="str">
        <f>'9-A.Training Sub-Annex'!F99</f>
        <v>FP</v>
      </c>
      <c r="F259" s="3019">
        <f>'9-A.Training Sub-Annex'!G99</f>
        <v>0</v>
      </c>
      <c r="G259" s="3019">
        <f>'9-A.Training Sub-Annex'!H99</f>
        <v>0</v>
      </c>
      <c r="H259" s="3019">
        <f>'9-A.Training Sub-Annex'!I99</f>
        <v>0</v>
      </c>
      <c r="I259" s="3019">
        <f>'9-A.Training Sub-Annex'!J99</f>
        <v>0</v>
      </c>
      <c r="J259" s="3019">
        <f>'9-A.Training Sub-Annex'!K99</f>
        <v>0</v>
      </c>
      <c r="K259" s="3019">
        <f>'9-A.Training Sub-Annex'!L99</f>
        <v>0</v>
      </c>
      <c r="L259" s="3020">
        <f>'9-A.Training Sub-Annex'!M99</f>
        <v>0</v>
      </c>
      <c r="M259" s="3019">
        <f>'9-A.Training Sub-Annex'!N99</f>
        <v>0</v>
      </c>
      <c r="N259" s="3019">
        <f>'9-A.Training Sub-Annex'!O99</f>
        <v>0</v>
      </c>
      <c r="O259" s="3020">
        <f>'9-A.Training Sub-Annex'!P99</f>
        <v>0</v>
      </c>
      <c r="P259" s="3047">
        <f>'9-A.Training Sub-Annex'!Q99</f>
        <v>0</v>
      </c>
      <c r="Q259" s="3021"/>
      <c r="R259" s="3022"/>
    </row>
    <row r="260" spans="1:18" s="3023" customFormat="1" ht="30">
      <c r="A260" s="3017"/>
      <c r="B260" s="3017" t="str">
        <f>'9-A.Training Sub-Annex'!C100</f>
        <v>A.9.6.5.4</v>
      </c>
      <c r="C260" s="3018" t="str">
        <f>'9-A.Training Sub-Annex'!D100</f>
        <v>Training of Nurses (Staff Nurse/LHV/ANM) (PPIUCD insertion training)</v>
      </c>
      <c r="D260" s="3019" t="str">
        <f>'9-A.Training Sub-Annex'!E100</f>
        <v>RCH</v>
      </c>
      <c r="E260" s="3019" t="str">
        <f>'9-A.Training Sub-Annex'!F100</f>
        <v>FP</v>
      </c>
      <c r="F260" s="3019">
        <f>'9-A.Training Sub-Annex'!G100</f>
        <v>0</v>
      </c>
      <c r="G260" s="3019">
        <f>'9-A.Training Sub-Annex'!H100</f>
        <v>0</v>
      </c>
      <c r="H260" s="3019">
        <f>'9-A.Training Sub-Annex'!I100</f>
        <v>0</v>
      </c>
      <c r="I260" s="3019">
        <f>'9-A.Training Sub-Annex'!J100</f>
        <v>0</v>
      </c>
      <c r="J260" s="3019">
        <f>'9-A.Training Sub-Annex'!K100</f>
        <v>0</v>
      </c>
      <c r="K260" s="3019">
        <f>'9-A.Training Sub-Annex'!L100</f>
        <v>0</v>
      </c>
      <c r="L260" s="3020">
        <f>'9-A.Training Sub-Annex'!M100</f>
        <v>0</v>
      </c>
      <c r="M260" s="3019">
        <f>'9-A.Training Sub-Annex'!N100</f>
        <v>0</v>
      </c>
      <c r="N260" s="3019">
        <f>'9-A.Training Sub-Annex'!O100</f>
        <v>0</v>
      </c>
      <c r="O260" s="3020">
        <f>'9-A.Training Sub-Annex'!P100</f>
        <v>0</v>
      </c>
      <c r="P260" s="3047">
        <f>'9-A.Training Sub-Annex'!Q100</f>
        <v>0</v>
      </c>
      <c r="Q260" s="3021"/>
      <c r="R260" s="3022"/>
    </row>
    <row r="261" spans="1:18" s="3023" customFormat="1">
      <c r="A261" s="3017"/>
      <c r="B261" s="3017" t="str">
        <f>'9-A.Training Sub-Annex'!C101</f>
        <v>A.9.6.6.1</v>
      </c>
      <c r="C261" s="3018" t="str">
        <f>'9-A.Training Sub-Annex'!D101</f>
        <v xml:space="preserve">Training for Post abortion Family Planning </v>
      </c>
      <c r="D261" s="3019" t="str">
        <f>'9-A.Training Sub-Annex'!E101</f>
        <v>RCH</v>
      </c>
      <c r="E261" s="3019" t="str">
        <f>'9-A.Training Sub-Annex'!F101</f>
        <v>FP</v>
      </c>
      <c r="F261" s="3019">
        <f>'9-A.Training Sub-Annex'!G101</f>
        <v>0</v>
      </c>
      <c r="G261" s="3019">
        <f>'9-A.Training Sub-Annex'!H101</f>
        <v>0</v>
      </c>
      <c r="H261" s="3019">
        <f>'9-A.Training Sub-Annex'!I101</f>
        <v>0</v>
      </c>
      <c r="I261" s="3019">
        <f>'9-A.Training Sub-Annex'!J101</f>
        <v>0</v>
      </c>
      <c r="J261" s="3019">
        <f>'9-A.Training Sub-Annex'!K101</f>
        <v>0</v>
      </c>
      <c r="K261" s="3019">
        <f>'9-A.Training Sub-Annex'!L101</f>
        <v>0</v>
      </c>
      <c r="L261" s="3020">
        <f>'9-A.Training Sub-Annex'!M101</f>
        <v>0</v>
      </c>
      <c r="M261" s="3019">
        <f>'9-A.Training Sub-Annex'!N101</f>
        <v>0</v>
      </c>
      <c r="N261" s="3019">
        <f>'9-A.Training Sub-Annex'!O101</f>
        <v>0</v>
      </c>
      <c r="O261" s="3020">
        <f>'9-A.Training Sub-Annex'!P101</f>
        <v>0</v>
      </c>
      <c r="P261" s="3047">
        <f>'9-A.Training Sub-Annex'!Q101</f>
        <v>0</v>
      </c>
      <c r="Q261" s="3021"/>
      <c r="R261" s="3022"/>
    </row>
    <row r="262" spans="1:18" s="3023" customFormat="1">
      <c r="A262" s="3017"/>
      <c r="B262" s="3017" t="str">
        <f>'9-A.Training Sub-Annex'!C102</f>
        <v>A.9.6.7</v>
      </c>
      <c r="C262" s="3018" t="str">
        <f>'9-A.Training Sub-Annex'!D102</f>
        <v>Training of RMNCH+A/ FP Counsellors</v>
      </c>
      <c r="D262" s="3019" t="str">
        <f>'9-A.Training Sub-Annex'!E102</f>
        <v>RCH</v>
      </c>
      <c r="E262" s="3019" t="str">
        <f>'9-A.Training Sub-Annex'!F102</f>
        <v>FP</v>
      </c>
      <c r="F262" s="3019">
        <f>'9-A.Training Sub-Annex'!G102</f>
        <v>25</v>
      </c>
      <c r="G262" s="3019">
        <f>'9-A.Training Sub-Annex'!H102</f>
        <v>0</v>
      </c>
      <c r="H262" s="3019">
        <f>'9-A.Training Sub-Annex'!I102</f>
        <v>13.94</v>
      </c>
      <c r="I262" s="3019">
        <f>'9-A.Training Sub-Annex'!J102</f>
        <v>3</v>
      </c>
      <c r="J262" s="3019">
        <f>'9-A.Training Sub-Annex'!K102</f>
        <v>0</v>
      </c>
      <c r="K262" s="3019" t="str">
        <f>'9-A.Training Sub-Annex'!L102</f>
        <v>No. Of batch</v>
      </c>
      <c r="L262" s="3020">
        <f>'9-A.Training Sub-Annex'!M102</f>
        <v>56000</v>
      </c>
      <c r="M262" s="3019">
        <f>'9-A.Training Sub-Annex'!N102</f>
        <v>0.56000000000000005</v>
      </c>
      <c r="N262" s="3019">
        <f>'9-A.Training Sub-Annex'!O102</f>
        <v>25</v>
      </c>
      <c r="O262" s="3020">
        <f>'9-A.Training Sub-Annex'!P102</f>
        <v>14.000000000000002</v>
      </c>
      <c r="P262" s="3047" t="str">
        <f>'9-A.Training Sub-Annex'!Q102</f>
        <v>Continued activity as per previous year</v>
      </c>
      <c r="Q262" s="3021"/>
      <c r="R262" s="3022"/>
    </row>
    <row r="263" spans="1:18" s="3023" customFormat="1">
      <c r="A263" s="3017"/>
      <c r="B263" s="3017" t="str">
        <f>'9-A.Training Sub-Annex'!C103</f>
        <v>A.9.6.9.1</v>
      </c>
      <c r="C263" s="3018" t="str">
        <f>'9-A.Training Sub-Annex'!D103</f>
        <v>TOT (Injectable Contraceptive Trainings)</v>
      </c>
      <c r="D263" s="3019" t="str">
        <f>'9-A.Training Sub-Annex'!E103</f>
        <v>RCH</v>
      </c>
      <c r="E263" s="3019" t="str">
        <f>'9-A.Training Sub-Annex'!F103</f>
        <v>FP</v>
      </c>
      <c r="F263" s="3019">
        <f>'9-A.Training Sub-Annex'!G103</f>
        <v>0</v>
      </c>
      <c r="G263" s="3019">
        <f>'9-A.Training Sub-Annex'!H103</f>
        <v>0</v>
      </c>
      <c r="H263" s="3019">
        <f>'9-A.Training Sub-Annex'!I103</f>
        <v>0</v>
      </c>
      <c r="I263" s="3019">
        <f>'9-A.Training Sub-Annex'!J103</f>
        <v>0</v>
      </c>
      <c r="J263" s="3019">
        <f>'9-A.Training Sub-Annex'!K103</f>
        <v>0</v>
      </c>
      <c r="K263" s="3019">
        <f>'9-A.Training Sub-Annex'!L103</f>
        <v>0</v>
      </c>
      <c r="L263" s="3020">
        <f>'9-A.Training Sub-Annex'!M103</f>
        <v>0</v>
      </c>
      <c r="M263" s="3019">
        <f>'9-A.Training Sub-Annex'!N103</f>
        <v>0</v>
      </c>
      <c r="N263" s="3019">
        <f>'9-A.Training Sub-Annex'!O103</f>
        <v>0</v>
      </c>
      <c r="O263" s="3020">
        <f>'9-A.Training Sub-Annex'!P103</f>
        <v>0</v>
      </c>
      <c r="P263" s="3047">
        <f>'9-A.Training Sub-Annex'!Q103</f>
        <v>0</v>
      </c>
      <c r="Q263" s="3021"/>
      <c r="R263" s="3022"/>
    </row>
    <row r="264" spans="1:18" s="3023" customFormat="1" ht="30">
      <c r="A264" s="3017"/>
      <c r="B264" s="3017" t="str">
        <f>'9-A.Training Sub-Annex'!C104</f>
        <v>A.9.6.9.2</v>
      </c>
      <c r="C264" s="3018" t="str">
        <f>'9-A.Training Sub-Annex'!D104</f>
        <v>Training of Medical officers (Injectable Contraceptive Trainings)</v>
      </c>
      <c r="D264" s="3019" t="str">
        <f>'9-A.Training Sub-Annex'!E104</f>
        <v>RCH</v>
      </c>
      <c r="E264" s="3019" t="str">
        <f>'9-A.Training Sub-Annex'!F104</f>
        <v>FP</v>
      </c>
      <c r="F264" s="3019">
        <f>'9-A.Training Sub-Annex'!G104</f>
        <v>0</v>
      </c>
      <c r="G264" s="3019">
        <f>'9-A.Training Sub-Annex'!H104</f>
        <v>0</v>
      </c>
      <c r="H264" s="3019">
        <f>'9-A.Training Sub-Annex'!I104</f>
        <v>0</v>
      </c>
      <c r="I264" s="3019">
        <f>'9-A.Training Sub-Annex'!J104</f>
        <v>0</v>
      </c>
      <c r="J264" s="3019">
        <f>'9-A.Training Sub-Annex'!K104</f>
        <v>0</v>
      </c>
      <c r="K264" s="3019">
        <f>'9-A.Training Sub-Annex'!L104</f>
        <v>0</v>
      </c>
      <c r="L264" s="3020">
        <f>'9-A.Training Sub-Annex'!M104</f>
        <v>0</v>
      </c>
      <c r="M264" s="3019">
        <f>'9-A.Training Sub-Annex'!N104</f>
        <v>0</v>
      </c>
      <c r="N264" s="3019">
        <f>'9-A.Training Sub-Annex'!O104</f>
        <v>0</v>
      </c>
      <c r="O264" s="3020">
        <f>'9-A.Training Sub-Annex'!P104</f>
        <v>0</v>
      </c>
      <c r="P264" s="3047">
        <f>'9-A.Training Sub-Annex'!Q104</f>
        <v>0</v>
      </c>
      <c r="Q264" s="3021"/>
      <c r="R264" s="3022"/>
    </row>
    <row r="265" spans="1:18" s="3023" customFormat="1" ht="30">
      <c r="A265" s="3017"/>
      <c r="B265" s="3017" t="str">
        <f>'9-A.Training Sub-Annex'!C105</f>
        <v>A.9.6.9.3</v>
      </c>
      <c r="C265" s="3018" t="str">
        <f>'9-A.Training Sub-Annex'!D105</f>
        <v>Training of AYUSH doctors (Injectable Contraceptive Trainings)</v>
      </c>
      <c r="D265" s="3019" t="str">
        <f>'9-A.Training Sub-Annex'!E105</f>
        <v>RCH</v>
      </c>
      <c r="E265" s="3019" t="str">
        <f>'9-A.Training Sub-Annex'!F105</f>
        <v>FP</v>
      </c>
      <c r="F265" s="3019">
        <f>'9-A.Training Sub-Annex'!G105</f>
        <v>0</v>
      </c>
      <c r="G265" s="3019">
        <f>'9-A.Training Sub-Annex'!H105</f>
        <v>0</v>
      </c>
      <c r="H265" s="3019">
        <f>'9-A.Training Sub-Annex'!I105</f>
        <v>0</v>
      </c>
      <c r="I265" s="3019">
        <f>'9-A.Training Sub-Annex'!J105</f>
        <v>0</v>
      </c>
      <c r="J265" s="3019">
        <f>'9-A.Training Sub-Annex'!K105</f>
        <v>0</v>
      </c>
      <c r="K265" s="3019">
        <f>'9-A.Training Sub-Annex'!L105</f>
        <v>0</v>
      </c>
      <c r="L265" s="3020">
        <f>'9-A.Training Sub-Annex'!M105</f>
        <v>175000</v>
      </c>
      <c r="M265" s="3019">
        <f>'9-A.Training Sub-Annex'!N105</f>
        <v>1.75</v>
      </c>
      <c r="N265" s="3019">
        <f>'9-A.Training Sub-Annex'!O105</f>
        <v>38</v>
      </c>
      <c r="O265" s="3020">
        <f>'9-A.Training Sub-Annex'!P105</f>
        <v>66.5</v>
      </c>
      <c r="P265" s="3047" t="str">
        <f>'9-A.Training Sub-Annex'!Q105</f>
        <v>Continued activity- 1 batch per district for newly joined AYUSH MO and CHO of HWC</v>
      </c>
      <c r="Q265" s="3021"/>
      <c r="R265" s="3022"/>
    </row>
    <row r="266" spans="1:18" s="3023" customFormat="1" ht="30">
      <c r="A266" s="3017"/>
      <c r="B266" s="3017" t="str">
        <f>'9-A.Training Sub-Annex'!C106</f>
        <v>A.9.6.9.4</v>
      </c>
      <c r="C266" s="3018" t="str">
        <f>'9-A.Training Sub-Annex'!D106</f>
        <v>Training of Nurses (Staff Nurse/LHV/ANM) (Injectable Contraceptive Trainings)</v>
      </c>
      <c r="D266" s="3019" t="str">
        <f>'9-A.Training Sub-Annex'!E106</f>
        <v>RCH</v>
      </c>
      <c r="E266" s="3019" t="str">
        <f>'9-A.Training Sub-Annex'!F106</f>
        <v>FP</v>
      </c>
      <c r="F266" s="3019">
        <f>'9-A.Training Sub-Annex'!G106</f>
        <v>38</v>
      </c>
      <c r="G266" s="3019">
        <f>'9-A.Training Sub-Annex'!H106</f>
        <v>0</v>
      </c>
      <c r="H266" s="3019">
        <f>'9-A.Training Sub-Annex'!I106</f>
        <v>12.35</v>
      </c>
      <c r="I266" s="3019">
        <f>'9-A.Training Sub-Annex'!J106</f>
        <v>0</v>
      </c>
      <c r="J266" s="3019">
        <f>'9-A.Training Sub-Annex'!K106</f>
        <v>0</v>
      </c>
      <c r="K266" s="3019" t="str">
        <f>'9-A.Training Sub-Annex'!L106</f>
        <v>No. Of batch</v>
      </c>
      <c r="L266" s="3020">
        <f>'9-A.Training Sub-Annex'!M106</f>
        <v>32500</v>
      </c>
      <c r="M266" s="3019">
        <f>'9-A.Training Sub-Annex'!N106</f>
        <v>0.32500000000000001</v>
      </c>
      <c r="N266" s="3019">
        <f>'9-A.Training Sub-Annex'!O106</f>
        <v>114</v>
      </c>
      <c r="O266" s="3020">
        <f>'9-A.Training Sub-Annex'!P106</f>
        <v>37.050000000000004</v>
      </c>
      <c r="P266" s="3047" t="str">
        <f>'9-A.Training Sub-Annex'!Q106</f>
        <v xml:space="preserve">training on injectable contraceptives (MPA- Antara) to newly appointed SN/ANM </v>
      </c>
      <c r="Q266" s="3021"/>
      <c r="R266" s="3022"/>
    </row>
    <row r="267" spans="1:18" s="3023" customFormat="1">
      <c r="A267" s="3017"/>
      <c r="B267" s="3017" t="str">
        <f>'9-A.Training Sub-Annex'!C107</f>
        <v>A.9.6.10</v>
      </c>
      <c r="C267" s="3018" t="str">
        <f>'9-A.Training Sub-Annex'!D107</f>
        <v>Oral Pills Training</v>
      </c>
      <c r="D267" s="3019" t="str">
        <f>'9-A.Training Sub-Annex'!E107</f>
        <v>RCH</v>
      </c>
      <c r="E267" s="3019" t="str">
        <f>'9-A.Training Sub-Annex'!F107</f>
        <v>FP</v>
      </c>
      <c r="F267" s="3019">
        <f>'9-A.Training Sub-Annex'!G107</f>
        <v>0</v>
      </c>
      <c r="G267" s="3019">
        <f>'9-A.Training Sub-Annex'!H107</f>
        <v>0</v>
      </c>
      <c r="H267" s="3019">
        <f>'9-A.Training Sub-Annex'!I107</f>
        <v>0</v>
      </c>
      <c r="I267" s="3019">
        <f>'9-A.Training Sub-Annex'!J107</f>
        <v>0</v>
      </c>
      <c r="J267" s="3019">
        <f>'9-A.Training Sub-Annex'!K107</f>
        <v>0</v>
      </c>
      <c r="K267" s="3019" t="str">
        <f>'9-A.Training Sub-Annex'!L107</f>
        <v>No. Of batch</v>
      </c>
      <c r="L267" s="3020">
        <f>'9-A.Training Sub-Annex'!M107</f>
        <v>32500</v>
      </c>
      <c r="M267" s="3019">
        <f>'9-A.Training Sub-Annex'!N107</f>
        <v>0.32500000000000001</v>
      </c>
      <c r="N267" s="3019">
        <f>'9-A.Training Sub-Annex'!O107</f>
        <v>114</v>
      </c>
      <c r="O267" s="3020">
        <f>'9-A.Training Sub-Annex'!P107</f>
        <v>37.050000000000004</v>
      </c>
      <c r="P267" s="3047" t="str">
        <f>'9-A.Training Sub-Annex'!Q107</f>
        <v xml:space="preserve"> training on Oral Pills (Centchroma, ECP &amp; OCP) to newly appointed SN/ANM </v>
      </c>
      <c r="Q267" s="3021"/>
      <c r="R267" s="3022"/>
    </row>
    <row r="268" spans="1:18" s="3023" customFormat="1">
      <c r="A268" s="3017"/>
      <c r="B268" s="3017">
        <f>'9-A.Training Sub-Annex'!C108</f>
        <v>0</v>
      </c>
      <c r="C268" s="3018" t="str">
        <f>'9-A.Training Sub-Annex'!D108</f>
        <v>FP-LMIS training</v>
      </c>
      <c r="D268" s="3019" t="str">
        <f>'9-A.Training Sub-Annex'!E108</f>
        <v>RCH</v>
      </c>
      <c r="E268" s="3019" t="str">
        <f>'9-A.Training Sub-Annex'!F108</f>
        <v>FP</v>
      </c>
      <c r="F268" s="3019">
        <f>'9-A.Training Sub-Annex'!G108</f>
        <v>0</v>
      </c>
      <c r="G268" s="3019">
        <f>'9-A.Training Sub-Annex'!H108</f>
        <v>0</v>
      </c>
      <c r="H268" s="3019">
        <f>'9-A.Training Sub-Annex'!I108</f>
        <v>0</v>
      </c>
      <c r="I268" s="3019">
        <f>'9-A.Training Sub-Annex'!J108</f>
        <v>0</v>
      </c>
      <c r="J268" s="3019">
        <f>'9-A.Training Sub-Annex'!K108</f>
        <v>0</v>
      </c>
      <c r="K268" s="3019" t="str">
        <f>'9-A.Training Sub-Annex'!L108</f>
        <v>No. Of batch</v>
      </c>
      <c r="L268" s="3020">
        <f>'9-A.Training Sub-Annex'!M108</f>
        <v>135000</v>
      </c>
      <c r="M268" s="3019">
        <f>'9-A.Training Sub-Annex'!N108</f>
        <v>1.35</v>
      </c>
      <c r="N268" s="3019">
        <f>'9-A.Training Sub-Annex'!O108</f>
        <v>38</v>
      </c>
      <c r="O268" s="3020">
        <f>'9-A.Training Sub-Annex'!P108</f>
        <v>51.300000000000004</v>
      </c>
      <c r="P268" s="3047" t="str">
        <f>'9-A.Training Sub-Annex'!Q108</f>
        <v>Reorientation/ review for strengthening of FPLMIS  at district level.</v>
      </c>
      <c r="Q268" s="3021"/>
      <c r="R268" s="3022"/>
    </row>
    <row r="269" spans="1:18" s="3023" customFormat="1" ht="30">
      <c r="A269" s="3017"/>
      <c r="B269" s="3017">
        <f>'9-A.Training Sub-Annex'!C109</f>
        <v>0</v>
      </c>
      <c r="C269" s="3018" t="str">
        <f>'9-A.Training Sub-Annex'!D109</f>
        <v>Other Family Planning trainings (please specify)</v>
      </c>
      <c r="D269" s="3019" t="str">
        <f>'9-A.Training Sub-Annex'!E109</f>
        <v>RCH</v>
      </c>
      <c r="E269" s="3019" t="str">
        <f>'9-A.Training Sub-Annex'!F109</f>
        <v>FP</v>
      </c>
      <c r="F269" s="3019">
        <f>'9-A.Training Sub-Annex'!G109</f>
        <v>0</v>
      </c>
      <c r="G269" s="3019">
        <f>'9-A.Training Sub-Annex'!H109</f>
        <v>0</v>
      </c>
      <c r="H269" s="3019">
        <f>'9-A.Training Sub-Annex'!I109</f>
        <v>0</v>
      </c>
      <c r="I269" s="3019">
        <f>'9-A.Training Sub-Annex'!J109</f>
        <v>0</v>
      </c>
      <c r="J269" s="3019">
        <f>'9-A.Training Sub-Annex'!K109</f>
        <v>0</v>
      </c>
      <c r="K269" s="3019" t="str">
        <f>'9-A.Training Sub-Annex'!L109</f>
        <v>No. Of batch</v>
      </c>
      <c r="L269" s="3020">
        <f>'9-A.Training Sub-Annex'!M109</f>
        <v>125000</v>
      </c>
      <c r="M269" s="3019">
        <f>'9-A.Training Sub-Annex'!N109</f>
        <v>1.25</v>
      </c>
      <c r="N269" s="3019">
        <f>'9-A.Training Sub-Annex'!O109</f>
        <v>38</v>
      </c>
      <c r="O269" s="3020">
        <f>'9-A.Training Sub-Annex'!P109</f>
        <v>47.5</v>
      </c>
      <c r="P269" s="3047" t="str">
        <f>'9-A.Training Sub-Annex'!Q109</f>
        <v>New activity- Orientation of FP Nodal officer and nodal consultant for FP program at Regional level.</v>
      </c>
      <c r="Q269" s="3021"/>
      <c r="R269" s="3022"/>
    </row>
    <row r="270" spans="1:18" s="3023" customFormat="1">
      <c r="A270" s="3030">
        <f>'11.IEC-BCC Annex'!A7</f>
        <v>11</v>
      </c>
      <c r="B270" s="3038"/>
      <c r="C270" s="3031" t="str">
        <f>'11.IEC-BCC Annex'!C7</f>
        <v>IEC/BCC</v>
      </c>
      <c r="D270" s="3032"/>
      <c r="E270" s="3032"/>
      <c r="F270" s="3032"/>
      <c r="G270" s="3032"/>
      <c r="H270" s="3033"/>
      <c r="I270" s="3032"/>
      <c r="J270" s="3033"/>
      <c r="K270" s="3032"/>
      <c r="L270" s="3033"/>
      <c r="M270" s="3033"/>
      <c r="N270" s="3039"/>
      <c r="O270" s="3040">
        <f>SUM(O271:O276)</f>
        <v>418.61</v>
      </c>
      <c r="P270" s="3064"/>
      <c r="Q270" s="3042"/>
      <c r="R270" s="3043">
        <f>SUM(R271:R276)</f>
        <v>0</v>
      </c>
    </row>
    <row r="271" spans="1:18" s="3023" customFormat="1" ht="135">
      <c r="A271" s="4606" t="str">
        <f>'11.IEC-BCC Annex'!A11</f>
        <v>11.1.3</v>
      </c>
      <c r="B271" s="3017" t="str">
        <f>'11-A. IEC Sub-Annex'!C16</f>
        <v>B.10.3.3.1</v>
      </c>
      <c r="C271" s="3018" t="str">
        <f>'11-A. IEC Sub-Annex'!D16</f>
        <v>Media Mix of Mid Media/ Mass Media</v>
      </c>
      <c r="D271" s="3019" t="str">
        <f>'11-A. IEC Sub-Annex'!E16</f>
        <v>RCH</v>
      </c>
      <c r="E271" s="3019" t="str">
        <f>'11-A. IEC Sub-Annex'!F16</f>
        <v>FP</v>
      </c>
      <c r="F271" s="3019">
        <f>'11-A. IEC Sub-Annex'!G16</f>
        <v>0</v>
      </c>
      <c r="G271" s="3019">
        <f>'11-A. IEC Sub-Annex'!H16</f>
        <v>0</v>
      </c>
      <c r="H271" s="3019">
        <f>'11-A. IEC Sub-Annex'!I16</f>
        <v>0</v>
      </c>
      <c r="I271" s="3019">
        <f>'11-A. IEC Sub-Annex'!J16</f>
        <v>0</v>
      </c>
      <c r="J271" s="3019">
        <f>'11-A. IEC Sub-Annex'!K16</f>
        <v>0</v>
      </c>
      <c r="K271" s="3019" t="str">
        <f>'11-A. IEC Sub-Annex'!L16</f>
        <v>no. Of activity</v>
      </c>
      <c r="L271" s="3020">
        <f>'11-A. IEC Sub-Annex'!M16</f>
        <v>1500000</v>
      </c>
      <c r="M271" s="3019">
        <f>'11-A. IEC Sub-Annex'!N16</f>
        <v>15</v>
      </c>
      <c r="N271" s="3019">
        <f>'11-A. IEC Sub-Annex'!O16</f>
        <v>4</v>
      </c>
      <c r="O271" s="3020">
        <f>'11-A. IEC Sub-Annex'!P16</f>
        <v>60</v>
      </c>
      <c r="P271" s="3047" t="str">
        <f>'11-A. IEC Sub-Annex'!Q16</f>
        <v>A total amount of Rs 60 Lacs is proposed for Media Mix and Mass Media activities.
The fund propsoed for the purpose is:
1. TV Adv/Cinema @ Rs 5 Lacs * 4 MPV rounds = Rs. 20 lakhs
2. Radio Jingles  @ Rs 5 Lacs* 4 MPV rounds= Rs. 20 lakhs
3. Newspapaer adv 1.80 lacs * 4 MPV rounds = Rs. 7.20 Lacs
4. Mass Media acvitivies for regular publicity - Rs. 12 lakhs
Total Rs. - 20+20+7.20+12= 59.20 lacs, Rounded off demanded Rs. 60 lakhs.</v>
      </c>
      <c r="Q271" s="3021"/>
      <c r="R271" s="3022"/>
    </row>
    <row r="272" spans="1:18" s="3023" customFormat="1">
      <c r="A272" s="4606"/>
      <c r="B272" s="3017" t="str">
        <f>'11-A. IEC Sub-Annex'!C17</f>
        <v>B.10.3.3.2</v>
      </c>
      <c r="C272" s="3018" t="str">
        <f>'11-A. IEC Sub-Annex'!D17</f>
        <v>Inter Personal Communication</v>
      </c>
      <c r="D272" s="3019" t="str">
        <f>'11-A. IEC Sub-Annex'!E17</f>
        <v>RCH</v>
      </c>
      <c r="E272" s="3019" t="str">
        <f>'11-A. IEC Sub-Annex'!F17</f>
        <v>FP</v>
      </c>
      <c r="F272" s="3019">
        <f>'11-A. IEC Sub-Annex'!G17</f>
        <v>0</v>
      </c>
      <c r="G272" s="3019">
        <f>'11-A. IEC Sub-Annex'!H17</f>
        <v>0</v>
      </c>
      <c r="H272" s="3019">
        <f>'11-A. IEC Sub-Annex'!I17</f>
        <v>0</v>
      </c>
      <c r="I272" s="3019">
        <f>'11-A. IEC Sub-Annex'!J17</f>
        <v>0</v>
      </c>
      <c r="J272" s="3019">
        <f>'11-A. IEC Sub-Annex'!K17</f>
        <v>0</v>
      </c>
      <c r="K272" s="3019">
        <f>'11-A. IEC Sub-Annex'!L17</f>
        <v>0</v>
      </c>
      <c r="L272" s="3020">
        <f>'11-A. IEC Sub-Annex'!M17</f>
        <v>0</v>
      </c>
      <c r="M272" s="3019">
        <f>'11-A. IEC Sub-Annex'!N17</f>
        <v>0</v>
      </c>
      <c r="N272" s="3019">
        <f>'11-A. IEC Sub-Annex'!O17</f>
        <v>0</v>
      </c>
      <c r="O272" s="3020">
        <f>'11-A. IEC Sub-Annex'!P17</f>
        <v>0</v>
      </c>
      <c r="P272" s="3047">
        <f>'11-A. IEC Sub-Annex'!Q17</f>
        <v>0</v>
      </c>
      <c r="Q272" s="3021"/>
      <c r="R272" s="3022"/>
    </row>
    <row r="273" spans="1:18" s="3023" customFormat="1" ht="120">
      <c r="A273" s="4606"/>
      <c r="B273" s="3017" t="str">
        <f>'11-A. IEC Sub-Annex'!C18</f>
        <v>A.3.5.4</v>
      </c>
      <c r="C273" s="3018" t="str">
        <f>'11-A. IEC Sub-Annex'!D18</f>
        <v>IEC &amp; promotional activities for World Population Day celebration</v>
      </c>
      <c r="D273" s="3019" t="str">
        <f>'11-A. IEC Sub-Annex'!E18</f>
        <v>RCH</v>
      </c>
      <c r="E273" s="3019" t="str">
        <f>'11-A. IEC Sub-Annex'!F18</f>
        <v>FP</v>
      </c>
      <c r="F273" s="3019">
        <f>'11-A. IEC Sub-Annex'!G18</f>
        <v>0</v>
      </c>
      <c r="G273" s="3019">
        <f>'11-A. IEC Sub-Annex'!H18</f>
        <v>0</v>
      </c>
      <c r="H273" s="3019">
        <f>'11-A. IEC Sub-Annex'!I18</f>
        <v>0</v>
      </c>
      <c r="I273" s="3019">
        <f>'11-A. IEC Sub-Annex'!J18</f>
        <v>0</v>
      </c>
      <c r="J273" s="3019">
        <f>'11-A. IEC Sub-Annex'!K18</f>
        <v>0</v>
      </c>
      <c r="K273" s="3019" t="str">
        <f>'11-A. IEC Sub-Annex'!L18</f>
        <v>WPD fortnight</v>
      </c>
      <c r="L273" s="3020">
        <f>'11-A. IEC Sub-Annex'!M18</f>
        <v>6024000</v>
      </c>
      <c r="M273" s="3019">
        <f>'11-A. IEC Sub-Annex'!N18</f>
        <v>60.24</v>
      </c>
      <c r="N273" s="3019">
        <f>'11-A. IEC Sub-Annex'!O18</f>
        <v>1</v>
      </c>
      <c r="O273" s="3020">
        <f>'11-A. IEC Sub-Annex'!P18</f>
        <v>60.24</v>
      </c>
      <c r="P273" s="3047" t="str">
        <f>'11-A. IEC Sub-Annex'!Q18</f>
        <v>Continued Activity:
(a) State requests for Celebration of World Population Day in the state. For the purpose, an amount of 10000 is proposed for organizing a meeting at district level and an amount of Rs 5000 is proposed  for organizing health mela at block
The fund propsoed for the purpose is 
RS 10000*38 District + RS 5000 *534 PHC+ RS 200000 State = 3.80+26.70+2 = 32.5 lacs        (b) IUCD camp for promotion of IUCD services at APHC- 1387 APHC X Rs 2000 = 27.74 lacs. Total- (a) 32.5 lacs + (b) 27.74 lacs = 60.24 lacs</v>
      </c>
      <c r="Q273" s="3021"/>
      <c r="R273" s="3022"/>
    </row>
    <row r="274" spans="1:18" s="3023" customFormat="1" ht="120">
      <c r="A274" s="4606"/>
      <c r="B274" s="3017" t="str">
        <f>'11-A. IEC Sub-Annex'!C19</f>
        <v>A.3.5.5</v>
      </c>
      <c r="C274" s="3018" t="str">
        <f>'11-A. IEC Sub-Annex'!D19</f>
        <v xml:space="preserve">IEC &amp; promotional activities for Vasectomy Fortnight celebration </v>
      </c>
      <c r="D274" s="3019" t="str">
        <f>'11-A. IEC Sub-Annex'!E19</f>
        <v>RCH</v>
      </c>
      <c r="E274" s="3019" t="str">
        <f>'11-A. IEC Sub-Annex'!F19</f>
        <v>FP</v>
      </c>
      <c r="F274" s="3019">
        <f>'11-A. IEC Sub-Annex'!G19</f>
        <v>0</v>
      </c>
      <c r="G274" s="3019">
        <f>'11-A. IEC Sub-Annex'!H19</f>
        <v>0</v>
      </c>
      <c r="H274" s="3019">
        <f>'11-A. IEC Sub-Annex'!I19</f>
        <v>0</v>
      </c>
      <c r="I274" s="3019">
        <f>'11-A. IEC Sub-Annex'!J19</f>
        <v>0</v>
      </c>
      <c r="J274" s="3019">
        <f>'11-A. IEC Sub-Annex'!K19</f>
        <v>0</v>
      </c>
      <c r="K274" s="3019" t="str">
        <f>'11-A. IEC Sub-Annex'!L19</f>
        <v>NSV fortnight</v>
      </c>
      <c r="L274" s="3020">
        <f>'11-A. IEC Sub-Annex'!M19</f>
        <v>6024000</v>
      </c>
      <c r="M274" s="3019">
        <f>'11-A. IEC Sub-Annex'!N19</f>
        <v>60.24</v>
      </c>
      <c r="N274" s="3019">
        <f>'11-A. IEC Sub-Annex'!O19</f>
        <v>1</v>
      </c>
      <c r="O274" s="3020">
        <f>'11-A. IEC Sub-Annex'!P19</f>
        <v>60.24</v>
      </c>
      <c r="P274" s="3047" t="str">
        <f>'11-A. IEC Sub-Annex'!Q19</f>
        <v>Continued Activity:
(a) State requests for Celebration of Vasectomy day in the state. For the purpose, an amount of 10000 is proposed for organizing a meeting at district level and an amount of Rs 5000 is proposed  for organizing health mela at block
The fund propsoed for the purpose is 
RS 10000*38 District + RS 5000 *534 PHC+ RS 200000 State = 3.80+26.70+2 = 32.5 lacs        (b) IUCD camp for promotion of IUCD services at APHC- 1387 APHC X Rs 2000 = 27.74 lacs. Total- (a) 32.5 lacs + (b) 27.74 lacs = 60.24 lacs</v>
      </c>
      <c r="Q274" s="3021"/>
      <c r="R274" s="3022"/>
    </row>
    <row r="275" spans="1:18" s="3023" customFormat="1" ht="120">
      <c r="A275" s="4606"/>
      <c r="B275" s="3017" t="str">
        <f>'11-A. IEC Sub-Annex'!C20</f>
        <v>A.3.7.4</v>
      </c>
      <c r="C275" s="3018" t="str">
        <f>'11-A. IEC Sub-Annex'!D20</f>
        <v>IEC activities for Mission Parivar Vikas Campaign (Frequency-at least 4/year)</v>
      </c>
      <c r="D275" s="3019" t="str">
        <f>'11-A. IEC Sub-Annex'!E20</f>
        <v>RCH</v>
      </c>
      <c r="E275" s="3019" t="str">
        <f>'11-A. IEC Sub-Annex'!F20</f>
        <v>FP</v>
      </c>
      <c r="F275" s="3019">
        <f>'11-A. IEC Sub-Annex'!G20</f>
        <v>0</v>
      </c>
      <c r="G275" s="3019">
        <f>'11-A. IEC Sub-Annex'!H20</f>
        <v>0</v>
      </c>
      <c r="H275" s="3019">
        <f>'11-A. IEC Sub-Annex'!I20</f>
        <v>0</v>
      </c>
      <c r="I275" s="3019">
        <f>'11-A. IEC Sub-Annex'!J20</f>
        <v>0</v>
      </c>
      <c r="J275" s="3019">
        <f>'11-A. IEC Sub-Annex'!K20</f>
        <v>0</v>
      </c>
      <c r="K275" s="3019" t="str">
        <f>'11-A. IEC Sub-Annex'!L20</f>
        <v>MPV drive</v>
      </c>
      <c r="L275" s="3020">
        <f>'11-A. IEC Sub-Annex'!M20</f>
        <v>6024000</v>
      </c>
      <c r="M275" s="3019">
        <f>'11-A. IEC Sub-Annex'!N20</f>
        <v>60.24</v>
      </c>
      <c r="N275" s="3019">
        <f>'11-A. IEC Sub-Annex'!O20</f>
        <v>2</v>
      </c>
      <c r="O275" s="3020">
        <f>'11-A. IEC Sub-Annex'!P20</f>
        <v>120.48</v>
      </c>
      <c r="P275" s="3047" t="str">
        <f>'11-A. IEC Sub-Annex'!Q20</f>
        <v>Continued Activity:
(a) State requests for Celebration of Mission Parivar Vikas Drive in the state. For the purpose, an amount of 10000 is proposed for organizing a meeting at district level and an amount of Rs 5000 is proposed  for organizing health mela
The fund propsoed for the purpose is 
RS 10000*38 District + RS 5000 *534 PHC+ RS 200000 State = 3.80+26.70+2 = 32.5 lacs        (b) IUCD camp for promotion of IUCD services at APHC- 1387 APHC X Rs 2000 = 27.74 lacs. Total- (a) 32.5 lacs + (b) 27.74 lacs = 60.24 lacs X 2 MPV drives = 120.48 lacs</v>
      </c>
      <c r="Q275" s="3021"/>
      <c r="R275" s="3022"/>
    </row>
    <row r="276" spans="1:18" s="3023" customFormat="1" ht="240">
      <c r="A276" s="4606"/>
      <c r="B276" s="3017">
        <f>'11-A. IEC Sub-Annex'!C21</f>
        <v>0</v>
      </c>
      <c r="C276" s="3018" t="str">
        <f>'11-A. IEC Sub-Annex'!D21</f>
        <v>Any other IEC/BCC activities (please specify)</v>
      </c>
      <c r="D276" s="3019" t="str">
        <f>'11-A. IEC Sub-Annex'!E21</f>
        <v>RCH</v>
      </c>
      <c r="E276" s="3019" t="str">
        <f>'11-A. IEC Sub-Annex'!F21</f>
        <v>FP</v>
      </c>
      <c r="F276" s="3019">
        <f>'11-A. IEC Sub-Annex'!G21</f>
        <v>0</v>
      </c>
      <c r="G276" s="3019">
        <f>'11-A. IEC Sub-Annex'!H21</f>
        <v>0</v>
      </c>
      <c r="H276" s="3019">
        <f>'11-A. IEC Sub-Annex'!I21</f>
        <v>0</v>
      </c>
      <c r="I276" s="3019">
        <f>'11-A. IEC Sub-Annex'!J21</f>
        <v>0</v>
      </c>
      <c r="J276" s="3019">
        <f>'11-A. IEC Sub-Annex'!K21</f>
        <v>0</v>
      </c>
      <c r="K276" s="3019" t="str">
        <f>'11-A. IEC Sub-Annex'!L21</f>
        <v>activity</v>
      </c>
      <c r="L276" s="3020">
        <f>'11-A. IEC Sub-Annex'!M21</f>
        <v>11765000</v>
      </c>
      <c r="M276" s="3019">
        <f>'11-A. IEC Sub-Annex'!N21</f>
        <v>117.65</v>
      </c>
      <c r="N276" s="3019">
        <f>'11-A. IEC Sub-Annex'!O21</f>
        <v>1</v>
      </c>
      <c r="O276" s="3020">
        <f>'11-A. IEC Sub-Annex'!P21</f>
        <v>117.65</v>
      </c>
      <c r="P276" s="3047" t="str">
        <f>'11-A. IEC Sub-Annex'!Q21</f>
        <v xml:space="preserve">ContinuedActivity: 
Budget is proposed for Wall Writing at PHCs/HWCs, Nukkad Natak and 161 Permanent Hoarding at FRUs and Medical Colleges &amp; Hospital, Tin Plate etc. and other activities as required or possible.  Rs. 20 lakhs requried approx.
New Activity :
Various Equipments - Audio/visual equipmants such as LED Screen, PA System, Pen Drive etc.,  Modular designing, Fabricationetc. Costing of each vehicle is approx 5 lakhs, Total 500000x9 (vehicles)=4500000 (One time costing)
Operational Cost -  Rs.1000/- per day (for dirver and technician/conductor)*270 days*9 Van+ For POL- 270 days * Rs.1000/-*9 Van  =  Rs. 1000x9 (Van)x270 (days) = Rs 2430000 + Rs/ 1000x9(Van)x270 (days) = 2430000, Total 4860000.00.
Misc.+AMC etc. per month Rs. 5000 x 9 (Vehicle)x9 (Months) = Rs. 405000
Total Costing on equipment/fabrication etc.+ Operational cost+Misc. = 4500000+4860000.00+405000=Rs.9765000.00
</v>
      </c>
      <c r="Q276" s="3021"/>
      <c r="R276" s="3022"/>
    </row>
    <row r="277" spans="1:18" s="3023" customFormat="1">
      <c r="A277" s="3030">
        <f>'12.Printing Annex'!A7</f>
        <v>12</v>
      </c>
      <c r="B277" s="3038"/>
      <c r="C277" s="3031" t="str">
        <f>'12.Printing Annex'!C7</f>
        <v>Printing</v>
      </c>
      <c r="D277" s="3032"/>
      <c r="E277" s="3032"/>
      <c r="F277" s="3032"/>
      <c r="G277" s="3032"/>
      <c r="H277" s="3033"/>
      <c r="I277" s="3032"/>
      <c r="J277" s="3033"/>
      <c r="K277" s="3032"/>
      <c r="L277" s="3033"/>
      <c r="M277" s="3033"/>
      <c r="N277" s="3039"/>
      <c r="O277" s="3040">
        <f>SUM(O278:O282)</f>
        <v>135</v>
      </c>
      <c r="P277" s="3064"/>
      <c r="Q277" s="3042"/>
      <c r="R277" s="3043">
        <f>SUM(R278:R282)</f>
        <v>0</v>
      </c>
    </row>
    <row r="278" spans="1:18" s="3023" customFormat="1">
      <c r="A278" s="4606" t="str">
        <f>'12.Printing Annex'!A11</f>
        <v>12.1.3</v>
      </c>
      <c r="B278" s="3017" t="str">
        <f>'12-A. Print Sub-Annex'!C28</f>
        <v>A.3.2.7</v>
      </c>
      <c r="C278" s="3018" t="str">
        <f>'12-A. Print Sub-Annex'!D28</f>
        <v>Dissemination of FP manuals and guidelines</v>
      </c>
      <c r="D278" s="3019" t="str">
        <f>'12-A. Print Sub-Annex'!E28</f>
        <v>RCH</v>
      </c>
      <c r="E278" s="3019" t="str">
        <f>'12-A. Print Sub-Annex'!F28</f>
        <v>FP</v>
      </c>
      <c r="F278" s="3019">
        <f>'12-A. Print Sub-Annex'!G28</f>
        <v>0</v>
      </c>
      <c r="G278" s="3019">
        <f>'12-A. Print Sub-Annex'!H28</f>
        <v>0</v>
      </c>
      <c r="H278" s="3019">
        <f>'12-A. Print Sub-Annex'!I28</f>
        <v>0</v>
      </c>
      <c r="I278" s="3019">
        <f>'12-A. Print Sub-Annex'!J28</f>
        <v>0</v>
      </c>
      <c r="J278" s="3019">
        <f>'12-A. Print Sub-Annex'!K28</f>
        <v>0</v>
      </c>
      <c r="K278" s="3019">
        <f>'12-A. Print Sub-Annex'!L28</f>
        <v>0</v>
      </c>
      <c r="L278" s="3020">
        <f>'12-A. Print Sub-Annex'!M28</f>
        <v>0</v>
      </c>
      <c r="M278" s="3019">
        <f>'12-A. Print Sub-Annex'!N28</f>
        <v>0</v>
      </c>
      <c r="N278" s="3019">
        <f>'12-A. Print Sub-Annex'!O28</f>
        <v>0</v>
      </c>
      <c r="O278" s="3020">
        <f>'12-A. Print Sub-Annex'!P28</f>
        <v>0</v>
      </c>
      <c r="P278" s="3047">
        <f>'12-A. Print Sub-Annex'!Q28</f>
        <v>0</v>
      </c>
      <c r="Q278" s="3021"/>
      <c r="R278" s="3022"/>
    </row>
    <row r="279" spans="1:18" s="3023" customFormat="1" ht="75">
      <c r="A279" s="4606"/>
      <c r="B279" s="3017" t="str">
        <f>'12-A. Print Sub-Annex'!C29</f>
        <v>A.3.7.4</v>
      </c>
      <c r="C279" s="3018" t="str">
        <f>'12-A. Print Sub-Annex'!D29</f>
        <v xml:space="preserve">Printing for Mission Parivar Vikas Campaign </v>
      </c>
      <c r="D279" s="3019" t="str">
        <f>'12-A. Print Sub-Annex'!E29</f>
        <v>RCH</v>
      </c>
      <c r="E279" s="3019" t="str">
        <f>'12-A. Print Sub-Annex'!F29</f>
        <v>FP</v>
      </c>
      <c r="F279" s="3019">
        <f>'12-A. Print Sub-Annex'!G29</f>
        <v>0</v>
      </c>
      <c r="G279" s="3019">
        <f>'12-A. Print Sub-Annex'!H29</f>
        <v>0</v>
      </c>
      <c r="H279" s="3019">
        <f>'12-A. Print Sub-Annex'!I29</f>
        <v>0</v>
      </c>
      <c r="I279" s="3019">
        <f>'12-A. Print Sub-Annex'!J29</f>
        <v>0</v>
      </c>
      <c r="J279" s="3019">
        <f>'12-A. Print Sub-Annex'!K29</f>
        <v>0</v>
      </c>
      <c r="K279" s="3019" t="str">
        <f>'12-A. Print Sub-Annex'!L29</f>
        <v>MPV /special drive</v>
      </c>
      <c r="L279" s="3020">
        <f>'12-A. Print Sub-Annex'!M29</f>
        <v>1250000</v>
      </c>
      <c r="M279" s="3019">
        <f>'12-A. Print Sub-Annex'!N29</f>
        <v>12.5</v>
      </c>
      <c r="N279" s="3019">
        <f>'12-A. Print Sub-Annex'!O29</f>
        <v>4</v>
      </c>
      <c r="O279" s="3020">
        <f>'12-A. Print Sub-Annex'!P29</f>
        <v>50</v>
      </c>
      <c r="P279" s="3047" t="str">
        <f>'12-A. Print Sub-Annex'!Q29</f>
        <v>Continued Activities:
The fund propsoed for the purpose is: 
Printing of various IEC Materials during Mission Parivar Vikash Campaign Rs. 12.50 lakhs for Poster, Banner, Leaflet etc.
For total 4 drives - Rs. 12.50  lakhsx4 times = 50 lakhs.</v>
      </c>
      <c r="Q279" s="3021"/>
      <c r="R279" s="3022"/>
    </row>
    <row r="280" spans="1:18" s="3023" customFormat="1" ht="45">
      <c r="A280" s="4606"/>
      <c r="B280" s="3017" t="str">
        <f>'12-A. Print Sub-Annex'!C30</f>
        <v>A.3.5.6.1</v>
      </c>
      <c r="C280" s="3018" t="str">
        <f>'12-A. Print Sub-Annex'!D30</f>
        <v>Printing of FP Manuals, Guidelines, etc.</v>
      </c>
      <c r="D280" s="3019" t="str">
        <f>'12-A. Print Sub-Annex'!E30</f>
        <v>RCH</v>
      </c>
      <c r="E280" s="3019" t="str">
        <f>'12-A. Print Sub-Annex'!F30</f>
        <v>FP</v>
      </c>
      <c r="F280" s="3019">
        <f>'12-A. Print Sub-Annex'!G30</f>
        <v>0</v>
      </c>
      <c r="G280" s="3019">
        <f>'12-A. Print Sub-Annex'!H30</f>
        <v>0</v>
      </c>
      <c r="H280" s="3019">
        <f>'12-A. Print Sub-Annex'!I30</f>
        <v>0</v>
      </c>
      <c r="I280" s="3019">
        <f>'12-A. Print Sub-Annex'!J30</f>
        <v>0</v>
      </c>
      <c r="J280" s="3019">
        <f>'12-A. Print Sub-Annex'!K30</f>
        <v>0</v>
      </c>
      <c r="K280" s="3019" t="str">
        <f>'12-A. Print Sub-Annex'!L30</f>
        <v>Types Of manuals</v>
      </c>
      <c r="L280" s="3020">
        <f>'12-A. Print Sub-Annex'!M30</f>
        <v>250000</v>
      </c>
      <c r="M280" s="3019">
        <f>'12-A. Print Sub-Annex'!N30</f>
        <v>2.5</v>
      </c>
      <c r="N280" s="3019">
        <f>'12-A. Print Sub-Annex'!O30</f>
        <v>10</v>
      </c>
      <c r="O280" s="3020">
        <f>'12-A. Print Sub-Annex'!P30</f>
        <v>25</v>
      </c>
      <c r="P280" s="3047" t="str">
        <f>'12-A. Print Sub-Annex'!Q30</f>
        <v xml:space="preserve">Continued Activity:
Printing of various types of FP Manual, Guideline etc.
</v>
      </c>
      <c r="Q280" s="3021"/>
      <c r="R280" s="3022"/>
    </row>
    <row r="281" spans="1:18" s="3023" customFormat="1" ht="30">
      <c r="A281" s="4606"/>
      <c r="B281" s="3017" t="str">
        <f>'12-A. Print Sub-Annex'!C31</f>
        <v>B.10.7.3</v>
      </c>
      <c r="C281" s="3018" t="str">
        <f>'12-A. Print Sub-Annex'!D31</f>
        <v>Printing of IUCD cards, MPA Card, FP manuals, guidelines etc.</v>
      </c>
      <c r="D281" s="3019" t="str">
        <f>'12-A. Print Sub-Annex'!E31</f>
        <v>RCH</v>
      </c>
      <c r="E281" s="3019" t="str">
        <f>'12-A. Print Sub-Annex'!F31</f>
        <v>FP</v>
      </c>
      <c r="F281" s="3019">
        <f>'12-A. Print Sub-Annex'!G31</f>
        <v>0</v>
      </c>
      <c r="G281" s="3019">
        <f>'12-A. Print Sub-Annex'!H31</f>
        <v>0</v>
      </c>
      <c r="H281" s="3019">
        <f>'12-A. Print Sub-Annex'!I31</f>
        <v>0</v>
      </c>
      <c r="I281" s="3019">
        <f>'12-A. Print Sub-Annex'!J31</f>
        <v>0</v>
      </c>
      <c r="J281" s="3019">
        <f>'12-A. Print Sub-Annex'!K31</f>
        <v>0</v>
      </c>
      <c r="K281" s="3019" t="str">
        <f>'12-A. Print Sub-Annex'!L31</f>
        <v>Types of cards</v>
      </c>
      <c r="L281" s="3020">
        <f>'12-A. Print Sub-Annex'!M31</f>
        <v>500000</v>
      </c>
      <c r="M281" s="3019">
        <f>'12-A. Print Sub-Annex'!N31</f>
        <v>5</v>
      </c>
      <c r="N281" s="3019">
        <f>'12-A. Print Sub-Annex'!O31</f>
        <v>10</v>
      </c>
      <c r="O281" s="3020">
        <f>'12-A. Print Sub-Annex'!P31</f>
        <v>50</v>
      </c>
      <c r="P281" s="3047" t="str">
        <f>'12-A. Print Sub-Annex'!Q31</f>
        <v>Continued Activity :
Printing of  various types of Cards, Folder, Regiser, Format  etc. for reporting etc.</v>
      </c>
      <c r="Q281" s="3021"/>
      <c r="R281" s="3022"/>
    </row>
    <row r="282" spans="1:18" s="3023" customFormat="1" ht="45">
      <c r="A282" s="4606"/>
      <c r="B282" s="3017">
        <f>'12-A. Print Sub-Annex'!C32</f>
        <v>0</v>
      </c>
      <c r="C282" s="3018" t="str">
        <f>'12-A. Print Sub-Annex'!D32</f>
        <v>Any other (please specify)</v>
      </c>
      <c r="D282" s="3019" t="str">
        <f>'12-A. Print Sub-Annex'!E32</f>
        <v>RCH</v>
      </c>
      <c r="E282" s="3019" t="str">
        <f>'12-A. Print Sub-Annex'!F32</f>
        <v>FP</v>
      </c>
      <c r="F282" s="3019">
        <f>'12-A. Print Sub-Annex'!G32</f>
        <v>0</v>
      </c>
      <c r="G282" s="3019">
        <f>'12-A. Print Sub-Annex'!H32</f>
        <v>0</v>
      </c>
      <c r="H282" s="3019">
        <f>'12-A. Print Sub-Annex'!I32</f>
        <v>0</v>
      </c>
      <c r="I282" s="3019">
        <f>'12-A. Print Sub-Annex'!J32</f>
        <v>0</v>
      </c>
      <c r="J282" s="3019">
        <f>'12-A. Print Sub-Annex'!K32</f>
        <v>0</v>
      </c>
      <c r="K282" s="3019" t="str">
        <f>'12-A. Print Sub-Annex'!L32</f>
        <v>No. Of tracking bag</v>
      </c>
      <c r="L282" s="3020">
        <f>'12-A. Print Sub-Annex'!M32</f>
        <v>200</v>
      </c>
      <c r="M282" s="3019">
        <f>'12-A. Print Sub-Annex'!N32</f>
        <v>2E-3</v>
      </c>
      <c r="N282" s="3019">
        <f>'12-A. Print Sub-Annex'!O32</f>
        <v>5000</v>
      </c>
      <c r="O282" s="3020">
        <f>'12-A. Print Sub-Annex'!P32</f>
        <v>10</v>
      </c>
      <c r="P282" s="3047" t="str">
        <f>'12-A. Print Sub-Annex'!Q32</f>
        <v>New Activity: Antara Dose &amp; IUCD insertion  Tracking Bag- 5000 Units (2500 center X 2 types) (From Medical Collage up to APHC/UPHC and training centers etc) * Rs.200/- = Rs. 10 Lacs</v>
      </c>
      <c r="Q282" s="3021"/>
      <c r="R282" s="3022"/>
    </row>
    <row r="283" spans="1:18" s="3023" customFormat="1">
      <c r="A283" s="3030">
        <f>'14.Drug warehouse &amp;Logistic Anx'!A7</f>
        <v>14</v>
      </c>
      <c r="B283" s="3038"/>
      <c r="C283" s="3031" t="str">
        <f>'14.Drug warehouse &amp;Logistic Anx'!C7</f>
        <v>Drug Warehousing and Logistics</v>
      </c>
      <c r="D283" s="3032"/>
      <c r="E283" s="3032"/>
      <c r="F283" s="3032"/>
      <c r="G283" s="3032"/>
      <c r="H283" s="3033"/>
      <c r="I283" s="3032"/>
      <c r="J283" s="3033"/>
      <c r="K283" s="3032"/>
      <c r="L283" s="3033"/>
      <c r="M283" s="3033"/>
      <c r="N283" s="3039"/>
      <c r="O283" s="3040">
        <f>SUM(O284)</f>
        <v>39.499980000000001</v>
      </c>
      <c r="P283" s="3064"/>
      <c r="Q283" s="3042"/>
      <c r="R283" s="3043">
        <f>SUM(R284)</f>
        <v>0</v>
      </c>
    </row>
    <row r="284" spans="1:18" s="3023" customFormat="1" ht="45">
      <c r="A284" s="3017" t="str">
        <f>'14.Drug warehouse &amp;Logistic Anx'!A19</f>
        <v>14.2.3</v>
      </c>
      <c r="B284" s="3017">
        <f>'14.Drug warehouse &amp;Logistic Anx'!B19</f>
        <v>0</v>
      </c>
      <c r="C284" s="3018" t="str">
        <f>'14.Drug warehouse &amp;Logistic Anx'!C19</f>
        <v>Implementation of FP-LMIS</v>
      </c>
      <c r="D284" s="3019" t="str">
        <f>'14.Drug warehouse &amp;Logistic Anx'!D19</f>
        <v>RCH</v>
      </c>
      <c r="E284" s="3019" t="str">
        <f>'14.Drug warehouse &amp;Logistic Anx'!E19</f>
        <v>FP</v>
      </c>
      <c r="F284" s="3019">
        <f>'14.Drug warehouse &amp;Logistic Anx'!F19</f>
        <v>0</v>
      </c>
      <c r="G284" s="3019">
        <f>'14.Drug warehouse &amp;Logistic Anx'!G19</f>
        <v>0</v>
      </c>
      <c r="H284" s="3019">
        <f>'14.Drug warehouse &amp;Logistic Anx'!H19</f>
        <v>0</v>
      </c>
      <c r="I284" s="3019">
        <f>'14.Drug warehouse &amp;Logistic Anx'!I19</f>
        <v>0</v>
      </c>
      <c r="J284" s="3019">
        <f>'14.Drug warehouse &amp;Logistic Anx'!J19</f>
        <v>0</v>
      </c>
      <c r="K284" s="3019" t="str">
        <f>'14.Drug warehouse &amp;Logistic Anx'!K19</f>
        <v>No. Of health inst.</v>
      </c>
      <c r="L284" s="3020">
        <f>'14.Drug warehouse &amp;Logistic Anx'!L19</f>
        <v>101282</v>
      </c>
      <c r="M284" s="3019">
        <f>'14.Drug warehouse &amp;Logistic Anx'!M19</f>
        <v>1.0128200000000001</v>
      </c>
      <c r="N284" s="3019">
        <f>'14.Drug warehouse &amp;Logistic Anx'!N19</f>
        <v>39</v>
      </c>
      <c r="O284" s="3020">
        <f>'14.Drug warehouse &amp;Logistic Anx'!O19</f>
        <v>39.499980000000001</v>
      </c>
      <c r="P284" s="3047" t="str">
        <f>'14.Drug warehouse &amp;Logistic Anx'!P19</f>
        <v xml:space="preserve">New activity- maintainance of computer and recurring  expenses to store for FPLMIS implementation- Rs.39.50 lakhs @Rs.1 lakh /district for 38 districts and Rs.1.5 lakh at state level for strenghning of FP supply chain. Total </v>
      </c>
      <c r="Q284" s="3021"/>
      <c r="R284" s="3022"/>
    </row>
    <row r="285" spans="1:18" s="3023" customFormat="1">
      <c r="A285" s="3068">
        <f>'15.PPP Annex'!A7</f>
        <v>15</v>
      </c>
      <c r="B285" s="3068"/>
      <c r="C285" s="3069" t="str">
        <f>'15.PPP Annex'!C7</f>
        <v>PPP</v>
      </c>
      <c r="D285" s="3070"/>
      <c r="E285" s="3070"/>
      <c r="F285" s="3070"/>
      <c r="G285" s="3070"/>
      <c r="H285" s="3070"/>
      <c r="I285" s="3070"/>
      <c r="J285" s="3070"/>
      <c r="K285" s="3070"/>
      <c r="L285" s="3033"/>
      <c r="M285" s="3033"/>
      <c r="N285" s="3070"/>
      <c r="O285" s="3033">
        <f>SUM(O286:O287)</f>
        <v>2.5</v>
      </c>
      <c r="P285" s="3071"/>
      <c r="Q285" s="3072"/>
      <c r="R285" s="3035">
        <f>SUM(R286:R287)</f>
        <v>0</v>
      </c>
    </row>
    <row r="286" spans="1:18" s="3023" customFormat="1" ht="30">
      <c r="A286" s="3017" t="str">
        <f>'15.PPP Annex'!A9</f>
        <v>15.1.1</v>
      </c>
      <c r="B286" s="3017" t="str">
        <f>'15.PPP Annex'!B9</f>
        <v>A.3.1.5</v>
      </c>
      <c r="C286" s="3018" t="str">
        <f>'15.PPP Annex'!C9</f>
        <v xml:space="preserve">Processing accreditation/empanelment for private facilities/providers to provide sterilization services </v>
      </c>
      <c r="D286" s="3019" t="str">
        <f>'15.PPP Annex'!D9</f>
        <v xml:space="preserve">RCH </v>
      </c>
      <c r="E286" s="3019" t="str">
        <f>'15.PPP Annex'!E9</f>
        <v>FP</v>
      </c>
      <c r="F286" s="3019">
        <f>'15.PPP Annex'!F9</f>
        <v>0</v>
      </c>
      <c r="G286" s="3019">
        <f>'15.PPP Annex'!G9</f>
        <v>0</v>
      </c>
      <c r="H286" s="3019">
        <f>'15.PPP Annex'!H9</f>
        <v>0</v>
      </c>
      <c r="I286" s="3019">
        <f>'15.PPP Annex'!I9</f>
        <v>0</v>
      </c>
      <c r="J286" s="3019">
        <f>'15.PPP Annex'!J9</f>
        <v>0</v>
      </c>
      <c r="K286" s="3019" t="str">
        <f>'15.PPP Annex'!K9</f>
        <v xml:space="preserve">No. Of expected nursing home </v>
      </c>
      <c r="L286" s="3020">
        <f>'15.PPP Annex'!L9</f>
        <v>5000</v>
      </c>
      <c r="M286" s="3019">
        <f>'15.PPP Annex'!M9</f>
        <v>0.05</v>
      </c>
      <c r="N286" s="3019">
        <f>'15.PPP Annex'!N9</f>
        <v>50</v>
      </c>
      <c r="O286" s="3020">
        <f>'15.PPP Annex'!O9</f>
        <v>2.5</v>
      </c>
      <c r="P286" s="3047" t="str">
        <f>'15.PPP Annex'!P9</f>
        <v>New activity- Incentive for timely processing of accreditation process under PPP mode. Rs 5000 as incentive to accreditation team X 50 no. Of expected nursing home</v>
      </c>
      <c r="Q286" s="3021"/>
      <c r="R286" s="3022"/>
    </row>
    <row r="287" spans="1:18" s="3023" customFormat="1">
      <c r="A287" s="3017" t="str">
        <f>'15.PPP Annex'!A10</f>
        <v>15.1.2</v>
      </c>
      <c r="B287" s="3017">
        <f>'15.PPP Annex'!B10</f>
        <v>0</v>
      </c>
      <c r="C287" s="3018" t="str">
        <f>'15.PPP Annex'!C10</f>
        <v>Any other (please specify)</v>
      </c>
      <c r="D287" s="3019" t="str">
        <f>'15.PPP Annex'!D10</f>
        <v xml:space="preserve">RCH </v>
      </c>
      <c r="E287" s="3019" t="str">
        <f>'15.PPP Annex'!E10</f>
        <v>FP</v>
      </c>
      <c r="F287" s="3019">
        <f>'15.PPP Annex'!F10</f>
        <v>0</v>
      </c>
      <c r="G287" s="3019">
        <f>'15.PPP Annex'!G10</f>
        <v>0</v>
      </c>
      <c r="H287" s="3019">
        <f>'15.PPP Annex'!H10</f>
        <v>0</v>
      </c>
      <c r="I287" s="3019">
        <f>'15.PPP Annex'!I10</f>
        <v>0</v>
      </c>
      <c r="J287" s="3019">
        <f>'15.PPP Annex'!J10</f>
        <v>0</v>
      </c>
      <c r="K287" s="3019">
        <f>'15.PPP Annex'!K10</f>
        <v>0</v>
      </c>
      <c r="L287" s="3020">
        <f>'15.PPP Annex'!L10</f>
        <v>0</v>
      </c>
      <c r="M287" s="3019">
        <f>'15.PPP Annex'!M10</f>
        <v>0</v>
      </c>
      <c r="N287" s="3019">
        <f>'15.PPP Annex'!N10</f>
        <v>0</v>
      </c>
      <c r="O287" s="3020">
        <f>'15.PPP Annex'!O10</f>
        <v>0</v>
      </c>
      <c r="P287" s="3047">
        <f>'15.PPP Annex'!P10</f>
        <v>0</v>
      </c>
      <c r="Q287" s="3021"/>
      <c r="R287" s="3022"/>
    </row>
    <row r="288" spans="1:18" s="3023" customFormat="1">
      <c r="A288" s="3053" t="s">
        <v>4355</v>
      </c>
      <c r="B288" s="3053"/>
      <c r="C288" s="3054" t="s">
        <v>5368</v>
      </c>
      <c r="D288" s="3055"/>
      <c r="E288" s="3055"/>
      <c r="F288" s="3055"/>
      <c r="G288" s="3055"/>
      <c r="H288" s="3056"/>
      <c r="I288" s="3055"/>
      <c r="J288" s="3056"/>
      <c r="K288" s="3055"/>
      <c r="L288" s="3056"/>
      <c r="M288" s="3056"/>
      <c r="N288" s="3057"/>
      <c r="O288" s="3058">
        <f>O289+O294+O298+O302+O304+O311+O313+O330+O334</f>
        <v>2663.0975216000002</v>
      </c>
      <c r="P288" s="3065"/>
      <c r="Q288" s="3060"/>
      <c r="R288" s="3061">
        <f>R289+R294+R298+R302+R304+R311+R313+R330+R334</f>
        <v>0</v>
      </c>
    </row>
    <row r="289" spans="1:18" s="3029" customFormat="1">
      <c r="A289" s="3030">
        <f>'1.SD Facility Based Annex'!A7</f>
        <v>1</v>
      </c>
      <c r="B289" s="3030">
        <f>'1.SD Facility Based Annex'!B7</f>
        <v>0</v>
      </c>
      <c r="C289" s="3031" t="str">
        <f>'1.SD Facility Based Annex'!C7</f>
        <v>Service Delivery - Facility Based</v>
      </c>
      <c r="D289" s="3032"/>
      <c r="E289" s="3032"/>
      <c r="F289" s="3032"/>
      <c r="G289" s="3032"/>
      <c r="H289" s="3032"/>
      <c r="I289" s="3032"/>
      <c r="J289" s="3032"/>
      <c r="K289" s="3032"/>
      <c r="L289" s="3033"/>
      <c r="M289" s="3032"/>
      <c r="N289" s="3032"/>
      <c r="O289" s="3033">
        <f>SUM(O290:O293)</f>
        <v>30</v>
      </c>
      <c r="P289" s="3066"/>
      <c r="Q289" s="3034"/>
      <c r="R289" s="3035">
        <f>SUM(R290:R293)</f>
        <v>0</v>
      </c>
    </row>
    <row r="290" spans="1:18" s="3023" customFormat="1" ht="75">
      <c r="A290" s="3017" t="str">
        <f>'1.SD Facility Based Annex'!A30</f>
        <v>1.1.4.1</v>
      </c>
      <c r="B290" s="3017">
        <f>'1.SD Facility Based Annex'!B30</f>
        <v>0</v>
      </c>
      <c r="C290" s="3018" t="str">
        <f>'1.SD Facility Based Annex'!C30</f>
        <v>Activity for Strengthening AH Services</v>
      </c>
      <c r="D290" s="3019" t="str">
        <f>'1.SD Facility Based Annex'!D30</f>
        <v>RCH</v>
      </c>
      <c r="E290" s="3019" t="str">
        <f>'1.SD Facility Based Annex'!E30</f>
        <v>AH</v>
      </c>
      <c r="F290" s="3019">
        <f>'1.SD Facility Based Annex'!F30</f>
        <v>0</v>
      </c>
      <c r="G290" s="3019">
        <f>'1.SD Facility Based Annex'!G30</f>
        <v>0</v>
      </c>
      <c r="H290" s="3019">
        <f>'1.SD Facility Based Annex'!H30</f>
        <v>0</v>
      </c>
      <c r="I290" s="3019">
        <f>'1.SD Facility Based Annex'!I30</f>
        <v>0</v>
      </c>
      <c r="J290" s="3019">
        <f>'1.SD Facility Based Annex'!J30</f>
        <v>0</v>
      </c>
      <c r="K290" s="3019" t="str">
        <f>'1.SD Facility Based Annex'!K30</f>
        <v>No. of meetings</v>
      </c>
      <c r="L290" s="3020">
        <f>'1.SD Facility Based Annex'!L30</f>
        <v>15000</v>
      </c>
      <c r="M290" s="3019">
        <f>'1.SD Facility Based Annex'!M30</f>
        <v>0.15</v>
      </c>
      <c r="N290" s="3019">
        <f>'1.SD Facility Based Annex'!N30</f>
        <v>28</v>
      </c>
      <c r="O290" s="3020">
        <f>'1.SD Facility Based Annex'!O30</f>
        <v>4.2</v>
      </c>
      <c r="P290" s="3047" t="str">
        <f>'1.SD Facility Based Annex'!P30</f>
        <v xml:space="preserve">New Activity
For strengthening and smooth functioning of  SHP program  meeting of Health and Education Department is important. Half Yearly meetings will be organised at district level in 14 districts  {5 old and 9 new ( 8 aspirational and 1 transformational district) }  for 2 quarters. </v>
      </c>
      <c r="Q290" s="3021"/>
      <c r="R290" s="3022"/>
    </row>
    <row r="291" spans="1:18" s="3023" customFormat="1">
      <c r="A291" s="3017" t="str">
        <f>'1.SD Facility Based Annex'!A31</f>
        <v>1.1.4.2</v>
      </c>
      <c r="B291" s="3017">
        <f>'1.SD Facility Based Annex'!B31</f>
        <v>0</v>
      </c>
      <c r="C291" s="3018" t="str">
        <f>'1.SD Facility Based Annex'!C31</f>
        <v>Any other (please specify)</v>
      </c>
      <c r="D291" s="3019" t="str">
        <f>'1.SD Facility Based Annex'!D31</f>
        <v>RCH</v>
      </c>
      <c r="E291" s="3019" t="str">
        <f>'1.SD Facility Based Annex'!E31</f>
        <v>AH</v>
      </c>
      <c r="F291" s="3019">
        <f>'1.SD Facility Based Annex'!F31</f>
        <v>0</v>
      </c>
      <c r="G291" s="3019">
        <f>'1.SD Facility Based Annex'!G31</f>
        <v>0</v>
      </c>
      <c r="H291" s="3019">
        <f>'1.SD Facility Based Annex'!H31</f>
        <v>0</v>
      </c>
      <c r="I291" s="3019">
        <f>'1.SD Facility Based Annex'!I31</f>
        <v>0</v>
      </c>
      <c r="J291" s="3019">
        <f>'1.SD Facility Based Annex'!J31</f>
        <v>0</v>
      </c>
      <c r="K291" s="3019">
        <f>'1.SD Facility Based Annex'!K31</f>
        <v>0</v>
      </c>
      <c r="L291" s="3020">
        <f>'1.SD Facility Based Annex'!L31</f>
        <v>0</v>
      </c>
      <c r="M291" s="3019">
        <f>'1.SD Facility Based Annex'!M31</f>
        <v>0</v>
      </c>
      <c r="N291" s="3019">
        <f>'1.SD Facility Based Annex'!N31</f>
        <v>0</v>
      </c>
      <c r="O291" s="3020">
        <f>'1.SD Facility Based Annex'!O31</f>
        <v>0</v>
      </c>
      <c r="P291" s="3047">
        <f>'1.SD Facility Based Annex'!P31</f>
        <v>0</v>
      </c>
      <c r="Q291" s="3021"/>
      <c r="R291" s="3022"/>
    </row>
    <row r="292" spans="1:18" s="3023" customFormat="1" ht="45">
      <c r="A292" s="3017" t="str">
        <f>'1.SD Facility Based Annex'!A89</f>
        <v>1.3.1.6</v>
      </c>
      <c r="B292" s="3017" t="str">
        <f>'1.SD Facility Based Annex'!B89</f>
        <v>A.4.1.3</v>
      </c>
      <c r="C292" s="3018" t="str">
        <f>'1.SD Facility Based Annex'!C89</f>
        <v>Operating expenses for AH/ RKSK Clinics</v>
      </c>
      <c r="D292" s="3019" t="str">
        <f>'1.SD Facility Based Annex'!D89</f>
        <v>RCH</v>
      </c>
      <c r="E292" s="3019" t="str">
        <f>'1.SD Facility Based Annex'!E89</f>
        <v>AH</v>
      </c>
      <c r="F292" s="3019">
        <f>'1.SD Facility Based Annex'!F89</f>
        <v>0</v>
      </c>
      <c r="G292" s="3019">
        <f>'1.SD Facility Based Annex'!G89</f>
        <v>0</v>
      </c>
      <c r="H292" s="3019">
        <f>'1.SD Facility Based Annex'!H89</f>
        <v>0</v>
      </c>
      <c r="I292" s="3019">
        <f>'1.SD Facility Based Annex'!I89</f>
        <v>0</v>
      </c>
      <c r="J292" s="3019">
        <f>'1.SD Facility Based Annex'!J89</f>
        <v>0</v>
      </c>
      <c r="K292" s="3019" t="str">
        <f>'1.SD Facility Based Annex'!K89</f>
        <v>No. of AFHC</v>
      </c>
      <c r="L292" s="3020">
        <f>'1.SD Facility Based Annex'!L89</f>
        <v>10000</v>
      </c>
      <c r="M292" s="3019">
        <f>'1.SD Facility Based Annex'!M89</f>
        <v>0.1</v>
      </c>
      <c r="N292" s="3019">
        <f>'1.SD Facility Based Annex'!N89</f>
        <v>208</v>
      </c>
      <c r="O292" s="3020">
        <f>'1.SD Facility Based Annex'!O89</f>
        <v>20.8</v>
      </c>
      <c r="P292" s="3047" t="str">
        <f>'1.SD Facility Based Annex'!P89</f>
        <v>Continued Activity
Operational cost for 208 AFHCs.  147 AFHCs at  10 Peer Educator Districts and  61 AFHCs at 11 Non-HPDs and  Medical Colleges</v>
      </c>
      <c r="Q292" s="3021"/>
      <c r="R292" s="3022"/>
    </row>
    <row r="293" spans="1:18" s="3023" customFormat="1" ht="120">
      <c r="A293" s="3017" t="str">
        <f>'1.SD Facility Based Annex'!A106</f>
        <v>1.3.1.19</v>
      </c>
      <c r="B293" s="3017">
        <f>'1.SD Facility Based Annex'!B106</f>
        <v>0</v>
      </c>
      <c r="C293" s="3018" t="str">
        <f>'1.SD Facility Based Annex'!C106</f>
        <v>Establishment of District level Adolescent Friendly Health Resource Centre (AFHRC)</v>
      </c>
      <c r="D293" s="3019" t="str">
        <f>'1.SD Facility Based Annex'!D106</f>
        <v>RCH</v>
      </c>
      <c r="E293" s="3019" t="str">
        <f>'1.SD Facility Based Annex'!E106</f>
        <v>AH</v>
      </c>
      <c r="F293" s="3019">
        <f>'1.SD Facility Based Annex'!F106</f>
        <v>0</v>
      </c>
      <c r="G293" s="3019">
        <f>'1.SD Facility Based Annex'!G106</f>
        <v>0</v>
      </c>
      <c r="H293" s="3019">
        <f>'1.SD Facility Based Annex'!H106</f>
        <v>0</v>
      </c>
      <c r="I293" s="3019">
        <f>'1.SD Facility Based Annex'!I106</f>
        <v>0</v>
      </c>
      <c r="J293" s="3019">
        <f>'1.SD Facility Based Annex'!J106</f>
        <v>0</v>
      </c>
      <c r="K293" s="3019" t="str">
        <f>'1.SD Facility Based Annex'!K106</f>
        <v>No of A-HRC</v>
      </c>
      <c r="L293" s="3020">
        <f>'1.SD Facility Based Annex'!L106</f>
        <v>100000</v>
      </c>
      <c r="M293" s="3019">
        <f>'1.SD Facility Based Annex'!M106</f>
        <v>1</v>
      </c>
      <c r="N293" s="3019">
        <f>'1.SD Facility Based Annex'!N106</f>
        <v>5</v>
      </c>
      <c r="O293" s="3020">
        <f>'1.SD Facility Based Annex'!O106</f>
        <v>5</v>
      </c>
      <c r="P293" s="3047" t="str">
        <f>'1.SD Facility Based Annex'!P106</f>
        <v xml:space="preserve">Continued Activity
As per the revised guidelines of RKSK,  Adolescent Friendly Health Clinics at District Level will be designated as Adolescent Health Resource Center (A-HRC). 
In the FY 2021-22, State has proposed to develop 5 AFHCs as A-HRC. The districts are Araria,  Kishanganj, Saharsa, East Champaran and Sheohar Rs. 100000/- is budgeted for each A-HRC for refurbishment with LED, waiting chair and teapoy,  Water Filter (with clorine filter), Interior decoration and other. This will a one time investment.
</v>
      </c>
      <c r="Q293" s="3021"/>
      <c r="R293" s="3022"/>
    </row>
    <row r="294" spans="1:18" s="3023" customFormat="1">
      <c r="A294" s="3030">
        <f>'2.SD Community Based Annex'!A7</f>
        <v>2</v>
      </c>
      <c r="B294" s="3030">
        <f>'2.SD Community Based Annex'!B7</f>
        <v>0</v>
      </c>
      <c r="C294" s="3031" t="str">
        <f>'2.SD Community Based Annex'!C7</f>
        <v>Service Delivery - Community Based</v>
      </c>
      <c r="D294" s="3032"/>
      <c r="E294" s="3032"/>
      <c r="F294" s="3032"/>
      <c r="G294" s="3032"/>
      <c r="H294" s="3032"/>
      <c r="I294" s="3032"/>
      <c r="J294" s="3032"/>
      <c r="K294" s="3032"/>
      <c r="L294" s="3033"/>
      <c r="M294" s="3032"/>
      <c r="N294" s="3032"/>
      <c r="O294" s="3033">
        <f>SUM(O295:O297)</f>
        <v>398.40000000000003</v>
      </c>
      <c r="P294" s="3066"/>
      <c r="Q294" s="3034"/>
      <c r="R294" s="3035">
        <f>SUM(R295:R297)</f>
        <v>0</v>
      </c>
    </row>
    <row r="295" spans="1:18" s="3023" customFormat="1">
      <c r="A295" s="3017" t="str">
        <f>'2.SD Community Based Annex'!A21</f>
        <v>2.2.2</v>
      </c>
      <c r="B295" s="3017" t="str">
        <f>'2.SD Community Based Annex'!B21</f>
        <v>A.4.1.4</v>
      </c>
      <c r="C295" s="3018" t="str">
        <f>'2.SD Community Based Annex'!C21</f>
        <v>Mobility &amp; Communication support for AH counsellors</v>
      </c>
      <c r="D295" s="3019" t="str">
        <f>'2.SD Community Based Annex'!D21</f>
        <v>RCH</v>
      </c>
      <c r="E295" s="3019" t="str">
        <f>'2.SD Community Based Annex'!E21</f>
        <v>AH</v>
      </c>
      <c r="F295" s="3019">
        <f>'2.SD Community Based Annex'!F21</f>
        <v>0</v>
      </c>
      <c r="G295" s="3019">
        <f>'2.SD Community Based Annex'!G21</f>
        <v>0</v>
      </c>
      <c r="H295" s="3019">
        <f>'2.SD Community Based Annex'!H21</f>
        <v>0</v>
      </c>
      <c r="I295" s="3019">
        <f>'2.SD Community Based Annex'!I21</f>
        <v>0</v>
      </c>
      <c r="J295" s="3019">
        <f>'2.SD Community Based Annex'!J21</f>
        <v>0</v>
      </c>
      <c r="K295" s="3019">
        <f>'2.SD Community Based Annex'!K21</f>
        <v>0</v>
      </c>
      <c r="L295" s="3020">
        <f>'2.SD Community Based Annex'!L21</f>
        <v>0</v>
      </c>
      <c r="M295" s="3019">
        <f>'2.SD Community Based Annex'!M21</f>
        <v>0</v>
      </c>
      <c r="N295" s="3019">
        <f>'2.SD Community Based Annex'!N21</f>
        <v>0</v>
      </c>
      <c r="O295" s="3020">
        <f>'2.SD Community Based Annex'!O21</f>
        <v>0</v>
      </c>
      <c r="P295" s="3047">
        <f>'2.SD Community Based Annex'!P21</f>
        <v>0</v>
      </c>
      <c r="Q295" s="3021"/>
      <c r="R295" s="3028"/>
    </row>
    <row r="296" spans="1:18" s="3023" customFormat="1" ht="150">
      <c r="A296" s="3017" t="str">
        <f>'2.SD Community Based Annex'!A39</f>
        <v>2.3.1.5</v>
      </c>
      <c r="B296" s="3017" t="str">
        <f>'2.SD Community Based Annex'!B39</f>
        <v>A.4.2.2</v>
      </c>
      <c r="C296" s="3018" t="str">
        <f>'2.SD Community Based Annex'!C39</f>
        <v>Organizing Adolescent Health day</v>
      </c>
      <c r="D296" s="3019" t="str">
        <f>'2.SD Community Based Annex'!D39</f>
        <v>RCH</v>
      </c>
      <c r="E296" s="3019" t="str">
        <f>'2.SD Community Based Annex'!E39</f>
        <v>AH</v>
      </c>
      <c r="F296" s="3019">
        <f>'2.SD Community Based Annex'!F39</f>
        <v>0</v>
      </c>
      <c r="G296" s="3019">
        <f>'2.SD Community Based Annex'!G39</f>
        <v>0</v>
      </c>
      <c r="H296" s="3019">
        <f>'2.SD Community Based Annex'!H39</f>
        <v>0</v>
      </c>
      <c r="I296" s="3019">
        <f>'2.SD Community Based Annex'!I39</f>
        <v>0</v>
      </c>
      <c r="J296" s="3019">
        <f>'2.SD Community Based Annex'!J39</f>
        <v>0</v>
      </c>
      <c r="K296" s="3019" t="str">
        <f>'2.SD Community Based Annex'!K39</f>
        <v>No. of AHDs</v>
      </c>
      <c r="L296" s="3020">
        <f>'2.SD Community Based Annex'!L39</f>
        <v>2500</v>
      </c>
      <c r="M296" s="3019">
        <f>'2.SD Community Based Annex'!M39</f>
        <v>2.5000000000000001E-2</v>
      </c>
      <c r="N296" s="3019">
        <f>'2.SD Community Based Annex'!N39</f>
        <v>15384</v>
      </c>
      <c r="O296" s="3020">
        <f>'2.SD Community Based Annex'!O39</f>
        <v>384.6</v>
      </c>
      <c r="P296" s="3047" t="str">
        <f>'2.SD Community Based Annex'!P39</f>
        <v>Continued Activity
Adolescent Health and Wellness Days (AHWDs) to be organised in 5 aspirational district where school health program is being implemented from last financail year. The districts are :-Jamui, Gaya, Katihar, Purnea and Sitamarhi. 
Total 5128 schools are being covered under SHP in these districts so State is proposing to organise 3 AHWD in the FY 2021-22 in each schools.ANM will be responsible to organise such AHWDs..
If needed for 4th quarter the fund will be demanded in supplementary PIP.</v>
      </c>
      <c r="Q296" s="3021"/>
      <c r="R296" s="3028"/>
    </row>
    <row r="297" spans="1:18" s="3023" customFormat="1" ht="165">
      <c r="A297" s="3017" t="str">
        <f>'2.SD Community Based Annex'!A40</f>
        <v>2.3.1.6</v>
      </c>
      <c r="B297" s="3017" t="str">
        <f>'2.SD Community Based Annex'!B40</f>
        <v>A.4.2.3</v>
      </c>
      <c r="C297" s="3018" t="str">
        <f>'2.SD Community Based Annex'!C40</f>
        <v xml:space="preserve">Organising Adolescent Friendly Club  meetings at subcentre level </v>
      </c>
      <c r="D297" s="3019" t="str">
        <f>'2.SD Community Based Annex'!D40</f>
        <v>RCH</v>
      </c>
      <c r="E297" s="3019" t="str">
        <f>'2.SD Community Based Annex'!E40</f>
        <v>AH</v>
      </c>
      <c r="F297" s="3019">
        <f>'2.SD Community Based Annex'!F40</f>
        <v>0</v>
      </c>
      <c r="G297" s="3019">
        <f>'2.SD Community Based Annex'!G40</f>
        <v>0</v>
      </c>
      <c r="H297" s="3019">
        <f>'2.SD Community Based Annex'!H40</f>
        <v>0</v>
      </c>
      <c r="I297" s="3019">
        <f>'2.SD Community Based Annex'!I40</f>
        <v>0</v>
      </c>
      <c r="J297" s="3019">
        <f>'2.SD Community Based Annex'!J40</f>
        <v>0</v>
      </c>
      <c r="K297" s="3019" t="str">
        <f>'2.SD Community Based Annex'!K40</f>
        <v>No. of meetings at Sub-Centers</v>
      </c>
      <c r="L297" s="3020">
        <f>'2.SD Community Based Annex'!L40</f>
        <v>500</v>
      </c>
      <c r="M297" s="3019">
        <f>'2.SD Community Based Annex'!M40</f>
        <v>5.0000000000000001E-3</v>
      </c>
      <c r="N297" s="3019">
        <f>'2.SD Community Based Annex'!N40</f>
        <v>2760</v>
      </c>
      <c r="O297" s="3020">
        <f>'2.SD Community Based Annex'!O40</f>
        <v>13.8</v>
      </c>
      <c r="P297" s="3047" t="str">
        <f>'2.SD Community Based Annex'!P40</f>
        <v>Continued Activity
Since SHP is being implemented in 5 aspirational districts of the State thus school going childrens will be covered through regular sessions at school level. They inturn are envisaged to be sharing their learnings with the out of shcool adolescents. 
 In order to support the above initiatives in the current FY as a pilot State is proposing to organise AFC meetings with the Health and Wellness Messanger at the sub-centers/schools level in seleted  PE villages of 5 districts with ANM and ASHAs on a monthly basis on a fix day. As per the guidelines Rs.500/- is budget for each meeting for 6 months. Total 460 sub-centers to be covered. ANM will be responsible to organise such meetings.</v>
      </c>
      <c r="Q297" s="3021"/>
      <c r="R297" s="3028"/>
    </row>
    <row r="298" spans="1:18" s="3023" customFormat="1">
      <c r="A298" s="3030">
        <f>'3.Community Intervention Annexn'!A7</f>
        <v>3</v>
      </c>
      <c r="B298" s="3030"/>
      <c r="C298" s="3031" t="str">
        <f>'3.Community Intervention Annexn'!C7</f>
        <v>Community Interventions</v>
      </c>
      <c r="D298" s="3032"/>
      <c r="E298" s="3032"/>
      <c r="F298" s="3032"/>
      <c r="G298" s="3032"/>
      <c r="H298" s="3033"/>
      <c r="I298" s="3032"/>
      <c r="J298" s="3033"/>
      <c r="K298" s="3032"/>
      <c r="L298" s="3033"/>
      <c r="M298" s="3033"/>
      <c r="N298" s="3039"/>
      <c r="O298" s="3040">
        <f>SUM(O299:O301)</f>
        <v>118.75200000000001</v>
      </c>
      <c r="P298" s="3064"/>
      <c r="Q298" s="3042"/>
      <c r="R298" s="3043">
        <f>SUM(R299:R301)</f>
        <v>0</v>
      </c>
    </row>
    <row r="299" spans="1:18" s="3023" customFormat="1">
      <c r="A299" s="4606" t="str">
        <f>'3.Community Intervention Annexn'!A15</f>
        <v>3.1.1.1.5</v>
      </c>
      <c r="B299" s="3017" t="str">
        <f>'3-A. CI Sub-Annex'!C34</f>
        <v>B.1.1.3.4.1</v>
      </c>
      <c r="C299" s="3018" t="str">
        <f>'3-A. CI Sub-Annex'!D34</f>
        <v>Incentive for support to Peer Educator</v>
      </c>
      <c r="D299" s="3019" t="str">
        <f>'3-A. CI Sub-Annex'!E34</f>
        <v>HSS</v>
      </c>
      <c r="E299" s="3019" t="str">
        <f>'3-A. CI Sub-Annex'!F34</f>
        <v>AH/NHSRC-CP</v>
      </c>
      <c r="F299" s="3019">
        <f>'3-A. CI Sub-Annex'!G34</f>
        <v>0</v>
      </c>
      <c r="G299" s="3019">
        <f>'3-A. CI Sub-Annex'!H34</f>
        <v>0</v>
      </c>
      <c r="H299" s="3019">
        <f>'3-A. CI Sub-Annex'!I34</f>
        <v>0</v>
      </c>
      <c r="I299" s="3019">
        <f>'3-A. CI Sub-Annex'!J34</f>
        <v>0</v>
      </c>
      <c r="J299" s="3019">
        <f>'3-A. CI Sub-Annex'!K34</f>
        <v>0</v>
      </c>
      <c r="K299" s="3019">
        <f>'3-A. CI Sub-Annex'!L34</f>
        <v>0</v>
      </c>
      <c r="L299" s="3020">
        <f>'3-A. CI Sub-Annex'!M34</f>
        <v>0</v>
      </c>
      <c r="M299" s="3019">
        <f>'3-A. CI Sub-Annex'!N34</f>
        <v>0</v>
      </c>
      <c r="N299" s="3019">
        <f>'3-A. CI Sub-Annex'!O34</f>
        <v>0</v>
      </c>
      <c r="O299" s="3020">
        <f>'3-A. CI Sub-Annex'!P34</f>
        <v>0</v>
      </c>
      <c r="P299" s="3047">
        <f>'3-A. CI Sub-Annex'!Q34</f>
        <v>0</v>
      </c>
      <c r="Q299" s="3021"/>
      <c r="R299" s="3022"/>
    </row>
    <row r="300" spans="1:18" s="3023" customFormat="1" ht="90">
      <c r="A300" s="4606"/>
      <c r="B300" s="3017" t="str">
        <f>'3-A. CI Sub-Annex'!C35</f>
        <v>B.1.1.3.4.2</v>
      </c>
      <c r="C300" s="3018" t="str">
        <f>'3-A. CI Sub-Annex'!D35</f>
        <v>Incentive for mobilizing adolescents  and community for AHD</v>
      </c>
      <c r="D300" s="3019" t="str">
        <f>'3-A. CI Sub-Annex'!E35</f>
        <v>HSS</v>
      </c>
      <c r="E300" s="3019" t="str">
        <f>'3-A. CI Sub-Annex'!F35</f>
        <v>AH/NHSRC-CP</v>
      </c>
      <c r="F300" s="3019">
        <f>'3-A. CI Sub-Annex'!G35</f>
        <v>0</v>
      </c>
      <c r="G300" s="3019">
        <f>'3-A. CI Sub-Annex'!H35</f>
        <v>0</v>
      </c>
      <c r="H300" s="3019">
        <f>'3-A. CI Sub-Annex'!I35</f>
        <v>0</v>
      </c>
      <c r="I300" s="3019">
        <f>'3-A. CI Sub-Annex'!J35</f>
        <v>0</v>
      </c>
      <c r="J300" s="3019">
        <f>'3-A. CI Sub-Annex'!K35</f>
        <v>0</v>
      </c>
      <c r="K300" s="3019" t="str">
        <f>'3-A. CI Sub-Annex'!L35</f>
        <v xml:space="preserve">Number of ASHA </v>
      </c>
      <c r="L300" s="3020">
        <f>'3-A. CI Sub-Annex'!M35</f>
        <v>200</v>
      </c>
      <c r="M300" s="3019">
        <f>'3-A. CI Sub-Annex'!N35</f>
        <v>2E-3</v>
      </c>
      <c r="N300" s="3019">
        <f>'3-A. CI Sub-Annex'!O35</f>
        <v>28056</v>
      </c>
      <c r="O300" s="3020">
        <f>'3-A. CI Sub-Annex'!P35</f>
        <v>56.112000000000002</v>
      </c>
      <c r="P300" s="3047" t="str">
        <f>'3-A. CI Sub-Annex'!Q35</f>
        <v xml:space="preserve">Continued Activity
State has proposed to oranised AHWDs in 5 aspirational districts at school level.Since the objective of AHWD is to create a supportive environment for adolescent issues non school going adolescents (both Boys &amp; Girls) will also be invited to attend the event. ASHA will be responsible to mobilize non-school going children as well as community members. For this 14028 ASHA to be incentivised @200/- per AHD. </v>
      </c>
      <c r="Q300" s="3021"/>
      <c r="R300" s="3022"/>
    </row>
    <row r="301" spans="1:18" s="3023" customFormat="1" ht="45">
      <c r="A301" s="3017" t="str">
        <f>'3.Community Intervention Annexn'!A36</f>
        <v>3.2.1.2</v>
      </c>
      <c r="B301" s="3017" t="str">
        <f>'3-A. CI Sub-Annex'!C91</f>
        <v>A.4.2.1</v>
      </c>
      <c r="C301" s="3018" t="str">
        <f>'3-A. CI Sub-Annex'!D91</f>
        <v>Incentives for Peer Educators</v>
      </c>
      <c r="D301" s="3019" t="str">
        <f>'3-A. CI Sub-Annex'!E91</f>
        <v>RCH</v>
      </c>
      <c r="E301" s="3019" t="str">
        <f>'3-A. CI Sub-Annex'!F91</f>
        <v>AH</v>
      </c>
      <c r="F301" s="3019">
        <f>'3-A. CI Sub-Annex'!G91</f>
        <v>0</v>
      </c>
      <c r="G301" s="3019">
        <f>'3-A. CI Sub-Annex'!H91</f>
        <v>0</v>
      </c>
      <c r="H301" s="3019">
        <f>'3-A. CI Sub-Annex'!I91</f>
        <v>0</v>
      </c>
      <c r="I301" s="3019">
        <f>'3-A. CI Sub-Annex'!J91</f>
        <v>0</v>
      </c>
      <c r="J301" s="3019">
        <f>'3-A. CI Sub-Annex'!K91</f>
        <v>0</v>
      </c>
      <c r="K301" s="3019" t="str">
        <f>'3-A. CI Sub-Annex'!L91</f>
        <v>No. of Peer Educators</v>
      </c>
      <c r="L301" s="3020">
        <f>'3-A. CI Sub-Annex'!M91</f>
        <v>50</v>
      </c>
      <c r="M301" s="3019">
        <f>'3-A. CI Sub-Annex'!N91</f>
        <v>5.0000000000000001E-4</v>
      </c>
      <c r="N301" s="3019">
        <f>'3-A. CI Sub-Annex'!O91</f>
        <v>125280</v>
      </c>
      <c r="O301" s="3020">
        <f>'3-A. CI Sub-Annex'!P91</f>
        <v>62.64</v>
      </c>
      <c r="P301" s="3047" t="str">
        <f>'3-A. CI Sub-Annex'!Q91</f>
        <v>Continued Activity
13920 PEs  of 5 focus districts of the last FY to be given non-financial incentive of Rs.50/- for 9 months</v>
      </c>
      <c r="Q301" s="3021"/>
      <c r="R301" s="3022"/>
    </row>
    <row r="302" spans="1:18" s="3023" customFormat="1">
      <c r="A302" s="3030">
        <f>'5.Infrastructure Annex'!A7</f>
        <v>5</v>
      </c>
      <c r="B302" s="3030"/>
      <c r="C302" s="3031" t="str">
        <f>'5.Infrastructure Annex'!C7</f>
        <v>Infrastructure</v>
      </c>
      <c r="D302" s="3032"/>
      <c r="E302" s="3032"/>
      <c r="F302" s="3032"/>
      <c r="G302" s="3032"/>
      <c r="H302" s="3033"/>
      <c r="I302" s="3032"/>
      <c r="J302" s="3033"/>
      <c r="K302" s="3032"/>
      <c r="L302" s="3033"/>
      <c r="M302" s="3033"/>
      <c r="N302" s="3039"/>
      <c r="O302" s="3040">
        <f>O303</f>
        <v>0</v>
      </c>
      <c r="P302" s="3064"/>
      <c r="Q302" s="3042"/>
      <c r="R302" s="3043">
        <f>R303</f>
        <v>0</v>
      </c>
    </row>
    <row r="303" spans="1:18" s="3023" customFormat="1">
      <c r="A303" s="3017" t="str">
        <f>'5.Infrastructure Annex'!A65</f>
        <v>5.2.1.9</v>
      </c>
      <c r="B303" s="3017" t="str">
        <f>'5.Infrastructure Annex'!B65</f>
        <v>A.4.1.2</v>
      </c>
      <c r="C303" s="3018" t="str">
        <f>'5.Infrastructure Annex'!C65</f>
        <v xml:space="preserve">AFHCs at Medical college/ DH/CHC/PHC level  </v>
      </c>
      <c r="D303" s="3019" t="str">
        <f>'5.Infrastructure Annex'!D65</f>
        <v>RCH</v>
      </c>
      <c r="E303" s="3019" t="str">
        <f>'5.Infrastructure Annex'!E65</f>
        <v>AH</v>
      </c>
      <c r="F303" s="3019">
        <f>'5.Infrastructure Annex'!F65</f>
        <v>0</v>
      </c>
      <c r="G303" s="3019">
        <f>'5.Infrastructure Annex'!G65</f>
        <v>0</v>
      </c>
      <c r="H303" s="3019">
        <f>'5.Infrastructure Annex'!H65</f>
        <v>0</v>
      </c>
      <c r="I303" s="3019">
        <f>'5.Infrastructure Annex'!I65</f>
        <v>0</v>
      </c>
      <c r="J303" s="3019">
        <f>'5.Infrastructure Annex'!J65</f>
        <v>0</v>
      </c>
      <c r="K303" s="3019">
        <f>'5.Infrastructure Annex'!K65</f>
        <v>0</v>
      </c>
      <c r="L303" s="3020">
        <f>'5.Infrastructure Annex'!L65</f>
        <v>0</v>
      </c>
      <c r="M303" s="3019">
        <f>'5.Infrastructure Annex'!M65</f>
        <v>0</v>
      </c>
      <c r="N303" s="3019">
        <f>'5.Infrastructure Annex'!N65</f>
        <v>0</v>
      </c>
      <c r="O303" s="3020">
        <f>'5.Infrastructure Annex'!O65</f>
        <v>0</v>
      </c>
      <c r="P303" s="3047">
        <f>'5.Infrastructure Annex'!P65</f>
        <v>0</v>
      </c>
      <c r="Q303" s="3021"/>
      <c r="R303" s="3022"/>
    </row>
    <row r="304" spans="1:18" s="3023" customFormat="1">
      <c r="A304" s="3030">
        <f>'6.Procurement Annex'!A7</f>
        <v>6</v>
      </c>
      <c r="B304" s="3030"/>
      <c r="C304" s="3031" t="str">
        <f>'6.Procurement Annex'!C7</f>
        <v>Procurement</v>
      </c>
      <c r="D304" s="3032"/>
      <c r="E304" s="3032"/>
      <c r="F304" s="3032"/>
      <c r="G304" s="3032"/>
      <c r="H304" s="3033"/>
      <c r="I304" s="3032"/>
      <c r="J304" s="3033"/>
      <c r="K304" s="3032"/>
      <c r="L304" s="3033"/>
      <c r="M304" s="3033"/>
      <c r="N304" s="3039"/>
      <c r="O304" s="3040">
        <f>SUM(O305:O310)</f>
        <v>1040.8356415999999</v>
      </c>
      <c r="P304" s="3064"/>
      <c r="Q304" s="3042"/>
      <c r="R304" s="3043">
        <f>SUM(R305:R310)</f>
        <v>0</v>
      </c>
    </row>
    <row r="305" spans="1:18" s="3023" customFormat="1">
      <c r="A305" s="4606" t="str">
        <f>'6.Procurement Annex'!A13</f>
        <v>6.1.1.4</v>
      </c>
      <c r="B305" s="3017" t="str">
        <f>'6-A. Proc. Sub-Annex'!C27</f>
        <v>B16.1.6.1</v>
      </c>
      <c r="C305" s="3018" t="str">
        <f>'6-A. Proc. Sub-Annex'!D27</f>
        <v>Equipment for AFHCs</v>
      </c>
      <c r="D305" s="3019" t="str">
        <f>'6-A. Proc. Sub-Annex'!E27</f>
        <v>RCH</v>
      </c>
      <c r="E305" s="3019" t="str">
        <f>'6-A. Proc. Sub-Annex'!F27</f>
        <v>AH</v>
      </c>
      <c r="F305" s="3019">
        <f>'6-A. Proc. Sub-Annex'!G27</f>
        <v>0</v>
      </c>
      <c r="G305" s="3019">
        <f>'6-A. Proc. Sub-Annex'!H27</f>
        <v>0</v>
      </c>
      <c r="H305" s="3019">
        <f>'6-A. Proc. Sub-Annex'!I27</f>
        <v>0</v>
      </c>
      <c r="I305" s="3019">
        <f>'6-A. Proc. Sub-Annex'!J27</f>
        <v>0</v>
      </c>
      <c r="J305" s="3019">
        <f>'6-A. Proc. Sub-Annex'!K27</f>
        <v>0</v>
      </c>
      <c r="K305" s="3019">
        <f>'6-A. Proc. Sub-Annex'!L27</f>
        <v>0</v>
      </c>
      <c r="L305" s="3020">
        <f>'6-A. Proc. Sub-Annex'!M27</f>
        <v>0</v>
      </c>
      <c r="M305" s="3019">
        <f>'6-A. Proc. Sub-Annex'!N27</f>
        <v>0</v>
      </c>
      <c r="N305" s="3019">
        <f>'6-A. Proc. Sub-Annex'!O27</f>
        <v>0</v>
      </c>
      <c r="O305" s="3020">
        <f>'6-A. Proc. Sub-Annex'!P27</f>
        <v>0</v>
      </c>
      <c r="P305" s="3047">
        <f>'6-A. Proc. Sub-Annex'!Q27</f>
        <v>0</v>
      </c>
      <c r="Q305" s="3021"/>
      <c r="R305" s="3022"/>
    </row>
    <row r="306" spans="1:18" s="3023" customFormat="1">
      <c r="A306" s="4606"/>
      <c r="B306" s="3017" t="str">
        <f>'6-A. Proc. Sub-Annex'!C28</f>
        <v>B16.1.6.2</v>
      </c>
      <c r="C306" s="3018" t="str">
        <f>'6-A. Proc. Sub-Annex'!D28</f>
        <v>Any other equipment (please specify)</v>
      </c>
      <c r="D306" s="3019" t="str">
        <f>'6-A. Proc. Sub-Annex'!E28</f>
        <v>RCH</v>
      </c>
      <c r="E306" s="3019" t="str">
        <f>'6-A. Proc. Sub-Annex'!F28</f>
        <v>AH</v>
      </c>
      <c r="F306" s="3019">
        <f>'6-A. Proc. Sub-Annex'!G28</f>
        <v>0</v>
      </c>
      <c r="G306" s="3019">
        <f>'6-A. Proc. Sub-Annex'!H28</f>
        <v>0</v>
      </c>
      <c r="H306" s="3019">
        <f>'6-A. Proc. Sub-Annex'!I28</f>
        <v>0</v>
      </c>
      <c r="I306" s="3019">
        <f>'6-A. Proc. Sub-Annex'!J28</f>
        <v>0</v>
      </c>
      <c r="J306" s="3019">
        <f>'6-A. Proc. Sub-Annex'!K28</f>
        <v>0</v>
      </c>
      <c r="K306" s="3019">
        <f>'6-A. Proc. Sub-Annex'!L28</f>
        <v>0</v>
      </c>
      <c r="L306" s="3020">
        <f>'6-A. Proc. Sub-Annex'!M28</f>
        <v>0</v>
      </c>
      <c r="M306" s="3019">
        <f>'6-A. Proc. Sub-Annex'!N28</f>
        <v>0</v>
      </c>
      <c r="N306" s="3019">
        <f>'6-A. Proc. Sub-Annex'!O28</f>
        <v>0</v>
      </c>
      <c r="O306" s="3020">
        <f>'6-A. Proc. Sub-Annex'!P28</f>
        <v>0</v>
      </c>
      <c r="P306" s="3047">
        <f>'6-A. Proc. Sub-Annex'!Q28</f>
        <v>0</v>
      </c>
      <c r="Q306" s="3021"/>
      <c r="R306" s="3022"/>
    </row>
    <row r="307" spans="1:18" s="3023" customFormat="1" ht="90">
      <c r="A307" s="4606" t="str">
        <f>'6.Procurement Annex'!A59</f>
        <v>6.2.1.4</v>
      </c>
      <c r="B307" s="3017" t="str">
        <f>'6-A. Proc. Sub-Annex'!C177</f>
        <v>B.16.2.6.3.a</v>
      </c>
      <c r="C307" s="3018" t="str">
        <f>'6-A. Proc. Sub-Annex'!D177</f>
        <v>IFA tablets under WIFS (10-19 yrs.)</v>
      </c>
      <c r="D307" s="3019" t="str">
        <f>'6-A. Proc. Sub-Annex'!E177</f>
        <v>RCH</v>
      </c>
      <c r="E307" s="3019" t="str">
        <f>'6-A. Proc. Sub-Annex'!F177</f>
        <v>AH</v>
      </c>
      <c r="F307" s="3019">
        <f>'6-A. Proc. Sub-Annex'!G177</f>
        <v>0</v>
      </c>
      <c r="G307" s="3019">
        <f>'6-A. Proc. Sub-Annex'!H177</f>
        <v>0</v>
      </c>
      <c r="H307" s="3019">
        <f>'6-A. Proc. Sub-Annex'!I177</f>
        <v>0</v>
      </c>
      <c r="I307" s="3019">
        <f>'6-A. Proc. Sub-Annex'!J177</f>
        <v>0</v>
      </c>
      <c r="J307" s="3019">
        <f>'6-A. Proc. Sub-Annex'!K177</f>
        <v>0</v>
      </c>
      <c r="K307" s="3019" t="str">
        <f>'6-A. Proc. Sub-Annex'!L177</f>
        <v>No. of Tablets</v>
      </c>
      <c r="L307" s="3020">
        <f>'6-A. Proc. Sub-Annex'!M177</f>
        <v>0.16</v>
      </c>
      <c r="M307" s="3019">
        <f>'6-A. Proc. Sub-Annex'!N177</f>
        <v>1.5999999999999999E-6</v>
      </c>
      <c r="N307" s="3019">
        <f>'6-A. Proc. Sub-Annex'!O177</f>
        <v>275522276</v>
      </c>
      <c r="O307" s="3020">
        <f>'6-A. Proc. Sub-Annex'!P177</f>
        <v>440.83564159999997</v>
      </c>
      <c r="P307" s="3047" t="str">
        <f>'6-A. Proc. Sub-Annex'!Q177</f>
        <v>Continued Activity: 
Total Requirement - 55,10,44,551 Blue IFA tablet for 52 dose in year (with 10 % buffer) for targeted 96,33,646 for School going girls and  boys, Tearchers, AWW and ASHA.
For the FY 2021-22 State has budgeted for procurement of  50% tablets i.e 27,55,22,276 @ 0.16 Rs.
Non School going girls will be supplemented with the availble IFA blue tablet.</v>
      </c>
      <c r="Q307" s="3021"/>
      <c r="R307" s="3022"/>
    </row>
    <row r="308" spans="1:18" s="3023" customFormat="1" ht="30">
      <c r="A308" s="4606"/>
      <c r="B308" s="3017" t="str">
        <f>'6-A. Proc. Sub-Annex'!C178</f>
        <v>B.16.2.6.3.b</v>
      </c>
      <c r="C308" s="3018" t="str">
        <f>'6-A. Proc. Sub-Annex'!D178</f>
        <v>Albendazole Tablets under WIFS (10-19 yrs.)</v>
      </c>
      <c r="D308" s="3019" t="str">
        <f>'6-A. Proc. Sub-Annex'!E178</f>
        <v>RCH</v>
      </c>
      <c r="E308" s="3019" t="str">
        <f>'6-A. Proc. Sub-Annex'!F178</f>
        <v>AH</v>
      </c>
      <c r="F308" s="3019">
        <f>'6-A. Proc. Sub-Annex'!G178</f>
        <v>0</v>
      </c>
      <c r="G308" s="3019">
        <f>'6-A. Proc. Sub-Annex'!H178</f>
        <v>0</v>
      </c>
      <c r="H308" s="3019">
        <f>'6-A. Proc. Sub-Annex'!I178</f>
        <v>0</v>
      </c>
      <c r="I308" s="3019">
        <f>'6-A. Proc. Sub-Annex'!J178</f>
        <v>0</v>
      </c>
      <c r="J308" s="3019">
        <f>'6-A. Proc. Sub-Annex'!K178</f>
        <v>0</v>
      </c>
      <c r="K308" s="3019" t="str">
        <f>'6-A. Proc. Sub-Annex'!L178</f>
        <v>No. of tablet</v>
      </c>
      <c r="L308" s="3020">
        <f>'6-A. Proc. Sub-Annex'!M178</f>
        <v>60000000</v>
      </c>
      <c r="M308" s="3019">
        <f>'6-A. Proc. Sub-Annex'!N178</f>
        <v>600</v>
      </c>
      <c r="N308" s="3019">
        <f>'6-A. Proc. Sub-Annex'!O178</f>
        <v>1</v>
      </c>
      <c r="O308" s="3020">
        <f>'6-A. Proc. Sub-Annex'!P178</f>
        <v>600</v>
      </c>
      <c r="P308" s="3047" t="str">
        <f>'6-A. Proc. Sub-Annex'!Q178</f>
        <v>continued activity:Budget is being proposed for procuremnt of Albendazole tablets for NDD program</v>
      </c>
      <c r="Q308" s="3021"/>
      <c r="R308" s="3022"/>
    </row>
    <row r="309" spans="1:18" s="3023" customFormat="1" ht="60">
      <c r="A309" s="4606"/>
      <c r="B309" s="3017" t="str">
        <f>'6-A. Proc. Sub-Annex'!C179</f>
        <v>B.16.2.9.1</v>
      </c>
      <c r="C309" s="3018" t="str">
        <f>'6-A. Proc. Sub-Annex'!D179</f>
        <v>Sanitary napkins procurement</v>
      </c>
      <c r="D309" s="3019" t="str">
        <f>'6-A. Proc. Sub-Annex'!E179</f>
        <v>RCH</v>
      </c>
      <c r="E309" s="3019" t="str">
        <f>'6-A. Proc. Sub-Annex'!F179</f>
        <v>AH</v>
      </c>
      <c r="F309" s="3019">
        <f>'6-A. Proc. Sub-Annex'!G179</f>
        <v>0</v>
      </c>
      <c r="G309" s="3019">
        <f>'6-A. Proc. Sub-Annex'!H179</f>
        <v>0</v>
      </c>
      <c r="H309" s="3019">
        <f>'6-A. Proc. Sub-Annex'!I179</f>
        <v>0</v>
      </c>
      <c r="I309" s="3019">
        <f>'6-A. Proc. Sub-Annex'!J179</f>
        <v>0</v>
      </c>
      <c r="J309" s="3019">
        <f>'6-A. Proc. Sub-Annex'!K179</f>
        <v>0</v>
      </c>
      <c r="K309" s="3019">
        <f>'6-A. Proc. Sub-Annex'!L179</f>
        <v>0</v>
      </c>
      <c r="L309" s="3020">
        <f>'6-A. Proc. Sub-Annex'!M179</f>
        <v>0</v>
      </c>
      <c r="M309" s="3019">
        <f>'6-A. Proc. Sub-Annex'!N179</f>
        <v>0</v>
      </c>
      <c r="N309" s="3019">
        <f>'6-A. Proc. Sub-Annex'!O179</f>
        <v>0</v>
      </c>
      <c r="O309" s="3020">
        <f>'6-A. Proc. Sub-Annex'!P179</f>
        <v>0</v>
      </c>
      <c r="P309" s="3047" t="str">
        <f>'6-A. Proc. Sub-Annex'!Q179</f>
        <v>Continued Activity
State is in the process of procument of sanitary napkin through BMSICL. 
State has planned to retain availble budget of FY 2020-21 of Rs. 789.64 lakhs as committed unspent. Thus not proposing any new budget for the FY 2021-22</v>
      </c>
      <c r="Q309" s="3021"/>
      <c r="R309" s="3022"/>
    </row>
    <row r="310" spans="1:18" s="3023" customFormat="1">
      <c r="A310" s="4606"/>
      <c r="B310" s="3017">
        <f>'6-A. Proc. Sub-Annex'!C180</f>
        <v>0</v>
      </c>
      <c r="C310" s="3018" t="str">
        <f>'6-A. Proc. Sub-Annex'!D180</f>
        <v>Any other Drugs &amp; Supplies (Please specify)</v>
      </c>
      <c r="D310" s="3019" t="str">
        <f>'6-A. Proc. Sub-Annex'!E180</f>
        <v>RCH</v>
      </c>
      <c r="E310" s="3019" t="str">
        <f>'6-A. Proc. Sub-Annex'!F180</f>
        <v>AH</v>
      </c>
      <c r="F310" s="3019">
        <f>'6-A. Proc. Sub-Annex'!G180</f>
        <v>0</v>
      </c>
      <c r="G310" s="3019">
        <f>'6-A. Proc. Sub-Annex'!H180</f>
        <v>0</v>
      </c>
      <c r="H310" s="3019">
        <f>'6-A. Proc. Sub-Annex'!I180</f>
        <v>0</v>
      </c>
      <c r="I310" s="3019">
        <f>'6-A. Proc. Sub-Annex'!J180</f>
        <v>0</v>
      </c>
      <c r="J310" s="3019">
        <f>'6-A. Proc. Sub-Annex'!K180</f>
        <v>0</v>
      </c>
      <c r="K310" s="3019">
        <f>'6-A. Proc. Sub-Annex'!L180</f>
        <v>0</v>
      </c>
      <c r="L310" s="3020">
        <f>'6-A. Proc. Sub-Annex'!M180</f>
        <v>0</v>
      </c>
      <c r="M310" s="3019">
        <f>'6-A. Proc. Sub-Annex'!N180</f>
        <v>0</v>
      </c>
      <c r="N310" s="3019">
        <f>'6-A. Proc. Sub-Annex'!O180</f>
        <v>0</v>
      </c>
      <c r="O310" s="3020">
        <f>'6-A. Proc. Sub-Annex'!P180</f>
        <v>0</v>
      </c>
      <c r="P310" s="3047">
        <f>'6-A. Proc. Sub-Annex'!Q180</f>
        <v>0</v>
      </c>
      <c r="Q310" s="3021"/>
      <c r="R310" s="3022"/>
    </row>
    <row r="311" spans="1:18" s="3023" customFormat="1">
      <c r="A311" s="3030">
        <f>'8.Human Resources (SD) Annex'!A7</f>
        <v>8</v>
      </c>
      <c r="B311" s="3030"/>
      <c r="C311" s="3031" t="str">
        <f>'8.Human Resources (SD) Annex'!C7</f>
        <v>Human Resources</v>
      </c>
      <c r="D311" s="3032"/>
      <c r="E311" s="3032"/>
      <c r="F311" s="3032"/>
      <c r="G311" s="3032"/>
      <c r="H311" s="3032"/>
      <c r="I311" s="3032"/>
      <c r="J311" s="3032"/>
      <c r="K311" s="3032"/>
      <c r="L311" s="3033"/>
      <c r="M311" s="3032"/>
      <c r="N311" s="3032"/>
      <c r="O311" s="3033">
        <f>O312</f>
        <v>0</v>
      </c>
      <c r="P311" s="3066"/>
      <c r="Q311" s="3034"/>
      <c r="R311" s="3035">
        <f>R312</f>
        <v>0</v>
      </c>
    </row>
    <row r="312" spans="1:18" s="3023" customFormat="1" ht="30">
      <c r="A312" s="3017" t="str">
        <f>'8.Human Resources (SD) Annex'!A167</f>
        <v>8.4.4</v>
      </c>
      <c r="B312" s="3017" t="str">
        <f>'8.Human Resources (SD) Annex'!B167</f>
        <v>B.30.17.1</v>
      </c>
      <c r="C312" s="3018" t="str">
        <f>'8.Human Resources (SD) Annex'!C167</f>
        <v>Honorarium to ICTC and other Counsellors for outreach AH activities</v>
      </c>
      <c r="D312" s="3019" t="str">
        <f>'8.Human Resources (SD) Annex'!D167</f>
        <v>RCH</v>
      </c>
      <c r="E312" s="3019" t="str">
        <f>'8.Human Resources (SD) Annex'!E167</f>
        <v>AH</v>
      </c>
      <c r="F312" s="3019">
        <f>'8.Human Resources (SD) Annex'!F167</f>
        <v>0</v>
      </c>
      <c r="G312" s="3019">
        <f>'8.Human Resources (SD) Annex'!G167</f>
        <v>0</v>
      </c>
      <c r="H312" s="3019">
        <f>'8.Human Resources (SD) Annex'!H167</f>
        <v>0</v>
      </c>
      <c r="I312" s="3019">
        <f>'8.Human Resources (SD) Annex'!I167</f>
        <v>0</v>
      </c>
      <c r="J312" s="3019">
        <f>'8.Human Resources (SD) Annex'!J167</f>
        <v>0</v>
      </c>
      <c r="K312" s="3019">
        <f>'8.Human Resources (SD) Annex'!L167</f>
        <v>0</v>
      </c>
      <c r="L312" s="3020">
        <f>'8.Human Resources (SD) Annex'!M167</f>
        <v>0</v>
      </c>
      <c r="M312" s="3019">
        <f>'8.Human Resources (SD) Annex'!N167</f>
        <v>0</v>
      </c>
      <c r="N312" s="3019">
        <f>'8.Human Resources (SD) Annex'!O167</f>
        <v>0</v>
      </c>
      <c r="O312" s="3020">
        <f>'8.Human Resources (SD) Annex'!P167</f>
        <v>0</v>
      </c>
      <c r="P312" s="3047">
        <f>'8.Human Resources (SD) Annex'!Q167</f>
        <v>0</v>
      </c>
      <c r="Q312" s="3067"/>
      <c r="R312" s="3022"/>
    </row>
    <row r="313" spans="1:18" s="3023" customFormat="1">
      <c r="A313" s="3030">
        <f>'9.Training Annex'!A7</f>
        <v>9</v>
      </c>
      <c r="B313" s="3030"/>
      <c r="C313" s="3031" t="str">
        <f>'9.Training Annex'!C7</f>
        <v>Training and Capacity Building</v>
      </c>
      <c r="D313" s="3032"/>
      <c r="E313" s="3032"/>
      <c r="F313" s="3032"/>
      <c r="G313" s="3032"/>
      <c r="H313" s="3032"/>
      <c r="I313" s="3032"/>
      <c r="J313" s="3032"/>
      <c r="K313" s="3032"/>
      <c r="L313" s="3033"/>
      <c r="M313" s="3032"/>
      <c r="N313" s="3032"/>
      <c r="O313" s="3033">
        <f>SUM(O314:O329)</f>
        <v>656.77887999999996</v>
      </c>
      <c r="P313" s="3066"/>
      <c r="Q313" s="3034"/>
      <c r="R313" s="3035">
        <f>SUM(R314:R329)</f>
        <v>0</v>
      </c>
    </row>
    <row r="314" spans="1:18" s="3023" customFormat="1" ht="240">
      <c r="A314" s="4606" t="str">
        <f>'9.Training Annex'!A24</f>
        <v>9.2.1.4</v>
      </c>
      <c r="B314" s="3017" t="str">
        <f>'9-A.Training Sub-Annex'!C111</f>
        <v>A.4.1.1</v>
      </c>
      <c r="C314" s="3018" t="str">
        <f>'9-A.Training Sub-Annex'!D111</f>
        <v xml:space="preserve">Dissemination workshops under RKSK </v>
      </c>
      <c r="D314" s="3019" t="str">
        <f>'9-A.Training Sub-Annex'!E111</f>
        <v>RCH</v>
      </c>
      <c r="E314" s="3019" t="str">
        <f>'9-A.Training Sub-Annex'!F111</f>
        <v>AH</v>
      </c>
      <c r="F314" s="3019">
        <f>'9-A.Training Sub-Annex'!G111</f>
        <v>0</v>
      </c>
      <c r="G314" s="3019">
        <f>'9-A.Training Sub-Annex'!H111</f>
        <v>0</v>
      </c>
      <c r="H314" s="3019">
        <f>'9-A.Training Sub-Annex'!I111</f>
        <v>0</v>
      </c>
      <c r="I314" s="3019">
        <f>'9-A.Training Sub-Annex'!J111</f>
        <v>0</v>
      </c>
      <c r="J314" s="3019">
        <f>'9-A.Training Sub-Annex'!K111</f>
        <v>0</v>
      </c>
      <c r="K314" s="3019" t="str">
        <f>'9-A.Training Sub-Annex'!L111</f>
        <v>No. of meetings</v>
      </c>
      <c r="L314" s="3020">
        <f>'9-A.Training Sub-Annex'!M111</f>
        <v>13505</v>
      </c>
      <c r="M314" s="3019">
        <f>'9-A.Training Sub-Annex'!N111</f>
        <v>0.13505</v>
      </c>
      <c r="N314" s="3019">
        <f>'9-A.Training Sub-Annex'!O111</f>
        <v>80</v>
      </c>
      <c r="O314" s="3020">
        <f>'9-A.Training Sub-Annex'!P111</f>
        <v>10.804</v>
      </c>
      <c r="P314" s="3047" t="str">
        <f>'9-A.Training Sub-Annex'!Q111</f>
        <v>Continued Activity
One day Review cum orientation wrokshop of  5 District Officials (2 from Health, 2 from Education and 1 from ICDS) at State Level twice in a year.  8 participants from state level (3 from health, SPO Education and SPO ICDS and 3 development partner).Total 190 participants from district and 8 from  State. Thus total 4 batches will be organsied in the FY 2021-22.
Calculation of One Batch - 
a) Fooding= Rs270*110= 29700/- 
b) Hall Rent including laptop,LCD= Rs.14000 (As per revised SHFW rate)
 c) Bag/Folder) as per approved SHSB rate)= Rs.200*108 person= 21600/-
d) Pen/Pad/Xerox = Rs.100*108= 10800/-
e) Flex = Rs.2000/-
f) Misc= Rs.2000/-
Cost of one batch = 80,100 (Total 4 batches will be organised) 
District Level = Rs.10000*2 =20000 per district for 38 districts. = 7,60,000</v>
      </c>
      <c r="Q314" s="3067"/>
      <c r="R314" s="3022"/>
    </row>
    <row r="315" spans="1:18" s="3023" customFormat="1">
      <c r="A315" s="4606"/>
      <c r="B315" s="3017" t="str">
        <f>'9-A.Training Sub-Annex'!C112</f>
        <v>A.9.7.1.1</v>
      </c>
      <c r="C315" s="3018" t="str">
        <f>'9-A.Training Sub-Annex'!D112</f>
        <v xml:space="preserve">TOT for Adolescent Friendly Health Service training </v>
      </c>
      <c r="D315" s="3019" t="str">
        <f>'9-A.Training Sub-Annex'!E112</f>
        <v>RCH</v>
      </c>
      <c r="E315" s="3019" t="str">
        <f>'9-A.Training Sub-Annex'!F112</f>
        <v>AH</v>
      </c>
      <c r="F315" s="3019">
        <f>'9-A.Training Sub-Annex'!G112</f>
        <v>0</v>
      </c>
      <c r="G315" s="3019">
        <f>'9-A.Training Sub-Annex'!H112</f>
        <v>0</v>
      </c>
      <c r="H315" s="3019">
        <f>'9-A.Training Sub-Annex'!I112</f>
        <v>0</v>
      </c>
      <c r="I315" s="3019">
        <f>'9-A.Training Sub-Annex'!J112</f>
        <v>0</v>
      </c>
      <c r="J315" s="3019">
        <f>'9-A.Training Sub-Annex'!K112</f>
        <v>0</v>
      </c>
      <c r="K315" s="3019">
        <f>'9-A.Training Sub-Annex'!L112</f>
        <v>0</v>
      </c>
      <c r="L315" s="3020">
        <f>'9-A.Training Sub-Annex'!M112</f>
        <v>0</v>
      </c>
      <c r="M315" s="3019">
        <f>'9-A.Training Sub-Annex'!N112</f>
        <v>0</v>
      </c>
      <c r="N315" s="3019">
        <f>'9-A.Training Sub-Annex'!O112</f>
        <v>0</v>
      </c>
      <c r="O315" s="3020">
        <f>'9-A.Training Sub-Annex'!P112</f>
        <v>0</v>
      </c>
      <c r="P315" s="3047">
        <f>'9-A.Training Sub-Annex'!Q112</f>
        <v>0</v>
      </c>
      <c r="Q315" s="3067"/>
      <c r="R315" s="3022"/>
    </row>
    <row r="316" spans="1:18" s="3023" customFormat="1" ht="210">
      <c r="A316" s="4606"/>
      <c r="B316" s="3017" t="str">
        <f>'9-A.Training Sub-Annex'!C113</f>
        <v>A.9.7.1.2</v>
      </c>
      <c r="C316" s="3018" t="str">
        <f>'9-A.Training Sub-Annex'!D113</f>
        <v xml:space="preserve">AFHS training of Medical Officers </v>
      </c>
      <c r="D316" s="3019" t="str">
        <f>'9-A.Training Sub-Annex'!E113</f>
        <v>RCH</v>
      </c>
      <c r="E316" s="3019" t="str">
        <f>'9-A.Training Sub-Annex'!F113</f>
        <v>AH</v>
      </c>
      <c r="F316" s="3019">
        <f>'9-A.Training Sub-Annex'!G113</f>
        <v>0</v>
      </c>
      <c r="G316" s="3019">
        <f>'9-A.Training Sub-Annex'!H113</f>
        <v>0</v>
      </c>
      <c r="H316" s="3019">
        <f>'9-A.Training Sub-Annex'!I113</f>
        <v>0</v>
      </c>
      <c r="I316" s="3019">
        <f>'9-A.Training Sub-Annex'!J113</f>
        <v>0</v>
      </c>
      <c r="J316" s="3019">
        <f>'9-A.Training Sub-Annex'!K113</f>
        <v>0</v>
      </c>
      <c r="K316" s="3019" t="str">
        <f>'9-A.Training Sub-Annex'!L113</f>
        <v>No of training batch</v>
      </c>
      <c r="L316" s="3020">
        <f>'9-A.Training Sub-Annex'!M113</f>
        <v>243260</v>
      </c>
      <c r="M316" s="3019">
        <f>'9-A.Training Sub-Annex'!N113</f>
        <v>2.4325999999999999</v>
      </c>
      <c r="N316" s="3019">
        <f>'9-A.Training Sub-Annex'!O113</f>
        <v>1</v>
      </c>
      <c r="O316" s="3020">
        <f>'9-A.Training Sub-Annex'!P113</f>
        <v>2.4325999999999999</v>
      </c>
      <c r="P316" s="3047" t="str">
        <f>'9-A.Training Sub-Annex'!Q113</f>
        <v>Continued Activity
Training of  Medical Officer for AFHC to be organisd in the Financial Year 2021-22.1 batches is planned  with 30 participants . Cost of one batch:-
A) Training Hall - Rs.5000 *4 days    = 20000/- (Rate of SHIFW)
B) Fooding -  Rs.430*4 days for 33 participants = 56760/- (Rate of SHIFW)
C) Loadging - Rs.250*3days*30 participants = 22500/- (Rate of SHIFW)
D) Bag/Folder -Rs.200 *30 pariticpants = 6000/-  (Amount approved by SHAB
E) Pen/Pad/Xerox - Rs.100*30=3000/-
F) DA - Rs.700 *4 days*30 particiapnts = 84,000/-  (As per government rule)
G) Travel- Rs.1500*30 pariticpants = 45,000/-
H) Trainer- Rs.1000*2days*2trainer = 4,000/-
I) Misllanious -  Rs2000
Total cost for one batch = 2,43,260/-</v>
      </c>
      <c r="Q316" s="3067"/>
      <c r="R316" s="3022"/>
    </row>
    <row r="317" spans="1:18" s="3023" customFormat="1" ht="210">
      <c r="A317" s="4606"/>
      <c r="B317" s="3017" t="str">
        <f>'9-A.Training Sub-Annex'!C114</f>
        <v>A.9.7.1.3</v>
      </c>
      <c r="C317" s="3018" t="str">
        <f>'9-A.Training Sub-Annex'!D114</f>
        <v>AFHS training of ANM/LHV/MPW</v>
      </c>
      <c r="D317" s="3019" t="str">
        <f>'9-A.Training Sub-Annex'!E114</f>
        <v>RCH</v>
      </c>
      <c r="E317" s="3019" t="str">
        <f>'9-A.Training Sub-Annex'!F114</f>
        <v>AH</v>
      </c>
      <c r="F317" s="3019">
        <f>'9-A.Training Sub-Annex'!G114</f>
        <v>0</v>
      </c>
      <c r="G317" s="3019">
        <f>'9-A.Training Sub-Annex'!H114</f>
        <v>0</v>
      </c>
      <c r="H317" s="3019">
        <f>'9-A.Training Sub-Annex'!I114</f>
        <v>0</v>
      </c>
      <c r="I317" s="3019">
        <f>'9-A.Training Sub-Annex'!J114</f>
        <v>0</v>
      </c>
      <c r="J317" s="3019">
        <f>'9-A.Training Sub-Annex'!K114</f>
        <v>0</v>
      </c>
      <c r="K317" s="3019" t="str">
        <f>'9-A.Training Sub-Annex'!L114</f>
        <v>No. of Training</v>
      </c>
      <c r="L317" s="3020">
        <f>'9-A.Training Sub-Annex'!M114</f>
        <v>211260</v>
      </c>
      <c r="M317" s="3019">
        <f>'9-A.Training Sub-Annex'!N114</f>
        <v>2.1126</v>
      </c>
      <c r="N317" s="3019">
        <f>'9-A.Training Sub-Annex'!O114</f>
        <v>2</v>
      </c>
      <c r="O317" s="3020">
        <f>'9-A.Training Sub-Annex'!P114</f>
        <v>4.2252000000000001</v>
      </c>
      <c r="P317" s="3047" t="str">
        <f>'9-A.Training Sub-Annex'!Q114</f>
        <v>Continued Activity
New GNMs joined at CHC level in the district Training of ANM/GNM  to be organisd in the Financial Year 2021-22. Total 2 batches are planned  with 30 participants  per batch.
A) Training Hall - Rs.5000 *4 days    = 20000/- (Rate of SHIFW)
B) Fooding -  Rs.430*4 days for 33 participants = 56760/- (Rate of SHIFW)
C) Loadging - Rs.250*3days*30 participants = 22500/- (Rate of SHIFW)
D) Bag/folder -Rs.200 *30 pariticpants = 6,000/-  (Amount approved by SHAB
E) Pen/Pad/Xerox - Rs.100*30 participants=3,000/-
F) DA - Rs.400 *4 days*30 particiapnts = 48,000/-  (As per government rule)
G) Travel- Rs.1500*30 pariticpants = 45,000/-
H) Trainer- Rs.1000*4days*2trainer = 8,000/-
I) Misllanious -  Rs2000
Total cost for one batch = 2,11,260/-</v>
      </c>
      <c r="Q317" s="3067"/>
      <c r="R317" s="3022"/>
    </row>
    <row r="318" spans="1:18" s="3023" customFormat="1">
      <c r="A318" s="4606"/>
      <c r="B318" s="3017" t="str">
        <f>'9-A.Training Sub-Annex'!C115</f>
        <v>A.9.7.1.5</v>
      </c>
      <c r="C318" s="3018" t="str">
        <f>'9-A.Training Sub-Annex'!D115</f>
        <v>Training of AH counsellors</v>
      </c>
      <c r="D318" s="3019" t="str">
        <f>'9-A.Training Sub-Annex'!E115</f>
        <v>RCH</v>
      </c>
      <c r="E318" s="3019" t="str">
        <f>'9-A.Training Sub-Annex'!F115</f>
        <v>AH</v>
      </c>
      <c r="F318" s="3019">
        <f>'9-A.Training Sub-Annex'!G115</f>
        <v>0</v>
      </c>
      <c r="G318" s="3019">
        <f>'9-A.Training Sub-Annex'!H115</f>
        <v>0</v>
      </c>
      <c r="H318" s="3019">
        <f>'9-A.Training Sub-Annex'!I115</f>
        <v>0</v>
      </c>
      <c r="I318" s="3019">
        <f>'9-A.Training Sub-Annex'!J115</f>
        <v>0</v>
      </c>
      <c r="J318" s="3019">
        <f>'9-A.Training Sub-Annex'!K115</f>
        <v>0</v>
      </c>
      <c r="K318" s="3019">
        <f>'9-A.Training Sub-Annex'!L115</f>
        <v>0</v>
      </c>
      <c r="L318" s="3020">
        <f>'9-A.Training Sub-Annex'!M115</f>
        <v>0</v>
      </c>
      <c r="M318" s="3019">
        <f>'9-A.Training Sub-Annex'!N115</f>
        <v>0</v>
      </c>
      <c r="N318" s="3019">
        <f>'9-A.Training Sub-Annex'!O115</f>
        <v>0</v>
      </c>
      <c r="O318" s="3020">
        <f>'9-A.Training Sub-Annex'!P115</f>
        <v>0</v>
      </c>
      <c r="P318" s="3047">
        <f>'9-A.Training Sub-Annex'!Q115</f>
        <v>0</v>
      </c>
      <c r="Q318" s="3067"/>
      <c r="R318" s="3022"/>
    </row>
    <row r="319" spans="1:18" s="3023" customFormat="1">
      <c r="A319" s="4606"/>
      <c r="B319" s="3017" t="str">
        <f>'9-A.Training Sub-Annex'!C116</f>
        <v>A.9.7.2.1</v>
      </c>
      <c r="C319" s="3018" t="str">
        <f>'9-A.Training Sub-Annex'!D116</f>
        <v>Training of Peer Educator (District level)</v>
      </c>
      <c r="D319" s="3019" t="str">
        <f>'9-A.Training Sub-Annex'!E116</f>
        <v>RCH</v>
      </c>
      <c r="E319" s="3019" t="str">
        <f>'9-A.Training Sub-Annex'!F116</f>
        <v>AH</v>
      </c>
      <c r="F319" s="3019">
        <f>'9-A.Training Sub-Annex'!G116</f>
        <v>0</v>
      </c>
      <c r="G319" s="3019">
        <f>'9-A.Training Sub-Annex'!H116</f>
        <v>0</v>
      </c>
      <c r="H319" s="3019">
        <f>'9-A.Training Sub-Annex'!I116</f>
        <v>0</v>
      </c>
      <c r="I319" s="3019">
        <f>'9-A.Training Sub-Annex'!J116</f>
        <v>0</v>
      </c>
      <c r="J319" s="3019">
        <f>'9-A.Training Sub-Annex'!K116</f>
        <v>0</v>
      </c>
      <c r="K319" s="3019">
        <f>'9-A.Training Sub-Annex'!L116</f>
        <v>0</v>
      </c>
      <c r="L319" s="3020">
        <f>'9-A.Training Sub-Annex'!M116</f>
        <v>0</v>
      </c>
      <c r="M319" s="3019">
        <f>'9-A.Training Sub-Annex'!N116</f>
        <v>0</v>
      </c>
      <c r="N319" s="3019">
        <f>'9-A.Training Sub-Annex'!O116</f>
        <v>0</v>
      </c>
      <c r="O319" s="3020">
        <f>'9-A.Training Sub-Annex'!P116</f>
        <v>0</v>
      </c>
      <c r="P319" s="3047">
        <f>'9-A.Training Sub-Annex'!Q116</f>
        <v>0</v>
      </c>
      <c r="Q319" s="3067"/>
      <c r="R319" s="3022"/>
    </row>
    <row r="320" spans="1:18" s="3023" customFormat="1">
      <c r="A320" s="4606"/>
      <c r="B320" s="3017" t="str">
        <f>'9-A.Training Sub-Annex'!C117</f>
        <v>A.9.7.2.2</v>
      </c>
      <c r="C320" s="3018" t="str">
        <f>'9-A.Training Sub-Annex'!D117</f>
        <v>Training of Peer Educator (Block Level)</v>
      </c>
      <c r="D320" s="3019" t="str">
        <f>'9-A.Training Sub-Annex'!E117</f>
        <v>RCH</v>
      </c>
      <c r="E320" s="3019" t="str">
        <f>'9-A.Training Sub-Annex'!F117</f>
        <v>AH</v>
      </c>
      <c r="F320" s="3019">
        <f>'9-A.Training Sub-Annex'!G117</f>
        <v>0</v>
      </c>
      <c r="G320" s="3019">
        <f>'9-A.Training Sub-Annex'!H117</f>
        <v>0</v>
      </c>
      <c r="H320" s="3019">
        <f>'9-A.Training Sub-Annex'!I117</f>
        <v>0</v>
      </c>
      <c r="I320" s="3019">
        <f>'9-A.Training Sub-Annex'!J117</f>
        <v>0</v>
      </c>
      <c r="J320" s="3019">
        <f>'9-A.Training Sub-Annex'!K117</f>
        <v>0</v>
      </c>
      <c r="K320" s="3019">
        <f>'9-A.Training Sub-Annex'!L117</f>
        <v>0</v>
      </c>
      <c r="L320" s="3020">
        <f>'9-A.Training Sub-Annex'!M117</f>
        <v>0</v>
      </c>
      <c r="M320" s="3019">
        <f>'9-A.Training Sub-Annex'!N117</f>
        <v>0</v>
      </c>
      <c r="N320" s="3019">
        <f>'9-A.Training Sub-Annex'!O117</f>
        <v>0</v>
      </c>
      <c r="O320" s="3020">
        <f>'9-A.Training Sub-Annex'!P117</f>
        <v>0</v>
      </c>
      <c r="P320" s="3047">
        <f>'9-A.Training Sub-Annex'!Q117</f>
        <v>0</v>
      </c>
      <c r="Q320" s="3067"/>
      <c r="R320" s="3022"/>
    </row>
    <row r="321" spans="1:18" s="3023" customFormat="1">
      <c r="A321" s="4606"/>
      <c r="B321" s="3017" t="str">
        <f>'9-A.Training Sub-Annex'!C118</f>
        <v>A.9.7.2.3</v>
      </c>
      <c r="C321" s="3018" t="str">
        <f>'9-A.Training Sub-Annex'!D118</f>
        <v>Training of Peer Educator (Sub block level)</v>
      </c>
      <c r="D321" s="3019" t="str">
        <f>'9-A.Training Sub-Annex'!E118</f>
        <v>RCH</v>
      </c>
      <c r="E321" s="3019" t="str">
        <f>'9-A.Training Sub-Annex'!F118</f>
        <v>AH</v>
      </c>
      <c r="F321" s="3019">
        <f>'9-A.Training Sub-Annex'!G118</f>
        <v>0</v>
      </c>
      <c r="G321" s="3019">
        <f>'9-A.Training Sub-Annex'!H118</f>
        <v>0</v>
      </c>
      <c r="H321" s="3019">
        <f>'9-A.Training Sub-Annex'!I118</f>
        <v>0</v>
      </c>
      <c r="I321" s="3019">
        <f>'9-A.Training Sub-Annex'!J118</f>
        <v>0</v>
      </c>
      <c r="J321" s="3019">
        <f>'9-A.Training Sub-Annex'!K118</f>
        <v>0</v>
      </c>
      <c r="K321" s="3019">
        <f>'9-A.Training Sub-Annex'!L118</f>
        <v>0</v>
      </c>
      <c r="L321" s="3020">
        <f>'9-A.Training Sub-Annex'!M118</f>
        <v>0</v>
      </c>
      <c r="M321" s="3019">
        <f>'9-A.Training Sub-Annex'!N118</f>
        <v>0</v>
      </c>
      <c r="N321" s="3019">
        <f>'9-A.Training Sub-Annex'!O118</f>
        <v>0</v>
      </c>
      <c r="O321" s="3020">
        <f>'9-A.Training Sub-Annex'!P118</f>
        <v>0</v>
      </c>
      <c r="P321" s="3047">
        <f>'9-A.Training Sub-Annex'!Q118</f>
        <v>0</v>
      </c>
      <c r="Q321" s="3067"/>
      <c r="R321" s="3022"/>
    </row>
    <row r="322" spans="1:18" s="3023" customFormat="1">
      <c r="A322" s="4606"/>
      <c r="B322" s="3017" t="str">
        <f>'9-A.Training Sub-Annex'!C119</f>
        <v>A.9.7.3.1</v>
      </c>
      <c r="C322" s="3018" t="str">
        <f>'9-A.Training Sub-Annex'!D119</f>
        <v>WIFS trainings (District)</v>
      </c>
      <c r="D322" s="3019" t="str">
        <f>'9-A.Training Sub-Annex'!E119</f>
        <v>RCH</v>
      </c>
      <c r="E322" s="3019" t="str">
        <f>'9-A.Training Sub-Annex'!F119</f>
        <v>AH</v>
      </c>
      <c r="F322" s="3019">
        <f>'9-A.Training Sub-Annex'!G119</f>
        <v>0</v>
      </c>
      <c r="G322" s="3019">
        <f>'9-A.Training Sub-Annex'!H119</f>
        <v>0</v>
      </c>
      <c r="H322" s="3019">
        <f>'9-A.Training Sub-Annex'!I119</f>
        <v>0</v>
      </c>
      <c r="I322" s="3019">
        <f>'9-A.Training Sub-Annex'!J119</f>
        <v>0</v>
      </c>
      <c r="J322" s="3019">
        <f>'9-A.Training Sub-Annex'!K119</f>
        <v>0</v>
      </c>
      <c r="K322" s="3019">
        <f>'9-A.Training Sub-Annex'!L119</f>
        <v>0</v>
      </c>
      <c r="L322" s="3020">
        <f>'9-A.Training Sub-Annex'!M119</f>
        <v>0</v>
      </c>
      <c r="M322" s="3019">
        <f>'9-A.Training Sub-Annex'!N119</f>
        <v>0</v>
      </c>
      <c r="N322" s="3019">
        <f>'9-A.Training Sub-Annex'!O119</f>
        <v>0</v>
      </c>
      <c r="O322" s="3020">
        <f>'9-A.Training Sub-Annex'!P119</f>
        <v>0</v>
      </c>
      <c r="P322" s="3047">
        <f>'9-A.Training Sub-Annex'!Q119</f>
        <v>0</v>
      </c>
      <c r="Q322" s="3067"/>
      <c r="R322" s="3022"/>
    </row>
    <row r="323" spans="1:18" s="3023" customFormat="1">
      <c r="A323" s="4606"/>
      <c r="B323" s="3017" t="str">
        <f>'9-A.Training Sub-Annex'!C120</f>
        <v>A.9.7.3.2</v>
      </c>
      <c r="C323" s="3018" t="str">
        <f>'9-A.Training Sub-Annex'!D120</f>
        <v>WIFS trainings (Block)</v>
      </c>
      <c r="D323" s="3019" t="str">
        <f>'9-A.Training Sub-Annex'!E120</f>
        <v>RCH</v>
      </c>
      <c r="E323" s="3019" t="str">
        <f>'9-A.Training Sub-Annex'!F120</f>
        <v>AH</v>
      </c>
      <c r="F323" s="3019">
        <f>'9-A.Training Sub-Annex'!G120</f>
        <v>0</v>
      </c>
      <c r="G323" s="3019">
        <f>'9-A.Training Sub-Annex'!H120</f>
        <v>0</v>
      </c>
      <c r="H323" s="3019">
        <f>'9-A.Training Sub-Annex'!I120</f>
        <v>0</v>
      </c>
      <c r="I323" s="3019">
        <f>'9-A.Training Sub-Annex'!J120</f>
        <v>0</v>
      </c>
      <c r="J323" s="3019">
        <f>'9-A.Training Sub-Annex'!K120</f>
        <v>0</v>
      </c>
      <c r="K323" s="3019">
        <f>'9-A.Training Sub-Annex'!L120</f>
        <v>0</v>
      </c>
      <c r="L323" s="3020">
        <f>'9-A.Training Sub-Annex'!M120</f>
        <v>0</v>
      </c>
      <c r="M323" s="3019">
        <f>'9-A.Training Sub-Annex'!N120</f>
        <v>0</v>
      </c>
      <c r="N323" s="3019">
        <f>'9-A.Training Sub-Annex'!O120</f>
        <v>0</v>
      </c>
      <c r="O323" s="3020">
        <f>'9-A.Training Sub-Annex'!P120</f>
        <v>0</v>
      </c>
      <c r="P323" s="3047">
        <f>'9-A.Training Sub-Annex'!Q120</f>
        <v>0</v>
      </c>
      <c r="Q323" s="3067"/>
      <c r="R323" s="3022"/>
    </row>
    <row r="324" spans="1:18" s="3023" customFormat="1">
      <c r="A324" s="4606"/>
      <c r="B324" s="3017" t="str">
        <f>'9-A.Training Sub-Annex'!C121</f>
        <v>A.9.7.4.1</v>
      </c>
      <c r="C324" s="3018" t="str">
        <f>'9-A.Training Sub-Annex'!D121</f>
        <v>MHS Trainings (District)</v>
      </c>
      <c r="D324" s="3019" t="str">
        <f>'9-A.Training Sub-Annex'!E121</f>
        <v>RCH</v>
      </c>
      <c r="E324" s="3019" t="str">
        <f>'9-A.Training Sub-Annex'!F121</f>
        <v>AH</v>
      </c>
      <c r="F324" s="3019">
        <f>'9-A.Training Sub-Annex'!G121</f>
        <v>0</v>
      </c>
      <c r="G324" s="3019">
        <f>'9-A.Training Sub-Annex'!H121</f>
        <v>0</v>
      </c>
      <c r="H324" s="3019">
        <f>'9-A.Training Sub-Annex'!I121</f>
        <v>0</v>
      </c>
      <c r="I324" s="3019">
        <f>'9-A.Training Sub-Annex'!J121</f>
        <v>0</v>
      </c>
      <c r="J324" s="3019">
        <f>'9-A.Training Sub-Annex'!K121</f>
        <v>0</v>
      </c>
      <c r="K324" s="3019">
        <f>'9-A.Training Sub-Annex'!L121</f>
        <v>0</v>
      </c>
      <c r="L324" s="3020">
        <f>'9-A.Training Sub-Annex'!M121</f>
        <v>0</v>
      </c>
      <c r="M324" s="3019">
        <f>'9-A.Training Sub-Annex'!N121</f>
        <v>0</v>
      </c>
      <c r="N324" s="3019">
        <f>'9-A.Training Sub-Annex'!O121</f>
        <v>0</v>
      </c>
      <c r="O324" s="3020">
        <f>'9-A.Training Sub-Annex'!P121</f>
        <v>0</v>
      </c>
      <c r="P324" s="3047">
        <f>'9-A.Training Sub-Annex'!Q121</f>
        <v>0</v>
      </c>
      <c r="Q324" s="3067"/>
      <c r="R324" s="3022"/>
    </row>
    <row r="325" spans="1:18" s="3023" customFormat="1">
      <c r="A325" s="4606"/>
      <c r="B325" s="3017" t="str">
        <f>'9-A.Training Sub-Annex'!C122</f>
        <v>A.9.7.4.2</v>
      </c>
      <c r="C325" s="3018" t="str">
        <f>'9-A.Training Sub-Annex'!D122</f>
        <v>MHS Trainings (Block)</v>
      </c>
      <c r="D325" s="3019" t="str">
        <f>'9-A.Training Sub-Annex'!E122</f>
        <v>RCH</v>
      </c>
      <c r="E325" s="3019" t="str">
        <f>'9-A.Training Sub-Annex'!F122</f>
        <v>AH</v>
      </c>
      <c r="F325" s="3019">
        <f>'9-A.Training Sub-Annex'!G122</f>
        <v>0</v>
      </c>
      <c r="G325" s="3019">
        <f>'9-A.Training Sub-Annex'!H122</f>
        <v>0</v>
      </c>
      <c r="H325" s="3019">
        <f>'9-A.Training Sub-Annex'!I122</f>
        <v>0</v>
      </c>
      <c r="I325" s="3019">
        <f>'9-A.Training Sub-Annex'!J122</f>
        <v>0</v>
      </c>
      <c r="J325" s="3019">
        <f>'9-A.Training Sub-Annex'!K122</f>
        <v>0</v>
      </c>
      <c r="K325" s="3019">
        <f>'9-A.Training Sub-Annex'!L122</f>
        <v>0</v>
      </c>
      <c r="L325" s="3020">
        <f>'9-A.Training Sub-Annex'!M122</f>
        <v>0</v>
      </c>
      <c r="M325" s="3019">
        <f>'9-A.Training Sub-Annex'!N122</f>
        <v>0</v>
      </c>
      <c r="N325" s="3019">
        <f>'9-A.Training Sub-Annex'!O122</f>
        <v>0</v>
      </c>
      <c r="O325" s="3020">
        <f>'9-A.Training Sub-Annex'!P122</f>
        <v>0</v>
      </c>
      <c r="P325" s="3047">
        <f>'9-A.Training Sub-Annex'!Q122</f>
        <v>0</v>
      </c>
      <c r="Q325" s="3067"/>
      <c r="R325" s="3022"/>
    </row>
    <row r="326" spans="1:18" s="3023" customFormat="1" ht="105">
      <c r="A326" s="4606"/>
      <c r="B326" s="3017" t="str">
        <f>'9-A.Training Sub-Annex'!C124</f>
        <v>A.9.12.6.1</v>
      </c>
      <c r="C326" s="3018" t="str">
        <f>'9-A.Training Sub-Annex'!D124</f>
        <v xml:space="preserve">Training of master trainers at State, district and block level </v>
      </c>
      <c r="D326" s="3019" t="str">
        <f>'9-A.Training Sub-Annex'!E124</f>
        <v>RCH</v>
      </c>
      <c r="E326" s="3019" t="str">
        <f>'9-A.Training Sub-Annex'!F124</f>
        <v>AH</v>
      </c>
      <c r="F326" s="3019">
        <f>'9-A.Training Sub-Annex'!G124</f>
        <v>0</v>
      </c>
      <c r="G326" s="3019">
        <f>'9-A.Training Sub-Annex'!H124</f>
        <v>0</v>
      </c>
      <c r="H326" s="3019">
        <f>'9-A.Training Sub-Annex'!I124</f>
        <v>0</v>
      </c>
      <c r="I326" s="3019">
        <f>'9-A.Training Sub-Annex'!J124</f>
        <v>0</v>
      </c>
      <c r="J326" s="3019">
        <f>'9-A.Training Sub-Annex'!K124</f>
        <v>0</v>
      </c>
      <c r="K326" s="3019" t="str">
        <f>'9-A.Training Sub-Annex'!L124</f>
        <v>No. of training batches</v>
      </c>
      <c r="L326" s="3020">
        <f>'9-A.Training Sub-Annex'!M124</f>
        <v>42617</v>
      </c>
      <c r="M326" s="3019">
        <f>'9-A.Training Sub-Annex'!N124</f>
        <v>0.42616999999999999</v>
      </c>
      <c r="N326" s="3019">
        <f>'9-A.Training Sub-Annex'!O124</f>
        <v>224</v>
      </c>
      <c r="O326" s="3020">
        <f>'9-A.Training Sub-Annex'!P124</f>
        <v>95.46208</v>
      </c>
      <c r="P326" s="3047" t="str">
        <f>'9-A.Training Sub-Annex'!Q124</f>
        <v>In the FY 2021-22 State is planning to initiate SHP in 08 more  aspirational districts (Araria, Aurangabad,Banka, Begusarai, Khagaria, Muzaffarpur, Nawada and Sheikhpura) and 01 transformation district (Nalanda) making the total to 14.
In 9 new districts physical training will be organised at State level for DRG. 
At District level for creating BRGs as well as orientation of Principals.  
Total 2 batches will be organised at State Level, 22 at District level and 200 batch of Principal orientation.</v>
      </c>
      <c r="Q326" s="3067"/>
      <c r="R326" s="3022"/>
    </row>
    <row r="327" spans="1:18" s="3023" customFormat="1" ht="60">
      <c r="A327" s="4606"/>
      <c r="B327" s="3017" t="str">
        <f>'9-A.Training Sub-Annex'!C125</f>
        <v>A.9.12.6.2</v>
      </c>
      <c r="C327" s="3018" t="str">
        <f>'9-A.Training Sub-Annex'!D125</f>
        <v xml:space="preserve">Training of two nodal teachers per school </v>
      </c>
      <c r="D327" s="3019" t="str">
        <f>'9-A.Training Sub-Annex'!E125</f>
        <v>RCH</v>
      </c>
      <c r="E327" s="3019" t="str">
        <f>'9-A.Training Sub-Annex'!F125</f>
        <v>AH</v>
      </c>
      <c r="F327" s="3019">
        <f>'9-A.Training Sub-Annex'!G125</f>
        <v>0</v>
      </c>
      <c r="G327" s="3019">
        <f>'9-A.Training Sub-Annex'!H125</f>
        <v>0</v>
      </c>
      <c r="H327" s="3019">
        <f>'9-A.Training Sub-Annex'!I125</f>
        <v>0</v>
      </c>
      <c r="I327" s="3019">
        <f>'9-A.Training Sub-Annex'!J125</f>
        <v>0</v>
      </c>
      <c r="J327" s="3019">
        <f>'9-A.Training Sub-Annex'!K125</f>
        <v>0</v>
      </c>
      <c r="K327" s="3019" t="str">
        <f>'9-A.Training Sub-Annex'!L125</f>
        <v>No. of training batches</v>
      </c>
      <c r="L327" s="3020">
        <f>'9-A.Training Sub-Annex'!M125</f>
        <v>78250</v>
      </c>
      <c r="M327" s="3019">
        <f>'9-A.Training Sub-Annex'!N125</f>
        <v>0.78249999999999997</v>
      </c>
      <c r="N327" s="3019">
        <f>'9-A.Training Sub-Annex'!O125</f>
        <v>534</v>
      </c>
      <c r="O327" s="3020">
        <f>'9-A.Training Sub-Annex'!P125</f>
        <v>417.85499999999996</v>
      </c>
      <c r="P327" s="3047" t="str">
        <f>'9-A.Training Sub-Annex'!Q125</f>
        <v>In the 8 new aspirational districts and 1 transformation district under SHP 8007 schools will be covered.
Total 16014 (2 from each school) Health and Wellness Ambassador will be trained.
534 batches will be organised and 30 participants will be trained in each batch.</v>
      </c>
      <c r="Q327" s="3067"/>
      <c r="R327" s="3022"/>
    </row>
    <row r="328" spans="1:18" s="3023" customFormat="1" ht="30">
      <c r="A328" s="4606"/>
      <c r="B328" s="3017">
        <f>'9-A.Training Sub-Annex'!C126</f>
        <v>0</v>
      </c>
      <c r="C328" s="3018" t="str">
        <f>'9-A.Training Sub-Annex'!D126</f>
        <v>Any other (please specify)</v>
      </c>
      <c r="D328" s="3019" t="str">
        <f>'9-A.Training Sub-Annex'!E126</f>
        <v>RCH</v>
      </c>
      <c r="E328" s="3019" t="str">
        <f>'9-A.Training Sub-Annex'!F126</f>
        <v>AH</v>
      </c>
      <c r="F328" s="3019">
        <f>'9-A.Training Sub-Annex'!G126</f>
        <v>0</v>
      </c>
      <c r="G328" s="3019">
        <f>'9-A.Training Sub-Annex'!H126</f>
        <v>0</v>
      </c>
      <c r="H328" s="3019">
        <f>'9-A.Training Sub-Annex'!I126</f>
        <v>0</v>
      </c>
      <c r="I328" s="3019">
        <f>'9-A.Training Sub-Annex'!J126</f>
        <v>0</v>
      </c>
      <c r="J328" s="3019">
        <f>'9-A.Training Sub-Annex'!K126</f>
        <v>0</v>
      </c>
      <c r="K328" s="3019" t="str">
        <f>'9-A.Training Sub-Annex'!L126</f>
        <v>No. of districts</v>
      </c>
      <c r="L328" s="3020">
        <f>'9-A.Training Sub-Annex'!M126</f>
        <v>1400000</v>
      </c>
      <c r="M328" s="3019">
        <f>'9-A.Training Sub-Annex'!N126</f>
        <v>14</v>
      </c>
      <c r="N328" s="3019">
        <f>'9-A.Training Sub-Annex'!O126</f>
        <v>9</v>
      </c>
      <c r="O328" s="3020">
        <f>'9-A.Training Sub-Annex'!P126</f>
        <v>126</v>
      </c>
      <c r="P328" s="3047" t="str">
        <f>'9-A.Training Sub-Annex'!Q126</f>
        <v>For  procurement of merchandise for HWA and HWM state is budgeting for 9 districts  @ 14 lakhs per districts as per GOI norms.</v>
      </c>
      <c r="Q328" s="3067"/>
      <c r="R328" s="3022"/>
    </row>
    <row r="329" spans="1:18" s="3023" customFormat="1">
      <c r="A329" s="4606"/>
      <c r="B329" s="3017" t="str">
        <f>'9-A.Training Sub-Annex'!C127</f>
        <v>A.9.7.5</v>
      </c>
      <c r="C329" s="3018" t="str">
        <f>'9-A.Training Sub-Annex'!D127</f>
        <v>Other Adolescent Health trainings (please specify)</v>
      </c>
      <c r="D329" s="3019" t="str">
        <f>'9-A.Training Sub-Annex'!E127</f>
        <v>RCH</v>
      </c>
      <c r="E329" s="3019" t="str">
        <f>'9-A.Training Sub-Annex'!F127</f>
        <v>AH</v>
      </c>
      <c r="F329" s="3019">
        <f>'9-A.Training Sub-Annex'!G127</f>
        <v>0</v>
      </c>
      <c r="G329" s="3019">
        <f>'9-A.Training Sub-Annex'!H127</f>
        <v>0</v>
      </c>
      <c r="H329" s="3019">
        <f>'9-A.Training Sub-Annex'!I127</f>
        <v>0</v>
      </c>
      <c r="I329" s="3019">
        <f>'9-A.Training Sub-Annex'!J127</f>
        <v>0</v>
      </c>
      <c r="J329" s="3019">
        <f>'9-A.Training Sub-Annex'!K127</f>
        <v>0</v>
      </c>
      <c r="K329" s="3019">
        <f>'9-A.Training Sub-Annex'!L127</f>
        <v>0</v>
      </c>
      <c r="L329" s="3020">
        <f>'9-A.Training Sub-Annex'!M127</f>
        <v>0</v>
      </c>
      <c r="M329" s="3019">
        <f>'9-A.Training Sub-Annex'!N127</f>
        <v>0</v>
      </c>
      <c r="N329" s="3019">
        <f>'9-A.Training Sub-Annex'!O127</f>
        <v>0</v>
      </c>
      <c r="O329" s="3020">
        <f>'9-A.Training Sub-Annex'!P127</f>
        <v>0</v>
      </c>
      <c r="P329" s="3047">
        <f>'9-A.Training Sub-Annex'!Q127</f>
        <v>0</v>
      </c>
      <c r="Q329" s="3067"/>
      <c r="R329" s="3022"/>
    </row>
    <row r="330" spans="1:18" s="3023" customFormat="1">
      <c r="A330" s="3030">
        <f>'11.IEC-BCC Annex'!A7</f>
        <v>11</v>
      </c>
      <c r="B330" s="3038"/>
      <c r="C330" s="3031" t="str">
        <f>'11.IEC-BCC Annex'!C7</f>
        <v>IEC/BCC</v>
      </c>
      <c r="D330" s="3032"/>
      <c r="E330" s="3032"/>
      <c r="F330" s="3032"/>
      <c r="G330" s="3032"/>
      <c r="H330" s="3033"/>
      <c r="I330" s="3032"/>
      <c r="J330" s="3033"/>
      <c r="K330" s="3032"/>
      <c r="L330" s="3033"/>
      <c r="M330" s="3033"/>
      <c r="N330" s="3039"/>
      <c r="O330" s="3040">
        <f>SUM(O331:O333)</f>
        <v>25</v>
      </c>
      <c r="P330" s="3064"/>
      <c r="Q330" s="3042"/>
      <c r="R330" s="3043">
        <f>SUM(R331:R333)</f>
        <v>0</v>
      </c>
    </row>
    <row r="331" spans="1:18" s="3023" customFormat="1" ht="30">
      <c r="A331" s="4606" t="str">
        <f>'11.IEC-BCC Annex'!A12</f>
        <v>11.1.4</v>
      </c>
      <c r="B331" s="3017" t="str">
        <f>'11-A. IEC Sub-Annex'!C23</f>
        <v>B.10.3.4.1</v>
      </c>
      <c r="C331" s="3018" t="str">
        <f>'11-A. IEC Sub-Annex'!D23</f>
        <v>Media Mix of Mass Media/ Mid Media including promotion of menstrual hygiene scheme</v>
      </c>
      <c r="D331" s="3019" t="str">
        <f>'11-A. IEC Sub-Annex'!E23</f>
        <v>RCH</v>
      </c>
      <c r="E331" s="3019" t="str">
        <f>'11-A. IEC Sub-Annex'!F23</f>
        <v>AH</v>
      </c>
      <c r="F331" s="3019">
        <f>'11-A. IEC Sub-Annex'!G23</f>
        <v>0</v>
      </c>
      <c r="G331" s="3019">
        <f>'11-A. IEC Sub-Annex'!H23</f>
        <v>0</v>
      </c>
      <c r="H331" s="3019">
        <f>'11-A. IEC Sub-Annex'!I23</f>
        <v>0</v>
      </c>
      <c r="I331" s="3019">
        <f>'11-A. IEC Sub-Annex'!J23</f>
        <v>0</v>
      </c>
      <c r="J331" s="3019">
        <f>'11-A. IEC Sub-Annex'!K23</f>
        <v>0</v>
      </c>
      <c r="K331" s="3019" t="str">
        <f>'11-A. IEC Sub-Annex'!L23</f>
        <v>Per Advt., audio etc.</v>
      </c>
      <c r="L331" s="3020">
        <f>'11-A. IEC Sub-Annex'!M23</f>
        <v>500000</v>
      </c>
      <c r="M331" s="3019">
        <f>'11-A. IEC Sub-Annex'!N23</f>
        <v>5</v>
      </c>
      <c r="N331" s="3019">
        <f>'11-A. IEC Sub-Annex'!O23</f>
        <v>1</v>
      </c>
      <c r="O331" s="3020">
        <f>'11-A. IEC Sub-Annex'!P23</f>
        <v>5</v>
      </c>
      <c r="P331" s="3047" t="str">
        <f>'11-A. IEC Sub-Annex'!Q23</f>
        <v>Mass/Mid Media Activities of Adolscent, menstruel hygiene etc.</v>
      </c>
      <c r="Q331" s="3067"/>
      <c r="R331" s="3022"/>
    </row>
    <row r="332" spans="1:18" s="3023" customFormat="1">
      <c r="A332" s="4606"/>
      <c r="B332" s="3017" t="str">
        <f>'11-A. IEC Sub-Annex'!C24</f>
        <v>B.10.3.4.2</v>
      </c>
      <c r="C332" s="3018" t="str">
        <f>'11-A. IEC Sub-Annex'!D24</f>
        <v>Inter Personal Communication</v>
      </c>
      <c r="D332" s="3019" t="str">
        <f>'11-A. IEC Sub-Annex'!E24</f>
        <v>RCH</v>
      </c>
      <c r="E332" s="3019" t="str">
        <f>'11-A. IEC Sub-Annex'!F24</f>
        <v>AH</v>
      </c>
      <c r="F332" s="3019">
        <f>'11-A. IEC Sub-Annex'!G24</f>
        <v>0</v>
      </c>
      <c r="G332" s="3019">
        <f>'11-A. IEC Sub-Annex'!H24</f>
        <v>0</v>
      </c>
      <c r="H332" s="3019">
        <f>'11-A. IEC Sub-Annex'!I24</f>
        <v>0</v>
      </c>
      <c r="I332" s="3019">
        <f>'11-A. IEC Sub-Annex'!J24</f>
        <v>0</v>
      </c>
      <c r="J332" s="3019">
        <f>'11-A. IEC Sub-Annex'!K24</f>
        <v>0</v>
      </c>
      <c r="K332" s="3019" t="str">
        <f>'11-A. IEC Sub-Annex'!L24</f>
        <v>Per IEC Activity</v>
      </c>
      <c r="L332" s="3020">
        <f>'11-A. IEC Sub-Annex'!M24</f>
        <v>1000000</v>
      </c>
      <c r="M332" s="3019">
        <f>'11-A. IEC Sub-Annex'!N24</f>
        <v>10</v>
      </c>
      <c r="N332" s="3019">
        <f>'11-A. IEC Sub-Annex'!O24</f>
        <v>1</v>
      </c>
      <c r="O332" s="3020">
        <f>'11-A. IEC Sub-Annex'!P24</f>
        <v>10</v>
      </c>
      <c r="P332" s="3047">
        <f>'11-A. IEC Sub-Annex'!Q24</f>
        <v>0</v>
      </c>
      <c r="Q332" s="3067"/>
      <c r="R332" s="3022"/>
    </row>
    <row r="333" spans="1:18" s="3023" customFormat="1" ht="60">
      <c r="A333" s="4606"/>
      <c r="B333" s="3017">
        <f>'11-A. IEC Sub-Annex'!C25</f>
        <v>0</v>
      </c>
      <c r="C333" s="3018" t="str">
        <f>'11-A. IEC Sub-Annex'!D25</f>
        <v>Any other IEC/BCC activities (please specify)</v>
      </c>
      <c r="D333" s="3019" t="str">
        <f>'11-A. IEC Sub-Annex'!E25</f>
        <v>RCH</v>
      </c>
      <c r="E333" s="3019" t="str">
        <f>'11-A. IEC Sub-Annex'!F25</f>
        <v>AH</v>
      </c>
      <c r="F333" s="3019">
        <f>'11-A. IEC Sub-Annex'!G25</f>
        <v>0</v>
      </c>
      <c r="G333" s="3019">
        <f>'11-A. IEC Sub-Annex'!H25</f>
        <v>0</v>
      </c>
      <c r="H333" s="3019">
        <f>'11-A. IEC Sub-Annex'!I25</f>
        <v>0</v>
      </c>
      <c r="I333" s="3019">
        <f>'11-A. IEC Sub-Annex'!J25</f>
        <v>0</v>
      </c>
      <c r="J333" s="3019">
        <f>'11-A. IEC Sub-Annex'!K25</f>
        <v>0</v>
      </c>
      <c r="K333" s="3019" t="str">
        <f>'11-A. IEC Sub-Annex'!L25</f>
        <v>Per Selected Dist.</v>
      </c>
      <c r="L333" s="3020">
        <f>'11-A. IEC Sub-Annex'!M25</f>
        <v>200000</v>
      </c>
      <c r="M333" s="3019">
        <f>'11-A. IEC Sub-Annex'!N25</f>
        <v>2</v>
      </c>
      <c r="N333" s="3019">
        <f>'11-A. IEC Sub-Annex'!O25</f>
        <v>5</v>
      </c>
      <c r="O333" s="3020">
        <f>'11-A. IEC Sub-Annex'!P25</f>
        <v>10</v>
      </c>
      <c r="P333" s="3047" t="str">
        <f>'11-A. IEC Sub-Annex'!Q25</f>
        <v>In the FY 2020-21 School Health Program is being implemented in 5 selected districts of the State. For awareness creation as well as knowledge dissemination of school health program IEC/BCC activities will be carried out at different level. As per GOI guidelines Rs. 2 Lakhs to be budgeted for each district for IEC/BCC activities under School Health Program.</v>
      </c>
      <c r="Q333" s="3067"/>
      <c r="R333" s="3022"/>
    </row>
    <row r="334" spans="1:18" s="3023" customFormat="1">
      <c r="A334" s="3030">
        <f>'12.Printing Annex'!A7</f>
        <v>12</v>
      </c>
      <c r="B334" s="3038"/>
      <c r="C334" s="3031" t="str">
        <f>'12.Printing Annex'!C7</f>
        <v>Printing</v>
      </c>
      <c r="D334" s="3032"/>
      <c r="E334" s="3032"/>
      <c r="F334" s="3032"/>
      <c r="G334" s="3032"/>
      <c r="H334" s="3033"/>
      <c r="I334" s="3032"/>
      <c r="J334" s="3033"/>
      <c r="K334" s="3032"/>
      <c r="L334" s="3033"/>
      <c r="M334" s="3033"/>
      <c r="N334" s="3039"/>
      <c r="O334" s="3040">
        <f>SUM(O335:O340)</f>
        <v>393.33100000000002</v>
      </c>
      <c r="P334" s="3064"/>
      <c r="Q334" s="3042"/>
      <c r="R334" s="3043">
        <f>SUM(R335:R340)</f>
        <v>0</v>
      </c>
    </row>
    <row r="335" spans="1:18" s="3023" customFormat="1" ht="30">
      <c r="A335" s="4606" t="str">
        <f>'12.Printing Annex'!A12</f>
        <v>12.1.4</v>
      </c>
      <c r="B335" s="3017" t="str">
        <f>'12-A. Print Sub-Annex'!C34</f>
        <v>A.4.2.4</v>
      </c>
      <c r="C335" s="3018" t="str">
        <f>'12-A. Print Sub-Annex'!D34</f>
        <v xml:space="preserve">PE Kit and PE Diary  </v>
      </c>
      <c r="D335" s="3019" t="str">
        <f>'12-A. Print Sub-Annex'!E34</f>
        <v>RCH</v>
      </c>
      <c r="E335" s="3019" t="str">
        <f>'12-A. Print Sub-Annex'!F34</f>
        <v>AH</v>
      </c>
      <c r="F335" s="3019">
        <f>'12-A. Print Sub-Annex'!G34</f>
        <v>0</v>
      </c>
      <c r="G335" s="3019">
        <f>'12-A. Print Sub-Annex'!H34</f>
        <v>0</v>
      </c>
      <c r="H335" s="3019">
        <f>'12-A. Print Sub-Annex'!I34</f>
        <v>0</v>
      </c>
      <c r="I335" s="3019">
        <f>'12-A. Print Sub-Annex'!J34</f>
        <v>0</v>
      </c>
      <c r="J335" s="3019">
        <f>'12-A. Print Sub-Annex'!K34</f>
        <v>0</v>
      </c>
      <c r="K335" s="3019" t="str">
        <f>'12-A. Print Sub-Annex'!L34</f>
        <v xml:space="preserve">Per Diary </v>
      </c>
      <c r="L335" s="3020">
        <f>'12-A. Print Sub-Annex'!M34</f>
        <v>100</v>
      </c>
      <c r="M335" s="3019">
        <f>'12-A. Print Sub-Annex'!N34</f>
        <v>1E-3</v>
      </c>
      <c r="N335" s="3019">
        <f>'12-A. Print Sub-Annex'!O34</f>
        <v>13920</v>
      </c>
      <c r="O335" s="3020">
        <f>'12-A. Print Sub-Annex'!P34</f>
        <v>13.92</v>
      </c>
      <c r="P335" s="3047" t="str">
        <f>'12-A. Print Sub-Annex'!Q34</f>
        <v xml:space="preserve">Printing of Diary for Peer Educator @ Rs. 100/- each diary, Total Rs. 13,92,000.00
</v>
      </c>
      <c r="Q335" s="3067"/>
      <c r="R335" s="3022"/>
    </row>
    <row r="336" spans="1:18" s="3023" customFormat="1" ht="30">
      <c r="A336" s="4606"/>
      <c r="B336" s="3017" t="str">
        <f>'12-A. Print Sub-Annex'!C35</f>
        <v>B.10.7.2</v>
      </c>
      <c r="C336" s="3018" t="str">
        <f>'12-A. Print Sub-Annex'!D35</f>
        <v>Printing under WIFS -WIFS cards, WIFS registers, reporting  format etc</v>
      </c>
      <c r="D336" s="3019" t="str">
        <f>'12-A. Print Sub-Annex'!E35</f>
        <v>RCH</v>
      </c>
      <c r="E336" s="3019" t="str">
        <f>'12-A. Print Sub-Annex'!F35</f>
        <v>AH</v>
      </c>
      <c r="F336" s="3019">
        <f>'12-A. Print Sub-Annex'!G35</f>
        <v>0</v>
      </c>
      <c r="G336" s="3019">
        <f>'12-A. Print Sub-Annex'!H35</f>
        <v>0</v>
      </c>
      <c r="H336" s="3019">
        <f>'12-A. Print Sub-Annex'!I35</f>
        <v>0</v>
      </c>
      <c r="I336" s="3019">
        <f>'12-A. Print Sub-Annex'!J35</f>
        <v>0</v>
      </c>
      <c r="J336" s="3019">
        <f>'12-A. Print Sub-Annex'!K35</f>
        <v>0</v>
      </c>
      <c r="K336" s="3019">
        <f>'12-A. Print Sub-Annex'!L35</f>
        <v>0</v>
      </c>
      <c r="L336" s="3020">
        <f>'12-A. Print Sub-Annex'!M35</f>
        <v>0</v>
      </c>
      <c r="M336" s="3019">
        <f>'12-A. Print Sub-Annex'!N35</f>
        <v>0</v>
      </c>
      <c r="N336" s="3019">
        <f>'12-A. Print Sub-Annex'!O35</f>
        <v>0</v>
      </c>
      <c r="O336" s="3020">
        <f>'12-A. Print Sub-Annex'!P35</f>
        <v>0</v>
      </c>
      <c r="P336" s="3047">
        <f>'12-A. Print Sub-Annex'!Q35</f>
        <v>0</v>
      </c>
      <c r="Q336" s="3067"/>
      <c r="R336" s="3022"/>
    </row>
    <row r="337" spans="1:18" s="3023" customFormat="1" ht="30">
      <c r="A337" s="4606"/>
      <c r="B337" s="3017" t="str">
        <f>'12-A. Print Sub-Annex'!C36</f>
        <v>B.10.7.4.6</v>
      </c>
      <c r="C337" s="3018" t="str">
        <f>'12-A. Print Sub-Annex'!D36</f>
        <v>Printing for AFHC-AFHC Registers, reporting formats, AFHC cards etc</v>
      </c>
      <c r="D337" s="3019" t="str">
        <f>'12-A. Print Sub-Annex'!E36</f>
        <v>RCH</v>
      </c>
      <c r="E337" s="3019" t="str">
        <f>'12-A. Print Sub-Annex'!F36</f>
        <v>AH</v>
      </c>
      <c r="F337" s="3019">
        <f>'12-A. Print Sub-Annex'!G36</f>
        <v>0</v>
      </c>
      <c r="G337" s="3019">
        <f>'12-A. Print Sub-Annex'!H36</f>
        <v>0</v>
      </c>
      <c r="H337" s="3019">
        <f>'12-A. Print Sub-Annex'!I36</f>
        <v>0</v>
      </c>
      <c r="I337" s="3019">
        <f>'12-A. Print Sub-Annex'!J36</f>
        <v>0</v>
      </c>
      <c r="J337" s="3019">
        <f>'12-A. Print Sub-Annex'!K36</f>
        <v>0</v>
      </c>
      <c r="K337" s="3019">
        <f>'12-A. Print Sub-Annex'!L36</f>
        <v>0</v>
      </c>
      <c r="L337" s="3020">
        <f>'12-A. Print Sub-Annex'!M36</f>
        <v>0</v>
      </c>
      <c r="M337" s="3019">
        <f>'12-A. Print Sub-Annex'!N36</f>
        <v>0</v>
      </c>
      <c r="N337" s="3019">
        <f>'12-A. Print Sub-Annex'!O36</f>
        <v>0</v>
      </c>
      <c r="O337" s="3020">
        <f>'12-A. Print Sub-Annex'!P36</f>
        <v>0</v>
      </c>
      <c r="P337" s="3047">
        <f>'12-A. Print Sub-Annex'!Q36</f>
        <v>0</v>
      </c>
      <c r="Q337" s="3067"/>
      <c r="R337" s="3022"/>
    </row>
    <row r="338" spans="1:18" s="3023" customFormat="1" ht="30">
      <c r="A338" s="4606"/>
      <c r="B338" s="3017">
        <f>'12-A. Print Sub-Annex'!C37</f>
        <v>0</v>
      </c>
      <c r="C338" s="3018" t="str">
        <f>'12-A. Print Sub-Annex'!D37</f>
        <v xml:space="preserve">Printing of AFHS Training manuals for  MO,  ANM and Counsellor; ANM  training manual for PE training </v>
      </c>
      <c r="D338" s="3019" t="str">
        <f>'12-A. Print Sub-Annex'!E37</f>
        <v>RCH</v>
      </c>
      <c r="E338" s="3019" t="str">
        <f>'12-A. Print Sub-Annex'!F37</f>
        <v>AH</v>
      </c>
      <c r="F338" s="3019">
        <f>'12-A. Print Sub-Annex'!G37</f>
        <v>0</v>
      </c>
      <c r="G338" s="3019">
        <f>'12-A. Print Sub-Annex'!H37</f>
        <v>0</v>
      </c>
      <c r="H338" s="3019">
        <f>'12-A. Print Sub-Annex'!I37</f>
        <v>0</v>
      </c>
      <c r="I338" s="3019">
        <f>'12-A. Print Sub-Annex'!J37</f>
        <v>0</v>
      </c>
      <c r="J338" s="3019">
        <f>'12-A. Print Sub-Annex'!K37</f>
        <v>0</v>
      </c>
      <c r="K338" s="3019" t="str">
        <f>'12-A. Print Sub-Annex'!L37</f>
        <v>Per Module</v>
      </c>
      <c r="L338" s="3020">
        <f>'12-A. Print Sub-Annex'!M37</f>
        <v>1411</v>
      </c>
      <c r="M338" s="3019">
        <f>'12-A. Print Sub-Annex'!N37</f>
        <v>1.4109999999999999E-2</v>
      </c>
      <c r="N338" s="3019">
        <f>'12-A. Print Sub-Annex'!O37</f>
        <v>100</v>
      </c>
      <c r="O338" s="3020">
        <f>'12-A. Print Sub-Annex'!P37</f>
        <v>1.411</v>
      </c>
      <c r="P338" s="3047" t="str">
        <f>'12-A. Print Sub-Annex'!Q37</f>
        <v>Printing of ANM Training module for AFHC</v>
      </c>
      <c r="Q338" s="3067"/>
      <c r="R338" s="3022"/>
    </row>
    <row r="339" spans="1:18" s="3023" customFormat="1" ht="45">
      <c r="A339" s="4606"/>
      <c r="B339" s="3017">
        <f>'12-A. Print Sub-Annex'!C38</f>
        <v>0</v>
      </c>
      <c r="C339" s="3018" t="str">
        <f>'12-A. Print Sub-Annex'!D38</f>
        <v>Printing teachers training manual, training curriculum and facilitators guide</v>
      </c>
      <c r="D339" s="3019" t="str">
        <f>'12-A. Print Sub-Annex'!E38</f>
        <v>RCH</v>
      </c>
      <c r="E339" s="3019" t="str">
        <f>'12-A. Print Sub-Annex'!F38</f>
        <v>AH</v>
      </c>
      <c r="F339" s="3019">
        <f>'12-A. Print Sub-Annex'!G38</f>
        <v>0</v>
      </c>
      <c r="G339" s="3019">
        <f>'12-A. Print Sub-Annex'!H38</f>
        <v>0</v>
      </c>
      <c r="H339" s="3019">
        <f>'12-A. Print Sub-Annex'!I38</f>
        <v>0</v>
      </c>
      <c r="I339" s="3019">
        <f>'12-A. Print Sub-Annex'!J38</f>
        <v>0</v>
      </c>
      <c r="J339" s="3019">
        <f>'12-A. Print Sub-Annex'!K38</f>
        <v>0</v>
      </c>
      <c r="K339" s="3019" t="str">
        <f>'12-A. Print Sub-Annex'!L38</f>
        <v>Per Concern District</v>
      </c>
      <c r="L339" s="3020">
        <f>'12-A. Print Sub-Annex'!M38</f>
        <v>4200000</v>
      </c>
      <c r="M339" s="3019">
        <f>'12-A. Print Sub-Annex'!N38</f>
        <v>42</v>
      </c>
      <c r="N339" s="3019">
        <f>'12-A. Print Sub-Annex'!O38</f>
        <v>9</v>
      </c>
      <c r="O339" s="3020">
        <f>'12-A. Print Sub-Annex'!P38</f>
        <v>378</v>
      </c>
      <c r="P339" s="3047" t="str">
        <f>'12-A. Print Sub-Annex'!Q38</f>
        <v xml:space="preserve">As per GOI Guidelines printing of manuals/posters/certificates @ Rs.42 lakhs per district for 9 districts (Araria, Aurangabad,Banka, Begusarai, Khagaria, Muzaffarpur, Nalanda, Nawada and Sheikhpura) </v>
      </c>
      <c r="Q339" s="3067"/>
      <c r="R339" s="3022"/>
    </row>
    <row r="340" spans="1:18" s="3023" customFormat="1">
      <c r="A340" s="4606"/>
      <c r="B340" s="3017">
        <f>'12-A. Print Sub-Annex'!C39</f>
        <v>0</v>
      </c>
      <c r="C340" s="3018" t="str">
        <f>'12-A. Print Sub-Annex'!D39</f>
        <v>Any other (please specify)</v>
      </c>
      <c r="D340" s="3019" t="str">
        <f>'12-A. Print Sub-Annex'!E39</f>
        <v>RCH</v>
      </c>
      <c r="E340" s="3019" t="str">
        <f>'12-A. Print Sub-Annex'!F39</f>
        <v>AH</v>
      </c>
      <c r="F340" s="3019">
        <f>'12-A. Print Sub-Annex'!G39</f>
        <v>0</v>
      </c>
      <c r="G340" s="3019">
        <f>'12-A. Print Sub-Annex'!H39</f>
        <v>0</v>
      </c>
      <c r="H340" s="3019">
        <f>'12-A. Print Sub-Annex'!I39</f>
        <v>0</v>
      </c>
      <c r="I340" s="3019">
        <f>'12-A. Print Sub-Annex'!J39</f>
        <v>0</v>
      </c>
      <c r="J340" s="3019">
        <f>'12-A. Print Sub-Annex'!K39</f>
        <v>0</v>
      </c>
      <c r="K340" s="3019">
        <f>'12-A. Print Sub-Annex'!L39</f>
        <v>0</v>
      </c>
      <c r="L340" s="3020">
        <f>'12-A. Print Sub-Annex'!M39</f>
        <v>0</v>
      </c>
      <c r="M340" s="3019">
        <f>'12-A. Print Sub-Annex'!N39</f>
        <v>0</v>
      </c>
      <c r="N340" s="3019">
        <f>'12-A. Print Sub-Annex'!O39</f>
        <v>0</v>
      </c>
      <c r="O340" s="3020">
        <f>'12-A. Print Sub-Annex'!P39</f>
        <v>0</v>
      </c>
      <c r="P340" s="3047">
        <f>'12-A. Print Sub-Annex'!Q39</f>
        <v>0</v>
      </c>
      <c r="Q340" s="3067"/>
      <c r="R340" s="3022"/>
    </row>
    <row r="341" spans="1:18" s="3023" customFormat="1">
      <c r="A341" s="3053" t="s">
        <v>4356</v>
      </c>
      <c r="B341" s="3053"/>
      <c r="C341" s="3054" t="s">
        <v>96</v>
      </c>
      <c r="D341" s="3055"/>
      <c r="E341" s="3055"/>
      <c r="F341" s="3055"/>
      <c r="G341" s="3055"/>
      <c r="H341" s="3056"/>
      <c r="I341" s="3055"/>
      <c r="J341" s="3056"/>
      <c r="K341" s="3055"/>
      <c r="L341" s="3056"/>
      <c r="M341" s="3056"/>
      <c r="N341" s="3057"/>
      <c r="O341" s="3058">
        <f>O342+O348+O354+O362+O364+O370+O351</f>
        <v>4590.0872981761877</v>
      </c>
      <c r="P341" s="3065"/>
      <c r="Q341" s="3060"/>
      <c r="R341" s="3061">
        <f>R342+R348+R354+R362+R364+R370+R351</f>
        <v>0</v>
      </c>
    </row>
    <row r="342" spans="1:18" s="3029" customFormat="1">
      <c r="A342" s="3030">
        <f>'1.SD Facility Based Annex'!A7</f>
        <v>1</v>
      </c>
      <c r="B342" s="3030">
        <f>'1.SD Facility Based Annex'!B7</f>
        <v>0</v>
      </c>
      <c r="C342" s="3031" t="str">
        <f>'1.SD Facility Based Annex'!C7</f>
        <v>Service Delivery - Facility Based</v>
      </c>
      <c r="D342" s="3032"/>
      <c r="E342" s="3032"/>
      <c r="F342" s="3032"/>
      <c r="G342" s="3032"/>
      <c r="H342" s="3032"/>
      <c r="I342" s="3032"/>
      <c r="J342" s="3032"/>
      <c r="K342" s="3032"/>
      <c r="L342" s="3033"/>
      <c r="M342" s="3032"/>
      <c r="N342" s="3032"/>
      <c r="O342" s="3033">
        <f>SUM(O343:O347)</f>
        <v>523.35004660000004</v>
      </c>
      <c r="P342" s="3066"/>
      <c r="Q342" s="3034"/>
      <c r="R342" s="3035">
        <f>SUM(R343:R347)</f>
        <v>0</v>
      </c>
    </row>
    <row r="343" spans="1:18" s="3023" customFormat="1" ht="45">
      <c r="A343" s="3017" t="str">
        <f>'1.SD Facility Based Annex'!A17</f>
        <v>1.1.2.1</v>
      </c>
      <c r="B343" s="3017" t="str">
        <f>'1.SD Facility Based Annex'!B17</f>
        <v>A.5.1.5</v>
      </c>
      <c r="C343" s="3018" t="str">
        <f>'1.SD Facility Based Annex'!C17</f>
        <v>New born screening-  Inborn error of metabolism (please give details per unit cost of screening, number of children to be screened and the delivery points Add details)</v>
      </c>
      <c r="D343" s="3019" t="str">
        <f>'1.SD Facility Based Annex'!D17</f>
        <v>RCH</v>
      </c>
      <c r="E343" s="3019" t="str">
        <f>'1.SD Facility Based Annex'!E17</f>
        <v>RBSK</v>
      </c>
      <c r="F343" s="3019">
        <f>'1.SD Facility Based Annex'!F17</f>
        <v>0</v>
      </c>
      <c r="G343" s="3019">
        <f>'1.SD Facility Based Annex'!G17</f>
        <v>0</v>
      </c>
      <c r="H343" s="3019">
        <f>'1.SD Facility Based Annex'!H17</f>
        <v>0</v>
      </c>
      <c r="I343" s="3019">
        <f>'1.SD Facility Based Annex'!I17</f>
        <v>0</v>
      </c>
      <c r="J343" s="3019">
        <f>'1.SD Facility Based Annex'!J17</f>
        <v>0</v>
      </c>
      <c r="K343" s="3019">
        <f>'1.SD Facility Based Annex'!K17</f>
        <v>0</v>
      </c>
      <c r="L343" s="3020">
        <f>'1.SD Facility Based Annex'!L17</f>
        <v>0</v>
      </c>
      <c r="M343" s="3019">
        <f>'1.SD Facility Based Annex'!M17</f>
        <v>0</v>
      </c>
      <c r="N343" s="3019">
        <f>'1.SD Facility Based Annex'!N17</f>
        <v>0</v>
      </c>
      <c r="O343" s="3020">
        <f>'1.SD Facility Based Annex'!O17</f>
        <v>0</v>
      </c>
      <c r="P343" s="3047">
        <f>'1.SD Facility Based Annex'!P17</f>
        <v>0</v>
      </c>
      <c r="Q343" s="3021"/>
      <c r="R343" s="3022"/>
    </row>
    <row r="344" spans="1:18" s="3023" customFormat="1" ht="75">
      <c r="A344" s="3017" t="str">
        <f>'1.SD Facility Based Annex'!A18</f>
        <v>1.1.2.2</v>
      </c>
      <c r="B344" s="3017" t="str">
        <f>'1.SD Facility Based Annex'!B18</f>
        <v>A.5.1.6</v>
      </c>
      <c r="C344" s="3018" t="str">
        <f>'1.SD Facility Based Annex'!C18</f>
        <v>New born screening as per  RBSK Comprehensive New-born Screening: Handbook for screening visible birth defects at all delivery points (please give details per unit cost , number of deliveries to be screened and the delivery points Add details)</v>
      </c>
      <c r="D344" s="3019" t="str">
        <f>'1.SD Facility Based Annex'!D18</f>
        <v>RCH</v>
      </c>
      <c r="E344" s="3019" t="str">
        <f>'1.SD Facility Based Annex'!E18</f>
        <v>RBSK</v>
      </c>
      <c r="F344" s="3019">
        <f>'1.SD Facility Based Annex'!F18</f>
        <v>0</v>
      </c>
      <c r="G344" s="3019">
        <f>'1.SD Facility Based Annex'!G18</f>
        <v>0</v>
      </c>
      <c r="H344" s="3019">
        <f>'1.SD Facility Based Annex'!H18</f>
        <v>0</v>
      </c>
      <c r="I344" s="3019">
        <f>'1.SD Facility Based Annex'!I18</f>
        <v>0</v>
      </c>
      <c r="J344" s="3019">
        <f>'1.SD Facility Based Annex'!J18</f>
        <v>0</v>
      </c>
      <c r="K344" s="3019">
        <f>'1.SD Facility Based Annex'!K18</f>
        <v>0</v>
      </c>
      <c r="L344" s="3020">
        <f>'1.SD Facility Based Annex'!L18</f>
        <v>0</v>
      </c>
      <c r="M344" s="3019">
        <f>'1.SD Facility Based Annex'!M18</f>
        <v>0</v>
      </c>
      <c r="N344" s="3019">
        <f>'1.SD Facility Based Annex'!N18</f>
        <v>0</v>
      </c>
      <c r="O344" s="3020">
        <f>'1.SD Facility Based Annex'!O18</f>
        <v>0</v>
      </c>
      <c r="P344" s="3047">
        <f>'1.SD Facility Based Annex'!P18</f>
        <v>0</v>
      </c>
      <c r="Q344" s="3021"/>
      <c r="R344" s="3022"/>
    </row>
    <row r="345" spans="1:18" s="3023" customFormat="1" ht="30">
      <c r="A345" s="3017" t="str">
        <f>'1.SD Facility Based Annex'!A19</f>
        <v>1.1.2.3</v>
      </c>
      <c r="B345" s="3017" t="str">
        <f>'1.SD Facility Based Annex'!B19</f>
        <v>A.5.2</v>
      </c>
      <c r="C345" s="3018" t="str">
        <f>'1.SD Facility Based Annex'!C19</f>
        <v>Referral Support for Secondary/ Tertiary care (pl give unit cost and unit of measure as per RBSK guidelines) - RBSK</v>
      </c>
      <c r="D345" s="3019" t="str">
        <f>'1.SD Facility Based Annex'!D19</f>
        <v>RCH</v>
      </c>
      <c r="E345" s="3019" t="str">
        <f>'1.SD Facility Based Annex'!E19</f>
        <v>RBSK</v>
      </c>
      <c r="F345" s="3019">
        <f>'1.SD Facility Based Annex'!F19</f>
        <v>1705</v>
      </c>
      <c r="G345" s="3019">
        <f>'1.SD Facility Based Annex'!G19</f>
        <v>342</v>
      </c>
      <c r="H345" s="3019">
        <f>'1.SD Facility Based Annex'!H19</f>
        <v>512.79999999999995</v>
      </c>
      <c r="I345" s="3019">
        <f>'1.SD Facility Based Annex'!I19</f>
        <v>0</v>
      </c>
      <c r="J345" s="3019">
        <f>'1.SD Facility Based Annex'!J19</f>
        <v>0</v>
      </c>
      <c r="K345" s="3019" t="str">
        <f>'1.SD Facility Based Annex'!K19</f>
        <v>No. of Surgeries</v>
      </c>
      <c r="L345" s="3020">
        <f>'1.SD Facility Based Annex'!L19</f>
        <v>37388.230000000003</v>
      </c>
      <c r="M345" s="3019">
        <f>'1.SD Facility Based Annex'!M19</f>
        <v>0.37388230000000006</v>
      </c>
      <c r="N345" s="3019">
        <f>'1.SD Facility Based Annex'!N19</f>
        <v>1342</v>
      </c>
      <c r="O345" s="3020">
        <f>'1.SD Facility Based Annex'!O19</f>
        <v>501.75004660000008</v>
      </c>
      <c r="P345" s="3047" t="str">
        <f>'1.SD Facility Based Annex'!P19</f>
        <v xml:space="preserve">Continued Activity,   Detail Annexed </v>
      </c>
      <c r="Q345" s="3021"/>
      <c r="R345" s="3022"/>
    </row>
    <row r="346" spans="1:18" s="3023" customFormat="1">
      <c r="A346" s="3017" t="str">
        <f>'1.SD Facility Based Annex'!A20</f>
        <v>1.1.2.4</v>
      </c>
      <c r="B346" s="3017">
        <f>'1.SD Facility Based Annex'!B20</f>
        <v>0</v>
      </c>
      <c r="C346" s="3018" t="str">
        <f>'1.SD Facility Based Annex'!C20</f>
        <v>Any other (please specify)</v>
      </c>
      <c r="D346" s="3019" t="str">
        <f>'1.SD Facility Based Annex'!D20</f>
        <v>RCH</v>
      </c>
      <c r="E346" s="3019" t="str">
        <f>'1.SD Facility Based Annex'!E20</f>
        <v>RBSK</v>
      </c>
      <c r="F346" s="3019">
        <f>'1.SD Facility Based Annex'!F20</f>
        <v>0</v>
      </c>
      <c r="G346" s="3019">
        <f>'1.SD Facility Based Annex'!G20</f>
        <v>0</v>
      </c>
      <c r="H346" s="3019">
        <f>'1.SD Facility Based Annex'!H20</f>
        <v>0</v>
      </c>
      <c r="I346" s="3019">
        <f>'1.SD Facility Based Annex'!I20</f>
        <v>0</v>
      </c>
      <c r="J346" s="3019">
        <f>'1.SD Facility Based Annex'!J20</f>
        <v>0</v>
      </c>
      <c r="K346" s="3019">
        <f>'1.SD Facility Based Annex'!K20</f>
        <v>0</v>
      </c>
      <c r="L346" s="3020">
        <f>'1.SD Facility Based Annex'!L20</f>
        <v>0</v>
      </c>
      <c r="M346" s="3019">
        <f>'1.SD Facility Based Annex'!M20</f>
        <v>0</v>
      </c>
      <c r="N346" s="3019">
        <f>'1.SD Facility Based Annex'!N20</f>
        <v>0</v>
      </c>
      <c r="O346" s="3020">
        <f>'1.SD Facility Based Annex'!O20</f>
        <v>0</v>
      </c>
      <c r="P346" s="3047">
        <f>'1.SD Facility Based Annex'!P20</f>
        <v>0</v>
      </c>
      <c r="Q346" s="3021"/>
      <c r="R346" s="3022"/>
    </row>
    <row r="347" spans="1:18" s="3023" customFormat="1" ht="60">
      <c r="A347" s="3017" t="str">
        <f>'1.SD Facility Based Annex'!A90</f>
        <v>1.3.1.7</v>
      </c>
      <c r="B347" s="3017" t="str">
        <f>'1.SD Facility Based Annex'!B90</f>
        <v>A.5.1.4/ B16.1.6.3.5</v>
      </c>
      <c r="C347" s="3018" t="str">
        <f>'1.SD Facility Based Annex'!C90</f>
        <v>DEIC (including Data card internet connection for laptops and rental)</v>
      </c>
      <c r="D347" s="3019" t="str">
        <f>'1.SD Facility Based Annex'!D90</f>
        <v>RCH</v>
      </c>
      <c r="E347" s="3019" t="str">
        <f>'1.SD Facility Based Annex'!E90</f>
        <v>RBSK</v>
      </c>
      <c r="F347" s="3019">
        <f>'1.SD Facility Based Annex'!F90</f>
        <v>9</v>
      </c>
      <c r="G347" s="3019">
        <f>'1.SD Facility Based Annex'!G90</f>
        <v>9</v>
      </c>
      <c r="H347" s="3019">
        <f>'1.SD Facility Based Annex'!H90</f>
        <v>21.6</v>
      </c>
      <c r="I347" s="3019">
        <f>'1.SD Facility Based Annex'!I90</f>
        <v>0</v>
      </c>
      <c r="J347" s="3019">
        <f>'1.SD Facility Based Annex'!J90</f>
        <v>0</v>
      </c>
      <c r="K347" s="3019" t="str">
        <f>'1.SD Facility Based Annex'!K90</f>
        <v xml:space="preserve">Operational cost of 9 DEICs for 12 months </v>
      </c>
      <c r="L347" s="3020">
        <f>'1.SD Facility Based Annex'!L90</f>
        <v>240000</v>
      </c>
      <c r="M347" s="3019">
        <f>'1.SD Facility Based Annex'!M90</f>
        <v>2.4</v>
      </c>
      <c r="N347" s="3019">
        <f>'1.SD Facility Based Annex'!N90</f>
        <v>9</v>
      </c>
      <c r="O347" s="3020">
        <f>'1.SD Facility Based Annex'!O90</f>
        <v>21.599999999999998</v>
      </c>
      <c r="P347" s="3047" t="str">
        <f>'1.SD Facility Based Annex'!P90</f>
        <v>Continued Activity,
For proper functioning of 9 DEICs, it is proposed to support DEIC with operational cost @ Rs. 20,000/DEIC/ Month. The annual incurred expenditure will be Rs.20,000 x 9 DEICs x 12 months= Rs. 21,60,000/-</v>
      </c>
      <c r="Q347" s="3021"/>
      <c r="R347" s="3022"/>
    </row>
    <row r="348" spans="1:18" s="3023" customFormat="1">
      <c r="A348" s="3030">
        <f>'2.SD Community Based Annex'!A7</f>
        <v>2</v>
      </c>
      <c r="B348" s="3030">
        <f>'2.SD Community Based Annex'!B7</f>
        <v>0</v>
      </c>
      <c r="C348" s="3031" t="str">
        <f>'2.SD Community Based Annex'!C7</f>
        <v>Service Delivery - Community Based</v>
      </c>
      <c r="D348" s="3073"/>
      <c r="E348" s="3073"/>
      <c r="F348" s="3073"/>
      <c r="G348" s="3073"/>
      <c r="H348" s="3073"/>
      <c r="I348" s="3073"/>
      <c r="J348" s="3073"/>
      <c r="K348" s="3073"/>
      <c r="L348" s="3040"/>
      <c r="M348" s="3073"/>
      <c r="N348" s="3073"/>
      <c r="O348" s="3033">
        <f>SUM(O349:O350)</f>
        <v>2914.3080850000001</v>
      </c>
      <c r="P348" s="3066"/>
      <c r="Q348" s="3034"/>
      <c r="R348" s="3035">
        <f>SUM(R349:R350)</f>
        <v>0</v>
      </c>
    </row>
    <row r="349" spans="1:18" s="3023" customFormat="1" ht="120">
      <c r="A349" s="3017" t="str">
        <f>'2.SD Community Based Annex'!A22</f>
        <v>2.2.3</v>
      </c>
      <c r="B349" s="3017" t="str">
        <f>'2.SD Community Based Annex'!B22</f>
        <v>A.5.1.3</v>
      </c>
      <c r="C349" s="3018" t="str">
        <f>'2.SD Community Based Annex'!C22</f>
        <v>Mobility support  for RBSK Mobile health team</v>
      </c>
      <c r="D349" s="3019" t="str">
        <f>'2.SD Community Based Annex'!D22</f>
        <v>RCH</v>
      </c>
      <c r="E349" s="3019" t="str">
        <f>'2.SD Community Based Annex'!E22</f>
        <v>RBSK</v>
      </c>
      <c r="F349" s="3019">
        <f>'2.SD Community Based Annex'!F22</f>
        <v>9780</v>
      </c>
      <c r="G349" s="3019">
        <f>'2.SD Community Based Annex'!G22</f>
        <v>6520</v>
      </c>
      <c r="H349" s="3019">
        <f>'2.SD Community Based Annex'!H22</f>
        <v>2396.4</v>
      </c>
      <c r="I349" s="3019">
        <f>'2.SD Community Based Annex'!I22</f>
        <v>0</v>
      </c>
      <c r="J349" s="3019">
        <f>'2.SD Community Based Annex'!J22</f>
        <v>0</v>
      </c>
      <c r="K349" s="3019" t="str">
        <f>'2.SD Community Based Annex'!K22</f>
        <v>No. of Mobile Health + No. District Coordinators-RBSK + State office</v>
      </c>
      <c r="L349" s="3020">
        <f>'2.SD Community Based Annex'!L22</f>
        <v>353285.9</v>
      </c>
      <c r="M349" s="3019">
        <f>'2.SD Community Based Annex'!M22</f>
        <v>3.5328590000000002</v>
      </c>
      <c r="N349" s="3019">
        <f>'2.SD Community Based Annex'!N22</f>
        <v>815</v>
      </c>
      <c r="O349" s="3020">
        <f>'2.SD Community Based Annex'!O22</f>
        <v>2879.2800850000003</v>
      </c>
      <c r="P349" s="3047" t="str">
        <f>'2.SD Community Based Annex'!P22</f>
        <v>Continued Activity, 
Vehicle support proposed for 776 Mobile Health Teams+ 38 District Coordinator-RBSK + 1 State 
1- 777 vehicles (776 MHT+1 State) X @ Rs. 30,000/Vehicle X 12 Months = Rs. 27,97,20,000/-
2- 38 vehicles (38 District Coordinator-RBSK) X @ Rs. 18,000/Vehicle X 12 Months = Rs 82,08,000/- 
So, the total amount demanded = (Rs. 27,97,20,000+ Rs. 82,08,000) 
Rs. 28,79,28,000/-</v>
      </c>
      <c r="Q349" s="3021"/>
      <c r="R349" s="3028"/>
    </row>
    <row r="350" spans="1:18" s="3023" customFormat="1" ht="90">
      <c r="A350" s="3017" t="str">
        <f>'2.SD Community Based Annex'!A23</f>
        <v>2.2.4</v>
      </c>
      <c r="B350" s="3017" t="str">
        <f>'2.SD Community Based Annex'!B23</f>
        <v>B16.1.6.3.6</v>
      </c>
      <c r="C350" s="3018" t="str">
        <f>'2.SD Community Based Annex'!C23</f>
        <v>Support for RBSK: CUG connection per team and rental</v>
      </c>
      <c r="D350" s="3019" t="str">
        <f>'2.SD Community Based Annex'!D23</f>
        <v>RCH</v>
      </c>
      <c r="E350" s="3019" t="str">
        <f>'2.SD Community Based Annex'!E23</f>
        <v>RBSK</v>
      </c>
      <c r="F350" s="3019">
        <f>'2.SD Community Based Annex'!F23</f>
        <v>834</v>
      </c>
      <c r="G350" s="3019">
        <f>'2.SD Community Based Annex'!G23</f>
        <v>834</v>
      </c>
      <c r="H350" s="3019">
        <f>'2.SD Community Based Annex'!H23</f>
        <v>50.04</v>
      </c>
      <c r="I350" s="3019">
        <f>'2.SD Community Based Annex'!I23</f>
        <v>0</v>
      </c>
      <c r="J350" s="3019">
        <f>'2.SD Community Based Annex'!J23</f>
        <v>0</v>
      </c>
      <c r="K350" s="3019" t="str">
        <f>'2.SD Community Based Annex'!K23</f>
        <v>No. of MHT + DEIC + District Coordinators-RBSK + Hospital Coordinators + State office</v>
      </c>
      <c r="L350" s="3020">
        <f>'2.SD Community Based Annex'!L23</f>
        <v>4200</v>
      </c>
      <c r="M350" s="3019">
        <f>'2.SD Community Based Annex'!M23</f>
        <v>4.2000000000000003E-2</v>
      </c>
      <c r="N350" s="3019">
        <f>'2.SD Community Based Annex'!N23</f>
        <v>834</v>
      </c>
      <c r="O350" s="3020">
        <f>'2.SD Community Based Annex'!O23</f>
        <v>35.027999999999999</v>
      </c>
      <c r="P350" s="3047" t="str">
        <f>'2.SD Community Based Annex'!P23</f>
        <v>Continued Activity, 
834 CUG Connections and Rental Data Card for 776 MHT + 09 DEIC + 38 District Coordinators-RBSK + 09 Hospital Coordinators + 02 State office 
834 CUG Connection @ Rs. 100/ Unit X 12 Months = Rs. 10,00,800/-
834 Data Rental Plan @ Rs. 250/ Unit X 12 Months = Rs.25,02,000/-
So, the total amount demanded = (Rs. 10,00,800+ Rs. 25,02,000) Rs. 35,02,800/-</v>
      </c>
      <c r="Q350" s="3021"/>
      <c r="R350" s="3028"/>
    </row>
    <row r="351" spans="1:18" s="3023" customFormat="1">
      <c r="A351" s="3030">
        <f>'5.Infrastructure Annex'!A7</f>
        <v>5</v>
      </c>
      <c r="B351" s="3030"/>
      <c r="C351" s="3030" t="str">
        <f>'5.Infrastructure Annex'!C7</f>
        <v>Infrastructure</v>
      </c>
      <c r="D351" s="3073"/>
      <c r="E351" s="3073"/>
      <c r="F351" s="3073"/>
      <c r="G351" s="3073"/>
      <c r="H351" s="3073"/>
      <c r="I351" s="3073"/>
      <c r="J351" s="3073"/>
      <c r="K351" s="3073"/>
      <c r="L351" s="3040"/>
      <c r="M351" s="3073"/>
      <c r="N351" s="3073"/>
      <c r="O351" s="3033">
        <f>SUM(O352:O353)</f>
        <v>280.45075000000003</v>
      </c>
      <c r="P351" s="3066"/>
      <c r="Q351" s="3034"/>
      <c r="R351" s="3035">
        <f>SUM(R352:R353)</f>
        <v>0</v>
      </c>
    </row>
    <row r="352" spans="1:18" s="3023" customFormat="1">
      <c r="A352" s="3017" t="str">
        <f>'5.Infrastructure Annex'!A64</f>
        <v>5.2.1.8</v>
      </c>
      <c r="B352" s="3017" t="str">
        <f>'5.Infrastructure Annex'!B64</f>
        <v>B5.13.1</v>
      </c>
      <c r="C352" s="3017" t="str">
        <f>'5.Infrastructure Annex'!C64</f>
        <v>New construction: DEIC (RBSK)</v>
      </c>
      <c r="D352" s="3019" t="str">
        <f>'5.Infrastructure Annex'!D64</f>
        <v>HSS</v>
      </c>
      <c r="E352" s="3019" t="str">
        <f>'5.Infrastructure Annex'!E64</f>
        <v>RBSK</v>
      </c>
      <c r="F352" s="3019">
        <f>'5.Infrastructure Annex'!F64</f>
        <v>0</v>
      </c>
      <c r="G352" s="3019">
        <f>'5.Infrastructure Annex'!G64</f>
        <v>0</v>
      </c>
      <c r="H352" s="3019">
        <f>'5.Infrastructure Annex'!H64</f>
        <v>0</v>
      </c>
      <c r="I352" s="3019">
        <f>'5.Infrastructure Annex'!I64</f>
        <v>0</v>
      </c>
      <c r="J352" s="3019">
        <f>'5.Infrastructure Annex'!J64</f>
        <v>0</v>
      </c>
      <c r="K352" s="3019">
        <f>'5.Infrastructure Annex'!K64</f>
        <v>0</v>
      </c>
      <c r="L352" s="3020">
        <f>'5.Infrastructure Annex'!L64</f>
        <v>0</v>
      </c>
      <c r="M352" s="3019">
        <f>'5.Infrastructure Annex'!M64</f>
        <v>0</v>
      </c>
      <c r="N352" s="3019">
        <f>'5.Infrastructure Annex'!N64</f>
        <v>0</v>
      </c>
      <c r="O352" s="3020">
        <f>'5.Infrastructure Annex'!O64</f>
        <v>0</v>
      </c>
      <c r="P352" s="3047">
        <f>'5.Infrastructure Annex'!P64</f>
        <v>0</v>
      </c>
      <c r="Q352" s="3067"/>
      <c r="R352" s="3022"/>
    </row>
    <row r="353" spans="1:18" s="3023" customFormat="1" ht="285">
      <c r="A353" s="3017" t="str">
        <f>'5.Infrastructure Annex'!A78</f>
        <v>5.2.2.7</v>
      </c>
      <c r="B353" s="3017" t="str">
        <f>'5.Infrastructure Annex'!B78</f>
        <v>B.5.13.2</v>
      </c>
      <c r="C353" s="3017" t="str">
        <f>'5.Infrastructure Annex'!C78</f>
        <v>Carry forward: DEIC (RBSK)</v>
      </c>
      <c r="D353" s="3019" t="str">
        <f>'5.Infrastructure Annex'!D78</f>
        <v>HSS</v>
      </c>
      <c r="E353" s="3019" t="str">
        <f>'5.Infrastructure Annex'!E78</f>
        <v>RBSK</v>
      </c>
      <c r="F353" s="3019">
        <f>'5.Infrastructure Annex'!F78</f>
        <v>9</v>
      </c>
      <c r="G353" s="3019">
        <f>'5.Infrastructure Annex'!G78</f>
        <v>9</v>
      </c>
      <c r="H353" s="3019">
        <f>'5.Infrastructure Annex'!H78</f>
        <v>0</v>
      </c>
      <c r="I353" s="3019">
        <f>'5.Infrastructure Annex'!I78</f>
        <v>0</v>
      </c>
      <c r="J353" s="3019">
        <f>'5.Infrastructure Annex'!J78</f>
        <v>0</v>
      </c>
      <c r="K353" s="3019" t="str">
        <f>'5.Infrastructure Annex'!K78</f>
        <v>No. of DEICs</v>
      </c>
      <c r="L353" s="3020">
        <f>'5.Infrastructure Annex'!L78</f>
        <v>5609015</v>
      </c>
      <c r="M353" s="3019">
        <f>'5.Infrastructure Annex'!M78</f>
        <v>56.090150000000001</v>
      </c>
      <c r="N353" s="3019">
        <f>'5.Infrastructure Annex'!N78</f>
        <v>5</v>
      </c>
      <c r="O353" s="3020">
        <f>'5.Infrastructure Annex'!O78</f>
        <v>280.45075000000003</v>
      </c>
      <c r="P353" s="3047" t="str">
        <f>'5.Infrastructure Annex'!P78</f>
        <v xml:space="preserve">Continued  Activity-
As per the DPR prepared by BMSICL the total cost for 9 divisional headquarter DEICs construction was Rs.11,03,19,720/-. 
During the 1st phase construction of 4 DEICs (In Medical College-Gaya &amp; Bhagalpur and in District Hospital-Muzaffarpur and Saharsa) completed by BMSICL and the total amount for construction i.e Rs. 4,91,00,645/- was transferred to BMSICL. 
In the 2nd phase the construction order for rest  5 DEICs (Patna, Saran, Darbhanga, Munger &amp; Purnea), letter was issued to BMSICL through letter No. 6697 dated 07-02-2018 and Rs. 5,81,74,000/- was transferred to BMSICL against the total cost of Rs. 6,12,19,075/-. Balance amount of Rs. 30,45,075/- to be transferred to BMSICL once the construction work is completed. Thus Rs. 30,45,075/- is budgeted in FY 2021-22.
For up gradation of District Early Intervention Centre (DEIC) at  Nalanda Medical College Hospital (NMCH),Patna into center of excellence Rs. 2,50,00,000/- is budgeted in FY 2021-22.
Thus the total budgeted amount under this FMR code is Rs. 2,80,45,075/-  (Rs. 30,45,075+ Rs. 2,50,00,000).
Key Deliverables:- Operationalize all  9 DEIC. Out of 9 DEIC construction of 4 DEIC completed and started functioning from own building. Out of 108, 51 personal are on board. Rest recruitment is under process. 
</v>
      </c>
      <c r="Q353" s="3067"/>
      <c r="R353" s="3022"/>
    </row>
    <row r="354" spans="1:18" s="3023" customFormat="1">
      <c r="A354" s="3030">
        <f>'6.Procurement Annex'!A7</f>
        <v>6</v>
      </c>
      <c r="B354" s="3030"/>
      <c r="C354" s="3031" t="str">
        <f>'6.Procurement Annex'!C7</f>
        <v>Procurement</v>
      </c>
      <c r="D354" s="3032"/>
      <c r="E354" s="3032"/>
      <c r="F354" s="3032"/>
      <c r="G354" s="3032"/>
      <c r="H354" s="3032"/>
      <c r="I354" s="3032"/>
      <c r="J354" s="3032"/>
      <c r="K354" s="3032"/>
      <c r="L354" s="3033"/>
      <c r="M354" s="3032"/>
      <c r="N354" s="3032"/>
      <c r="O354" s="3033">
        <f>SUM(O355:O361)</f>
        <v>322.08622079999998</v>
      </c>
      <c r="P354" s="3066"/>
      <c r="Q354" s="3034"/>
      <c r="R354" s="3035">
        <f>SUM(R355:R361)</f>
        <v>0</v>
      </c>
    </row>
    <row r="355" spans="1:18" s="3023" customFormat="1" ht="45">
      <c r="A355" s="4606" t="str">
        <f>'6.Procurement Annex'!A14</f>
        <v>6.1.1.5</v>
      </c>
      <c r="B355" s="3017" t="str">
        <f>'6-A. Proc. Sub-Annex'!C30</f>
        <v>B16.1.6.3.1</v>
      </c>
      <c r="C355" s="3018" t="str">
        <f>'6-A. Proc. Sub-Annex'!D30</f>
        <v xml:space="preserve">Equipment for Mobile health teams </v>
      </c>
      <c r="D355" s="3019" t="str">
        <f>'6-A. Proc. Sub-Annex'!E30</f>
        <v>RCH</v>
      </c>
      <c r="E355" s="3019" t="str">
        <f>'6-A. Proc. Sub-Annex'!F30</f>
        <v>RBSK</v>
      </c>
      <c r="F355" s="3019">
        <f>'6-A. Proc. Sub-Annex'!G30</f>
        <v>785</v>
      </c>
      <c r="G355" s="3019">
        <f>'6-A. Proc. Sub-Annex'!H30</f>
        <v>785</v>
      </c>
      <c r="H355" s="3019">
        <f>'6-A. Proc. Sub-Annex'!I30</f>
        <v>116.4</v>
      </c>
      <c r="I355" s="3019">
        <f>'6-A. Proc. Sub-Annex'!J30</f>
        <v>0</v>
      </c>
      <c r="J355" s="3019">
        <f>'6-A. Proc. Sub-Annex'!K30</f>
        <v>0</v>
      </c>
      <c r="K355" s="3019" t="str">
        <f>'6-A. Proc. Sub-Annex'!L30</f>
        <v>Per Team amount for  repairing of Equipments</v>
      </c>
      <c r="L355" s="3020">
        <f>'6-A. Proc. Sub-Annex'!M30</f>
        <v>12000</v>
      </c>
      <c r="M355" s="3019">
        <f>'6-A. Proc. Sub-Annex'!N30</f>
        <v>0.12</v>
      </c>
      <c r="N355" s="3019">
        <f>'6-A. Proc. Sub-Annex'!O30</f>
        <v>776</v>
      </c>
      <c r="O355" s="3020">
        <f>'6-A. Proc. Sub-Annex'!P30</f>
        <v>93.11999999999999</v>
      </c>
      <c r="P355" s="3047" t="str">
        <f>'6-A. Proc. Sub-Annex'!Q30</f>
        <v>Continued Activity,
For maintenance of equipment's supplied to mobile health teams @ Rs.12,000 / team x 776 existing mobile health teams = Rs. 93,12,000/-</v>
      </c>
      <c r="Q355" s="3067"/>
      <c r="R355" s="3022"/>
    </row>
    <row r="356" spans="1:18" s="3023" customFormat="1">
      <c r="A356" s="4606"/>
      <c r="B356" s="3017" t="str">
        <f>'6-A. Proc. Sub-Annex'!C31</f>
        <v>B16.1.6.3.2</v>
      </c>
      <c r="C356" s="3018" t="str">
        <f>'6-A. Proc. Sub-Annex'!D31</f>
        <v xml:space="preserve">Equipment for DEIC </v>
      </c>
      <c r="D356" s="3019" t="str">
        <f>'6-A. Proc. Sub-Annex'!E31</f>
        <v>RCH</v>
      </c>
      <c r="E356" s="3019" t="str">
        <f>'6-A. Proc. Sub-Annex'!F31</f>
        <v>RBSK</v>
      </c>
      <c r="F356" s="3019">
        <f>'6-A. Proc. Sub-Annex'!G31</f>
        <v>9</v>
      </c>
      <c r="G356" s="3019">
        <f>'6-A. Proc. Sub-Annex'!H31</f>
        <v>9</v>
      </c>
      <c r="H356" s="3019">
        <f>'6-A. Proc. Sub-Annex'!I31</f>
        <v>221.67</v>
      </c>
      <c r="I356" s="3019">
        <f>'6-A. Proc. Sub-Annex'!J31</f>
        <v>0</v>
      </c>
      <c r="J356" s="3019">
        <f>'6-A. Proc. Sub-Annex'!K31</f>
        <v>0</v>
      </c>
      <c r="K356" s="3019" t="str">
        <f>'6-A. Proc. Sub-Annex'!L31</f>
        <v>No. of DEICs</v>
      </c>
      <c r="L356" s="3020">
        <f>'6-A. Proc. Sub-Annex'!M31</f>
        <v>0</v>
      </c>
      <c r="M356" s="3019">
        <f>'6-A. Proc. Sub-Annex'!N31</f>
        <v>0</v>
      </c>
      <c r="N356" s="3019">
        <f>'6-A. Proc. Sub-Annex'!O31</f>
        <v>0</v>
      </c>
      <c r="O356" s="3020">
        <f>'6-A. Proc. Sub-Annex'!P31</f>
        <v>0</v>
      </c>
      <c r="P356" s="3047">
        <f>'6-A. Proc. Sub-Annex'!Q31</f>
        <v>0</v>
      </c>
      <c r="Q356" s="3067"/>
      <c r="R356" s="3022"/>
    </row>
    <row r="357" spans="1:18" s="3023" customFormat="1">
      <c r="A357" s="4606"/>
      <c r="B357" s="3017" t="str">
        <f>'6-A. Proc. Sub-Annex'!C32</f>
        <v>B16.1.6.3.3</v>
      </c>
      <c r="C357" s="3018" t="str">
        <f>'6-A. Proc. Sub-Annex'!D32</f>
        <v>Laptop for mobile health teams</v>
      </c>
      <c r="D357" s="3019" t="str">
        <f>'6-A. Proc. Sub-Annex'!E32</f>
        <v>RCH</v>
      </c>
      <c r="E357" s="3019" t="str">
        <f>'6-A. Proc. Sub-Annex'!F32</f>
        <v>RBSK</v>
      </c>
      <c r="F357" s="3019">
        <f>'6-A. Proc. Sub-Annex'!G32</f>
        <v>0</v>
      </c>
      <c r="G357" s="3019">
        <f>'6-A. Proc. Sub-Annex'!H32</f>
        <v>0</v>
      </c>
      <c r="H357" s="3019">
        <f>'6-A. Proc. Sub-Annex'!I32</f>
        <v>0</v>
      </c>
      <c r="I357" s="3019">
        <f>'6-A. Proc. Sub-Annex'!J32</f>
        <v>0</v>
      </c>
      <c r="J357" s="3019">
        <f>'6-A. Proc. Sub-Annex'!K32</f>
        <v>0</v>
      </c>
      <c r="K357" s="3019">
        <f>'6-A. Proc. Sub-Annex'!L32</f>
        <v>0</v>
      </c>
      <c r="L357" s="3020">
        <f>'6-A. Proc. Sub-Annex'!M32</f>
        <v>0</v>
      </c>
      <c r="M357" s="3019">
        <f>'6-A. Proc. Sub-Annex'!N32</f>
        <v>0</v>
      </c>
      <c r="N357" s="3019">
        <f>'6-A. Proc. Sub-Annex'!O32</f>
        <v>2</v>
      </c>
      <c r="O357" s="3020">
        <f>'6-A. Proc. Sub-Annex'!P32</f>
        <v>0</v>
      </c>
      <c r="P357" s="3047">
        <f>'6-A. Proc. Sub-Annex'!Q32</f>
        <v>0</v>
      </c>
      <c r="Q357" s="3067"/>
      <c r="R357" s="3022"/>
    </row>
    <row r="358" spans="1:18" s="3023" customFormat="1">
      <c r="A358" s="4606"/>
      <c r="B358" s="3017" t="str">
        <f>'6-A. Proc. Sub-Annex'!C33</f>
        <v>B16.1.6.3.4</v>
      </c>
      <c r="C358" s="3018" t="str">
        <f>'6-A. Proc. Sub-Annex'!D33</f>
        <v>Desktop for DEIC</v>
      </c>
      <c r="D358" s="3019" t="str">
        <f>'6-A. Proc. Sub-Annex'!E33</f>
        <v>RCH</v>
      </c>
      <c r="E358" s="3019" t="str">
        <f>'6-A. Proc. Sub-Annex'!F33</f>
        <v>RBSK</v>
      </c>
      <c r="F358" s="3019">
        <f>'6-A. Proc. Sub-Annex'!G33</f>
        <v>0</v>
      </c>
      <c r="G358" s="3019">
        <f>'6-A. Proc. Sub-Annex'!H33</f>
        <v>0</v>
      </c>
      <c r="H358" s="3019">
        <f>'6-A. Proc. Sub-Annex'!I33</f>
        <v>0</v>
      </c>
      <c r="I358" s="3019">
        <f>'6-A. Proc. Sub-Annex'!J33</f>
        <v>0</v>
      </c>
      <c r="J358" s="3019">
        <f>'6-A. Proc. Sub-Annex'!K33</f>
        <v>0</v>
      </c>
      <c r="K358" s="3019">
        <f>'6-A. Proc. Sub-Annex'!L33</f>
        <v>0</v>
      </c>
      <c r="L358" s="3020">
        <f>'6-A. Proc. Sub-Annex'!M33</f>
        <v>0</v>
      </c>
      <c r="M358" s="3019">
        <f>'6-A. Proc. Sub-Annex'!N33</f>
        <v>0</v>
      </c>
      <c r="N358" s="3019">
        <f>'6-A. Proc. Sub-Annex'!O33</f>
        <v>0</v>
      </c>
      <c r="O358" s="3020">
        <f>'6-A. Proc. Sub-Annex'!P33</f>
        <v>0</v>
      </c>
      <c r="P358" s="3047">
        <f>'6-A. Proc. Sub-Annex'!Q33</f>
        <v>0</v>
      </c>
      <c r="Q358" s="3067"/>
      <c r="R358" s="3022"/>
    </row>
    <row r="359" spans="1:18" s="3023" customFormat="1" ht="90">
      <c r="A359" s="4606"/>
      <c r="B359" s="3017">
        <f>'6-A. Proc. Sub-Annex'!C34</f>
        <v>0</v>
      </c>
      <c r="C359" s="3018" t="str">
        <f>'6-A. Proc. Sub-Annex'!D34</f>
        <v>Any other equipment (please specify)</v>
      </c>
      <c r="D359" s="3019" t="str">
        <f>'6-A. Proc. Sub-Annex'!E34</f>
        <v>RCH</v>
      </c>
      <c r="E359" s="3019" t="str">
        <f>'6-A. Proc. Sub-Annex'!F34</f>
        <v>RBSK</v>
      </c>
      <c r="F359" s="3019">
        <f>'6-A. Proc. Sub-Annex'!G34</f>
        <v>9</v>
      </c>
      <c r="G359" s="3019">
        <f>'6-A. Proc. Sub-Annex'!H34</f>
        <v>9</v>
      </c>
      <c r="H359" s="3019">
        <f>'6-A. Proc. Sub-Annex'!I34</f>
        <v>5.4</v>
      </c>
      <c r="I359" s="3019">
        <f>'6-A. Proc. Sub-Annex'!J34</f>
        <v>0</v>
      </c>
      <c r="J359" s="3019">
        <f>'6-A. Proc. Sub-Annex'!K34</f>
        <v>0</v>
      </c>
      <c r="K359" s="3019" t="str">
        <f>'6-A. Proc. Sub-Annex'!L34</f>
        <v>No. of Tertiary Care</v>
      </c>
      <c r="L359" s="3020">
        <f>'6-A. Proc. Sub-Annex'!M34</f>
        <v>5000</v>
      </c>
      <c r="M359" s="3019">
        <f>'6-A. Proc. Sub-Annex'!N34</f>
        <v>0.05</v>
      </c>
      <c r="N359" s="3019">
        <f>'6-A. Proc. Sub-Annex'!O34</f>
        <v>108</v>
      </c>
      <c r="O359" s="3020">
        <f>'6-A. Proc. Sub-Annex'!P34</f>
        <v>5.4</v>
      </c>
      <c r="P359" s="3047" t="str">
        <f>'6-A. Proc. Sub-Annex'!Q34</f>
        <v>Continued Activity-
For proper maintenance of records of each referred patient at Tertiary Care as well as holding review meetings, non-recurring cost is required. The budget will be utilized for purchase of stationaries (paper, pen. File etc.), photocopy, cartridge, photography and other items as well as organising review meetings. Rs.5000/- per month per institution (9) is budgeted for 12 months = 5000*12*9 = Rs.5,40,000/-</v>
      </c>
      <c r="Q359" s="3067"/>
      <c r="R359" s="3022"/>
    </row>
    <row r="360" spans="1:18" s="3023" customFormat="1" ht="105">
      <c r="A360" s="4606" t="str">
        <f>'6.Procurement Annex'!A60</f>
        <v>6.2.1.5</v>
      </c>
      <c r="B360" s="3017" t="str">
        <f>'6-A. Proc. Sub-Annex'!C182</f>
        <v>B.16.2.7.1</v>
      </c>
      <c r="C360" s="3018" t="str">
        <f>'6-A. Proc. Sub-Annex'!D182</f>
        <v>Medicine for Mobile health team</v>
      </c>
      <c r="D360" s="3019" t="str">
        <f>'6-A. Proc. Sub-Annex'!E182</f>
        <v>RCH</v>
      </c>
      <c r="E360" s="3019" t="str">
        <f>'6-A. Proc. Sub-Annex'!F182</f>
        <v>RBSK</v>
      </c>
      <c r="F360" s="3019">
        <f>'6-A. Proc. Sub-Annex'!G182</f>
        <v>9312</v>
      </c>
      <c r="G360" s="3019">
        <f>'6-A. Proc. Sub-Annex'!H182</f>
        <v>0</v>
      </c>
      <c r="H360" s="3019">
        <f>'6-A. Proc. Sub-Annex'!I182</f>
        <v>328.62</v>
      </c>
      <c r="I360" s="3019">
        <f>'6-A. Proc. Sub-Annex'!J182</f>
        <v>0</v>
      </c>
      <c r="J360" s="3019">
        <f>'6-A. Proc. Sub-Annex'!K182</f>
        <v>0</v>
      </c>
      <c r="K360" s="3019" t="str">
        <f>'6-A. Proc. Sub-Annex'!L182</f>
        <v>Per team/month refilling of drug</v>
      </c>
      <c r="L360" s="3020">
        <f>'6-A. Proc. Sub-Annex'!M182</f>
        <v>28810.080000000002</v>
      </c>
      <c r="M360" s="3019">
        <f>'6-A. Proc. Sub-Annex'!N182</f>
        <v>0.28810079999999999</v>
      </c>
      <c r="N360" s="3019">
        <f>'6-A. Proc. Sub-Annex'!O182</f>
        <v>776</v>
      </c>
      <c r="O360" s="3020">
        <f>'6-A. Proc. Sub-Annex'!P182</f>
        <v>223.5662208</v>
      </c>
      <c r="P360" s="3047" t="str">
        <f>'6-A. Proc. Sub-Annex'!Q182</f>
        <v xml:space="preserve">Continued activity,
For procurement of 12 medicines which are not part of State EDL.
Estimated cost for procurement of medicines which are not part of state EDL for each team per month is Rs. 2400.84 /month / refill for medicine kit.
So, the total cost = Rs. 2400.84 x 12 months x 776 team= Rs. 2,23,56,622.08
Detail Annexed
</v>
      </c>
      <c r="Q360" s="3067"/>
      <c r="R360" s="3022"/>
    </row>
    <row r="361" spans="1:18" s="3023" customFormat="1">
      <c r="A361" s="4606"/>
      <c r="B361" s="3017">
        <f>'6-A. Proc. Sub-Annex'!C183</f>
        <v>0</v>
      </c>
      <c r="C361" s="3018" t="str">
        <f>'6-A. Proc. Sub-Annex'!D183</f>
        <v>Any other Drugs &amp; Supplies (Please specify)</v>
      </c>
      <c r="D361" s="3019" t="str">
        <f>'6-A. Proc. Sub-Annex'!E183</f>
        <v>RCH</v>
      </c>
      <c r="E361" s="3019" t="str">
        <f>'6-A. Proc. Sub-Annex'!F183</f>
        <v>RBSK</v>
      </c>
      <c r="F361" s="3019">
        <f>'6-A. Proc. Sub-Annex'!G183</f>
        <v>0</v>
      </c>
      <c r="G361" s="3019">
        <f>'6-A. Proc. Sub-Annex'!H183</f>
        <v>0</v>
      </c>
      <c r="H361" s="3019">
        <f>'6-A. Proc. Sub-Annex'!I183</f>
        <v>0</v>
      </c>
      <c r="I361" s="3019">
        <f>'6-A. Proc. Sub-Annex'!J183</f>
        <v>0</v>
      </c>
      <c r="J361" s="3019">
        <f>'6-A. Proc. Sub-Annex'!K183</f>
        <v>0</v>
      </c>
      <c r="K361" s="3019">
        <f>'6-A. Proc. Sub-Annex'!L183</f>
        <v>0</v>
      </c>
      <c r="L361" s="3020">
        <f>'6-A. Proc. Sub-Annex'!M183</f>
        <v>0</v>
      </c>
      <c r="M361" s="3019">
        <f>'6-A. Proc. Sub-Annex'!N183</f>
        <v>0</v>
      </c>
      <c r="N361" s="3019">
        <f>'6-A. Proc. Sub-Annex'!O183</f>
        <v>0</v>
      </c>
      <c r="O361" s="3020">
        <f>'6-A. Proc. Sub-Annex'!P183</f>
        <v>0</v>
      </c>
      <c r="P361" s="3047">
        <f>'6-A. Proc. Sub-Annex'!Q183</f>
        <v>0</v>
      </c>
      <c r="Q361" s="3067"/>
      <c r="R361" s="3022"/>
    </row>
    <row r="362" spans="1:18" s="3023" customFormat="1">
      <c r="A362" s="3030">
        <f>'8.Human Resources (SD) Annex'!A7</f>
        <v>8</v>
      </c>
      <c r="B362" s="3030"/>
      <c r="C362" s="3031" t="str">
        <f>'8.Human Resources (SD) Annex'!C7</f>
        <v>Human Resources</v>
      </c>
      <c r="D362" s="3032"/>
      <c r="E362" s="3032"/>
      <c r="F362" s="3032"/>
      <c r="G362" s="3032"/>
      <c r="H362" s="3032"/>
      <c r="I362" s="3032"/>
      <c r="J362" s="3032"/>
      <c r="K362" s="3032"/>
      <c r="L362" s="3033"/>
      <c r="M362" s="3032"/>
      <c r="N362" s="3032"/>
      <c r="O362" s="3033">
        <f>O363</f>
        <v>0</v>
      </c>
      <c r="P362" s="3066"/>
      <c r="Q362" s="3034"/>
      <c r="R362" s="3035">
        <f>R363</f>
        <v>0</v>
      </c>
    </row>
    <row r="363" spans="1:18" s="3023" customFormat="1" ht="30">
      <c r="A363" s="3017" t="str">
        <f>'8.Human Resources (SD) Annex'!A166</f>
        <v>8.4.3</v>
      </c>
      <c r="B363" s="3017" t="str">
        <f>'8.Human Resources (SD) Annex'!B166</f>
        <v>B.30.16</v>
      </c>
      <c r="C363" s="3018" t="str">
        <f>'8.Human Resources (SD) Annex'!C166</f>
        <v>Honorarium for Paediatric ECO, ENT specialist, Orthopediatrician, Ophthalmologist, Psychiatrics</v>
      </c>
      <c r="D363" s="3019" t="str">
        <f>'8.Human Resources (SD) Annex'!D166</f>
        <v>RCH</v>
      </c>
      <c r="E363" s="3019" t="str">
        <f>'8.Human Resources (SD) Annex'!E166</f>
        <v>RBSK</v>
      </c>
      <c r="F363" s="3019">
        <f>'8.Human Resources (SD) Annex'!F166</f>
        <v>0</v>
      </c>
      <c r="G363" s="3019">
        <f>'8.Human Resources (SD) Annex'!G166</f>
        <v>0</v>
      </c>
      <c r="H363" s="3019">
        <f>'8.Human Resources (SD) Annex'!H166</f>
        <v>0</v>
      </c>
      <c r="I363" s="3019">
        <f>'8.Human Resources (SD) Annex'!I166</f>
        <v>0</v>
      </c>
      <c r="J363" s="3019">
        <f>'8.Human Resources (SD) Annex'!J166</f>
        <v>0</v>
      </c>
      <c r="K363" s="3019">
        <f>'8.Human Resources (SD) Annex'!L166</f>
        <v>0</v>
      </c>
      <c r="L363" s="3020">
        <f>'8.Human Resources (SD) Annex'!M166</f>
        <v>0</v>
      </c>
      <c r="M363" s="3019">
        <f>'8.Human Resources (SD) Annex'!N166</f>
        <v>0</v>
      </c>
      <c r="N363" s="3019">
        <f>'8.Human Resources (SD) Annex'!O166</f>
        <v>0</v>
      </c>
      <c r="O363" s="3020">
        <f>'8.Human Resources (SD) Annex'!P166</f>
        <v>0</v>
      </c>
      <c r="P363" s="3047">
        <f>'8.Human Resources (SD) Annex'!Q166</f>
        <v>0</v>
      </c>
      <c r="Q363" s="3067"/>
      <c r="R363" s="3022"/>
    </row>
    <row r="364" spans="1:18" s="3023" customFormat="1">
      <c r="A364" s="3030">
        <f>'9.Training Annex'!A7</f>
        <v>9</v>
      </c>
      <c r="B364" s="3030"/>
      <c r="C364" s="3031" t="str">
        <f>'9.Training Annex'!C7</f>
        <v>Training and Capacity Building</v>
      </c>
      <c r="D364" s="3032"/>
      <c r="E364" s="3032"/>
      <c r="F364" s="3032"/>
      <c r="G364" s="3032"/>
      <c r="H364" s="3032"/>
      <c r="I364" s="3032"/>
      <c r="J364" s="3032"/>
      <c r="K364" s="3032"/>
      <c r="L364" s="3033"/>
      <c r="M364" s="3032"/>
      <c r="N364" s="3032"/>
      <c r="O364" s="3033">
        <f>SUM(O365:O369)</f>
        <v>105.73471499999999</v>
      </c>
      <c r="P364" s="3066"/>
      <c r="Q364" s="3034"/>
      <c r="R364" s="3035">
        <f>SUM(R365:R369)</f>
        <v>0</v>
      </c>
    </row>
    <row r="365" spans="1:18" s="3023" customFormat="1" ht="210">
      <c r="A365" s="4606" t="str">
        <f>'9.Training Annex'!A25</f>
        <v>9.2.1.5</v>
      </c>
      <c r="B365" s="3017" t="str">
        <f>'9-A.Training Sub-Annex'!C129</f>
        <v>A.9.12.1</v>
      </c>
      <c r="C365" s="3018" t="str">
        <f>'9-A.Training Sub-Annex'!D129</f>
        <v>RBSK Training -Training of Mobile health team – technical and managerial (5 days)</v>
      </c>
      <c r="D365" s="3019" t="str">
        <f>'9-A.Training Sub-Annex'!E129</f>
        <v>RCH</v>
      </c>
      <c r="E365" s="3019" t="str">
        <f>'9-A.Training Sub-Annex'!F129</f>
        <v>RBSK</v>
      </c>
      <c r="F365" s="3019">
        <f>'9-A.Training Sub-Annex'!G129</f>
        <v>0</v>
      </c>
      <c r="G365" s="3019">
        <f>'9-A.Training Sub-Annex'!H129</f>
        <v>0</v>
      </c>
      <c r="H365" s="3019">
        <f>'9-A.Training Sub-Annex'!I129</f>
        <v>0</v>
      </c>
      <c r="I365" s="3019">
        <f>'9-A.Training Sub-Annex'!J129</f>
        <v>0</v>
      </c>
      <c r="J365" s="3019">
        <f>'9-A.Training Sub-Annex'!K129</f>
        <v>0</v>
      </c>
      <c r="K365" s="3019" t="str">
        <f>'9-A.Training Sub-Annex'!L129</f>
        <v>No. of Training Batches</v>
      </c>
      <c r="L365" s="3020">
        <f>'9-A.Training Sub-Annex'!M129</f>
        <v>180507.9411764706</v>
      </c>
      <c r="M365" s="3019">
        <f>'9-A.Training Sub-Annex'!N129</f>
        <v>1.805079411764706</v>
      </c>
      <c r="N365" s="3019">
        <f>'9-A.Training Sub-Annex'!O129</f>
        <v>17</v>
      </c>
      <c r="O365" s="3020">
        <f>'9-A.Training Sub-Annex'!P129</f>
        <v>30.686350000000001</v>
      </c>
      <c r="P365" s="3047" t="str">
        <f>'9-A.Training Sub-Annex'!Q129</f>
        <v xml:space="preserve">New Activity –
1. One Batch State level 5 days' Training of DEIC Manager-cum- Coordinator, RBSK -State has initiated the recruitment process of DEIC Manager-cum- Coordinator, RBSK in 38 Districts. For capacity building of DEIC Manager-cum- Coordinator RBSK, training for 5 days is proposed to be organized in FY 2020-21.Total expenditure incurred on the activity has been calculated in the annexure and that happens to be Rs. 3,44,300/- (Details attached as annexure)
2. Three days State Level Refresher Training of Mobile Health Team to strengthen and orient them on new added component i.e leprosy, tuberculosis, HB test and refresher on anthropometry part.  One RBSK AYUSH Doctor (MHT) from each Block will be imparted 3 days refresher training at State Level. Total 534 RBSK AYUSH will be trained in 16 batches consisting of 35 members in each batch. Budgeted cost of training would be Rs. 27,24,335/-
Total proposed budget in the FMR code is Rs. 30,68,635/-
</v>
      </c>
      <c r="Q365" s="3067"/>
      <c r="R365" s="3022"/>
    </row>
    <row r="366" spans="1:18" s="3023" customFormat="1" ht="75">
      <c r="A366" s="4606"/>
      <c r="B366" s="3017" t="str">
        <f>'9-A.Training Sub-Annex'!C130</f>
        <v>A.9.12.2</v>
      </c>
      <c r="C366" s="3018" t="str">
        <f>'9-A.Training Sub-Annex'!D130</f>
        <v>RBSK DEIC Staff training (15 days)</v>
      </c>
      <c r="D366" s="3019" t="str">
        <f>'9-A.Training Sub-Annex'!E130</f>
        <v>RCH</v>
      </c>
      <c r="E366" s="3019" t="str">
        <f>'9-A.Training Sub-Annex'!F130</f>
        <v>RBSK</v>
      </c>
      <c r="F366" s="3019">
        <f>'9-A.Training Sub-Annex'!G130</f>
        <v>4</v>
      </c>
      <c r="G366" s="3019">
        <f>'9-A.Training Sub-Annex'!H130</f>
        <v>0</v>
      </c>
      <c r="H366" s="3019">
        <f>'9-A.Training Sub-Annex'!I130</f>
        <v>13.78</v>
      </c>
      <c r="I366" s="3019">
        <f>'9-A.Training Sub-Annex'!J130</f>
        <v>0</v>
      </c>
      <c r="J366" s="3019">
        <f>'9-A.Training Sub-Annex'!K130</f>
        <v>0</v>
      </c>
      <c r="K366" s="3019" t="str">
        <f>'9-A.Training Sub-Annex'!L130</f>
        <v>No. of training Batches</v>
      </c>
      <c r="L366" s="3020">
        <f>'9-A.Training Sub-Annex'!M130</f>
        <v>689000</v>
      </c>
      <c r="M366" s="3019">
        <f>'9-A.Training Sub-Annex'!N130</f>
        <v>6.89</v>
      </c>
      <c r="N366" s="3019">
        <f>'9-A.Training Sub-Annex'!O130</f>
        <v>4</v>
      </c>
      <c r="O366" s="3020">
        <f>'9-A.Training Sub-Annex'!P130</f>
        <v>27.56</v>
      </c>
      <c r="P366" s="3047" t="str">
        <f>'9-A.Training Sub-Annex'!Q130</f>
        <v>New activity,
Nine DEICs are approved and functional in which currently functional with 50% manpower. Process of recruitment of vacant post is under progress at the State level. The newly recruited personal needs to be trained as per guidelines for a period of 15 days. To carry out the activity an amount of Rs. 27, 07,850/- is being proposed (Details annexed).</v>
      </c>
      <c r="Q366" s="3067"/>
      <c r="R366" s="3022"/>
    </row>
    <row r="367" spans="1:18" s="3023" customFormat="1" ht="30">
      <c r="A367" s="4606"/>
      <c r="B367" s="3017" t="str">
        <f>'9-A.Training Sub-Annex'!C131</f>
        <v>A.9.12.3</v>
      </c>
      <c r="C367" s="3018" t="str">
        <f>'9-A.Training Sub-Annex'!D131</f>
        <v>One day orientation for  MO / other staff Delivery points (RBSK trainings)</v>
      </c>
      <c r="D367" s="3019" t="str">
        <f>'9-A.Training Sub-Annex'!E131</f>
        <v>RCH</v>
      </c>
      <c r="E367" s="3019" t="str">
        <f>'9-A.Training Sub-Annex'!F131</f>
        <v>RBSK</v>
      </c>
      <c r="F367" s="3019">
        <f>'9-A.Training Sub-Annex'!G131</f>
        <v>0</v>
      </c>
      <c r="G367" s="3019">
        <f>'9-A.Training Sub-Annex'!H131</f>
        <v>0</v>
      </c>
      <c r="H367" s="3019">
        <f>'9-A.Training Sub-Annex'!I131</f>
        <v>0</v>
      </c>
      <c r="I367" s="3019">
        <f>'9-A.Training Sub-Annex'!J131</f>
        <v>0</v>
      </c>
      <c r="J367" s="3019">
        <f>'9-A.Training Sub-Annex'!K131</f>
        <v>0</v>
      </c>
      <c r="K367" s="3019">
        <f>'9-A.Training Sub-Annex'!L131</f>
        <v>0</v>
      </c>
      <c r="L367" s="3020">
        <f>'9-A.Training Sub-Annex'!M131</f>
        <v>0</v>
      </c>
      <c r="M367" s="3019">
        <f>'9-A.Training Sub-Annex'!N131</f>
        <v>0</v>
      </c>
      <c r="N367" s="3019">
        <f>'9-A.Training Sub-Annex'!O131</f>
        <v>0</v>
      </c>
      <c r="O367" s="3020">
        <f>'9-A.Training Sub-Annex'!P131</f>
        <v>0</v>
      </c>
      <c r="P367" s="3047">
        <f>'9-A.Training Sub-Annex'!Q131</f>
        <v>0</v>
      </c>
      <c r="Q367" s="3067"/>
      <c r="R367" s="3022"/>
    </row>
    <row r="368" spans="1:18" s="3023" customFormat="1" ht="120">
      <c r="A368" s="4606"/>
      <c r="B368" s="3017" t="str">
        <f>'9-A.Training Sub-Annex'!C132</f>
        <v>A.9.12.4</v>
      </c>
      <c r="C368" s="3018" t="str">
        <f>'9-A.Training Sub-Annex'!D132</f>
        <v>Training/Refresher training -ANM (one day) (RBSK trainings)</v>
      </c>
      <c r="D368" s="3019" t="str">
        <f>'9-A.Training Sub-Annex'!E132</f>
        <v>RCH</v>
      </c>
      <c r="E368" s="3019" t="str">
        <f>'9-A.Training Sub-Annex'!F132</f>
        <v>RBSK</v>
      </c>
      <c r="F368" s="3019">
        <f>'9-A.Training Sub-Annex'!G132</f>
        <v>0</v>
      </c>
      <c r="G368" s="3019">
        <f>'9-A.Training Sub-Annex'!H132</f>
        <v>0</v>
      </c>
      <c r="H368" s="3019">
        <f>'9-A.Training Sub-Annex'!I132</f>
        <v>0</v>
      </c>
      <c r="I368" s="3019">
        <f>'9-A.Training Sub-Annex'!J132</f>
        <v>0</v>
      </c>
      <c r="J368" s="3019">
        <f>'9-A.Training Sub-Annex'!K132</f>
        <v>0</v>
      </c>
      <c r="K368" s="3019" t="str">
        <f>'9-A.Training Sub-Annex'!L132</f>
        <v xml:space="preserve">No. of Training Batches </v>
      </c>
      <c r="L368" s="3020">
        <f>'9-A.Training Sub-Annex'!M132</f>
        <v>1590.9</v>
      </c>
      <c r="M368" s="3019">
        <f>'9-A.Training Sub-Annex'!N132</f>
        <v>1.5909E-2</v>
      </c>
      <c r="N368" s="3019">
        <f>'9-A.Training Sub-Annex'!O132</f>
        <v>2985</v>
      </c>
      <c r="O368" s="3020">
        <f>'9-A.Training Sub-Annex'!P132</f>
        <v>47.488365000000002</v>
      </c>
      <c r="P368" s="3047" t="str">
        <f>'9-A.Training Sub-Annex'!Q132</f>
        <v xml:space="preserve">Under RBSK identification of birth defect cases at community level is important. For this ASHA will be oriented on the process of identification of birth defect cases during HBNC visits. The orientation will be at Block Level and members of MHT will orient them. 
Total 2985 batches will be organized consisting of 30 participants in each batch. Rs.50/-per participants is budgeted for refreshment. Total 89007 ASHAs will be oriented covering 38 districts.
The total cost = Rs.50*89007 = Rs.47,48,850/-  
</v>
      </c>
      <c r="Q368" s="3067"/>
      <c r="R368" s="3022"/>
    </row>
    <row r="369" spans="1:18" s="3023" customFormat="1">
      <c r="A369" s="4606"/>
      <c r="B369" s="3017">
        <f>'9-A.Training Sub-Annex'!C133</f>
        <v>0</v>
      </c>
      <c r="C369" s="3018" t="str">
        <f>'9-A.Training Sub-Annex'!D133</f>
        <v>Other RBSK trainings (please specify)</v>
      </c>
      <c r="D369" s="3019" t="str">
        <f>'9-A.Training Sub-Annex'!E133</f>
        <v>RCH</v>
      </c>
      <c r="E369" s="3019" t="str">
        <f>'9-A.Training Sub-Annex'!F133</f>
        <v>RBSK</v>
      </c>
      <c r="F369" s="3019">
        <f>'9-A.Training Sub-Annex'!G133</f>
        <v>0</v>
      </c>
      <c r="G369" s="3019">
        <f>'9-A.Training Sub-Annex'!H133</f>
        <v>0</v>
      </c>
      <c r="H369" s="3019">
        <f>'9-A.Training Sub-Annex'!I133</f>
        <v>0</v>
      </c>
      <c r="I369" s="3019">
        <f>'9-A.Training Sub-Annex'!J133</f>
        <v>0</v>
      </c>
      <c r="J369" s="3019">
        <f>'9-A.Training Sub-Annex'!K133</f>
        <v>0</v>
      </c>
      <c r="K369" s="3019">
        <f>'9-A.Training Sub-Annex'!L133</f>
        <v>0</v>
      </c>
      <c r="L369" s="3020">
        <f>'9-A.Training Sub-Annex'!M133</f>
        <v>0</v>
      </c>
      <c r="M369" s="3019">
        <f>'9-A.Training Sub-Annex'!N133</f>
        <v>0</v>
      </c>
      <c r="N369" s="3019">
        <f>'9-A.Training Sub-Annex'!O133</f>
        <v>0</v>
      </c>
      <c r="O369" s="3020">
        <f>'9-A.Training Sub-Annex'!P133</f>
        <v>0</v>
      </c>
      <c r="P369" s="3047">
        <f>'9-A.Training Sub-Annex'!Q133</f>
        <v>0</v>
      </c>
      <c r="Q369" s="3067"/>
      <c r="R369" s="3022"/>
    </row>
    <row r="370" spans="1:18" s="3023" customFormat="1">
      <c r="A370" s="3030">
        <f>'12.Printing Annex'!A7</f>
        <v>12</v>
      </c>
      <c r="B370" s="3038"/>
      <c r="C370" s="3031" t="str">
        <f>'12.Printing Annex'!C7</f>
        <v>Printing</v>
      </c>
      <c r="D370" s="3032"/>
      <c r="E370" s="3032"/>
      <c r="F370" s="3032"/>
      <c r="G370" s="3032"/>
      <c r="H370" s="3033"/>
      <c r="I370" s="3032"/>
      <c r="J370" s="3033"/>
      <c r="K370" s="3032"/>
      <c r="L370" s="3033"/>
      <c r="M370" s="3033"/>
      <c r="N370" s="3039"/>
      <c r="O370" s="3040">
        <f>SUM(O371:O376)</f>
        <v>444.15748077618753</v>
      </c>
      <c r="P370" s="3064"/>
      <c r="Q370" s="3042"/>
      <c r="R370" s="3043">
        <f>SUM(R371:R376)</f>
        <v>0</v>
      </c>
    </row>
    <row r="371" spans="1:18" s="3023" customFormat="1">
      <c r="A371" s="3017" t="str">
        <f>'12.Printing Annex'!A13</f>
        <v>12.1.5</v>
      </c>
      <c r="B371" s="3017" t="str">
        <f>'12-A. Print Sub-Annex'!C41</f>
        <v>A.5.1.1</v>
      </c>
      <c r="C371" s="3018" t="str">
        <f>'12-A. Print Sub-Annex'!D41</f>
        <v>Prepare and disseminate guidelines for RBSK</v>
      </c>
      <c r="D371" s="3019" t="str">
        <f>'12-A. Print Sub-Annex'!E41</f>
        <v>RCH</v>
      </c>
      <c r="E371" s="3019" t="str">
        <f>'12-A. Print Sub-Annex'!F41</f>
        <v>RBSK</v>
      </c>
      <c r="F371" s="3019">
        <f>'12-A. Print Sub-Annex'!G41</f>
        <v>0</v>
      </c>
      <c r="G371" s="3019">
        <f>'12-A. Print Sub-Annex'!H41</f>
        <v>0</v>
      </c>
      <c r="H371" s="3019">
        <f>'12-A. Print Sub-Annex'!I41</f>
        <v>0</v>
      </c>
      <c r="I371" s="3019">
        <f>'12-A. Print Sub-Annex'!J41</f>
        <v>0</v>
      </c>
      <c r="J371" s="3019">
        <f>'12-A. Print Sub-Annex'!K41</f>
        <v>0</v>
      </c>
      <c r="K371" s="3019">
        <f>'12-A. Print Sub-Annex'!L41</f>
        <v>0</v>
      </c>
      <c r="L371" s="3020">
        <f>'12-A. Print Sub-Annex'!M41</f>
        <v>0</v>
      </c>
      <c r="M371" s="3019">
        <f>'12-A. Print Sub-Annex'!N41</f>
        <v>0</v>
      </c>
      <c r="N371" s="3019">
        <f>'12-A. Print Sub-Annex'!O41</f>
        <v>0</v>
      </c>
      <c r="O371" s="3020">
        <f>'12-A. Print Sub-Annex'!P41</f>
        <v>0</v>
      </c>
      <c r="P371" s="3047">
        <f>'12-A. Print Sub-Annex'!Q41</f>
        <v>0</v>
      </c>
      <c r="Q371" s="3067"/>
      <c r="R371" s="3022"/>
    </row>
    <row r="372" spans="1:18" s="3023" customFormat="1">
      <c r="A372" s="3017"/>
      <c r="B372" s="3017" t="str">
        <f>'12-A. Print Sub-Annex'!C42</f>
        <v>A 5.3.1</v>
      </c>
      <c r="C372" s="3018" t="str">
        <f>'12-A. Print Sub-Annex'!D42</f>
        <v xml:space="preserve">Training kits for teachers </v>
      </c>
      <c r="D372" s="3019" t="str">
        <f>'12-A. Print Sub-Annex'!E42</f>
        <v>RCH</v>
      </c>
      <c r="E372" s="3019" t="str">
        <f>'12-A. Print Sub-Annex'!F42</f>
        <v>RBSK</v>
      </c>
      <c r="F372" s="3019">
        <f>'12-A. Print Sub-Annex'!G42</f>
        <v>0</v>
      </c>
      <c r="G372" s="3019">
        <f>'12-A. Print Sub-Annex'!H42</f>
        <v>0</v>
      </c>
      <c r="H372" s="3019">
        <f>'12-A. Print Sub-Annex'!I42</f>
        <v>0</v>
      </c>
      <c r="I372" s="3019">
        <f>'12-A. Print Sub-Annex'!J42</f>
        <v>0</v>
      </c>
      <c r="J372" s="3019">
        <f>'12-A. Print Sub-Annex'!K42</f>
        <v>0</v>
      </c>
      <c r="K372" s="3019">
        <f>'12-A. Print Sub-Annex'!L42</f>
        <v>0</v>
      </c>
      <c r="L372" s="3020">
        <f>'12-A. Print Sub-Annex'!M42</f>
        <v>0</v>
      </c>
      <c r="M372" s="3019">
        <f>'12-A. Print Sub-Annex'!N42</f>
        <v>0</v>
      </c>
      <c r="N372" s="3019">
        <f>'12-A. Print Sub-Annex'!O42</f>
        <v>0</v>
      </c>
      <c r="O372" s="3020">
        <f>'12-A. Print Sub-Annex'!P42</f>
        <v>0</v>
      </c>
      <c r="P372" s="3047">
        <f>'12-A. Print Sub-Annex'!Q42</f>
        <v>0</v>
      </c>
      <c r="Q372" s="3067"/>
      <c r="R372" s="3022"/>
    </row>
    <row r="373" spans="1:18" s="3023" customFormat="1">
      <c r="A373" s="3017"/>
      <c r="B373" s="3017" t="str">
        <f>'12-A. Print Sub-Annex'!C43</f>
        <v>A 5.3.2</v>
      </c>
      <c r="C373" s="3018" t="str">
        <f>'12-A. Print Sub-Annex'!D43</f>
        <v>School Kits</v>
      </c>
      <c r="D373" s="3019" t="str">
        <f>'12-A. Print Sub-Annex'!E43</f>
        <v>RCH</v>
      </c>
      <c r="E373" s="3019" t="str">
        <f>'12-A. Print Sub-Annex'!F43</f>
        <v>RBSK</v>
      </c>
      <c r="F373" s="3019">
        <f>'12-A. Print Sub-Annex'!G43</f>
        <v>0</v>
      </c>
      <c r="G373" s="3019">
        <f>'12-A. Print Sub-Annex'!H43</f>
        <v>0</v>
      </c>
      <c r="H373" s="3019">
        <f>'12-A. Print Sub-Annex'!I43</f>
        <v>0</v>
      </c>
      <c r="I373" s="3019">
        <f>'12-A. Print Sub-Annex'!J43</f>
        <v>0</v>
      </c>
      <c r="J373" s="3019">
        <f>'12-A. Print Sub-Annex'!K43</f>
        <v>0</v>
      </c>
      <c r="K373" s="3019">
        <f>'12-A. Print Sub-Annex'!L43</f>
        <v>0</v>
      </c>
      <c r="L373" s="3020">
        <f>'12-A. Print Sub-Annex'!M43</f>
        <v>0</v>
      </c>
      <c r="M373" s="3019">
        <f>'12-A. Print Sub-Annex'!N43</f>
        <v>0</v>
      </c>
      <c r="N373" s="3019">
        <f>'12-A. Print Sub-Annex'!O43</f>
        <v>0</v>
      </c>
      <c r="O373" s="3020">
        <f>'12-A. Print Sub-Annex'!P43</f>
        <v>0</v>
      </c>
      <c r="P373" s="3047">
        <f>'12-A. Print Sub-Annex'!Q43</f>
        <v>0</v>
      </c>
      <c r="Q373" s="3067"/>
      <c r="R373" s="3022"/>
    </row>
    <row r="374" spans="1:18" s="3023" customFormat="1" ht="45">
      <c r="A374" s="3017"/>
      <c r="B374" s="3017" t="str">
        <f>'12-A. Print Sub-Annex'!C44</f>
        <v>B.10.7.4.3</v>
      </c>
      <c r="C374" s="3018" t="str">
        <f>'12-A. Print Sub-Annex'!D44</f>
        <v>Printing of RBSK card and registers</v>
      </c>
      <c r="D374" s="3019" t="str">
        <f>'12-A. Print Sub-Annex'!E44</f>
        <v>RCH</v>
      </c>
      <c r="E374" s="3019" t="str">
        <f>'12-A. Print Sub-Annex'!F44</f>
        <v>RBSK</v>
      </c>
      <c r="F374" s="3019">
        <f>'12-A. Print Sub-Annex'!G44</f>
        <v>0</v>
      </c>
      <c r="G374" s="3019">
        <f>'12-A. Print Sub-Annex'!H44</f>
        <v>0</v>
      </c>
      <c r="H374" s="3019">
        <f>'12-A. Print Sub-Annex'!I44</f>
        <v>0</v>
      </c>
      <c r="I374" s="3019">
        <f>'12-A. Print Sub-Annex'!J44</f>
        <v>0</v>
      </c>
      <c r="J374" s="3019">
        <f>'12-A. Print Sub-Annex'!K44</f>
        <v>0</v>
      </c>
      <c r="K374" s="3019" t="str">
        <f>'12-A. Print Sub-Annex'!L44</f>
        <v>Per Card, Register</v>
      </c>
      <c r="L374" s="3020">
        <f>'12-A. Print Sub-Annex'!M44</f>
        <v>2.4159285284535268</v>
      </c>
      <c r="M374" s="3019">
        <f>'12-A. Print Sub-Annex'!N44</f>
        <v>2.4159285284535267E-5</v>
      </c>
      <c r="N374" s="3019">
        <f>'12-A. Print Sub-Annex'!O44</f>
        <v>17527344</v>
      </c>
      <c r="O374" s="3020">
        <f>'12-A. Print Sub-Annex'!P44</f>
        <v>423.4481039761875</v>
      </c>
      <c r="P374" s="3047" t="str">
        <f>'12-A. Print Sub-Annex'!Q44</f>
        <v xml:space="preserve">Continued Activity:
Printing of 2 types of Screening Card and 5 types of Registers for reporting etc.
Calculation sheet of FMR 12.5.4 Annexure is attached </v>
      </c>
      <c r="Q374" s="3067"/>
      <c r="R374" s="3022"/>
    </row>
    <row r="375" spans="1:18" s="3023" customFormat="1" ht="45">
      <c r="A375" s="3017"/>
      <c r="B375" s="3017" t="str">
        <f>'12-A. Print Sub-Annex'!C45</f>
        <v>B.10.7.4.4</v>
      </c>
      <c r="C375" s="3018" t="str">
        <f>'12-A. Print Sub-Annex'!D45</f>
        <v>Printing cost for DEIC</v>
      </c>
      <c r="D375" s="3019" t="str">
        <f>'12-A. Print Sub-Annex'!E45</f>
        <v>RCH</v>
      </c>
      <c r="E375" s="3019" t="str">
        <f>'12-A. Print Sub-Annex'!F45</f>
        <v>RBSK</v>
      </c>
      <c r="F375" s="3019">
        <f>'12-A. Print Sub-Annex'!G45</f>
        <v>0</v>
      </c>
      <c r="G375" s="3019">
        <f>'12-A. Print Sub-Annex'!H45</f>
        <v>0</v>
      </c>
      <c r="H375" s="3019">
        <f>'12-A. Print Sub-Annex'!I45</f>
        <v>0</v>
      </c>
      <c r="I375" s="3019">
        <f>'12-A. Print Sub-Annex'!J45</f>
        <v>0</v>
      </c>
      <c r="J375" s="3019">
        <f>'12-A. Print Sub-Annex'!K45</f>
        <v>0</v>
      </c>
      <c r="K375" s="3019" t="str">
        <f>'12-A. Print Sub-Annex'!L45</f>
        <v>Per Register, Pad etc.</v>
      </c>
      <c r="L375" s="3020">
        <f>'12-A. Print Sub-Annex'!M45</f>
        <v>537.06890041493784</v>
      </c>
      <c r="M375" s="3019">
        <f>'12-A. Print Sub-Annex'!N45</f>
        <v>5.3706890041493784E-3</v>
      </c>
      <c r="N375" s="3019">
        <f>'12-A. Print Sub-Annex'!O45</f>
        <v>3856</v>
      </c>
      <c r="O375" s="3020">
        <f>'12-A. Print Sub-Annex'!P45</f>
        <v>20.709376800000005</v>
      </c>
      <c r="P375" s="3047" t="str">
        <f>'12-A. Print Sub-Annex'!Q45</f>
        <v xml:space="preserve">Continued Activity:
Printing of  4 types of Register, 2 types Pad  etc. 
Calculation sheet of FMR 12.5.5 Annexure is attached </v>
      </c>
      <c r="Q375" s="3067"/>
      <c r="R375" s="3022"/>
    </row>
    <row r="376" spans="1:18" s="3023" customFormat="1">
      <c r="A376" s="3017"/>
      <c r="B376" s="3017">
        <f>'12-A. Print Sub-Annex'!C46</f>
        <v>0</v>
      </c>
      <c r="C376" s="3018" t="str">
        <f>'12-A. Print Sub-Annex'!D46</f>
        <v>Any other (please specify)</v>
      </c>
      <c r="D376" s="3019" t="str">
        <f>'12-A. Print Sub-Annex'!E46</f>
        <v>RCH</v>
      </c>
      <c r="E376" s="3019" t="str">
        <f>'12-A. Print Sub-Annex'!F46</f>
        <v>RBSK</v>
      </c>
      <c r="F376" s="3019">
        <f>'12-A. Print Sub-Annex'!G46</f>
        <v>0</v>
      </c>
      <c r="G376" s="3019">
        <f>'12-A. Print Sub-Annex'!H46</f>
        <v>0</v>
      </c>
      <c r="H376" s="3019">
        <f>'12-A. Print Sub-Annex'!I46</f>
        <v>0</v>
      </c>
      <c r="I376" s="3019">
        <f>'12-A. Print Sub-Annex'!J46</f>
        <v>0</v>
      </c>
      <c r="J376" s="3019">
        <f>'12-A. Print Sub-Annex'!K46</f>
        <v>0</v>
      </c>
      <c r="K376" s="3019">
        <f>'12-A. Print Sub-Annex'!L46</f>
        <v>0</v>
      </c>
      <c r="L376" s="3020">
        <f>'12-A. Print Sub-Annex'!M46</f>
        <v>0</v>
      </c>
      <c r="M376" s="3019">
        <f>'12-A. Print Sub-Annex'!N46</f>
        <v>0</v>
      </c>
      <c r="N376" s="3019">
        <f>'12-A. Print Sub-Annex'!O46</f>
        <v>0</v>
      </c>
      <c r="O376" s="3020">
        <f>'12-A. Print Sub-Annex'!P46</f>
        <v>0</v>
      </c>
      <c r="P376" s="3047">
        <f>'12-A. Print Sub-Annex'!Q46</f>
        <v>0</v>
      </c>
      <c r="Q376" s="3067"/>
      <c r="R376" s="3022"/>
    </row>
    <row r="377" spans="1:18" s="3023" customFormat="1">
      <c r="A377" s="3053" t="s">
        <v>4664</v>
      </c>
      <c r="B377" s="3053"/>
      <c r="C377" s="3054" t="s">
        <v>4064</v>
      </c>
      <c r="D377" s="3055"/>
      <c r="E377" s="3055"/>
      <c r="F377" s="3055"/>
      <c r="G377" s="3055"/>
      <c r="H377" s="3056"/>
      <c r="I377" s="3055"/>
      <c r="J377" s="3056"/>
      <c r="K377" s="3055"/>
      <c r="L377" s="3056"/>
      <c r="M377" s="3056"/>
      <c r="N377" s="3057"/>
      <c r="O377" s="3074">
        <f>O378+O383+O386</f>
        <v>24.3</v>
      </c>
      <c r="P377" s="3065"/>
      <c r="Q377" s="3060"/>
      <c r="R377" s="3075">
        <f>R378+R383+R386</f>
        <v>0</v>
      </c>
    </row>
    <row r="378" spans="1:18" s="3023" customFormat="1">
      <c r="A378" s="3030">
        <f>'9.Training Annex'!A7</f>
        <v>9</v>
      </c>
      <c r="B378" s="3030"/>
      <c r="C378" s="3031" t="str">
        <f>'9.Training Annex'!C7</f>
        <v>Training and Capacity Building</v>
      </c>
      <c r="D378" s="3032"/>
      <c r="E378" s="3032"/>
      <c r="F378" s="3032"/>
      <c r="G378" s="3032"/>
      <c r="H378" s="3032"/>
      <c r="I378" s="3032"/>
      <c r="J378" s="3032"/>
      <c r="K378" s="3032"/>
      <c r="L378" s="3033"/>
      <c r="M378" s="3032"/>
      <c r="N378" s="3032"/>
      <c r="O378" s="3033">
        <f>SUM(O379:O382)</f>
        <v>7.5</v>
      </c>
      <c r="P378" s="3066"/>
      <c r="Q378" s="3036"/>
      <c r="R378" s="3035">
        <f>SUM(R379:R382)</f>
        <v>0</v>
      </c>
    </row>
    <row r="379" spans="1:18" s="3023" customFormat="1" ht="30">
      <c r="A379" s="4606" t="str">
        <f>'9.Training Annex'!A26</f>
        <v>9.2.1.6</v>
      </c>
      <c r="B379" s="3017" t="str">
        <f>'9-A.Training Sub-Annex'!C135</f>
        <v>A.9.9.1</v>
      </c>
      <c r="C379" s="3018" t="str">
        <f>'9-A.Training Sub-Annex'!D135</f>
        <v>Training of district Appropriate Authorities and district PNDT Nodal Officers</v>
      </c>
      <c r="D379" s="3019" t="str">
        <f>'9-A.Training Sub-Annex'!E135</f>
        <v>RCH</v>
      </c>
      <c r="E379" s="3019" t="str">
        <f>'9-A.Training Sub-Annex'!F135</f>
        <v>PNDT</v>
      </c>
      <c r="F379" s="3019">
        <f>'9-A.Training Sub-Annex'!G135</f>
        <v>0</v>
      </c>
      <c r="G379" s="3019">
        <f>'9-A.Training Sub-Annex'!H135</f>
        <v>0</v>
      </c>
      <c r="H379" s="3019">
        <f>'9-A.Training Sub-Annex'!I135</f>
        <v>0</v>
      </c>
      <c r="I379" s="3019">
        <f>'9-A.Training Sub-Annex'!J135</f>
        <v>0</v>
      </c>
      <c r="J379" s="3019">
        <f>'9-A.Training Sub-Annex'!K135</f>
        <v>0</v>
      </c>
      <c r="K379" s="3019">
        <f>'9-A.Training Sub-Annex'!L135</f>
        <v>0</v>
      </c>
      <c r="L379" s="3020">
        <f>'9-A.Training Sub-Annex'!M135</f>
        <v>0</v>
      </c>
      <c r="M379" s="3019">
        <f>'9-A.Training Sub-Annex'!N135</f>
        <v>0</v>
      </c>
      <c r="N379" s="3019">
        <f>'9-A.Training Sub-Annex'!O135</f>
        <v>0</v>
      </c>
      <c r="O379" s="3020">
        <f>'9-A.Training Sub-Annex'!P135</f>
        <v>0</v>
      </c>
      <c r="P379" s="3047">
        <f>'9-A.Training Sub-Annex'!Q135</f>
        <v>0</v>
      </c>
      <c r="Q379" s="3021"/>
      <c r="R379" s="3022"/>
    </row>
    <row r="380" spans="1:18" s="3023" customFormat="1" ht="30">
      <c r="A380" s="4606"/>
      <c r="B380" s="3017">
        <f>'9-A.Training Sub-Annex'!C136</f>
        <v>0</v>
      </c>
      <c r="C380" s="3018" t="str">
        <f>'9-A.Training Sub-Annex'!D136</f>
        <v>Training of Medical officers conducting pre-natal diagnostic procedures in public health facilities</v>
      </c>
      <c r="D380" s="3019" t="str">
        <f>'9-A.Training Sub-Annex'!E136</f>
        <v>RCH</v>
      </c>
      <c r="E380" s="3019" t="str">
        <f>'9-A.Training Sub-Annex'!F136</f>
        <v>PNDT</v>
      </c>
      <c r="F380" s="3019">
        <f>'9-A.Training Sub-Annex'!G136</f>
        <v>0</v>
      </c>
      <c r="G380" s="3019">
        <f>'9-A.Training Sub-Annex'!H136</f>
        <v>0</v>
      </c>
      <c r="H380" s="3019">
        <f>'9-A.Training Sub-Annex'!I136</f>
        <v>0</v>
      </c>
      <c r="I380" s="3019">
        <f>'9-A.Training Sub-Annex'!J136</f>
        <v>0</v>
      </c>
      <c r="J380" s="3019">
        <f>'9-A.Training Sub-Annex'!K136</f>
        <v>0</v>
      </c>
      <c r="K380" s="3019">
        <f>'9-A.Training Sub-Annex'!L136</f>
        <v>0</v>
      </c>
      <c r="L380" s="3020">
        <f>'9-A.Training Sub-Annex'!M136</f>
        <v>750000</v>
      </c>
      <c r="M380" s="3019">
        <f>'9-A.Training Sub-Annex'!N136</f>
        <v>7.5</v>
      </c>
      <c r="N380" s="3019">
        <f>'9-A.Training Sub-Annex'!O136</f>
        <v>1</v>
      </c>
      <c r="O380" s="3020">
        <f>'9-A.Training Sub-Annex'!P136</f>
        <v>7.5</v>
      </c>
      <c r="P380" s="3047" t="str">
        <f>'9-A.Training Sub-Annex'!Q136</f>
        <v>87 Specialist Medical officers  (Gynecologist) got hands on training on ultrasonography. Specialist doctors have to train in this financial budget too.</v>
      </c>
      <c r="Q380" s="3021"/>
      <c r="R380" s="3022"/>
    </row>
    <row r="381" spans="1:18" s="3023" customFormat="1">
      <c r="A381" s="4606"/>
      <c r="B381" s="3017">
        <f>'9-A.Training Sub-Annex'!C137</f>
        <v>0</v>
      </c>
      <c r="C381" s="3018" t="str">
        <f>'9-A.Training Sub-Annex'!D137</f>
        <v>Training of Public prosecutors</v>
      </c>
      <c r="D381" s="3019" t="str">
        <f>'9-A.Training Sub-Annex'!E137</f>
        <v>RCH</v>
      </c>
      <c r="E381" s="3019" t="str">
        <f>'9-A.Training Sub-Annex'!F137</f>
        <v>PNDT</v>
      </c>
      <c r="F381" s="3019">
        <f>'9-A.Training Sub-Annex'!G137</f>
        <v>0</v>
      </c>
      <c r="G381" s="3019">
        <f>'9-A.Training Sub-Annex'!H137</f>
        <v>0</v>
      </c>
      <c r="H381" s="3019">
        <f>'9-A.Training Sub-Annex'!I137</f>
        <v>0</v>
      </c>
      <c r="I381" s="3019">
        <f>'9-A.Training Sub-Annex'!J137</f>
        <v>0</v>
      </c>
      <c r="J381" s="3019">
        <f>'9-A.Training Sub-Annex'!K137</f>
        <v>0</v>
      </c>
      <c r="K381" s="3019">
        <f>'9-A.Training Sub-Annex'!L137</f>
        <v>0</v>
      </c>
      <c r="L381" s="3020">
        <f>'9-A.Training Sub-Annex'!M137</f>
        <v>0</v>
      </c>
      <c r="M381" s="3019">
        <f>'9-A.Training Sub-Annex'!N137</f>
        <v>0</v>
      </c>
      <c r="N381" s="3019">
        <f>'9-A.Training Sub-Annex'!O137</f>
        <v>0</v>
      </c>
      <c r="O381" s="3020">
        <f>'9-A.Training Sub-Annex'!P137</f>
        <v>0</v>
      </c>
      <c r="P381" s="3047">
        <f>'9-A.Training Sub-Annex'!Q137</f>
        <v>0</v>
      </c>
      <c r="Q381" s="3021"/>
      <c r="R381" s="3022"/>
    </row>
    <row r="382" spans="1:18" s="3023" customFormat="1">
      <c r="A382" s="4606"/>
      <c r="B382" s="3017" t="str">
        <f>'9-A.Training Sub-Annex'!C138</f>
        <v>9.5.21.2</v>
      </c>
      <c r="C382" s="3018" t="str">
        <f>'9-A.Training Sub-Annex'!D138</f>
        <v>Any other (please specify)</v>
      </c>
      <c r="D382" s="3019" t="str">
        <f>'9-A.Training Sub-Annex'!E138</f>
        <v>RCH</v>
      </c>
      <c r="E382" s="3019" t="str">
        <f>'9-A.Training Sub-Annex'!F138</f>
        <v>PNDT</v>
      </c>
      <c r="F382" s="3019">
        <f>'9-A.Training Sub-Annex'!G138</f>
        <v>0</v>
      </c>
      <c r="G382" s="3019">
        <f>'9-A.Training Sub-Annex'!H138</f>
        <v>0</v>
      </c>
      <c r="H382" s="3019">
        <f>'9-A.Training Sub-Annex'!I138</f>
        <v>0</v>
      </c>
      <c r="I382" s="3019">
        <f>'9-A.Training Sub-Annex'!J138</f>
        <v>0</v>
      </c>
      <c r="J382" s="3019">
        <f>'9-A.Training Sub-Annex'!K138</f>
        <v>0</v>
      </c>
      <c r="K382" s="3019">
        <f>'9-A.Training Sub-Annex'!L138</f>
        <v>0</v>
      </c>
      <c r="L382" s="3020">
        <f>'9-A.Training Sub-Annex'!M138</f>
        <v>0</v>
      </c>
      <c r="M382" s="3019">
        <f>'9-A.Training Sub-Annex'!N138</f>
        <v>0</v>
      </c>
      <c r="N382" s="3019">
        <f>'9-A.Training Sub-Annex'!O138</f>
        <v>0</v>
      </c>
      <c r="O382" s="3020">
        <f>'9-A.Training Sub-Annex'!P138</f>
        <v>0</v>
      </c>
      <c r="P382" s="3047">
        <f>'9-A.Training Sub-Annex'!Q138</f>
        <v>0</v>
      </c>
      <c r="Q382" s="3021"/>
      <c r="R382" s="3022"/>
    </row>
    <row r="383" spans="1:18" s="3023" customFormat="1">
      <c r="A383" s="3030">
        <f>'11.IEC-BCC Annex'!A7</f>
        <v>11</v>
      </c>
      <c r="B383" s="3030"/>
      <c r="C383" s="3031" t="str">
        <f>'11.IEC-BCC Annex'!C7</f>
        <v>IEC/BCC</v>
      </c>
      <c r="D383" s="3032"/>
      <c r="E383" s="3032"/>
      <c r="F383" s="3032"/>
      <c r="G383" s="3032"/>
      <c r="H383" s="3032"/>
      <c r="I383" s="3032"/>
      <c r="J383" s="3032"/>
      <c r="K383" s="3032"/>
      <c r="L383" s="3033"/>
      <c r="M383" s="3032"/>
      <c r="N383" s="3032"/>
      <c r="O383" s="3033">
        <f>SUM(O384:O385)</f>
        <v>16.8</v>
      </c>
      <c r="P383" s="3066"/>
      <c r="Q383" s="3036"/>
      <c r="R383" s="3035">
        <f>SUM(R384:R385)</f>
        <v>0</v>
      </c>
    </row>
    <row r="384" spans="1:18" s="3023" customFormat="1" ht="105">
      <c r="A384" s="3017" t="str">
        <f>'11.IEC-BCC Annex'!A14</f>
        <v>11.1.6</v>
      </c>
      <c r="B384" s="3017" t="str">
        <f>'11-A. IEC Sub-Annex'!C30</f>
        <v>B.10.3.5</v>
      </c>
      <c r="C384" s="3018" t="str">
        <f>'11-A. IEC Sub-Annex'!D30</f>
        <v>Creating awareness on declining sex ratio issue (PNDT)</v>
      </c>
      <c r="D384" s="3019" t="str">
        <f>'11-A. IEC Sub-Annex'!E30</f>
        <v>RCH</v>
      </c>
      <c r="E384" s="3019" t="str">
        <f>'11-A. IEC Sub-Annex'!F30</f>
        <v>PNDT</v>
      </c>
      <c r="F384" s="3019">
        <f>'11-A. IEC Sub-Annex'!G30</f>
        <v>0</v>
      </c>
      <c r="G384" s="3019">
        <f>'11-A. IEC Sub-Annex'!H30</f>
        <v>0</v>
      </c>
      <c r="H384" s="3019">
        <f>'11-A. IEC Sub-Annex'!I30</f>
        <v>0</v>
      </c>
      <c r="I384" s="3019">
        <f>'11-A. IEC Sub-Annex'!J30</f>
        <v>0</v>
      </c>
      <c r="J384" s="3019">
        <f>'11-A. IEC Sub-Annex'!K30</f>
        <v>0</v>
      </c>
      <c r="K384" s="3019" t="str">
        <f>'11-A. IEC Sub-Annex'!L30</f>
        <v>Per Advt.,  spot etc.</v>
      </c>
      <c r="L384" s="3020">
        <f>'11-A. IEC Sub-Annex'!M30</f>
        <v>1680000</v>
      </c>
      <c r="M384" s="3019">
        <f>'11-A. IEC Sub-Annex'!N30</f>
        <v>16.8</v>
      </c>
      <c r="N384" s="3019">
        <f>'11-A. IEC Sub-Annex'!O30</f>
        <v>1</v>
      </c>
      <c r="O384" s="3020">
        <f>'11-A. IEC Sub-Annex'!P30</f>
        <v>16.8</v>
      </c>
      <c r="P384" s="3047" t="str">
        <f>'11-A. IEC Sub-Annex'!Q30</f>
        <v>Continued Activities:
1. Newspaper Advt. in Hindi, English &amp; Urdu newspaper of 25x16 cm size, (Quantity 4 times in 3 daily news paper @ 1.70 lakhs per advt., Total cost Rs.6.80 lakhs), 
2. Radio spots on AIR and other local channelsi -, Total Cost Rs. 4.00 lakhs,
3. Video spot DD, News-18 and Zee Bihar,  Total cost Rs.3.00 lakhs.
4. Advt. in Cinema Hall cost Rs. 3 lakhs.
Total cost on above activitiesor others as required Approx Rs. 6.80+4+3+3= 16.80 lakhs.</v>
      </c>
      <c r="Q384" s="3021"/>
      <c r="R384" s="3022"/>
    </row>
    <row r="385" spans="1:18" s="3023" customFormat="1">
      <c r="A385" s="3017"/>
      <c r="B385" s="3017">
        <f>'11-A. IEC Sub-Annex'!C31</f>
        <v>0</v>
      </c>
      <c r="C385" s="3018" t="str">
        <f>'11-A. IEC Sub-Annex'!D31</f>
        <v>Any other IEC/BCC activities (please specify)</v>
      </c>
      <c r="D385" s="3019" t="str">
        <f>'11-A. IEC Sub-Annex'!E31</f>
        <v>RCH</v>
      </c>
      <c r="E385" s="3019" t="str">
        <f>'11-A. IEC Sub-Annex'!F31</f>
        <v>PNDT</v>
      </c>
      <c r="F385" s="3019">
        <f>'11-A. IEC Sub-Annex'!G31</f>
        <v>0</v>
      </c>
      <c r="G385" s="3019">
        <f>'11-A. IEC Sub-Annex'!H31</f>
        <v>0</v>
      </c>
      <c r="H385" s="3019">
        <f>'11-A. IEC Sub-Annex'!I31</f>
        <v>0</v>
      </c>
      <c r="I385" s="3019">
        <f>'11-A. IEC Sub-Annex'!J31</f>
        <v>0</v>
      </c>
      <c r="J385" s="3019">
        <f>'11-A. IEC Sub-Annex'!K31</f>
        <v>0</v>
      </c>
      <c r="K385" s="3019">
        <f>'11-A. IEC Sub-Annex'!L31</f>
        <v>0</v>
      </c>
      <c r="L385" s="3020">
        <f>'11-A. IEC Sub-Annex'!M31</f>
        <v>0</v>
      </c>
      <c r="M385" s="3019">
        <f>'11-A. IEC Sub-Annex'!N31</f>
        <v>0</v>
      </c>
      <c r="N385" s="3019">
        <f>'11-A. IEC Sub-Annex'!O31</f>
        <v>0</v>
      </c>
      <c r="O385" s="3020">
        <f>'11-A. IEC Sub-Annex'!P31</f>
        <v>0</v>
      </c>
      <c r="P385" s="3047">
        <f>'11-A. IEC Sub-Annex'!Q31</f>
        <v>0</v>
      </c>
      <c r="Q385" s="3021"/>
      <c r="R385" s="3022"/>
    </row>
    <row r="386" spans="1:18" s="3023" customFormat="1">
      <c r="A386" s="3030">
        <f>'12.Printing Annex'!A7</f>
        <v>12</v>
      </c>
      <c r="B386" s="3038"/>
      <c r="C386" s="3031" t="str">
        <f>'12.Printing Annex'!C7</f>
        <v>Printing</v>
      </c>
      <c r="D386" s="3032"/>
      <c r="E386" s="3032"/>
      <c r="F386" s="3032"/>
      <c r="G386" s="3032"/>
      <c r="H386" s="3033"/>
      <c r="I386" s="3032"/>
      <c r="J386" s="3033"/>
      <c r="K386" s="3032"/>
      <c r="L386" s="3033"/>
      <c r="M386" s="3033"/>
      <c r="N386" s="3039"/>
      <c r="O386" s="3040">
        <f>SUM(O387:O389)</f>
        <v>0</v>
      </c>
      <c r="P386" s="3064"/>
      <c r="Q386" s="3042"/>
      <c r="R386" s="3043">
        <f>SUM(R387:R389)</f>
        <v>0</v>
      </c>
    </row>
    <row r="387" spans="1:18" s="3023" customFormat="1">
      <c r="A387" s="3017" t="str">
        <f>'12.Printing Annex'!A15</f>
        <v>12.1.7</v>
      </c>
      <c r="B387" s="3017" t="str">
        <f>'12-A. Print Sub-Annex'!C51</f>
        <v>B.10.6.14.2</v>
      </c>
      <c r="C387" s="3018" t="str">
        <f>'12-A. Print Sub-Annex'!D51</f>
        <v>Printing of training material</v>
      </c>
      <c r="D387" s="3019" t="str">
        <f>'12-A. Print Sub-Annex'!E51</f>
        <v>RCH</v>
      </c>
      <c r="E387" s="3019" t="str">
        <f>'12-A. Print Sub-Annex'!F51</f>
        <v>PNDT</v>
      </c>
      <c r="F387" s="3019">
        <f>'12-A. Print Sub-Annex'!G51</f>
        <v>0</v>
      </c>
      <c r="G387" s="3019">
        <f>'12-A. Print Sub-Annex'!H51</f>
        <v>0</v>
      </c>
      <c r="H387" s="3019">
        <f>'12-A. Print Sub-Annex'!I51</f>
        <v>0</v>
      </c>
      <c r="I387" s="3019">
        <f>'12-A. Print Sub-Annex'!J51</f>
        <v>0</v>
      </c>
      <c r="J387" s="3019">
        <f>'12-A. Print Sub-Annex'!K51</f>
        <v>0</v>
      </c>
      <c r="K387" s="3019">
        <f>'12-A. Print Sub-Annex'!L51</f>
        <v>0</v>
      </c>
      <c r="L387" s="3020">
        <f>'12-A. Print Sub-Annex'!M51</f>
        <v>0</v>
      </c>
      <c r="M387" s="3019">
        <f>'12-A. Print Sub-Annex'!N51</f>
        <v>0</v>
      </c>
      <c r="N387" s="3019">
        <f>'12-A. Print Sub-Annex'!O51</f>
        <v>0</v>
      </c>
      <c r="O387" s="3020">
        <f>'12-A. Print Sub-Annex'!P51</f>
        <v>0</v>
      </c>
      <c r="P387" s="3047">
        <f>'12-A. Print Sub-Annex'!Q51</f>
        <v>0</v>
      </c>
      <c r="Q387" s="3021"/>
      <c r="R387" s="3022"/>
    </row>
    <row r="388" spans="1:18" s="3023" customFormat="1">
      <c r="A388" s="3017"/>
      <c r="B388" s="3017">
        <f>'12-A. Print Sub-Annex'!C52</f>
        <v>0</v>
      </c>
      <c r="C388" s="3018" t="str">
        <f>'12-A. Print Sub-Annex'!D52</f>
        <v>Printing of PC&amp;PNDT Act and Rules</v>
      </c>
      <c r="D388" s="3019" t="str">
        <f>'12-A. Print Sub-Annex'!E52</f>
        <v>RCH</v>
      </c>
      <c r="E388" s="3019" t="str">
        <f>'12-A. Print Sub-Annex'!F52</f>
        <v>PNDT</v>
      </c>
      <c r="F388" s="3019">
        <f>'12-A. Print Sub-Annex'!G52</f>
        <v>0</v>
      </c>
      <c r="G388" s="3019">
        <f>'12-A. Print Sub-Annex'!H52</f>
        <v>0</v>
      </c>
      <c r="H388" s="3019">
        <f>'12-A. Print Sub-Annex'!I52</f>
        <v>0</v>
      </c>
      <c r="I388" s="3019">
        <f>'12-A. Print Sub-Annex'!J52</f>
        <v>0</v>
      </c>
      <c r="J388" s="3019">
        <f>'12-A. Print Sub-Annex'!K52</f>
        <v>0</v>
      </c>
      <c r="K388" s="3019">
        <f>'12-A. Print Sub-Annex'!L52</f>
        <v>0</v>
      </c>
      <c r="L388" s="3020">
        <f>'12-A. Print Sub-Annex'!M52</f>
        <v>0</v>
      </c>
      <c r="M388" s="3019">
        <f>'12-A. Print Sub-Annex'!N52</f>
        <v>0</v>
      </c>
      <c r="N388" s="3019">
        <f>'12-A. Print Sub-Annex'!O52</f>
        <v>0</v>
      </c>
      <c r="O388" s="3020">
        <f>'12-A. Print Sub-Annex'!P52</f>
        <v>0</v>
      </c>
      <c r="P388" s="3047">
        <f>'12-A. Print Sub-Annex'!Q52</f>
        <v>0</v>
      </c>
      <c r="Q388" s="3021"/>
      <c r="R388" s="3022"/>
    </row>
    <row r="389" spans="1:18" s="3023" customFormat="1">
      <c r="A389" s="3017"/>
      <c r="B389" s="3017">
        <f>'12-A. Print Sub-Annex'!C53</f>
        <v>0</v>
      </c>
      <c r="C389" s="3018" t="str">
        <f>'12-A. Print Sub-Annex'!D53</f>
        <v>Any other (please specify)</v>
      </c>
      <c r="D389" s="3019" t="str">
        <f>'12-A. Print Sub-Annex'!E53</f>
        <v>RCH</v>
      </c>
      <c r="E389" s="3019" t="str">
        <f>'12-A. Print Sub-Annex'!F53</f>
        <v>PNDT</v>
      </c>
      <c r="F389" s="3019">
        <f>'12-A. Print Sub-Annex'!G53</f>
        <v>0</v>
      </c>
      <c r="G389" s="3019">
        <f>'12-A. Print Sub-Annex'!H53</f>
        <v>0</v>
      </c>
      <c r="H389" s="3019">
        <f>'12-A. Print Sub-Annex'!I53</f>
        <v>0</v>
      </c>
      <c r="I389" s="3019">
        <f>'12-A. Print Sub-Annex'!J53</f>
        <v>0</v>
      </c>
      <c r="J389" s="3019">
        <f>'12-A. Print Sub-Annex'!K53</f>
        <v>0</v>
      </c>
      <c r="K389" s="3019">
        <f>'12-A. Print Sub-Annex'!L53</f>
        <v>0</v>
      </c>
      <c r="L389" s="3020">
        <f>'12-A. Print Sub-Annex'!M53</f>
        <v>0</v>
      </c>
      <c r="M389" s="3019">
        <f>'12-A. Print Sub-Annex'!N53</f>
        <v>0</v>
      </c>
      <c r="N389" s="3019">
        <f>'12-A. Print Sub-Annex'!O53</f>
        <v>0</v>
      </c>
      <c r="O389" s="3020">
        <f>'12-A. Print Sub-Annex'!P53</f>
        <v>0</v>
      </c>
      <c r="P389" s="3047">
        <f>'12-A. Print Sub-Annex'!Q53</f>
        <v>0</v>
      </c>
      <c r="Q389" s="3021"/>
      <c r="R389" s="3022"/>
    </row>
    <row r="390" spans="1:18" s="3023" customFormat="1">
      <c r="A390" s="3030">
        <f>'16.PM Annex'!A7</f>
        <v>16</v>
      </c>
      <c r="B390" s="3038"/>
      <c r="C390" s="3030" t="str">
        <f>'16.PM Annex'!C7</f>
        <v>Programme Management</v>
      </c>
      <c r="D390" s="3032"/>
      <c r="E390" s="3032"/>
      <c r="F390" s="3032"/>
      <c r="G390" s="3032"/>
      <c r="H390" s="3033"/>
      <c r="I390" s="3032"/>
      <c r="J390" s="3033"/>
      <c r="K390" s="3032"/>
      <c r="L390" s="3033"/>
      <c r="M390" s="3033"/>
      <c r="N390" s="3039"/>
      <c r="O390" s="3040">
        <f>SUM(O391:O393)</f>
        <v>877.4</v>
      </c>
      <c r="P390" s="3064"/>
      <c r="Q390" s="3042"/>
      <c r="R390" s="3043">
        <f>SUM(R391:R393)</f>
        <v>0</v>
      </c>
    </row>
    <row r="391" spans="1:18" s="3023" customFormat="1">
      <c r="A391" s="3017" t="str">
        <f>'16.PM Annex'!A14</f>
        <v>16.2.1</v>
      </c>
      <c r="B391" s="3017" t="str">
        <f>'16.PM Annex'!B14</f>
        <v>A.7.1</v>
      </c>
      <c r="C391" s="3017" t="str">
        <f>'16.PM Annex'!C14</f>
        <v>HR Support for PC&amp;PNDT Cell</v>
      </c>
      <c r="D391" s="3017"/>
      <c r="E391" s="3017"/>
      <c r="F391" s="3019">
        <f>'16.PM Annex'!E14</f>
        <v>0</v>
      </c>
      <c r="G391" s="3019">
        <f>'16.PM Annex'!F14</f>
        <v>0</v>
      </c>
      <c r="H391" s="3019">
        <f>'16.PM Annex'!G14</f>
        <v>0</v>
      </c>
      <c r="I391" s="3019">
        <f>'16.PM Annex'!H14</f>
        <v>0</v>
      </c>
      <c r="J391" s="3019">
        <f>'16.PM Annex'!I14</f>
        <v>0</v>
      </c>
      <c r="K391" s="3019">
        <f>'16.PM Annex'!J14</f>
        <v>0</v>
      </c>
      <c r="L391" s="3020">
        <f>'16.PM Annex'!K14</f>
        <v>0</v>
      </c>
      <c r="M391" s="3019">
        <f>'16.PM Annex'!L14</f>
        <v>0</v>
      </c>
      <c r="N391" s="3019">
        <f>'16.PM Annex'!M14</f>
        <v>0</v>
      </c>
      <c r="O391" s="3020">
        <f>'16.PM Annex'!N14</f>
        <v>0</v>
      </c>
      <c r="P391" s="3047">
        <f>'16.PM Annex'!O14</f>
        <v>0</v>
      </c>
      <c r="Q391" s="3021"/>
      <c r="R391" s="3022"/>
    </row>
    <row r="392" spans="1:18" s="3023" customFormat="1">
      <c r="A392" s="3017" t="str">
        <f>'16.PM Annex'!A15</f>
        <v>16.2.2</v>
      </c>
      <c r="B392" s="3017" t="str">
        <f>'16.PM Annex'!B15</f>
        <v>A.7.3</v>
      </c>
      <c r="C392" s="3017" t="str">
        <f>'16.PM Annex'!C15</f>
        <v>Mobility support</v>
      </c>
      <c r="D392" s="3017"/>
      <c r="E392" s="3017"/>
      <c r="F392" s="3019">
        <f>'16.PM Annex'!E15</f>
        <v>0</v>
      </c>
      <c r="G392" s="3019">
        <f>'16.PM Annex'!F15</f>
        <v>0</v>
      </c>
      <c r="H392" s="3019">
        <f>'16.PM Annex'!G15</f>
        <v>0</v>
      </c>
      <c r="I392" s="3019">
        <f>'16.PM Annex'!H15</f>
        <v>0</v>
      </c>
      <c r="J392" s="3019">
        <f>'16.PM Annex'!I15</f>
        <v>0</v>
      </c>
      <c r="K392" s="3019">
        <f>'16.PM Annex'!J15</f>
        <v>0</v>
      </c>
      <c r="L392" s="3020">
        <f>'16.PM Annex'!K15</f>
        <v>0</v>
      </c>
      <c r="M392" s="3019">
        <f>'16.PM Annex'!L15</f>
        <v>0</v>
      </c>
      <c r="N392" s="3019">
        <f>'16.PM Annex'!M15</f>
        <v>0</v>
      </c>
      <c r="O392" s="3020">
        <f>'16.PM Annex'!N15</f>
        <v>0</v>
      </c>
      <c r="P392" s="3047">
        <f>'16.PM Annex'!O15</f>
        <v>0</v>
      </c>
      <c r="Q392" s="3021"/>
      <c r="R392" s="3022"/>
    </row>
    <row r="393" spans="1:18" s="3023" customFormat="1" ht="60">
      <c r="A393" s="3017" t="str">
        <f>'16.PM Annex'!A16</f>
        <v>16.2.3</v>
      </c>
      <c r="B393" s="3017" t="str">
        <f>'16.PM Annex'!B16</f>
        <v>A.7.2</v>
      </c>
      <c r="C393" s="3017" t="str">
        <f>'16.PM Annex'!C16</f>
        <v>Others (decoy operations, Mapping or surveys of ultrasound  machines etc )</v>
      </c>
      <c r="D393" s="3017"/>
      <c r="E393" s="3017"/>
      <c r="F393" s="3019">
        <f>'16.PM Annex'!E16</f>
        <v>0</v>
      </c>
      <c r="G393" s="3019">
        <f>'16.PM Annex'!F16</f>
        <v>0</v>
      </c>
      <c r="H393" s="3019">
        <f>'16.PM Annex'!G16</f>
        <v>0</v>
      </c>
      <c r="I393" s="3019">
        <f>'16.PM Annex'!H16</f>
        <v>0</v>
      </c>
      <c r="J393" s="3019">
        <f>'16.PM Annex'!I16</f>
        <v>0</v>
      </c>
      <c r="K393" s="3019">
        <f>'16.PM Annex'!J16</f>
        <v>0</v>
      </c>
      <c r="L393" s="3020">
        <f>'16.PM Annex'!K16</f>
        <v>2140000</v>
      </c>
      <c r="M393" s="3019">
        <f>'16.PM Annex'!L16</f>
        <v>21.4</v>
      </c>
      <c r="N393" s="3019">
        <f>'16.PM Annex'!M16</f>
        <v>41</v>
      </c>
      <c r="O393" s="3020">
        <f>'16.PM Annex'!N16</f>
        <v>877.4</v>
      </c>
      <c r="P393" s="3047" t="str">
        <f>'16.PM Annex'!O16</f>
        <v>1)State level 1 Gender Sensitization Workshop@ 3,00,000 (2)District level 1 Gender Sentization Workshop @Rs. 30,000 x 38x1 batches =1,140,000 (3)Rs.5 lakhs for Capacity Building of Appropriate Authorities &amp; Nodal Officer.(4)Rs.2 lakh for sensitization of judiciary and other line departments.</v>
      </c>
      <c r="Q393" s="3021"/>
      <c r="R393" s="3022"/>
    </row>
    <row r="394" spans="1:18" s="3023" customFormat="1">
      <c r="A394" s="3053" t="s">
        <v>4665</v>
      </c>
      <c r="B394" s="3053"/>
      <c r="C394" s="3054" t="s">
        <v>4065</v>
      </c>
      <c r="D394" s="3055"/>
      <c r="E394" s="3055"/>
      <c r="F394" s="3055"/>
      <c r="G394" s="3055"/>
      <c r="H394" s="3056"/>
      <c r="I394" s="3055"/>
      <c r="J394" s="3056"/>
      <c r="K394" s="3055"/>
      <c r="L394" s="3056"/>
      <c r="M394" s="3056"/>
      <c r="N394" s="3057"/>
      <c r="O394" s="3058">
        <f>O395+O397+O404+O407+O409+O414+O417+O420+O423+O425</f>
        <v>19397.230112919999</v>
      </c>
      <c r="P394" s="3065"/>
      <c r="Q394" s="3060"/>
      <c r="R394" s="3061">
        <f>R395+R397+R404+R407+R409+R414+R417+R420+R423+R425</f>
        <v>0</v>
      </c>
    </row>
    <row r="395" spans="1:18" s="3023" customFormat="1">
      <c r="A395" s="3030">
        <f>'1.SD Facility Based Annex'!A7</f>
        <v>1</v>
      </c>
      <c r="B395" s="3030"/>
      <c r="C395" s="3031" t="str">
        <f>'1.SD Facility Based Annex'!C7</f>
        <v>Service Delivery - Facility Based</v>
      </c>
      <c r="D395" s="3032"/>
      <c r="E395" s="3032"/>
      <c r="F395" s="3032"/>
      <c r="G395" s="3032"/>
      <c r="H395" s="3032"/>
      <c r="I395" s="3032"/>
      <c r="J395" s="3032"/>
      <c r="K395" s="3032"/>
      <c r="L395" s="3033"/>
      <c r="M395" s="3032"/>
      <c r="N395" s="3032"/>
      <c r="O395" s="3033">
        <f>O396</f>
        <v>6.84</v>
      </c>
      <c r="P395" s="3066"/>
      <c r="Q395" s="3034"/>
      <c r="R395" s="3035">
        <f>R396</f>
        <v>0</v>
      </c>
    </row>
    <row r="396" spans="1:18" s="3023" customFormat="1" ht="90">
      <c r="A396" s="3017" t="str">
        <f>'1.SD Facility Based Annex'!A112</f>
        <v>1.3.2.4</v>
      </c>
      <c r="B396" s="3017" t="str">
        <f>'1.SD Facility Based Annex'!B112</f>
        <v>C.1.m</v>
      </c>
      <c r="C396" s="3018" t="str">
        <f>'1.SD Facility Based Annex'!C112</f>
        <v>Consumables for computer including provision for internet access  for strengthening RI</v>
      </c>
      <c r="D396" s="3019" t="str">
        <f>'1.SD Facility Based Annex'!D112</f>
        <v>RCH</v>
      </c>
      <c r="E396" s="3019" t="str">
        <f>'1.SD Facility Based Annex'!E112</f>
        <v>RI</v>
      </c>
      <c r="F396" s="3019">
        <f>'1.SD Facility Based Annex'!F112</f>
        <v>0</v>
      </c>
      <c r="G396" s="3019">
        <f>'1.SD Facility Based Annex'!G112</f>
        <v>0</v>
      </c>
      <c r="H396" s="3019">
        <f>'1.SD Facility Based Annex'!H112</f>
        <v>0</v>
      </c>
      <c r="I396" s="3019">
        <f>'1.SD Facility Based Annex'!I112</f>
        <v>0</v>
      </c>
      <c r="J396" s="3019">
        <f>'1.SD Facility Based Annex'!J112</f>
        <v>0</v>
      </c>
      <c r="K396" s="3019" t="str">
        <f>'1.SD Facility Based Annex'!K112</f>
        <v>Consumbles for R.I. D.O.</v>
      </c>
      <c r="L396" s="3020">
        <f>'1.SD Facility Based Annex'!L112</f>
        <v>1500</v>
      </c>
      <c r="M396" s="3019">
        <f>'1.SD Facility Based Annex'!M112</f>
        <v>1.4999999999999999E-2</v>
      </c>
      <c r="N396" s="3019">
        <f>'1.SD Facility Based Annex'!N112</f>
        <v>456</v>
      </c>
      <c r="O396" s="3020">
        <f>'1.SD Facility Based Annex'!O112</f>
        <v>6.84</v>
      </c>
      <c r="P396" s="3047" t="str">
        <f>'1.SD Facility Based Annex'!P112</f>
        <v>Continued….
Consumables for computer, stationary etc including provision for internet access  for DIO Office @ Rs. 1500 per district per month.
* Note: In the current FY, an amount of Rs 1000/- per month per district has been approved but practically it is impossible to run the day to day activity of DIO office without above amount.</v>
      </c>
      <c r="Q396" s="3021"/>
      <c r="R396" s="3022"/>
    </row>
    <row r="397" spans="1:18" s="3023" customFormat="1">
      <c r="A397" s="3030">
        <f>'2.SD Community Based Annex'!A7</f>
        <v>2</v>
      </c>
      <c r="B397" s="3030"/>
      <c r="C397" s="3031" t="str">
        <f>'2.SD Community Based Annex'!C7</f>
        <v>Service Delivery - Community Based</v>
      </c>
      <c r="D397" s="3032"/>
      <c r="E397" s="3032"/>
      <c r="F397" s="3032"/>
      <c r="G397" s="3032"/>
      <c r="H397" s="3033"/>
      <c r="I397" s="3032"/>
      <c r="J397" s="3033"/>
      <c r="K397" s="3032"/>
      <c r="L397" s="3033"/>
      <c r="M397" s="3033"/>
      <c r="N397" s="3076"/>
      <c r="O397" s="3033">
        <f>SUM(O398:O403)</f>
        <v>6076.2779232000003</v>
      </c>
      <c r="P397" s="3077"/>
      <c r="Q397" s="3036"/>
      <c r="R397" s="3035">
        <f>SUM(R398:R403)</f>
        <v>0</v>
      </c>
    </row>
    <row r="398" spans="1:18" s="3023" customFormat="1">
      <c r="A398" s="3017" t="str">
        <f>'2.SD Community Based Annex'!A25</f>
        <v>2.2.6</v>
      </c>
      <c r="B398" s="3017" t="str">
        <f>'2.SD Community Based Annex'!B25</f>
        <v>C.1.r</v>
      </c>
      <c r="C398" s="3018" t="str">
        <f>'2.SD Community Based Annex'!C25</f>
        <v xml:space="preserve">Teeka Express Operational Cost </v>
      </c>
      <c r="D398" s="3019" t="str">
        <f>'2.SD Community Based Annex'!D25</f>
        <v>RCH</v>
      </c>
      <c r="E398" s="3019" t="str">
        <f>'2.SD Community Based Annex'!E25</f>
        <v>RI</v>
      </c>
      <c r="F398" s="3019">
        <f>'2.SD Community Based Annex'!F25</f>
        <v>0</v>
      </c>
      <c r="G398" s="3019">
        <f>'2.SD Community Based Annex'!G25</f>
        <v>0</v>
      </c>
      <c r="H398" s="3019">
        <f>'2.SD Community Based Annex'!H25</f>
        <v>0</v>
      </c>
      <c r="I398" s="3019">
        <f>'2.SD Community Based Annex'!I25</f>
        <v>0</v>
      </c>
      <c r="J398" s="3019">
        <f>'2.SD Community Based Annex'!J25</f>
        <v>0</v>
      </c>
      <c r="K398" s="3019">
        <f>'2.SD Community Based Annex'!K25</f>
        <v>0</v>
      </c>
      <c r="L398" s="3020">
        <f>'2.SD Community Based Annex'!L25</f>
        <v>0</v>
      </c>
      <c r="M398" s="3019">
        <f>'2.SD Community Based Annex'!M25</f>
        <v>0</v>
      </c>
      <c r="N398" s="3019">
        <f>'2.SD Community Based Annex'!N25</f>
        <v>0</v>
      </c>
      <c r="O398" s="3020">
        <f>'2.SD Community Based Annex'!O25</f>
        <v>0</v>
      </c>
      <c r="P398" s="3047">
        <f>'2.SD Community Based Annex'!P25</f>
        <v>0</v>
      </c>
      <c r="Q398" s="3021"/>
      <c r="R398" s="3028"/>
    </row>
    <row r="399" spans="1:18" s="3023" customFormat="1" ht="45">
      <c r="A399" s="3017" t="str">
        <f>'2.SD Community Based Annex'!A26</f>
        <v>2.2.7</v>
      </c>
      <c r="B399" s="3017" t="str">
        <f>'2.SD Community Based Annex'!B26</f>
        <v>C.1.t</v>
      </c>
      <c r="C399" s="3018" t="str">
        <f>'2.SD Community Based Annex'!C26</f>
        <v xml:space="preserve">JE Campaign Operational Cost </v>
      </c>
      <c r="D399" s="3019" t="str">
        <f>'2.SD Community Based Annex'!D26</f>
        <v>RCH</v>
      </c>
      <c r="E399" s="3019" t="str">
        <f>'2.SD Community Based Annex'!E26</f>
        <v>RI</v>
      </c>
      <c r="F399" s="3019">
        <f>'2.SD Community Based Annex'!F26</f>
        <v>0</v>
      </c>
      <c r="G399" s="3019">
        <f>'2.SD Community Based Annex'!G26</f>
        <v>0</v>
      </c>
      <c r="H399" s="3019">
        <f>'2.SD Community Based Annex'!H26</f>
        <v>0</v>
      </c>
      <c r="I399" s="3019">
        <f>'2.SD Community Based Annex'!I26</f>
        <v>0</v>
      </c>
      <c r="J399" s="3019">
        <f>'2.SD Community Based Annex'!J26</f>
        <v>0</v>
      </c>
      <c r="K399" s="3019" t="str">
        <f>'2.SD Community Based Annex'!K26</f>
        <v>J.E. Campaign for 3 districts</v>
      </c>
      <c r="L399" s="3020">
        <f>'2.SD Community Based Annex'!L26</f>
        <v>9.1199999999999992</v>
      </c>
      <c r="M399" s="3019">
        <f>'2.SD Community Based Annex'!M26</f>
        <v>9.1199999999999994E-5</v>
      </c>
      <c r="N399" s="3019">
        <f>'2.SD Community Based Annex'!N26</f>
        <v>2703486</v>
      </c>
      <c r="O399" s="3020">
        <f>'2.SD Community Based Annex'!O26</f>
        <v>246.55792319999998</v>
      </c>
      <c r="P399" s="3047" t="str">
        <f>'2.SD Community Based Annex'!P26</f>
        <v>J.E. Campaign for rest 3 districts of Bihar :
Begusarai, Kaimur &amp; Khagaria
we require : 24651302/- to successfully conduct the campaign including IEC printing etc.</v>
      </c>
      <c r="Q399" s="3021"/>
      <c r="R399" s="3028"/>
    </row>
    <row r="400" spans="1:18" s="3023" customFormat="1" ht="90">
      <c r="A400" s="3017" t="str">
        <f>'2.SD Community Based Annex'!A27</f>
        <v>2.2.8</v>
      </c>
      <c r="B400" s="3017" t="str">
        <f>'2.SD Community Based Annex'!B27</f>
        <v>C.6</v>
      </c>
      <c r="C400" s="3018" t="str">
        <f>'2.SD Community Based Annex'!C27</f>
        <v>Pulse Polio operating costs</v>
      </c>
      <c r="D400" s="3019" t="str">
        <f>'2.SD Community Based Annex'!D27</f>
        <v>RCH</v>
      </c>
      <c r="E400" s="3019" t="str">
        <f>'2.SD Community Based Annex'!E27</f>
        <v>RI</v>
      </c>
      <c r="F400" s="3019">
        <f>'2.SD Community Based Annex'!F27</f>
        <v>0</v>
      </c>
      <c r="G400" s="3019">
        <f>'2.SD Community Based Annex'!G27</f>
        <v>0</v>
      </c>
      <c r="H400" s="3019">
        <f>'2.SD Community Based Annex'!H27</f>
        <v>0</v>
      </c>
      <c r="I400" s="3019">
        <f>'2.SD Community Based Annex'!I27</f>
        <v>0</v>
      </c>
      <c r="J400" s="3019">
        <f>'2.SD Community Based Annex'!J27</f>
        <v>0</v>
      </c>
      <c r="K400" s="3019" t="str">
        <f>'2.SD Community Based Annex'!K27</f>
        <v>5 PP rounds i.e. 2 NIDs &amp; 2 SNIDs + Special activities of Shrawani Mela, Chhath, Sonpur Mela, Holi etc.</v>
      </c>
      <c r="L400" s="3020">
        <f>'2.SD Community Based Annex'!L27</f>
        <v>112500000</v>
      </c>
      <c r="M400" s="3019">
        <f>'2.SD Community Based Annex'!M27</f>
        <v>1125</v>
      </c>
      <c r="N400" s="3019">
        <f>'2.SD Community Based Annex'!N27</f>
        <v>5</v>
      </c>
      <c r="O400" s="3020">
        <f>'2.SD Community Based Annex'!O27</f>
        <v>5625</v>
      </c>
      <c r="P400" s="3047" t="str">
        <f>'2.SD Community Based Annex'!P27</f>
        <v xml:space="preserve">Total proposed amount includes5 (2 NIDs + 2 SNIDs) rounds+ 1Special activity during festival viz. Chhath, Dipawali, Holi, various melas etc. + procurement of Marker pen
Amount proposed for the FY 21-22 is @ 1125/- lakhs per round for Approx 5 rounds Rs. 5625/- lakhs.
</v>
      </c>
      <c r="Q400" s="3021"/>
      <c r="R400" s="3028"/>
    </row>
    <row r="401" spans="1:18" s="3023" customFormat="1">
      <c r="A401" s="3017" t="str">
        <f>'2.SD Community Based Annex'!A28</f>
        <v>2.2.9</v>
      </c>
      <c r="B401" s="3017" t="str">
        <f>'2.SD Community Based Annex'!B28</f>
        <v>C.1.s</v>
      </c>
      <c r="C401" s="3018" t="str">
        <f>'2.SD Community Based Annex'!C28</f>
        <v>Measles Rubella SIA operational Cost</v>
      </c>
      <c r="D401" s="3019" t="str">
        <f>'2.SD Community Based Annex'!D28</f>
        <v>RCH</v>
      </c>
      <c r="E401" s="3019" t="str">
        <f>'2.SD Community Based Annex'!E28</f>
        <v>RI</v>
      </c>
      <c r="F401" s="3019">
        <f>'2.SD Community Based Annex'!F28</f>
        <v>0</v>
      </c>
      <c r="G401" s="3019">
        <f>'2.SD Community Based Annex'!G28</f>
        <v>0</v>
      </c>
      <c r="H401" s="3019">
        <f>'2.SD Community Based Annex'!H28</f>
        <v>0</v>
      </c>
      <c r="I401" s="3019">
        <f>'2.SD Community Based Annex'!I28</f>
        <v>0</v>
      </c>
      <c r="J401" s="3019">
        <f>'2.SD Community Based Annex'!J28</f>
        <v>0</v>
      </c>
      <c r="K401" s="3019">
        <f>'2.SD Community Based Annex'!K28</f>
        <v>0</v>
      </c>
      <c r="L401" s="3020">
        <f>'2.SD Community Based Annex'!L28</f>
        <v>0</v>
      </c>
      <c r="M401" s="3019">
        <f>'2.SD Community Based Annex'!M28</f>
        <v>0</v>
      </c>
      <c r="N401" s="3019">
        <f>'2.SD Community Based Annex'!N28</f>
        <v>0</v>
      </c>
      <c r="O401" s="3020">
        <f>'2.SD Community Based Annex'!O28</f>
        <v>0</v>
      </c>
      <c r="P401" s="3047">
        <f>'2.SD Community Based Annex'!P28</f>
        <v>0</v>
      </c>
      <c r="Q401" s="3021"/>
      <c r="R401" s="3028"/>
    </row>
    <row r="402" spans="1:18" s="3023" customFormat="1" ht="60">
      <c r="A402" s="3017" t="str">
        <f>'2.SD Community Based Annex'!A43</f>
        <v>2.3.1.9</v>
      </c>
      <c r="B402" s="3017" t="str">
        <f>'2.SD Community Based Annex'!B43</f>
        <v>C.1.f</v>
      </c>
      <c r="C402" s="3018" t="str">
        <f>'2.SD Community Based Annex'!C43</f>
        <v>Focus on slum &amp; underserved areas in urban areas/alternative vaccinator for slums (only where regular ANM under NUHM not engaged)</v>
      </c>
      <c r="D402" s="3019" t="str">
        <f>'2.SD Community Based Annex'!D43</f>
        <v>RCH</v>
      </c>
      <c r="E402" s="3019" t="str">
        <f>'2.SD Community Based Annex'!E43</f>
        <v>RI</v>
      </c>
      <c r="F402" s="3019">
        <f>'2.SD Community Based Annex'!F43</f>
        <v>0</v>
      </c>
      <c r="G402" s="3019">
        <f>'2.SD Community Based Annex'!G43</f>
        <v>0</v>
      </c>
      <c r="H402" s="3019">
        <f>'2.SD Community Based Annex'!H43</f>
        <v>0</v>
      </c>
      <c r="I402" s="3019">
        <f>'2.SD Community Based Annex'!I43</f>
        <v>0</v>
      </c>
      <c r="J402" s="3019">
        <f>'2.SD Community Based Annex'!J43</f>
        <v>0</v>
      </c>
      <c r="K402" s="3019" t="str">
        <f>'2.SD Community Based Annex'!K43</f>
        <v>No. of Sessions conducted by Hired Vaccinator</v>
      </c>
      <c r="L402" s="3020">
        <f>'2.SD Community Based Annex'!L43</f>
        <v>450</v>
      </c>
      <c r="M402" s="3019">
        <f>'2.SD Community Based Annex'!M43</f>
        <v>4.4999999999999997E-3</v>
      </c>
      <c r="N402" s="3019">
        <f>'2.SD Community Based Annex'!N43</f>
        <v>36000</v>
      </c>
      <c r="O402" s="3020">
        <f>'2.SD Community Based Annex'!O43</f>
        <v>162</v>
      </c>
      <c r="P402" s="3047" t="str">
        <f>'2.SD Community Based Annex'!P43</f>
        <v>Continued Activity …...
Hiring of alternate vaccinator at 72000 session per year for 6 months @ Rs. 450 / session / vaccinator/ for Urban &amp; others Areas where Hired vaccinator required.
=450*36000 = 162/- lakhs</v>
      </c>
      <c r="Q402" s="3021"/>
      <c r="R402" s="3028"/>
    </row>
    <row r="403" spans="1:18" s="3023" customFormat="1" ht="165">
      <c r="A403" s="3017" t="str">
        <f>'2.SD Community Based Annex'!A44</f>
        <v>2.3.1.10</v>
      </c>
      <c r="B403" s="3017">
        <f>'2.SD Community Based Annex'!B44</f>
        <v>0</v>
      </c>
      <c r="C403" s="3018" t="str">
        <f>'2.SD Community Based Annex'!C44</f>
        <v>Mobility support for mobile health team/  TA/DA to vaccinators for coverage in vacant sub-centres</v>
      </c>
      <c r="D403" s="3019" t="str">
        <f>'2.SD Community Based Annex'!D44</f>
        <v>RCH</v>
      </c>
      <c r="E403" s="3019" t="str">
        <f>'2.SD Community Based Annex'!E44</f>
        <v>RI</v>
      </c>
      <c r="F403" s="3019">
        <f>'2.SD Community Based Annex'!F44</f>
        <v>0</v>
      </c>
      <c r="G403" s="3019">
        <f>'2.SD Community Based Annex'!G44</f>
        <v>0</v>
      </c>
      <c r="H403" s="3019">
        <f>'2.SD Community Based Annex'!H44</f>
        <v>0</v>
      </c>
      <c r="I403" s="3019">
        <f>'2.SD Community Based Annex'!I44</f>
        <v>0</v>
      </c>
      <c r="J403" s="3019">
        <f>'2.SD Community Based Annex'!J44</f>
        <v>0</v>
      </c>
      <c r="K403" s="3019" t="str">
        <f>'2.SD Community Based Annex'!K44</f>
        <v>Per PHC Mobile unit / TA-DA for vaccinator</v>
      </c>
      <c r="L403" s="3020">
        <f>'2.SD Community Based Annex'!L44</f>
        <v>1000</v>
      </c>
      <c r="M403" s="3019">
        <f>'2.SD Community Based Annex'!M44</f>
        <v>0.01</v>
      </c>
      <c r="N403" s="3019">
        <f>'2.SD Community Based Annex'!N44</f>
        <v>4272</v>
      </c>
      <c r="O403" s="3020">
        <f>'2.SD Community Based Annex'!O44</f>
        <v>42.72</v>
      </c>
      <c r="P403" s="3047" t="str">
        <f>'2.SD Community Based Annex'!P44</f>
        <v xml:space="preserve">Continued Activity ……
A. 
In IMI/ special ronuds rounds districts required Additional fund for bricklinks/Nomads etc areas through Mobile team by hiring vehicles. We are proposing Rs.1000/- per mobile team per PHC for atleast 2 days activity per round. This fund is also being used for TA/DA to vaccinator as per requirement for the same purpose. 
Fund calculation :-
@1000/- X 8 days X 534 PHCs = 4272000/-
In current F.Y. 2020-21 fund has been allotted for Rs.500/- for Mobility support to mobile team for hiring of boats/ other vehicle &amp; TA/DA to ANM/ @ Rs. 500 
</v>
      </c>
      <c r="Q403" s="3021"/>
      <c r="R403" s="3028"/>
    </row>
    <row r="404" spans="1:18" s="3023" customFormat="1">
      <c r="A404" s="3030">
        <f>'3.Community Intervention Annexn'!A7</f>
        <v>3</v>
      </c>
      <c r="B404" s="3030"/>
      <c r="C404" s="3031" t="str">
        <f>'3.Community Intervention Annexn'!C7</f>
        <v>Community Interventions</v>
      </c>
      <c r="D404" s="3032"/>
      <c r="E404" s="3032"/>
      <c r="F404" s="3032"/>
      <c r="G404" s="3032"/>
      <c r="H404" s="3033"/>
      <c r="I404" s="3032"/>
      <c r="J404" s="3033"/>
      <c r="K404" s="3032"/>
      <c r="L404" s="3033"/>
      <c r="M404" s="3033"/>
      <c r="N404" s="3039"/>
      <c r="O404" s="3040">
        <f>SUM(O405:O406)</f>
        <v>8949.6311999999998</v>
      </c>
      <c r="P404" s="3064"/>
      <c r="Q404" s="3042"/>
      <c r="R404" s="3043">
        <f>SUM(R405:R406)</f>
        <v>0</v>
      </c>
    </row>
    <row r="405" spans="1:18" s="3023" customFormat="1" ht="180">
      <c r="A405" s="3017" t="str">
        <f>'3.Community Intervention Annexn'!A13</f>
        <v>3.1.1.1.3</v>
      </c>
      <c r="B405" s="3017" t="str">
        <f>'3-A. CI Sub-Annex'!C21</f>
        <v>C.5</v>
      </c>
      <c r="C405" s="3018" t="str">
        <f>'3-A. CI Sub-Annex'!D21</f>
        <v>ASHA Incentive under Immunization</v>
      </c>
      <c r="D405" s="3019" t="str">
        <f>'3-A. CI Sub-Annex'!E21</f>
        <v>RCH</v>
      </c>
      <c r="E405" s="3019" t="str">
        <f>'3-A. CI Sub-Annex'!F21</f>
        <v>RI/NHSRC-CP</v>
      </c>
      <c r="F405" s="3019">
        <f>'3-A. CI Sub-Annex'!G21</f>
        <v>0</v>
      </c>
      <c r="G405" s="3019">
        <f>'3-A. CI Sub-Annex'!H21</f>
        <v>0</v>
      </c>
      <c r="H405" s="3019">
        <f>'3-A. CI Sub-Annex'!I21</f>
        <v>7402.24</v>
      </c>
      <c r="I405" s="3019">
        <f>'3-A. CI Sub-Annex'!J21</f>
        <v>0</v>
      </c>
      <c r="J405" s="3019">
        <f>'3-A. CI Sub-Annex'!K21</f>
        <v>0</v>
      </c>
      <c r="K405" s="3019" t="str">
        <f>'3-A. CI Sub-Annex'!L21</f>
        <v>No. of Benefeciaries</v>
      </c>
      <c r="L405" s="3020">
        <f>'3-A. CI Sub-Annex'!M21</f>
        <v>304.34160000000003</v>
      </c>
      <c r="M405" s="3019">
        <f>'3-A. CI Sub-Annex'!N21</f>
        <v>3.0434160000000002E-3</v>
      </c>
      <c r="N405" s="3019">
        <f>'3-A. CI Sub-Annex'!O21</f>
        <v>2700000</v>
      </c>
      <c r="O405" s="3020">
        <f>'3-A. CI Sub-Annex'!P21</f>
        <v>8217.2232000000004</v>
      </c>
      <c r="P405" s="3047" t="str">
        <f>'3-A. CI Sub-Annex'!Q21</f>
        <v>ontinued Activity:
IIncentive under Routine Immunization
1. Full immunization @ Rs. 100 per beneficiary, for 3000000 beneficiary 
2.Rs. 75/- for complete Immunization,for 2560000 beneficiary  
3.  2nd DPT booster  @ Rs. 50 per beneficiary, for 2200000 beneficiary 
4. Due list preparation @ Rs. 300 per session  for paid mobilizer/link worker where Asha do not work.Total Session without ASHA: 30517
5. Yearly Survey &amp; Monthly updation @ Rs. 300 per session  for paid mobilizer/link worker where Asha do not work. Total Session without ASHA: 30517 i.e. (3000000 X 100)+(2560000X75)+(2200000X50)+(30517X12X300)+(30517X12X300)=821722400/-
Kindly approved Rs. 82.17 Cr., However it is subjected to actual expenditure .state will propose more in supplimentry if needed.</v>
      </c>
      <c r="Q405" s="3021"/>
      <c r="R405" s="3022"/>
    </row>
    <row r="406" spans="1:18" s="3023" customFormat="1" ht="120">
      <c r="A406" s="3024"/>
      <c r="B406" s="3017" t="str">
        <f>'3-A. CI Sub-Annex'!C22</f>
        <v>C.1.g</v>
      </c>
      <c r="C406" s="3018" t="str">
        <f>'3-A. CI Sub-Annex'!D22</f>
        <v>Mobilization of children through ASHA or other mobilizers</v>
      </c>
      <c r="D406" s="3019" t="str">
        <f>'3-A. CI Sub-Annex'!E22</f>
        <v>RCH</v>
      </c>
      <c r="E406" s="3019" t="str">
        <f>'3-A. CI Sub-Annex'!F22</f>
        <v>RI/NHSRC-CP</v>
      </c>
      <c r="F406" s="3019">
        <f>'3-A. CI Sub-Annex'!G22</f>
        <v>0</v>
      </c>
      <c r="G406" s="3019">
        <f>'3-A. CI Sub-Annex'!H22</f>
        <v>0</v>
      </c>
      <c r="H406" s="3019">
        <f>'3-A. CI Sub-Annex'!I22</f>
        <v>551.16999999999996</v>
      </c>
      <c r="I406" s="3019">
        <f>'3-A. CI Sub-Annex'!J22</f>
        <v>0</v>
      </c>
      <c r="J406" s="3019">
        <f>'3-A. CI Sub-Annex'!K22</f>
        <v>0</v>
      </c>
      <c r="K406" s="3019" t="str">
        <f>'3-A. CI Sub-Annex'!L22</f>
        <v>No. of Session sites where ASHAs are not available including Urban Areas</v>
      </c>
      <c r="L406" s="3020">
        <f>'3-A. CI Sub-Annex'!M22</f>
        <v>200</v>
      </c>
      <c r="M406" s="3019">
        <f>'3-A. CI Sub-Annex'!N22</f>
        <v>2E-3</v>
      </c>
      <c r="N406" s="3019">
        <f>'3-A. CI Sub-Annex'!O22</f>
        <v>366204</v>
      </c>
      <c r="O406" s="3020">
        <f>'3-A. CI Sub-Annex'!P22</f>
        <v>732.40800000000002</v>
      </c>
      <c r="P406" s="3047" t="str">
        <f>'3-A. CI Sub-Annex'!Q22</f>
        <v>Continued…
 Fund has been requested for those sessions where ASHA's are not available including Urban Areas. Mobilization for other Areas where ASHAs are available has already been allotted in FMR code: 3.1.1.6.1 in previous F.Y.2020-21. To avoid duplicacy of the fund we request fund for those areas where ASHA not available.
Total no. of 30517 sites per month where mobilization has been done by Link Worker. Thus fund required :
30517 X 12 X 200/- = 73240800/-</v>
      </c>
      <c r="Q406" s="3021"/>
      <c r="R406" s="3022"/>
    </row>
    <row r="407" spans="1:18" s="3023" customFormat="1">
      <c r="A407" s="3030">
        <f>'5.Infrastructure Annex'!A7</f>
        <v>5</v>
      </c>
      <c r="B407" s="3030"/>
      <c r="C407" s="3031" t="str">
        <f>'5.Infrastructure Annex'!C7</f>
        <v>Infrastructure</v>
      </c>
      <c r="D407" s="3032"/>
      <c r="E407" s="3032"/>
      <c r="F407" s="3032"/>
      <c r="G407" s="3032"/>
      <c r="H407" s="3033"/>
      <c r="I407" s="3032"/>
      <c r="J407" s="3033"/>
      <c r="K407" s="3032"/>
      <c r="L407" s="3033"/>
      <c r="M407" s="3033"/>
      <c r="N407" s="3039"/>
      <c r="O407" s="3040">
        <f>O408</f>
        <v>0</v>
      </c>
      <c r="P407" s="3064"/>
      <c r="Q407" s="3042"/>
      <c r="R407" s="3043">
        <f>R408</f>
        <v>0</v>
      </c>
    </row>
    <row r="408" spans="1:18" s="3023" customFormat="1">
      <c r="A408" s="3017" t="str">
        <f>'5.Infrastructure Annex'!A89</f>
        <v>5.3.9</v>
      </c>
      <c r="B408" s="3017" t="str">
        <f>'5.Infrastructure Annex'!B89</f>
        <v>C.1.p</v>
      </c>
      <c r="C408" s="3018" t="str">
        <f>'5.Infrastructure Annex'!C89</f>
        <v>Safety Pits</v>
      </c>
      <c r="D408" s="3019" t="str">
        <f>'5.Infrastructure Annex'!D89</f>
        <v>RCH</v>
      </c>
      <c r="E408" s="3019" t="str">
        <f>'5.Infrastructure Annex'!E89</f>
        <v>RI</v>
      </c>
      <c r="F408" s="3019">
        <f>'5.Infrastructure Annex'!F89</f>
        <v>0</v>
      </c>
      <c r="G408" s="3019">
        <f>'5.Infrastructure Annex'!G89</f>
        <v>0</v>
      </c>
      <c r="H408" s="3019">
        <f>'5.Infrastructure Annex'!H89</f>
        <v>0</v>
      </c>
      <c r="I408" s="3019">
        <f>'5.Infrastructure Annex'!I89</f>
        <v>0</v>
      </c>
      <c r="J408" s="3019">
        <f>'5.Infrastructure Annex'!J89</f>
        <v>0</v>
      </c>
      <c r="K408" s="3019">
        <f>'5.Infrastructure Annex'!K89</f>
        <v>0</v>
      </c>
      <c r="L408" s="3020">
        <f>'5.Infrastructure Annex'!L89</f>
        <v>0</v>
      </c>
      <c r="M408" s="3019">
        <f>'5.Infrastructure Annex'!M89</f>
        <v>0</v>
      </c>
      <c r="N408" s="3019">
        <f>'5.Infrastructure Annex'!N89</f>
        <v>0</v>
      </c>
      <c r="O408" s="3020">
        <f>'5.Infrastructure Annex'!O89</f>
        <v>0</v>
      </c>
      <c r="P408" s="3047">
        <f>'5.Infrastructure Annex'!P89</f>
        <v>0</v>
      </c>
      <c r="Q408" s="3021"/>
      <c r="R408" s="3022"/>
    </row>
    <row r="409" spans="1:18" s="3023" customFormat="1">
      <c r="A409" s="3030">
        <f>'6.Procurement Annex'!A7</f>
        <v>6</v>
      </c>
      <c r="B409" s="3030"/>
      <c r="C409" s="3031" t="str">
        <f>'6.Procurement Annex'!C7</f>
        <v>Procurement</v>
      </c>
      <c r="D409" s="3032"/>
      <c r="E409" s="3032"/>
      <c r="F409" s="3032"/>
      <c r="G409" s="3032"/>
      <c r="H409" s="3033"/>
      <c r="I409" s="3032"/>
      <c r="J409" s="3033"/>
      <c r="K409" s="3032"/>
      <c r="L409" s="3033"/>
      <c r="M409" s="3033"/>
      <c r="N409" s="3039"/>
      <c r="O409" s="3040">
        <f>SUM(O410:O413)</f>
        <v>200.70083999999997</v>
      </c>
      <c r="P409" s="3064"/>
      <c r="Q409" s="3042"/>
      <c r="R409" s="3043">
        <f>SUM(R410:R413)</f>
        <v>0</v>
      </c>
    </row>
    <row r="410" spans="1:18" s="3023" customFormat="1" ht="75">
      <c r="A410" s="4606" t="str">
        <f>'6.Procurement Annex'!A14</f>
        <v>6.1.1.5</v>
      </c>
      <c r="B410" s="3017" t="str">
        <f>'6-A. Proc. Sub-Annex'!C36</f>
        <v>C.1.o</v>
      </c>
      <c r="C410" s="3018" t="str">
        <f>'6-A. Proc. Sub-Annex'!D36</f>
        <v>Hub Cutter</v>
      </c>
      <c r="D410" s="3019" t="str">
        <f>'6-A. Proc. Sub-Annex'!E36</f>
        <v>RCH</v>
      </c>
      <c r="E410" s="3019" t="str">
        <f>'6-A. Proc. Sub-Annex'!F36</f>
        <v>RI</v>
      </c>
      <c r="F410" s="3019">
        <f>'6-A. Proc. Sub-Annex'!G36</f>
        <v>12422</v>
      </c>
      <c r="G410" s="3019">
        <f>'6-A. Proc. Sub-Annex'!H36</f>
        <v>0</v>
      </c>
      <c r="H410" s="3019">
        <f>'6-A. Proc. Sub-Annex'!I36</f>
        <v>0</v>
      </c>
      <c r="I410" s="3019">
        <f>'6-A. Proc. Sub-Annex'!J36</f>
        <v>0</v>
      </c>
      <c r="J410" s="3019">
        <f>'6-A. Proc. Sub-Annex'!K36</f>
        <v>0</v>
      </c>
      <c r="K410" s="3019" t="str">
        <f>'6-A. Proc. Sub-Annex'!L36</f>
        <v>Hub Cutter for session site</v>
      </c>
      <c r="L410" s="3020">
        <f>'6-A. Proc. Sub-Annex'!M36</f>
        <v>2000</v>
      </c>
      <c r="M410" s="3019">
        <f>'6-A. Proc. Sub-Annex'!N36</f>
        <v>0.02</v>
      </c>
      <c r="N410" s="3019">
        <f>'6-A. Proc. Sub-Annex'!O36</f>
        <v>5000</v>
      </c>
      <c r="O410" s="3020">
        <f>'6-A. Proc. Sub-Annex'!P36</f>
        <v>100</v>
      </c>
      <c r="P410" s="3047" t="str">
        <f>'6-A. Proc. Sub-Annex'!Q36</f>
        <v xml:space="preserve">
For session site Hub Cutter had been suppied before 8 years ago.
Most of sites it became out of service.
This year we proposed Hub Cutter for 5000 pcs @ 2000/-
Fund : requirement: 5000 X 2000= 1,00,00,000/-</v>
      </c>
      <c r="Q410" s="3021"/>
      <c r="R410" s="3022"/>
    </row>
    <row r="411" spans="1:18" s="3023" customFormat="1">
      <c r="A411" s="4606"/>
      <c r="B411" s="3017">
        <f>'6-A. Proc. Sub-Annex'!C37</f>
        <v>0</v>
      </c>
      <c r="C411" s="3018" t="str">
        <f>'6-A. Proc. Sub-Annex'!D37</f>
        <v>Any other equipment (please specify)</v>
      </c>
      <c r="D411" s="3019" t="str">
        <f>'6-A. Proc. Sub-Annex'!E37</f>
        <v>RCH</v>
      </c>
      <c r="E411" s="3019" t="str">
        <f>'6-A. Proc. Sub-Annex'!F37</f>
        <v>RI</v>
      </c>
      <c r="F411" s="3019">
        <f>'6-A. Proc. Sub-Annex'!G37</f>
        <v>0</v>
      </c>
      <c r="G411" s="3019">
        <f>'6-A. Proc. Sub-Annex'!H37</f>
        <v>0</v>
      </c>
      <c r="H411" s="3019">
        <f>'6-A. Proc. Sub-Annex'!I37</f>
        <v>0</v>
      </c>
      <c r="I411" s="3019">
        <f>'6-A. Proc. Sub-Annex'!J37</f>
        <v>0</v>
      </c>
      <c r="J411" s="3019">
        <f>'6-A. Proc. Sub-Annex'!K37</f>
        <v>0</v>
      </c>
      <c r="K411" s="3019">
        <f>'6-A. Proc. Sub-Annex'!L37</f>
        <v>0</v>
      </c>
      <c r="L411" s="3020">
        <f>'6-A. Proc. Sub-Annex'!M37</f>
        <v>0</v>
      </c>
      <c r="M411" s="3019">
        <f>'6-A. Proc. Sub-Annex'!N37</f>
        <v>0</v>
      </c>
      <c r="N411" s="3019">
        <f>'6-A. Proc. Sub-Annex'!O37</f>
        <v>0</v>
      </c>
      <c r="O411" s="3020">
        <f>'6-A. Proc. Sub-Annex'!P37</f>
        <v>0</v>
      </c>
      <c r="P411" s="3047">
        <f>'6-A. Proc. Sub-Annex'!Q37</f>
        <v>0</v>
      </c>
      <c r="Q411" s="3021"/>
      <c r="R411" s="3022"/>
    </row>
    <row r="412" spans="1:18" s="3023" customFormat="1" ht="90">
      <c r="A412" s="4606" t="str">
        <f>'6.Procurement Annex'!A60</f>
        <v>6.2.1.5</v>
      </c>
      <c r="B412" s="3017" t="str">
        <f>'6-A. Proc. Sub-Annex'!C185</f>
        <v>C.1.n</v>
      </c>
      <c r="C412" s="3018" t="str">
        <f>'6-A. Proc. Sub-Annex'!D185</f>
        <v>Red/Black plastic bags etc.</v>
      </c>
      <c r="D412" s="3019" t="str">
        <f>'6-A. Proc. Sub-Annex'!E185</f>
        <v>RCH</v>
      </c>
      <c r="E412" s="3019" t="str">
        <f>'6-A. Proc. Sub-Annex'!F185</f>
        <v>RI</v>
      </c>
      <c r="F412" s="3019">
        <f>'6-A. Proc. Sub-Annex'!G185</f>
        <v>1407384</v>
      </c>
      <c r="G412" s="3019">
        <f>'6-A. Proc. Sub-Annex'!H185</f>
        <v>0</v>
      </c>
      <c r="H412" s="3019">
        <f>'6-A. Proc. Sub-Annex'!I185</f>
        <v>84.44</v>
      </c>
      <c r="I412" s="3019">
        <f>'6-A. Proc. Sub-Annex'!J185</f>
        <v>0</v>
      </c>
      <c r="J412" s="3019">
        <f>'6-A. Proc. Sub-Annex'!K185</f>
        <v>0</v>
      </c>
      <c r="K412" s="3019" t="str">
        <f>'6-A. Proc. Sub-Annex'!L185</f>
        <v>Bags / Marker Pen</v>
      </c>
      <c r="L412" s="3020">
        <f>'6-A. Proc. Sub-Annex'!M185</f>
        <v>7</v>
      </c>
      <c r="M412" s="3019">
        <f>'6-A. Proc. Sub-Annex'!N185</f>
        <v>6.9999999999999994E-5</v>
      </c>
      <c r="N412" s="3019">
        <f>'6-A. Proc. Sub-Annex'!O185</f>
        <v>1410012</v>
      </c>
      <c r="O412" s="3020">
        <f>'6-A. Proc. Sub-Annex'!P185</f>
        <v>98.700839999999985</v>
      </c>
      <c r="P412" s="3047" t="str">
        <f>'6-A. Proc. Sub-Annex'!Q185</f>
        <v xml:space="preserve">Continued .......
Procurement of  bag for waste management for every session every month is required @7/- per site . This amount includes for Bag /Marker Pen for mentioning date details on Opening of Vaccine vials.
Fund required for 117501 sites per month X 7 X 12 = 9870084/- 
</v>
      </c>
      <c r="Q412" s="3021"/>
      <c r="R412" s="3022"/>
    </row>
    <row r="413" spans="1:18" s="3023" customFormat="1" ht="45">
      <c r="A413" s="4606"/>
      <c r="B413" s="3017" t="str">
        <f>'6-A. Proc. Sub-Annex'!C186</f>
        <v>C.1.o</v>
      </c>
      <c r="C413" s="3018" t="str">
        <f>'6-A. Proc. Sub-Annex'!D186</f>
        <v>Bleach/Hypochlorite solution/ Twin bucket</v>
      </c>
      <c r="D413" s="3019" t="str">
        <f>'6-A. Proc. Sub-Annex'!E186</f>
        <v>RCH</v>
      </c>
      <c r="E413" s="3019" t="str">
        <f>'6-A. Proc. Sub-Annex'!F186</f>
        <v>RI</v>
      </c>
      <c r="F413" s="3019">
        <f>'6-A. Proc. Sub-Annex'!G186</f>
        <v>0</v>
      </c>
      <c r="G413" s="3019">
        <f>'6-A. Proc. Sub-Annex'!H186</f>
        <v>0</v>
      </c>
      <c r="H413" s="3019">
        <f>'6-A. Proc. Sub-Annex'!I186</f>
        <v>0</v>
      </c>
      <c r="I413" s="3019">
        <f>'6-A. Proc. Sub-Annex'!J186</f>
        <v>0</v>
      </c>
      <c r="J413" s="3019">
        <f>'6-A. Proc. Sub-Annex'!K186</f>
        <v>0</v>
      </c>
      <c r="K413" s="3019" t="str">
        <f>'6-A. Proc. Sub-Annex'!L186</f>
        <v>For MIC rack , Almirah etc.</v>
      </c>
      <c r="L413" s="3020">
        <f>'6-A. Proc. Sub-Annex'!M186</f>
        <v>20000</v>
      </c>
      <c r="M413" s="3019">
        <f>'6-A. Proc. Sub-Annex'!N186</f>
        <v>0.2</v>
      </c>
      <c r="N413" s="3019">
        <f>'6-A. Proc. Sub-Annex'!O186</f>
        <v>10</v>
      </c>
      <c r="O413" s="3020">
        <f>'6-A. Proc. Sub-Annex'!P186</f>
        <v>2</v>
      </c>
      <c r="P413" s="3047" t="str">
        <f>'6-A. Proc. Sub-Annex'!Q186</f>
        <v>New Activity….
Steel , Rack &amp; Almirah for Proper record keeping at 10 Model Immunization Centre
@20000/- for 10 Centre = 200000/-</v>
      </c>
      <c r="Q413" s="3021"/>
      <c r="R413" s="3022"/>
    </row>
    <row r="414" spans="1:18" s="3023" customFormat="1">
      <c r="A414" s="3030">
        <f>'9.Training Annex'!A7</f>
        <v>9</v>
      </c>
      <c r="B414" s="3030"/>
      <c r="C414" s="3031" t="str">
        <f>'9.Training Annex'!C7</f>
        <v>Training and Capacity Building</v>
      </c>
      <c r="D414" s="3032"/>
      <c r="E414" s="3032"/>
      <c r="F414" s="3032"/>
      <c r="G414" s="3032"/>
      <c r="H414" s="3032"/>
      <c r="I414" s="3032"/>
      <c r="J414" s="3032"/>
      <c r="K414" s="3032"/>
      <c r="L414" s="3033"/>
      <c r="M414" s="3032"/>
      <c r="N414" s="3032"/>
      <c r="O414" s="3033">
        <f>SUM(O415:O416)</f>
        <v>113.08752</v>
      </c>
      <c r="P414" s="3066"/>
      <c r="Q414" s="3036"/>
      <c r="R414" s="3035">
        <f>SUM(R415:R416)</f>
        <v>0</v>
      </c>
    </row>
    <row r="415" spans="1:18" s="3023" customFormat="1" ht="60">
      <c r="A415" s="4606" t="str">
        <f>'9.Training Annex'!A27</f>
        <v>9.2.1.7</v>
      </c>
      <c r="B415" s="3017" t="str">
        <f>'9-A.Training Sub-Annex'!C140</f>
        <v>C.3</v>
      </c>
      <c r="C415" s="3018" t="str">
        <f>'9-A.Training Sub-Annex'!D140</f>
        <v>Training under Immunisation</v>
      </c>
      <c r="D415" s="3019" t="str">
        <f>'9-A.Training Sub-Annex'!E140</f>
        <v>RCH</v>
      </c>
      <c r="E415" s="3019" t="str">
        <f>'9-A.Training Sub-Annex'!F140</f>
        <v>RI</v>
      </c>
      <c r="F415" s="3019">
        <f>'9-A.Training Sub-Annex'!G140</f>
        <v>0</v>
      </c>
      <c r="G415" s="3019">
        <f>'9-A.Training Sub-Annex'!H140</f>
        <v>7511</v>
      </c>
      <c r="H415" s="3019">
        <f>'9-A.Training Sub-Annex'!I140</f>
        <v>84.77</v>
      </c>
      <c r="I415" s="3019">
        <f>'9-A.Training Sub-Annex'!J140</f>
        <v>0</v>
      </c>
      <c r="J415" s="3019">
        <f>'9-A.Training Sub-Annex'!K140</f>
        <v>0</v>
      </c>
      <c r="K415" s="3019" t="str">
        <f>'9-A.Training Sub-Annex'!L140</f>
        <v>No of Participants</v>
      </c>
      <c r="L415" s="3020">
        <f>'9-A.Training Sub-Annex'!M140</f>
        <v>1092</v>
      </c>
      <c r="M415" s="3019">
        <f>'9-A.Training Sub-Annex'!N140</f>
        <v>1.0919999999999999E-2</v>
      </c>
      <c r="N415" s="3019">
        <f>'9-A.Training Sub-Annex'!O140</f>
        <v>10356</v>
      </c>
      <c r="O415" s="3020">
        <f>'9-A.Training Sub-Annex'!P140</f>
        <v>113.08752</v>
      </c>
      <c r="P415" s="3047" t="str">
        <f>'9-A.Training Sub-Annex'!Q140</f>
        <v>Continued Activity …..
Different training under routine immunization (RI). Cost includes different state and district level trainings of DIO, CCH, DEO, ANM,  AEFI, VPD &amp; 3 MO Training. As per NHM norms</v>
      </c>
      <c r="Q415" s="3021"/>
      <c r="R415" s="3022"/>
    </row>
    <row r="416" spans="1:18" s="3023" customFormat="1">
      <c r="A416" s="4606"/>
      <c r="B416" s="3017">
        <f>'9-A.Training Sub-Annex'!C141</f>
        <v>0</v>
      </c>
      <c r="C416" s="3018" t="str">
        <f>'9-A.Training Sub-Annex'!D141</f>
        <v>Any other (please specify)</v>
      </c>
      <c r="D416" s="3019" t="str">
        <f>'9-A.Training Sub-Annex'!E141</f>
        <v>RCH</v>
      </c>
      <c r="E416" s="3019" t="str">
        <f>'9-A.Training Sub-Annex'!F141</f>
        <v>RI</v>
      </c>
      <c r="F416" s="3019">
        <f>'9-A.Training Sub-Annex'!G141</f>
        <v>0</v>
      </c>
      <c r="G416" s="3019">
        <f>'9-A.Training Sub-Annex'!H141</f>
        <v>0</v>
      </c>
      <c r="H416" s="3019">
        <f>'9-A.Training Sub-Annex'!I141</f>
        <v>0</v>
      </c>
      <c r="I416" s="3019">
        <f>'9-A.Training Sub-Annex'!J141</f>
        <v>0</v>
      </c>
      <c r="J416" s="3019">
        <f>'9-A.Training Sub-Annex'!K141</f>
        <v>0</v>
      </c>
      <c r="K416" s="3019">
        <f>'9-A.Training Sub-Annex'!L141</f>
        <v>0</v>
      </c>
      <c r="L416" s="3020">
        <f>'9-A.Training Sub-Annex'!M141</f>
        <v>0</v>
      </c>
      <c r="M416" s="3019">
        <f>'9-A.Training Sub-Annex'!N141</f>
        <v>0</v>
      </c>
      <c r="N416" s="3019">
        <f>'9-A.Training Sub-Annex'!O141</f>
        <v>0</v>
      </c>
      <c r="O416" s="3020">
        <f>'9-A.Training Sub-Annex'!P141</f>
        <v>0</v>
      </c>
      <c r="P416" s="3047">
        <f>'9-A.Training Sub-Annex'!Q141</f>
        <v>0</v>
      </c>
      <c r="Q416" s="3021"/>
      <c r="R416" s="3022"/>
    </row>
    <row r="417" spans="1:18" s="3023" customFormat="1">
      <c r="A417" s="3030">
        <f>'11.IEC-BCC Annex'!A7</f>
        <v>11</v>
      </c>
      <c r="B417" s="3030"/>
      <c r="C417" s="3031" t="str">
        <f>'11.IEC-BCC Annex'!C7</f>
        <v>IEC/BCC</v>
      </c>
      <c r="D417" s="3032"/>
      <c r="E417" s="3032"/>
      <c r="F417" s="3032"/>
      <c r="G417" s="3032"/>
      <c r="H417" s="3032"/>
      <c r="I417" s="3032"/>
      <c r="J417" s="3032"/>
      <c r="K417" s="3032"/>
      <c r="L417" s="3033"/>
      <c r="M417" s="3032"/>
      <c r="N417" s="3032"/>
      <c r="O417" s="3033">
        <f>SUM(O418:O419)</f>
        <v>400</v>
      </c>
      <c r="P417" s="3066"/>
      <c r="Q417" s="3036"/>
      <c r="R417" s="3035">
        <f>SUM(R418:R419)</f>
        <v>0</v>
      </c>
    </row>
    <row r="418" spans="1:18" s="3023" customFormat="1" ht="135">
      <c r="A418" s="4606" t="str">
        <f>'11.IEC-BCC Annex'!A13</f>
        <v>11.1.5</v>
      </c>
      <c r="B418" s="3017">
        <f>'11-A. IEC Sub-Annex'!C27</f>
        <v>0</v>
      </c>
      <c r="C418" s="3018" t="str">
        <f>'11-A. IEC Sub-Annex'!D27</f>
        <v>IEC activities for Immunization</v>
      </c>
      <c r="D418" s="3019" t="str">
        <f>'11-A. IEC Sub-Annex'!E27</f>
        <v>RCH</v>
      </c>
      <c r="E418" s="3019" t="str">
        <f>'11-A. IEC Sub-Annex'!F27</f>
        <v>RI</v>
      </c>
      <c r="F418" s="3019">
        <f>'11-A. IEC Sub-Annex'!G27</f>
        <v>0</v>
      </c>
      <c r="G418" s="3019">
        <f>'11-A. IEC Sub-Annex'!H27</f>
        <v>0</v>
      </c>
      <c r="H418" s="3019">
        <f>'11-A. IEC Sub-Annex'!I27</f>
        <v>0</v>
      </c>
      <c r="I418" s="3019">
        <f>'11-A. IEC Sub-Annex'!J27</f>
        <v>0</v>
      </c>
      <c r="J418" s="3019">
        <f>'11-A. IEC Sub-Annex'!K27</f>
        <v>0</v>
      </c>
      <c r="K418" s="3019" t="str">
        <f>'11-A. IEC Sub-Annex'!L27</f>
        <v>Per Poster, Per Spot, Per Advt., Per Cloth Banner etc.</v>
      </c>
      <c r="L418" s="3020">
        <f>'11-A. IEC Sub-Annex'!M27</f>
        <v>9.615520989360185</v>
      </c>
      <c r="M418" s="3019">
        <f>'11-A. IEC Sub-Annex'!N27</f>
        <v>9.6155209893601852E-5</v>
      </c>
      <c r="N418" s="3019">
        <f>'11-A. IEC Sub-Annex'!O27</f>
        <v>4159941</v>
      </c>
      <c r="O418" s="3020">
        <f>'11-A. IEC Sub-Annex'!P27</f>
        <v>400</v>
      </c>
      <c r="P418" s="3047" t="str">
        <f>'11-A. IEC Sub-Annex'!Q27</f>
        <v>Continued Activities:
1. Advt. for Polio, RI, MI, Vitamin A etc. in daily  newspaper (one hindi, one urdu and one english)
2. Radio &amp; Video Spot/Cinema slide etc. of RI/MI//Vaccination/Polio etc.
3.Miking, Nukkad Natak, Wall  Writing, Advt. through Auto Rickshaw/Bus Panel Advt. etc., Tin Plate, Poster, Polio Jacket etc.
4. Poster and Cloth Banner for Polio 4 round and Poster/Handbill etc. for another RI IEC Awareness Activities.
(Calculation sheet is attached as FMR 11.8.1_Annexure)</v>
      </c>
      <c r="Q418" s="3021"/>
      <c r="R418" s="3022"/>
    </row>
    <row r="419" spans="1:18" s="3023" customFormat="1">
      <c r="A419" s="4606"/>
      <c r="B419" s="3017">
        <f>'11-A. IEC Sub-Annex'!C28</f>
        <v>0</v>
      </c>
      <c r="C419" s="3018" t="str">
        <f>'11-A. IEC Sub-Annex'!D28</f>
        <v>Any other IEC/BCC activities (please specify)</v>
      </c>
      <c r="D419" s="3019" t="str">
        <f>'11-A. IEC Sub-Annex'!E28</f>
        <v>RCH</v>
      </c>
      <c r="E419" s="3019" t="str">
        <f>'11-A. IEC Sub-Annex'!F28</f>
        <v>RI</v>
      </c>
      <c r="F419" s="3019">
        <f>'11-A. IEC Sub-Annex'!G28</f>
        <v>0</v>
      </c>
      <c r="G419" s="3019">
        <f>'11-A. IEC Sub-Annex'!H28</f>
        <v>0</v>
      </c>
      <c r="H419" s="3019">
        <f>'11-A. IEC Sub-Annex'!I28</f>
        <v>0</v>
      </c>
      <c r="I419" s="3019">
        <f>'11-A. IEC Sub-Annex'!J28</f>
        <v>0</v>
      </c>
      <c r="J419" s="3019">
        <f>'11-A. IEC Sub-Annex'!K28</f>
        <v>0</v>
      </c>
      <c r="K419" s="3019">
        <f>'11-A. IEC Sub-Annex'!L28</f>
        <v>0</v>
      </c>
      <c r="L419" s="3020">
        <f>'11-A. IEC Sub-Annex'!M28</f>
        <v>0</v>
      </c>
      <c r="M419" s="3019">
        <f>'11-A. IEC Sub-Annex'!N28</f>
        <v>0</v>
      </c>
      <c r="N419" s="3019">
        <f>'11-A. IEC Sub-Annex'!O28</f>
        <v>0</v>
      </c>
      <c r="O419" s="3020">
        <f>'11-A. IEC Sub-Annex'!P28</f>
        <v>0</v>
      </c>
      <c r="P419" s="3047">
        <f>'11-A. IEC Sub-Annex'!Q28</f>
        <v>0</v>
      </c>
      <c r="Q419" s="3021"/>
      <c r="R419" s="3022"/>
    </row>
    <row r="420" spans="1:18" s="3023" customFormat="1">
      <c r="A420" s="3030">
        <f>'12.Printing Annex'!A7</f>
        <v>12</v>
      </c>
      <c r="B420" s="3038"/>
      <c r="C420" s="3031" t="str">
        <f>'12.Printing Annex'!C7</f>
        <v>Printing</v>
      </c>
      <c r="D420" s="3032"/>
      <c r="E420" s="3032"/>
      <c r="F420" s="3032"/>
      <c r="G420" s="3032"/>
      <c r="H420" s="3033"/>
      <c r="I420" s="3032"/>
      <c r="J420" s="3033"/>
      <c r="K420" s="3032"/>
      <c r="L420" s="3033"/>
      <c r="M420" s="3033"/>
      <c r="N420" s="3039"/>
      <c r="O420" s="3040">
        <f>SUM(O421:O422)</f>
        <v>640</v>
      </c>
      <c r="P420" s="3064"/>
      <c r="Q420" s="3042"/>
      <c r="R420" s="3043">
        <f>SUM(R421:R422)</f>
        <v>0</v>
      </c>
    </row>
    <row r="421" spans="1:18" s="3023" customFormat="1" ht="30">
      <c r="A421" s="4606" t="str">
        <f>'12.Printing Annex'!A14</f>
        <v>12.1.6</v>
      </c>
      <c r="B421" s="3017" t="str">
        <f>'12-A. Print Sub-Annex'!C48</f>
        <v>B.10.7.4.10</v>
      </c>
      <c r="C421" s="3018" t="str">
        <f>'12-A. Print Sub-Annex'!D48</f>
        <v>Printing and dissemination of Immunization cards, tally sheets, monitoring forms etc.</v>
      </c>
      <c r="D421" s="3019" t="str">
        <f>'12-A. Print Sub-Annex'!E48</f>
        <v>RCH</v>
      </c>
      <c r="E421" s="3019" t="str">
        <f>'12-A. Print Sub-Annex'!F48</f>
        <v>RI</v>
      </c>
      <c r="F421" s="3019">
        <f>'12-A. Print Sub-Annex'!G48</f>
        <v>0</v>
      </c>
      <c r="G421" s="3019">
        <f>'12-A. Print Sub-Annex'!H48</f>
        <v>0</v>
      </c>
      <c r="H421" s="3019">
        <f>'12-A. Print Sub-Annex'!I48</f>
        <v>0</v>
      </c>
      <c r="I421" s="3019">
        <f>'12-A. Print Sub-Annex'!J48</f>
        <v>0</v>
      </c>
      <c r="J421" s="3019">
        <f>'12-A. Print Sub-Annex'!K48</f>
        <v>0</v>
      </c>
      <c r="K421" s="3019" t="str">
        <f>'12-A. Print Sub-Annex'!L48</f>
        <v>Per Beneficiary</v>
      </c>
      <c r="L421" s="3020">
        <f>'12-A. Print Sub-Annex'!M48</f>
        <v>20</v>
      </c>
      <c r="M421" s="3019">
        <f>'12-A. Print Sub-Annex'!N48</f>
        <v>2.0000000000000001E-4</v>
      </c>
      <c r="N421" s="3019">
        <f>'12-A. Print Sub-Annex'!O48</f>
        <v>3200000</v>
      </c>
      <c r="O421" s="3020">
        <f>'12-A. Print Sub-Annex'!P48</f>
        <v>640</v>
      </c>
      <c r="P421" s="3047" t="str">
        <f>'12-A. Print Sub-Annex'!Q48</f>
        <v>Continued Activity:
Printing of different type formats etc. @ Rs.20 per beneficiary as per GoI Guideline.</v>
      </c>
      <c r="Q421" s="3021"/>
      <c r="R421" s="3022"/>
    </row>
    <row r="422" spans="1:18" s="3023" customFormat="1">
      <c r="A422" s="4606"/>
      <c r="B422" s="3017">
        <f>'12-A. Print Sub-Annex'!C49</f>
        <v>0</v>
      </c>
      <c r="C422" s="3018" t="str">
        <f>'12-A. Print Sub-Annex'!D49</f>
        <v>Any other (please specify)</v>
      </c>
      <c r="D422" s="3019" t="str">
        <f>'12-A. Print Sub-Annex'!E49</f>
        <v>RCH</v>
      </c>
      <c r="E422" s="3019" t="str">
        <f>'12-A. Print Sub-Annex'!F49</f>
        <v>RI</v>
      </c>
      <c r="F422" s="3019">
        <f>'12-A. Print Sub-Annex'!G49</f>
        <v>0</v>
      </c>
      <c r="G422" s="3019">
        <f>'12-A. Print Sub-Annex'!H49</f>
        <v>0</v>
      </c>
      <c r="H422" s="3019">
        <f>'12-A. Print Sub-Annex'!I49</f>
        <v>0</v>
      </c>
      <c r="I422" s="3019">
        <f>'12-A. Print Sub-Annex'!J49</f>
        <v>0</v>
      </c>
      <c r="J422" s="3019">
        <f>'12-A. Print Sub-Annex'!K49</f>
        <v>0</v>
      </c>
      <c r="K422" s="3019">
        <f>'12-A. Print Sub-Annex'!L49</f>
        <v>0</v>
      </c>
      <c r="L422" s="3020">
        <f>'12-A. Print Sub-Annex'!M49</f>
        <v>0</v>
      </c>
      <c r="M422" s="3019">
        <f>'12-A. Print Sub-Annex'!N49</f>
        <v>0</v>
      </c>
      <c r="N422" s="3019">
        <f>'12-A. Print Sub-Annex'!O49</f>
        <v>0</v>
      </c>
      <c r="O422" s="3020">
        <f>'12-A. Print Sub-Annex'!P49</f>
        <v>0</v>
      </c>
      <c r="P422" s="3047">
        <f>'12-A. Print Sub-Annex'!Q49</f>
        <v>0</v>
      </c>
      <c r="Q422" s="3021"/>
      <c r="R422" s="3022"/>
    </row>
    <row r="423" spans="1:18" s="3023" customFormat="1">
      <c r="A423" s="3030">
        <f>'13.Quality Assurance Annex'!A7</f>
        <v>13</v>
      </c>
      <c r="B423" s="3038"/>
      <c r="C423" s="3031" t="str">
        <f>'13.Quality Assurance Annex'!C7</f>
        <v>Quality Assurance</v>
      </c>
      <c r="D423" s="3032"/>
      <c r="E423" s="3032"/>
      <c r="F423" s="3032"/>
      <c r="G423" s="3032"/>
      <c r="H423" s="3033"/>
      <c r="I423" s="3032"/>
      <c r="J423" s="3033"/>
      <c r="K423" s="3032"/>
      <c r="L423" s="3033"/>
      <c r="M423" s="3033"/>
      <c r="N423" s="3039"/>
      <c r="O423" s="3040">
        <f>O424</f>
        <v>5.8739999999999997</v>
      </c>
      <c r="P423" s="3064"/>
      <c r="Q423" s="3042"/>
      <c r="R423" s="3043">
        <f>R424</f>
        <v>0</v>
      </c>
    </row>
    <row r="424" spans="1:18" s="3023" customFormat="1" ht="165">
      <c r="A424" s="3017" t="str">
        <f>'13.Quality Assurance Annex'!A34</f>
        <v>13.3.2</v>
      </c>
      <c r="B424" s="3017">
        <f>'13.Quality Assurance Annex'!B34</f>
        <v>0</v>
      </c>
      <c r="C424" s="3018" t="str">
        <f>'13.Quality Assurance Annex'!C34</f>
        <v>Quality Management System for AEFI surveillance under Universal Immunisation Programme</v>
      </c>
      <c r="D424" s="3019" t="str">
        <f>'13.Quality Assurance Annex'!D34</f>
        <v>RCH</v>
      </c>
      <c r="E424" s="3019" t="str">
        <f>'13.Quality Assurance Annex'!E34</f>
        <v>RI</v>
      </c>
      <c r="F424" s="3019">
        <f>'13.Quality Assurance Annex'!F34</f>
        <v>0</v>
      </c>
      <c r="G424" s="3019">
        <f>'13.Quality Assurance Annex'!G34</f>
        <v>0</v>
      </c>
      <c r="H424" s="3019">
        <f>'13.Quality Assurance Annex'!H34</f>
        <v>0</v>
      </c>
      <c r="I424" s="3019">
        <f>'13.Quality Assurance Annex'!I34</f>
        <v>0</v>
      </c>
      <c r="J424" s="3019">
        <f>'13.Quality Assurance Annex'!J34</f>
        <v>0</v>
      </c>
      <c r="K424" s="3019" t="str">
        <f>'13.Quality Assurance Annex'!K34</f>
        <v>for 2 Districts Bhagalpur &amp; Gaya</v>
      </c>
      <c r="L424" s="3020">
        <f>'13.Quality Assurance Annex'!L34</f>
        <v>587400</v>
      </c>
      <c r="M424" s="3019">
        <f>'13.Quality Assurance Annex'!M34</f>
        <v>5.8739999999999997</v>
      </c>
      <c r="N424" s="3019">
        <f>'13.Quality Assurance Annex'!N34</f>
        <v>1</v>
      </c>
      <c r="O424" s="3020">
        <f>'13.Quality Assurance Annex'!O34</f>
        <v>5.8739999999999997</v>
      </c>
      <c r="P424" s="3047" t="str">
        <f>'13.Quality Assurance Annex'!P34</f>
        <v xml:space="preserve">New Activity :…..
As per GoI D.O.No. T.13020/08/2018-IMM dated:03.11.2020. 
Fund required for Quality Management System for AEFI Surveillance  for Assessment Criteria for activities at State, District and PHC/Session - sites.
As per given instruction 2 districts has been identified for this activity, identified districts namely Gaya &amp; Bhagalpur.
Activities which performs are:-
Internal Assessment, Peer Assessment  at PHC, Peer assessment of State &amp; districts, External Assessment of State, State &amp; District level training, Mentoring cum Monitoring visits etc.
</v>
      </c>
      <c r="Q424" s="3021"/>
      <c r="R424" s="3022"/>
    </row>
    <row r="425" spans="1:18" s="3023" customFormat="1">
      <c r="A425" s="3030">
        <f>'14.Drug warehouse &amp;Logistic Anx'!A7</f>
        <v>14</v>
      </c>
      <c r="B425" s="3038"/>
      <c r="C425" s="3031" t="str">
        <f>'14.Drug warehouse &amp;Logistic Anx'!C7</f>
        <v>Drug Warehousing and Logistics</v>
      </c>
      <c r="D425" s="3032"/>
      <c r="E425" s="3032"/>
      <c r="F425" s="3032"/>
      <c r="G425" s="3032"/>
      <c r="H425" s="3033"/>
      <c r="I425" s="3032"/>
      <c r="J425" s="3033"/>
      <c r="K425" s="3032"/>
      <c r="L425" s="3033"/>
      <c r="M425" s="3033"/>
      <c r="N425" s="3039"/>
      <c r="O425" s="3040">
        <f>SUM(O426:O431)</f>
        <v>3004.81862972</v>
      </c>
      <c r="P425" s="3064"/>
      <c r="Q425" s="3042"/>
      <c r="R425" s="3043">
        <f>SUM(R426:R431)</f>
        <v>0</v>
      </c>
    </row>
    <row r="426" spans="1:18" s="3023" customFormat="1" ht="45">
      <c r="A426" s="3017" t="str">
        <f>'14.Drug warehouse &amp;Logistic Anx'!A21</f>
        <v>14.2.4.1</v>
      </c>
      <c r="B426" s="3017" t="str">
        <f>'14.Drug warehouse &amp;Logistic Anx'!B21</f>
        <v>C.1.h</v>
      </c>
      <c r="C426" s="3018" t="str">
        <f>'14.Drug warehouse &amp;Logistic Anx'!C21</f>
        <v>Alternative vaccine delivery in hard to reach areas</v>
      </c>
      <c r="D426" s="3019" t="str">
        <f>'14.Drug warehouse &amp;Logistic Anx'!D21</f>
        <v>RCH</v>
      </c>
      <c r="E426" s="3019" t="str">
        <f>'14.Drug warehouse &amp;Logistic Anx'!E21</f>
        <v>RI</v>
      </c>
      <c r="F426" s="3019">
        <f>'14.Drug warehouse &amp;Logistic Anx'!F21</f>
        <v>27830</v>
      </c>
      <c r="G426" s="3019">
        <f>'14.Drug warehouse &amp;Logistic Anx'!G21</f>
        <v>0</v>
      </c>
      <c r="H426" s="3019">
        <f>'14.Drug warehouse &amp;Logistic Anx'!H21</f>
        <v>667.92</v>
      </c>
      <c r="I426" s="3019">
        <f>'14.Drug warehouse &amp;Logistic Anx'!I21</f>
        <v>0</v>
      </c>
      <c r="J426" s="3019">
        <f>'14.Drug warehouse &amp;Logistic Anx'!J21</f>
        <v>0</v>
      </c>
      <c r="K426" s="3019" t="str">
        <f>'14.Drug warehouse &amp;Logistic Anx'!K21</f>
        <v>Session Site</v>
      </c>
      <c r="L426" s="3020">
        <f>'14.Drug warehouse &amp;Logistic Anx'!L21</f>
        <v>200</v>
      </c>
      <c r="M426" s="3019">
        <f>'14.Drug warehouse &amp;Logistic Anx'!M21</f>
        <v>2E-3</v>
      </c>
      <c r="N426" s="3019">
        <f>'14.Drug warehouse &amp;Logistic Anx'!N21</f>
        <v>325344</v>
      </c>
      <c r="O426" s="3020">
        <f>'14.Drug warehouse &amp;Logistic Anx'!O21</f>
        <v>650.68799999999999</v>
      </c>
      <c r="P426" s="3047" t="str">
        <f>'14.Drug warehouse &amp;Logistic Anx'!P21</f>
        <v>Continued Activity:
Alternative vaccine delivery in hard to reach areas  @ Rs. 200 per session for 27112 sessions per month i.e (27112 X 200 X 12= Rs 65068800/-</v>
      </c>
      <c r="Q426" s="3021"/>
      <c r="R426" s="3022"/>
    </row>
    <row r="427" spans="1:18" s="3023" customFormat="1" ht="45">
      <c r="A427" s="3017" t="str">
        <f>'14.Drug warehouse &amp;Logistic Anx'!A22</f>
        <v>14.2.4.2</v>
      </c>
      <c r="B427" s="3017">
        <f>'14.Drug warehouse &amp;Logistic Anx'!B22</f>
        <v>0</v>
      </c>
      <c r="C427" s="3018" t="str">
        <f>'14.Drug warehouse &amp;Logistic Anx'!C22</f>
        <v>AVD in very hard to reach areas esp. notified by States/districts</v>
      </c>
      <c r="D427" s="3019" t="str">
        <f>'14.Drug warehouse &amp;Logistic Anx'!D22</f>
        <v>RCH</v>
      </c>
      <c r="E427" s="3019" t="str">
        <f>'14.Drug warehouse &amp;Logistic Anx'!E22</f>
        <v>RI</v>
      </c>
      <c r="F427" s="3019">
        <f>'14.Drug warehouse &amp;Logistic Anx'!F22</f>
        <v>3295</v>
      </c>
      <c r="G427" s="3019">
        <f>'14.Drug warehouse &amp;Logistic Anx'!G22</f>
        <v>0</v>
      </c>
      <c r="H427" s="3019">
        <f>'14.Drug warehouse &amp;Logistic Anx'!H22</f>
        <v>177.93</v>
      </c>
      <c r="I427" s="3019">
        <f>'14.Drug warehouse &amp;Logistic Anx'!I22</f>
        <v>0</v>
      </c>
      <c r="J427" s="3019">
        <f>'14.Drug warehouse &amp;Logistic Anx'!J22</f>
        <v>0</v>
      </c>
      <c r="K427" s="3019" t="str">
        <f>'14.Drug warehouse &amp;Logistic Anx'!K22</f>
        <v>Session Site</v>
      </c>
      <c r="L427" s="3020">
        <f>'14.Drug warehouse &amp;Logistic Anx'!L22</f>
        <v>450</v>
      </c>
      <c r="M427" s="3019">
        <f>'14.Drug warehouse &amp;Logistic Anx'!M22</f>
        <v>4.4999999999999997E-3</v>
      </c>
      <c r="N427" s="3019">
        <f>'14.Drug warehouse &amp;Logistic Anx'!N22</f>
        <v>38676</v>
      </c>
      <c r="O427" s="3020">
        <f>'14.Drug warehouse &amp;Logistic Anx'!O22</f>
        <v>174.04199999999997</v>
      </c>
      <c r="P427" s="3047" t="str">
        <f>'14.Drug warehouse &amp;Logistic Anx'!P22</f>
        <v>Continued Activity:
Alternative vaccine delivery in very H to R area for visiting through boat/tractor @Rs.450/- per session per month for 3223 session site i.e (3223 X 450 X 12=Rs 17404200/-</v>
      </c>
      <c r="Q427" s="3021"/>
      <c r="R427" s="3022"/>
    </row>
    <row r="428" spans="1:18" s="3023" customFormat="1" ht="150">
      <c r="A428" s="3017" t="str">
        <f>'14.Drug warehouse &amp;Logistic Anx'!A23</f>
        <v>14.2.5</v>
      </c>
      <c r="B428" s="3017" t="str">
        <f>'14.Drug warehouse &amp;Logistic Anx'!B23</f>
        <v>C.1.i</v>
      </c>
      <c r="C428" s="3018" t="str">
        <f>'14.Drug warehouse &amp;Logistic Anx'!C23</f>
        <v>Alternative Vaccine Delivery in other areas</v>
      </c>
      <c r="D428" s="3019" t="str">
        <f>'14.Drug warehouse &amp;Logistic Anx'!D23</f>
        <v>RCH</v>
      </c>
      <c r="E428" s="3019" t="str">
        <f>'14.Drug warehouse &amp;Logistic Anx'!E23</f>
        <v>RI</v>
      </c>
      <c r="F428" s="3019">
        <f>'14.Drug warehouse &amp;Logistic Anx'!F23</f>
        <v>86157</v>
      </c>
      <c r="G428" s="3019">
        <f>'14.Drug warehouse &amp;Logistic Anx'!G23</f>
        <v>0</v>
      </c>
      <c r="H428" s="3019">
        <f>'14.Drug warehouse &amp;Logistic Anx'!H23</f>
        <v>930.5</v>
      </c>
      <c r="I428" s="3019">
        <f>'14.Drug warehouse &amp;Logistic Anx'!I23</f>
        <v>0</v>
      </c>
      <c r="J428" s="3019">
        <f>'14.Drug warehouse &amp;Logistic Anx'!J23</f>
        <v>0</v>
      </c>
      <c r="K428" s="3019" t="str">
        <f>'14.Drug warehouse &amp;Logistic Anx'!K23</f>
        <v>Session Site</v>
      </c>
      <c r="L428" s="3020">
        <f>'14.Drug warehouse &amp;Logistic Anx'!L23</f>
        <v>90</v>
      </c>
      <c r="M428" s="3019">
        <f>'14.Drug warehouse &amp;Logistic Anx'!M23</f>
        <v>8.9999999999999998E-4</v>
      </c>
      <c r="N428" s="3019">
        <f>'14.Drug warehouse &amp;Logistic Anx'!N23</f>
        <v>1569672</v>
      </c>
      <c r="O428" s="3020">
        <f>'14.Drug warehouse &amp;Logistic Anx'!O23</f>
        <v>1412.7048</v>
      </c>
      <c r="P428" s="3047" t="str">
        <f>'14.Drug warehouse &amp;Logistic Anx'!P23</f>
        <v xml:space="preserve">Continued Activity …...
A.) Alternative Vaccine Delivery in other areas @ Rs. 90 per session for 87166 session sites i.e. 87166 * 90* 12 = Rs 94139280/-
B.) Alternate Vaccine Delivery for COVID 19 Vaccination session site in outreach areas
87280 sessions (per HSC 8 sessions per month) per month for 6 months i.e. 87280 X 90X 6 = 47131200/-
Total Fund required A +B = 94139280+47131200 = 14,12,70,480/-
</v>
      </c>
      <c r="Q428" s="3021"/>
      <c r="R428" s="3022"/>
    </row>
    <row r="429" spans="1:18" s="3023" customFormat="1" ht="405">
      <c r="A429" s="3017" t="str">
        <f>'14.Drug warehouse &amp;Logistic Anx'!A24</f>
        <v>14.2.6</v>
      </c>
      <c r="B429" s="3017" t="str">
        <f>'14.Drug warehouse &amp;Logistic Anx'!B24</f>
        <v>C.1.l</v>
      </c>
      <c r="C429" s="3018" t="str">
        <f>'14.Drug warehouse &amp;Logistic Anx'!C24</f>
        <v>POL for vaccine delivery from State to district and from district to PHC/CHCs</v>
      </c>
      <c r="D429" s="3019" t="str">
        <f>'14.Drug warehouse &amp;Logistic Anx'!D24</f>
        <v>RCH</v>
      </c>
      <c r="E429" s="3019" t="str">
        <f>'14.Drug warehouse &amp;Logistic Anx'!E24</f>
        <v>RI</v>
      </c>
      <c r="F429" s="3019">
        <f>'14.Drug warehouse &amp;Logistic Anx'!F24</f>
        <v>533</v>
      </c>
      <c r="G429" s="3019">
        <f>'14.Drug warehouse &amp;Logistic Anx'!G24</f>
        <v>0</v>
      </c>
      <c r="H429" s="3019">
        <f>'14.Drug warehouse &amp;Logistic Anx'!H24</f>
        <v>76</v>
      </c>
      <c r="I429" s="3019">
        <f>'14.Drug warehouse &amp;Logistic Anx'!I24</f>
        <v>0</v>
      </c>
      <c r="J429" s="3019">
        <f>'14.Drug warehouse &amp;Logistic Anx'!J24</f>
        <v>0</v>
      </c>
      <c r="K429" s="3019" t="str">
        <f>'14.Drug warehouse &amp;Logistic Anx'!K24</f>
        <v>POL for vaccine transportation from SVS to CCP</v>
      </c>
      <c r="L429" s="3020">
        <f>'14.Drug warehouse &amp;Logistic Anx'!L24</f>
        <v>15260000</v>
      </c>
      <c r="M429" s="3019">
        <f>'14.Drug warehouse &amp;Logistic Anx'!M24</f>
        <v>152.6</v>
      </c>
      <c r="N429" s="3019">
        <f>'14.Drug warehouse &amp;Logistic Anx'!N24</f>
        <v>1</v>
      </c>
      <c r="O429" s="3020">
        <f>'14.Drug warehouse &amp;Logistic Anx'!O24</f>
        <v>152.6</v>
      </c>
      <c r="P429" s="3047" t="str">
        <f>'14.Drug warehouse &amp;Logistic Anx'!P24</f>
        <v>Continued Activity:
A) POL for vaccine delivery from State to district and from district to PHC/CHCs @Rs. 40000- Rs. 65000 per month from RVS-SVS-RVS, @ RS. 2500 per DVS per month, @ Rs. 3000 - Rs. 6000 per district by monthly for logistic shipment and Rs. 1000 per month per DVS to CCP. Calculation has been done on the basis of distance from store to store. Due to erratic logistic supply from GoI and increase in fuel price &amp; labour cost this is the bare minimum cost.
We disburshment the fund for POL on above said basis, GoI has approved Budget for this head @200000/- each districts for the year i.e. 200000 X 38= 7600000/-
B) Earlier most of the vaccines were being supplied on door delivery basis but presently it is being supplied by Air mode (PP + RI). In this situation vaccine transportation cost including handling charges has increased so an amount of Rs 500000/- (five lakhs only) is being requested for this activity.
C) Govt. of India vide e Mail have recently alloted various New cold chain equipments, the supply of which is in pipeline and in FY 2021-2022 DF/ILR/WIC/WIF/Non electrical CCE are also expected to arrive. For transportation of the equipments to districts from State ware house an amount of Rs 2000000/- (twenty lakhs only) is being requested for this activity.
Total Budget  of A+B+C i.e.
7600000 +500000+2000000 = 10100000/- ( One Crore One Lakhs)
D. COVID 19 Vaccine transportation from Airport to SVS - RVS &amp; DVS .
As you are aware that COVID-19 vaccination programme is going on in full swing. Vaccines &amp; Logistics for the COVID-19 vaccination is being supplied through Immunization cell. Due to erractic supply of COVID-19 vaccine, no . trips for vaccine lifting has increased and also COVISHIELD vaccine is not being supplied on door delivery basis. SVS Bihar have to bring the vaccine at its own cost from Airport. Fund Requirement is as below:
Air port to SVS etc. =  30000/- per month X 12 months = 360000/-
For RVS 100000/- per year for 10 RVS = 1000000/-
For DVS 100000/- per DVS for 38 Districts = 3800000/-
Total FUnd required = 10100000 + 360000+1000000+3800000= 1,52,60,000/-</v>
      </c>
      <c r="Q429" s="3021"/>
      <c r="R429" s="3022"/>
    </row>
    <row r="430" spans="1:18" s="3023" customFormat="1" ht="409.5">
      <c r="A430" s="3017" t="str">
        <f>'14.Drug warehouse &amp;Logistic Anx'!A25</f>
        <v>14.2.7</v>
      </c>
      <c r="B430" s="3017" t="str">
        <f>'14.Drug warehouse &amp;Logistic Anx'!B25</f>
        <v>C.4</v>
      </c>
      <c r="C430" s="3018" t="str">
        <f>'14.Drug warehouse &amp;Logistic Anx'!C25</f>
        <v xml:space="preserve">Cold chain maintenance </v>
      </c>
      <c r="D430" s="3019" t="str">
        <f>'14.Drug warehouse &amp;Logistic Anx'!D25</f>
        <v>RCH</v>
      </c>
      <c r="E430" s="3019" t="str">
        <f>'14.Drug warehouse &amp;Logistic Anx'!E25</f>
        <v>RI</v>
      </c>
      <c r="F430" s="3019">
        <f>'14.Drug warehouse &amp;Logistic Anx'!F25</f>
        <v>2131</v>
      </c>
      <c r="G430" s="3019">
        <f>'14.Drug warehouse &amp;Logistic Anx'!G25</f>
        <v>0</v>
      </c>
      <c r="H430" s="3019">
        <f>'14.Drug warehouse &amp;Logistic Anx'!H25</f>
        <v>19.3</v>
      </c>
      <c r="I430" s="3019">
        <f>'14.Drug warehouse &amp;Logistic Anx'!I25</f>
        <v>0</v>
      </c>
      <c r="J430" s="3019">
        <f>'14.Drug warehouse &amp;Logistic Anx'!J25</f>
        <v>0</v>
      </c>
      <c r="K430" s="3019" t="str">
        <f>'14.Drug warehouse &amp;Logistic Anx'!K25</f>
        <v>SVS-1
RVS-12
DVS-38
CCP-629</v>
      </c>
      <c r="L430" s="3020">
        <f>'14.Drug warehouse &amp;Logistic Anx'!L25</f>
        <v>17907.352900000002</v>
      </c>
      <c r="M430" s="3019">
        <f>'14.Drug warehouse &amp;Logistic Anx'!M25</f>
        <v>0.17907352900000001</v>
      </c>
      <c r="N430" s="3019">
        <f>'14.Drug warehouse &amp;Logistic Anx'!N25</f>
        <v>680</v>
      </c>
      <c r="O430" s="3020">
        <f>'14.Drug warehouse &amp;Logistic Anx'!O25</f>
        <v>121.76999972</v>
      </c>
      <c r="P430" s="3047" t="str">
        <f>'14.Drug warehouse &amp;Logistic Anx'!P25</f>
        <v>A. Maintenance cost including POL etc of
1. 38 Vaccine Van @ Rs.50000/-
(Vaccine van are around 5/6 years old and so their repair &amp; maintenace require more fund)= Rs 1900000/-
2. (a) 9 RVS @ Rs. 150000
(For POL, repair &amp; maintenance of WIC/WIF and related items)=(Rs 150000 X 9)=1350000/-
(b). 1 SVS @ Rs. 250000 (For POL, repair &amp; maintenance of WIC/WIF and related items)
3. 38 DVS @ Rs. 20000
(This fund is required for proper maintenace of DVS)
= Rs 760000/-
4. 2601 DF/ILR @ Rs.1000
(For Repair &amp; maintenance of electrical/non electrical CCE)= Rs 2601000/-
5. CCT  PPE @ Rs. 15000 (For safety of Cold Chain Handler working at SVS/RVS, Protective equipments are required to be purchased)= Rs 150000/-
6. In FY 2019-2020 an amount of Rs 1200000/- has been approved for SVS. As you are aware that Multi story State Vaccine Store (SVS) has been constructed at Agamkuan, Patna  exclusively for Immunization cell. For smooth running of the SVS an amount of Rs 18,21,000 may be allocated (as per details mentioned).
Particulars        Rate          Quantity    Total Amt.
Electricity              120000/-        12Mts    1440000/-
Municipal Tax         50000/-         1 Yly        50000/-
Goods Lift AMC    120000/-         1 Yly     120000/-
Pas. Lift AMC         95000/-          1 Yly       95000/-
Fire Ext. ref.           80000/-         1 Yly       80000/-
Tel. Int. Stat. etc.     3000/-         12Mts     36000/-
i.e. Total ( 1+2+3+4+5+6)=Rs 8832000/-
B. New Activity.
One time activity required for Ice Pack conditioning is one of the major component in Immunization. Vaccine quality degrades if ice pack conditioning is not proper. For proper Ice Pack conditioning, One table/chair/rubber mat may be provided exclusive for Cold Chain Room. Fund required is Rs 5000/- per CCP for 669 Locations whose amount comes out to be Rs 3345000.
Total Fund Required : A+B i.e.
8832000 +3345000 = 1,21,77,000/-</v>
      </c>
      <c r="Q430" s="3021"/>
      <c r="R430" s="3022"/>
    </row>
    <row r="431" spans="1:18" s="3023" customFormat="1" ht="75">
      <c r="A431" s="3017" t="str">
        <f>'14.Drug warehouse &amp;Logistic Anx'!A26</f>
        <v>14.2.8</v>
      </c>
      <c r="B431" s="3017" t="str">
        <f>'14.Drug warehouse &amp;Logistic Anx'!B26</f>
        <v>C.1.u</v>
      </c>
      <c r="C431" s="3018" t="str">
        <f>'14.Drug warehouse &amp;Logistic Anx'!C26</f>
        <v>Operational cost of e-VIN (like temperature logger sim card and  Data sim card for e-VIN)</v>
      </c>
      <c r="D431" s="3019" t="str">
        <f>'14.Drug warehouse &amp;Logistic Anx'!D26</f>
        <v>RCH</v>
      </c>
      <c r="E431" s="3019" t="str">
        <f>'14.Drug warehouse &amp;Logistic Anx'!E26</f>
        <v>RI</v>
      </c>
      <c r="F431" s="3019">
        <f>'14.Drug warehouse &amp;Logistic Anx'!F26</f>
        <v>1</v>
      </c>
      <c r="G431" s="3019">
        <f>'14.Drug warehouse &amp;Logistic Anx'!G26</f>
        <v>0</v>
      </c>
      <c r="H431" s="3019">
        <f>'14.Drug warehouse &amp;Logistic Anx'!H26</f>
        <v>383.39</v>
      </c>
      <c r="I431" s="3019">
        <f>'14.Drug warehouse &amp;Logistic Anx'!I26</f>
        <v>0</v>
      </c>
      <c r="J431" s="3019">
        <f>'14.Drug warehouse &amp;Logistic Anx'!J26</f>
        <v>0</v>
      </c>
      <c r="K431" s="3019" t="str">
        <f>'14.Drug warehouse &amp;Logistic Anx'!K26</f>
        <v>eVIN  project</v>
      </c>
      <c r="L431" s="3020">
        <f>'14.Drug warehouse &amp;Logistic Anx'!L26</f>
        <v>49301383</v>
      </c>
      <c r="M431" s="3019">
        <f>'14.Drug warehouse &amp;Logistic Anx'!M26</f>
        <v>493.01382999999998</v>
      </c>
      <c r="N431" s="3019">
        <f>'14.Drug warehouse &amp;Logistic Anx'!N26</f>
        <v>1</v>
      </c>
      <c r="O431" s="3020">
        <f>'14.Drug warehouse &amp;Logistic Anx'!O26</f>
        <v>493.01382999999998</v>
      </c>
      <c r="P431" s="3047" t="str">
        <f>'14.Drug warehouse &amp;Logistic Anx'!P26</f>
        <v>Continued Activity, 
eVIN implementtaion has been managed with technical support of UNDP since FY 2018-19 all the cost pertaining to implementation has been provided by NHM. In FY 2021-22 it is being proposed to continue the implementation of eVIN through UNDP. Fund will be transfered to UNDP.</v>
      </c>
      <c r="Q431" s="3021"/>
      <c r="R431" s="3022"/>
    </row>
    <row r="432" spans="1:18" s="3023" customFormat="1">
      <c r="A432" s="3053" t="s">
        <v>4666</v>
      </c>
      <c r="B432" s="3053"/>
      <c r="C432" s="3054" t="s">
        <v>5568</v>
      </c>
      <c r="D432" s="3055"/>
      <c r="E432" s="3055"/>
      <c r="F432" s="3055"/>
      <c r="G432" s="3055"/>
      <c r="H432" s="3056"/>
      <c r="I432" s="3055"/>
      <c r="J432" s="3056"/>
      <c r="K432" s="3055"/>
      <c r="L432" s="3056"/>
      <c r="M432" s="3056"/>
      <c r="N432" s="3057"/>
      <c r="O432" s="3058">
        <f>O433+O437+O440</f>
        <v>0</v>
      </c>
      <c r="P432" s="3065"/>
      <c r="Q432" s="3060"/>
      <c r="R432" s="3061">
        <f>R433+R437+R440</f>
        <v>0</v>
      </c>
    </row>
    <row r="433" spans="1:18" s="3023" customFormat="1">
      <c r="A433" s="3030">
        <f>'1.SD Facility Based Annex'!A7</f>
        <v>1</v>
      </c>
      <c r="B433" s="3030">
        <f>'1.SD Facility Based Annex'!B7</f>
        <v>0</v>
      </c>
      <c r="C433" s="3031" t="str">
        <f>'1.SD Facility Based Annex'!C7</f>
        <v>Service Delivery - Facility Based</v>
      </c>
      <c r="D433" s="3032"/>
      <c r="E433" s="3032"/>
      <c r="F433" s="3032"/>
      <c r="G433" s="3032"/>
      <c r="H433" s="3032"/>
      <c r="I433" s="3032"/>
      <c r="J433" s="3032"/>
      <c r="K433" s="3032"/>
      <c r="L433" s="3033"/>
      <c r="M433" s="3032"/>
      <c r="N433" s="3032"/>
      <c r="O433" s="3033">
        <f>SUM(O434:O436)</f>
        <v>0</v>
      </c>
      <c r="P433" s="3066"/>
      <c r="Q433" s="3034"/>
      <c r="R433" s="3035">
        <f>SUM(R434:R436)</f>
        <v>0</v>
      </c>
    </row>
    <row r="434" spans="1:18" s="3023" customFormat="1">
      <c r="A434" s="3017" t="str">
        <f>'1.SD Facility Based Annex'!A51</f>
        <v>1.1.7.1</v>
      </c>
      <c r="B434" s="3017" t="str">
        <f>'1.SD Facility Based Annex'!B51</f>
        <v>A.6.1</v>
      </c>
      <c r="C434" s="3018" t="str">
        <f>'1.SD Facility Based Annex'!C51</f>
        <v>Special plans for tribal areas</v>
      </c>
      <c r="D434" s="3019" t="str">
        <f>'1.SD Facility Based Annex'!D51</f>
        <v>RCH</v>
      </c>
      <c r="E434" s="3019" t="str">
        <f>'1.SD Facility Based Annex'!E51</f>
        <v>RCH</v>
      </c>
      <c r="F434" s="3019">
        <f>'1.SD Facility Based Annex'!F51</f>
        <v>0</v>
      </c>
      <c r="G434" s="3019">
        <f>'1.SD Facility Based Annex'!G51</f>
        <v>0</v>
      </c>
      <c r="H434" s="3019">
        <f>'1.SD Facility Based Annex'!H51</f>
        <v>0</v>
      </c>
      <c r="I434" s="3019">
        <f>'1.SD Facility Based Annex'!I51</f>
        <v>0</v>
      </c>
      <c r="J434" s="3019">
        <f>'1.SD Facility Based Annex'!J51</f>
        <v>0</v>
      </c>
      <c r="K434" s="3019">
        <f>'1.SD Facility Based Annex'!K51</f>
        <v>0</v>
      </c>
      <c r="L434" s="3020">
        <f>'1.SD Facility Based Annex'!L51</f>
        <v>0</v>
      </c>
      <c r="M434" s="3019">
        <f>'1.SD Facility Based Annex'!M51</f>
        <v>0</v>
      </c>
      <c r="N434" s="3019">
        <f>'1.SD Facility Based Annex'!N51</f>
        <v>0</v>
      </c>
      <c r="O434" s="3020">
        <f>'1.SD Facility Based Annex'!O51</f>
        <v>0</v>
      </c>
      <c r="P434" s="3047">
        <f>'1.SD Facility Based Annex'!P51</f>
        <v>0</v>
      </c>
      <c r="Q434" s="3021"/>
      <c r="R434" s="3022"/>
    </row>
    <row r="435" spans="1:18" s="3023" customFormat="1">
      <c r="A435" s="3017" t="str">
        <f>'1.SD Facility Based Annex'!A52</f>
        <v>1.1.7.2</v>
      </c>
      <c r="B435" s="3017" t="str">
        <f>'1.SD Facility Based Annex'!B52</f>
        <v>A.11.3</v>
      </c>
      <c r="C435" s="3018" t="str">
        <f>'1.SD Facility Based Annex'!C52</f>
        <v>LWE affected areas special plan</v>
      </c>
      <c r="D435" s="3019" t="str">
        <f>'1.SD Facility Based Annex'!D52</f>
        <v>RCH</v>
      </c>
      <c r="E435" s="3019" t="str">
        <f>'1.SD Facility Based Annex'!E52</f>
        <v>RCH</v>
      </c>
      <c r="F435" s="3019">
        <f>'1.SD Facility Based Annex'!F52</f>
        <v>0</v>
      </c>
      <c r="G435" s="3019">
        <f>'1.SD Facility Based Annex'!G52</f>
        <v>0</v>
      </c>
      <c r="H435" s="3019">
        <f>'1.SD Facility Based Annex'!H52</f>
        <v>0</v>
      </c>
      <c r="I435" s="3019">
        <f>'1.SD Facility Based Annex'!I52</f>
        <v>0</v>
      </c>
      <c r="J435" s="3019">
        <f>'1.SD Facility Based Annex'!J52</f>
        <v>0</v>
      </c>
      <c r="K435" s="3019">
        <f>'1.SD Facility Based Annex'!K52</f>
        <v>0</v>
      </c>
      <c r="L435" s="3020">
        <f>'1.SD Facility Based Annex'!L52</f>
        <v>0</v>
      </c>
      <c r="M435" s="3019">
        <f>'1.SD Facility Based Annex'!M52</f>
        <v>0</v>
      </c>
      <c r="N435" s="3019">
        <f>'1.SD Facility Based Annex'!N52</f>
        <v>0</v>
      </c>
      <c r="O435" s="3020">
        <f>'1.SD Facility Based Annex'!O52</f>
        <v>0</v>
      </c>
      <c r="P435" s="3047">
        <f>'1.SD Facility Based Annex'!P52</f>
        <v>0</v>
      </c>
      <c r="Q435" s="3021"/>
      <c r="R435" s="3022"/>
    </row>
    <row r="436" spans="1:18" s="3023" customFormat="1" ht="30">
      <c r="A436" s="3017" t="str">
        <f>'1.SD Facility Based Annex'!A56</f>
        <v>1.1.7.6</v>
      </c>
      <c r="B436" s="3017">
        <f>'1.SD Facility Based Annex'!B56</f>
        <v>0</v>
      </c>
      <c r="C436" s="3018" t="str">
        <f>'1.SD Facility Based Annex'!C56</f>
        <v>Provision of free medical and surgical care to survivors of gender based violence</v>
      </c>
      <c r="D436" s="3019" t="str">
        <f>'1.SD Facility Based Annex'!D56</f>
        <v>RCH</v>
      </c>
      <c r="E436" s="3019" t="str">
        <f>'1.SD Facility Based Annex'!E56</f>
        <v>RCH</v>
      </c>
      <c r="F436" s="3019">
        <f>'1.SD Facility Based Annex'!F56</f>
        <v>0</v>
      </c>
      <c r="G436" s="3019">
        <f>'1.SD Facility Based Annex'!G56</f>
        <v>0</v>
      </c>
      <c r="H436" s="3019">
        <f>'1.SD Facility Based Annex'!H56</f>
        <v>0</v>
      </c>
      <c r="I436" s="3019">
        <f>'1.SD Facility Based Annex'!I56</f>
        <v>0</v>
      </c>
      <c r="J436" s="3019">
        <f>'1.SD Facility Based Annex'!J56</f>
        <v>0</v>
      </c>
      <c r="K436" s="3019">
        <f>'1.SD Facility Based Annex'!K56</f>
        <v>0</v>
      </c>
      <c r="L436" s="3020">
        <f>'1.SD Facility Based Annex'!L56</f>
        <v>0</v>
      </c>
      <c r="M436" s="3019">
        <f>'1.SD Facility Based Annex'!M56</f>
        <v>0</v>
      </c>
      <c r="N436" s="3019">
        <f>'1.SD Facility Based Annex'!N56</f>
        <v>0</v>
      </c>
      <c r="O436" s="3020">
        <f>'1.SD Facility Based Annex'!O56</f>
        <v>0</v>
      </c>
      <c r="P436" s="3047">
        <f>'1.SD Facility Based Annex'!P56</f>
        <v>0</v>
      </c>
      <c r="Q436" s="3021"/>
      <c r="R436" s="3022"/>
    </row>
    <row r="437" spans="1:18" s="3023" customFormat="1">
      <c r="A437" s="3030">
        <f>'2.SD Community Based Annex'!A7</f>
        <v>2</v>
      </c>
      <c r="B437" s="3030"/>
      <c r="C437" s="3031" t="str">
        <f>'2.SD Community Based Annex'!C7</f>
        <v>Service Delivery - Community Based</v>
      </c>
      <c r="D437" s="3032"/>
      <c r="E437" s="3032"/>
      <c r="F437" s="3032"/>
      <c r="G437" s="3032"/>
      <c r="H437" s="3033"/>
      <c r="I437" s="3032"/>
      <c r="J437" s="3033"/>
      <c r="K437" s="3032"/>
      <c r="L437" s="3033"/>
      <c r="M437" s="3033"/>
      <c r="N437" s="3076"/>
      <c r="O437" s="3033">
        <f>SUM(O438:O439)</f>
        <v>0</v>
      </c>
      <c r="P437" s="3077"/>
      <c r="Q437" s="3036"/>
      <c r="R437" s="3035">
        <f>SUM(R438:R439)</f>
        <v>0</v>
      </c>
    </row>
    <row r="438" spans="1:18" s="3023" customFormat="1">
      <c r="A438" s="3017" t="str">
        <f>'2.SD Community Based Annex'!A41</f>
        <v>2.3.1.7</v>
      </c>
      <c r="B438" s="3017" t="str">
        <f>'2.SD Community Based Annex'!B41</f>
        <v>A.6.2</v>
      </c>
      <c r="C438" s="3018" t="str">
        <f>'2.SD Community Based Annex'!C41</f>
        <v xml:space="preserve">Tribal RCH: Outreach activities </v>
      </c>
      <c r="D438" s="3019" t="str">
        <f>'2.SD Community Based Annex'!D41</f>
        <v>RCH</v>
      </c>
      <c r="E438" s="3019" t="str">
        <f>'2.SD Community Based Annex'!E41</f>
        <v>RCH</v>
      </c>
      <c r="F438" s="3019">
        <f>'2.SD Community Based Annex'!F41</f>
        <v>0</v>
      </c>
      <c r="G438" s="3019">
        <f>'2.SD Community Based Annex'!G41</f>
        <v>0</v>
      </c>
      <c r="H438" s="3019">
        <f>'2.SD Community Based Annex'!H41</f>
        <v>0</v>
      </c>
      <c r="I438" s="3019">
        <f>'2.SD Community Based Annex'!I41</f>
        <v>0</v>
      </c>
      <c r="J438" s="3019">
        <f>'2.SD Community Based Annex'!J41</f>
        <v>0</v>
      </c>
      <c r="K438" s="3019">
        <f>'2.SD Community Based Annex'!K41</f>
        <v>0</v>
      </c>
      <c r="L438" s="3020">
        <f>'2.SD Community Based Annex'!L41</f>
        <v>0</v>
      </c>
      <c r="M438" s="3019">
        <f>'2.SD Community Based Annex'!M41</f>
        <v>0</v>
      </c>
      <c r="N438" s="3019">
        <f>'2.SD Community Based Annex'!N41</f>
        <v>0</v>
      </c>
      <c r="O438" s="3020">
        <f>'2.SD Community Based Annex'!O41</f>
        <v>0</v>
      </c>
      <c r="P438" s="3047">
        <f>'2.SD Community Based Annex'!P41</f>
        <v>0</v>
      </c>
      <c r="Q438" s="3021"/>
      <c r="R438" s="3028"/>
    </row>
    <row r="439" spans="1:18" s="3023" customFormat="1">
      <c r="A439" s="3017" t="str">
        <f>'2.SD Community Based Annex'!A42</f>
        <v>2.3.1.8</v>
      </c>
      <c r="B439" s="3017" t="str">
        <f>'2.SD Community Based Annex'!B42</f>
        <v>A.11.2</v>
      </c>
      <c r="C439" s="3018" t="str">
        <f>'2.SD Community Based Annex'!C42</f>
        <v>Services for Vulnerable groups</v>
      </c>
      <c r="D439" s="3019" t="str">
        <f>'2.SD Community Based Annex'!D42</f>
        <v>RCH</v>
      </c>
      <c r="E439" s="3019" t="str">
        <f>'2.SD Community Based Annex'!E42</f>
        <v>RCH</v>
      </c>
      <c r="F439" s="3019">
        <f>'2.SD Community Based Annex'!F42</f>
        <v>0</v>
      </c>
      <c r="G439" s="3019">
        <f>'2.SD Community Based Annex'!G42</f>
        <v>0</v>
      </c>
      <c r="H439" s="3019">
        <f>'2.SD Community Based Annex'!H42</f>
        <v>0</v>
      </c>
      <c r="I439" s="3019">
        <f>'2.SD Community Based Annex'!I42</f>
        <v>0</v>
      </c>
      <c r="J439" s="3019">
        <f>'2.SD Community Based Annex'!J42</f>
        <v>0</v>
      </c>
      <c r="K439" s="3019">
        <f>'2.SD Community Based Annex'!K42</f>
        <v>0</v>
      </c>
      <c r="L439" s="3020">
        <f>'2.SD Community Based Annex'!L42</f>
        <v>0</v>
      </c>
      <c r="M439" s="3019">
        <f>'2.SD Community Based Annex'!M42</f>
        <v>0</v>
      </c>
      <c r="N439" s="3019">
        <f>'2.SD Community Based Annex'!N42</f>
        <v>0</v>
      </c>
      <c r="O439" s="3020">
        <f>'2.SD Community Based Annex'!O42</f>
        <v>0</v>
      </c>
      <c r="P439" s="3047">
        <f>'2.SD Community Based Annex'!P42</f>
        <v>0</v>
      </c>
      <c r="Q439" s="3021"/>
      <c r="R439" s="3028"/>
    </row>
    <row r="440" spans="1:18" s="3023" customFormat="1">
      <c r="A440" s="3030">
        <f>'9.Training Annex'!A7</f>
        <v>9</v>
      </c>
      <c r="B440" s="3030"/>
      <c r="C440" s="3031" t="str">
        <f>'9.Training Annex'!C7</f>
        <v>Training and Capacity Building</v>
      </c>
      <c r="D440" s="3032"/>
      <c r="E440" s="3032"/>
      <c r="F440" s="3032"/>
      <c r="G440" s="3032"/>
      <c r="H440" s="3032"/>
      <c r="I440" s="3032"/>
      <c r="J440" s="3032"/>
      <c r="K440" s="3032"/>
      <c r="L440" s="3033"/>
      <c r="M440" s="3032"/>
      <c r="N440" s="3032"/>
      <c r="O440" s="3033">
        <f>SUM(O441:O442)</f>
        <v>0</v>
      </c>
      <c r="P440" s="3066"/>
      <c r="Q440" s="3036"/>
      <c r="R440" s="3035">
        <f>SUM(R441:R442)</f>
        <v>0</v>
      </c>
    </row>
    <row r="441" spans="1:18" s="3023" customFormat="1" ht="45">
      <c r="A441" s="4606" t="str">
        <f>'9.Training Annex'!A28</f>
        <v>9.2.1.8</v>
      </c>
      <c r="B441" s="3017">
        <f>'9-A.Training Sub-Annex'!C143</f>
        <v>0</v>
      </c>
      <c r="C441" s="3018" t="str">
        <f>'9-A.Training Sub-Annex'!D143</f>
        <v>Orientation and training of Human Resources for Health (HRH) and counsellors in public health response to Violence against women</v>
      </c>
      <c r="D441" s="3019" t="str">
        <f>'9-A.Training Sub-Annex'!E143</f>
        <v>RCH</v>
      </c>
      <c r="E441" s="3019" t="str">
        <f>'9-A.Training Sub-Annex'!F143</f>
        <v>RCH</v>
      </c>
      <c r="F441" s="3019">
        <f>'9-A.Training Sub-Annex'!G143</f>
        <v>0</v>
      </c>
      <c r="G441" s="3019">
        <f>'9-A.Training Sub-Annex'!H143</f>
        <v>0</v>
      </c>
      <c r="H441" s="3019">
        <f>'9-A.Training Sub-Annex'!I143</f>
        <v>0</v>
      </c>
      <c r="I441" s="3019">
        <f>'9-A.Training Sub-Annex'!J143</f>
        <v>0</v>
      </c>
      <c r="J441" s="3019">
        <f>'9-A.Training Sub-Annex'!K143</f>
        <v>0</v>
      </c>
      <c r="K441" s="3019">
        <f>'9-A.Training Sub-Annex'!L143</f>
        <v>0</v>
      </c>
      <c r="L441" s="3020">
        <f>'9-A.Training Sub-Annex'!M143</f>
        <v>0</v>
      </c>
      <c r="M441" s="3019">
        <f>'9-A.Training Sub-Annex'!N143</f>
        <v>0</v>
      </c>
      <c r="N441" s="3019">
        <f>'9-A.Training Sub-Annex'!O143</f>
        <v>0</v>
      </c>
      <c r="O441" s="3020">
        <f>'9-A.Training Sub-Annex'!P143</f>
        <v>0</v>
      </c>
      <c r="P441" s="3047">
        <f>'9-A.Training Sub-Annex'!Q143</f>
        <v>0</v>
      </c>
      <c r="Q441" s="3021"/>
      <c r="R441" s="3022"/>
    </row>
    <row r="442" spans="1:18" s="3023" customFormat="1">
      <c r="A442" s="4606"/>
      <c r="B442" s="3017">
        <f>'9-A.Training Sub-Annex'!C144</f>
        <v>0</v>
      </c>
      <c r="C442" s="3018" t="str">
        <f>'9-A.Training Sub-Annex'!D144</f>
        <v>Any other (please specify)</v>
      </c>
      <c r="D442" s="3019" t="str">
        <f>'9-A.Training Sub-Annex'!E144</f>
        <v>RCH</v>
      </c>
      <c r="E442" s="3019" t="str">
        <f>'9-A.Training Sub-Annex'!F144</f>
        <v>RCH</v>
      </c>
      <c r="F442" s="3019">
        <f>'9-A.Training Sub-Annex'!G144</f>
        <v>0</v>
      </c>
      <c r="G442" s="3019">
        <f>'9-A.Training Sub-Annex'!H144</f>
        <v>0</v>
      </c>
      <c r="H442" s="3019">
        <f>'9-A.Training Sub-Annex'!I144</f>
        <v>0</v>
      </c>
      <c r="I442" s="3019">
        <f>'9-A.Training Sub-Annex'!J144</f>
        <v>0</v>
      </c>
      <c r="J442" s="3019">
        <f>'9-A.Training Sub-Annex'!K144</f>
        <v>0</v>
      </c>
      <c r="K442" s="3019">
        <f>'9-A.Training Sub-Annex'!L144</f>
        <v>0</v>
      </c>
      <c r="L442" s="3020">
        <f>'9-A.Training Sub-Annex'!M144</f>
        <v>0</v>
      </c>
      <c r="M442" s="3019">
        <f>'9-A.Training Sub-Annex'!N144</f>
        <v>0</v>
      </c>
      <c r="N442" s="3019">
        <f>'9-A.Training Sub-Annex'!O144</f>
        <v>0</v>
      </c>
      <c r="O442" s="3020">
        <f>'9-A.Training Sub-Annex'!P144</f>
        <v>0</v>
      </c>
      <c r="P442" s="3047">
        <f>'9-A.Training Sub-Annex'!Q144</f>
        <v>0</v>
      </c>
      <c r="Q442" s="3021"/>
      <c r="R442" s="3022"/>
    </row>
    <row r="443" spans="1:18" s="3023" customFormat="1" ht="30">
      <c r="A443" s="3017" t="str">
        <f>'9.Training Annex'!A14</f>
        <v>9.1.4.2</v>
      </c>
      <c r="B443" s="3017" t="str">
        <f>'9-A.Training Sub-Annex'!C18</f>
        <v>A.9.1.1</v>
      </c>
      <c r="C443" s="3017" t="str">
        <f>'9-A.Training Sub-Annex'!D18</f>
        <v>HR for Nursing Schools/ Institutions/ Nursing Directorate/ SIHFW supported under NHM</v>
      </c>
      <c r="D443" s="3019" t="str">
        <f>'9-A.Training Sub-Annex'!E18</f>
        <v>HSS</v>
      </c>
      <c r="E443" s="3019" t="str">
        <f>'9-A.Training Sub-Annex'!F18</f>
        <v>Training division/ HRH</v>
      </c>
      <c r="F443" s="3019">
        <f>'9-A.Training Sub-Annex'!G18</f>
        <v>0</v>
      </c>
      <c r="G443" s="3019">
        <f>'9-A.Training Sub-Annex'!H18</f>
        <v>0</v>
      </c>
      <c r="H443" s="3019">
        <f>'9-A.Training Sub-Annex'!I18</f>
        <v>0</v>
      </c>
      <c r="I443" s="3019">
        <f>'9-A.Training Sub-Annex'!J18</f>
        <v>0</v>
      </c>
      <c r="J443" s="3019">
        <f>'9-A.Training Sub-Annex'!K18</f>
        <v>0</v>
      </c>
      <c r="K443" s="3019">
        <f>'9-A.Training Sub-Annex'!L18</f>
        <v>0</v>
      </c>
      <c r="L443" s="3037">
        <f>'9-A.Training Sub-Annex'!M18</f>
        <v>89871000</v>
      </c>
      <c r="M443" s="3019">
        <f>'9-A.Training Sub-Annex'!N18</f>
        <v>898.71</v>
      </c>
      <c r="N443" s="3019">
        <f>'9-A.Training Sub-Annex'!O18</f>
        <v>1</v>
      </c>
      <c r="O443" s="3037">
        <f>'9-A.Training Sub-Annex'!P18</f>
        <v>898.71</v>
      </c>
      <c r="P443" s="3047" t="str">
        <f>'9-A.Training Sub-Annex'!Q18</f>
        <v>Details as per annexure</v>
      </c>
      <c r="Q443" s="3021"/>
      <c r="R443" s="3022"/>
    </row>
    <row r="444" spans="1:18" s="3023" customFormat="1">
      <c r="A444" s="3078">
        <f>'15.PPP Annex'!A7</f>
        <v>15</v>
      </c>
      <c r="B444" s="3078"/>
      <c r="C444" s="3079" t="str">
        <f>'15.PPP Annex'!C7</f>
        <v>PPP</v>
      </c>
      <c r="D444" s="3080"/>
      <c r="E444" s="3080"/>
      <c r="F444" s="3080"/>
      <c r="G444" s="3080"/>
      <c r="H444" s="3080"/>
      <c r="I444" s="3080"/>
      <c r="J444" s="3080"/>
      <c r="K444" s="3080"/>
      <c r="L444" s="3056"/>
      <c r="M444" s="3056"/>
      <c r="N444" s="3080"/>
      <c r="O444" s="3056">
        <f>O445</f>
        <v>0</v>
      </c>
      <c r="P444" s="3081"/>
      <c r="Q444" s="3082"/>
      <c r="R444" s="3083">
        <f>R445</f>
        <v>0</v>
      </c>
    </row>
    <row r="445" spans="1:18" s="3023" customFormat="1">
      <c r="A445" s="3017" t="str">
        <f>'15.PPP Annex'!A11</f>
        <v>15.1.3</v>
      </c>
      <c r="B445" s="3017">
        <f>'15.PPP Annex'!B11</f>
        <v>0</v>
      </c>
      <c r="C445" s="3018" t="str">
        <f>'15.PPP Annex'!C11</f>
        <v>Any other PPP initiative under RMNCH+A</v>
      </c>
      <c r="D445" s="3019" t="str">
        <f>'15.PPP Annex'!D11</f>
        <v xml:space="preserve">RCH </v>
      </c>
      <c r="E445" s="3019" t="str">
        <f>'15.PPP Annex'!E11</f>
        <v>RMNCH+A</v>
      </c>
      <c r="F445" s="3019">
        <f>'15.PPP Annex'!F11</f>
        <v>0</v>
      </c>
      <c r="G445" s="3019">
        <f>'15.PPP Annex'!G11</f>
        <v>0</v>
      </c>
      <c r="H445" s="3019">
        <f>'15.PPP Annex'!H11</f>
        <v>0</v>
      </c>
      <c r="I445" s="3019">
        <f>'15.PPP Annex'!I11</f>
        <v>0</v>
      </c>
      <c r="J445" s="3019">
        <f>'15.PPP Annex'!J11</f>
        <v>0</v>
      </c>
      <c r="K445" s="3019">
        <f>'15.PPP Annex'!K11</f>
        <v>0</v>
      </c>
      <c r="L445" s="3020">
        <f>'15.PPP Annex'!L11</f>
        <v>0</v>
      </c>
      <c r="M445" s="3019">
        <f>'15.PPP Annex'!M11</f>
        <v>0</v>
      </c>
      <c r="N445" s="3019">
        <f>'15.PPP Annex'!N11</f>
        <v>0</v>
      </c>
      <c r="O445" s="3020">
        <f>'15.PPP Annex'!O11</f>
        <v>0</v>
      </c>
      <c r="P445" s="3047">
        <f>'15.PPP Annex'!P11</f>
        <v>0</v>
      </c>
      <c r="Q445" s="3021"/>
      <c r="R445" s="3022"/>
    </row>
    <row r="446" spans="1:18" s="3084" customFormat="1">
      <c r="A446" s="3078">
        <f>'16.PM Annex'!A7</f>
        <v>16</v>
      </c>
      <c r="B446" s="3078"/>
      <c r="C446" s="3079" t="str">
        <f>'16.PM Annex'!C7</f>
        <v>Programme Management</v>
      </c>
      <c r="D446" s="3080"/>
      <c r="E446" s="3080"/>
      <c r="F446" s="3080"/>
      <c r="G446" s="3080"/>
      <c r="H446" s="3080"/>
      <c r="I446" s="3080"/>
      <c r="J446" s="3080"/>
      <c r="K446" s="3080"/>
      <c r="L446" s="3056"/>
      <c r="M446" s="3056"/>
      <c r="N446" s="3080"/>
      <c r="O446" s="3056">
        <f>O447</f>
        <v>1395.64698559</v>
      </c>
      <c r="P446" s="3081"/>
      <c r="Q446" s="3082"/>
      <c r="R446" s="3083">
        <f>R447</f>
        <v>0</v>
      </c>
    </row>
    <row r="447" spans="1:18" s="3084" customFormat="1">
      <c r="A447" s="3085">
        <f>'16.PM Annex'!A8</f>
        <v>16.100000000000001</v>
      </c>
      <c r="B447" s="3085"/>
      <c r="C447" s="3086" t="str">
        <f>'16.PM Annex'!C8</f>
        <v>Programme Management Activities (as per PM sub annex)</v>
      </c>
      <c r="D447" s="3076"/>
      <c r="E447" s="3076"/>
      <c r="F447" s="3076"/>
      <c r="G447" s="3076"/>
      <c r="H447" s="3076"/>
      <c r="I447" s="3076"/>
      <c r="J447" s="3076"/>
      <c r="K447" s="3076"/>
      <c r="L447" s="3033"/>
      <c r="M447" s="3033"/>
      <c r="N447" s="3076"/>
      <c r="O447" s="3033">
        <f>SUM(O448:O475)</f>
        <v>1395.64698559</v>
      </c>
      <c r="P447" s="3077"/>
      <c r="Q447" s="3036"/>
      <c r="R447" s="3035">
        <f>SUM(R448:R475)</f>
        <v>0</v>
      </c>
    </row>
    <row r="448" spans="1:18" s="3084" customFormat="1" ht="45">
      <c r="A448" s="3087" t="str">
        <f>'16-A. PM sub Annex'!B11</f>
        <v>16.1.1.2</v>
      </c>
      <c r="B448" s="3087" t="str">
        <f>'16-A. PM sub Annex'!D11</f>
        <v>A.2.1</v>
      </c>
      <c r="C448" s="3088" t="str">
        <f>'16-A. PM sub Annex'!E11</f>
        <v>IMNCI (including F-IMNCI; primarily budget for  planning for pre-service IMNCI activities in medical colleges, nursing colleges, and ANMTCs other training)</v>
      </c>
      <c r="D448" s="3089" t="str">
        <f>'16-A. PM sub Annex'!F11</f>
        <v>RCH</v>
      </c>
      <c r="E448" s="3089" t="str">
        <f>'16-A. PM sub Annex'!G11</f>
        <v>HRH&amp;HPIP/CH</v>
      </c>
      <c r="F448" s="3089">
        <f>'16-A. PM sub Annex'!H11</f>
        <v>0</v>
      </c>
      <c r="G448" s="3089">
        <f>'16-A. PM sub Annex'!I11</f>
        <v>0</v>
      </c>
      <c r="H448" s="3089">
        <f>'16-A. PM sub Annex'!J11</f>
        <v>0</v>
      </c>
      <c r="I448" s="3089">
        <f>'16-A. PM sub Annex'!K11</f>
        <v>0</v>
      </c>
      <c r="J448" s="3089">
        <f>'16-A. PM sub Annex'!L11</f>
        <v>0</v>
      </c>
      <c r="K448" s="3089">
        <f>'16-A. PM sub Annex'!M11</f>
        <v>0</v>
      </c>
      <c r="L448" s="3090">
        <f>'16-A. PM sub Annex'!N11</f>
        <v>0</v>
      </c>
      <c r="M448" s="3090">
        <f>'16-A. PM sub Annex'!O11</f>
        <v>0</v>
      </c>
      <c r="N448" s="3089">
        <f>'16-A. PM sub Annex'!P11</f>
        <v>0</v>
      </c>
      <c r="O448" s="3090">
        <f>'16-A. PM sub Annex'!Q11</f>
        <v>0</v>
      </c>
      <c r="P448" s="3091">
        <f>'16-A. PM sub Annex'!R11</f>
        <v>0</v>
      </c>
      <c r="Q448" s="3092"/>
      <c r="R448" s="3093"/>
    </row>
    <row r="449" spans="1:18" s="3084" customFormat="1">
      <c r="A449" s="3087" t="str">
        <f>'16-A. PM sub Annex'!B12</f>
        <v>16.1.1.3</v>
      </c>
      <c r="B449" s="3087" t="str">
        <f>'16-A. PM sub Annex'!D12</f>
        <v>A.5.1.1</v>
      </c>
      <c r="C449" s="3088" t="str">
        <f>'16-A. PM sub Annex'!E12</f>
        <v>Prepare and disseminate guidelines for RBSK</v>
      </c>
      <c r="D449" s="3089" t="str">
        <f>'16-A. PM sub Annex'!F12</f>
        <v>RCH</v>
      </c>
      <c r="E449" s="3089" t="str">
        <f>'16-A. PM sub Annex'!G12</f>
        <v>HRH&amp;HPIP/RBSK</v>
      </c>
      <c r="F449" s="3089">
        <f>'16-A. PM sub Annex'!H12</f>
        <v>0</v>
      </c>
      <c r="G449" s="3089">
        <f>'16-A. PM sub Annex'!I12</f>
        <v>0</v>
      </c>
      <c r="H449" s="3089">
        <f>'16-A. PM sub Annex'!J12</f>
        <v>0</v>
      </c>
      <c r="I449" s="3089">
        <f>'16-A. PM sub Annex'!K12</f>
        <v>0</v>
      </c>
      <c r="J449" s="3089">
        <f>'16-A. PM sub Annex'!L12</f>
        <v>0</v>
      </c>
      <c r="K449" s="3089">
        <f>'16-A. PM sub Annex'!M12</f>
        <v>0</v>
      </c>
      <c r="L449" s="3090">
        <f>'16-A. PM sub Annex'!N12</f>
        <v>0</v>
      </c>
      <c r="M449" s="3090">
        <f>'16-A. PM sub Annex'!O12</f>
        <v>0</v>
      </c>
      <c r="N449" s="3089">
        <f>'16-A. PM sub Annex'!P12</f>
        <v>0</v>
      </c>
      <c r="O449" s="3090">
        <f>'16-A. PM sub Annex'!Q12</f>
        <v>0</v>
      </c>
      <c r="P449" s="3091">
        <f>'16-A. PM sub Annex'!R12</f>
        <v>0</v>
      </c>
      <c r="Q449" s="3092"/>
      <c r="R449" s="3093"/>
    </row>
    <row r="450" spans="1:18" s="3084" customFormat="1" ht="30">
      <c r="A450" s="3087" t="str">
        <f>'16-A. PM sub Annex'!B13</f>
        <v>16.1.1.4</v>
      </c>
      <c r="B450" s="3087" t="str">
        <f>'16-A. PM sub Annex'!D13</f>
        <v>A.5.1.2</v>
      </c>
      <c r="C450" s="3088" t="str">
        <f>'16-A. PM sub Annex'!E13</f>
        <v>Prepare detailed operational plan for RBSK across districts (including cost of plan)</v>
      </c>
      <c r="D450" s="3089" t="str">
        <f>'16-A. PM sub Annex'!F13</f>
        <v>RCH</v>
      </c>
      <c r="E450" s="3089" t="str">
        <f>'16-A. PM sub Annex'!G13</f>
        <v>HRH&amp;HPIP/RBSK</v>
      </c>
      <c r="F450" s="3089">
        <f>'16-A. PM sub Annex'!H13</f>
        <v>0</v>
      </c>
      <c r="G450" s="3089">
        <f>'16-A. PM sub Annex'!I13</f>
        <v>0</v>
      </c>
      <c r="H450" s="3089">
        <f>'16-A. PM sub Annex'!J13</f>
        <v>0</v>
      </c>
      <c r="I450" s="3089">
        <f>'16-A. PM sub Annex'!K13</f>
        <v>0</v>
      </c>
      <c r="J450" s="3089">
        <f>'16-A. PM sub Annex'!L13</f>
        <v>0</v>
      </c>
      <c r="K450" s="3089">
        <f>'16-A. PM sub Annex'!M13</f>
        <v>0</v>
      </c>
      <c r="L450" s="3090">
        <f>'16-A. PM sub Annex'!N13</f>
        <v>0</v>
      </c>
      <c r="M450" s="3090">
        <f>'16-A. PM sub Annex'!O13</f>
        <v>0</v>
      </c>
      <c r="N450" s="3089">
        <f>'16-A. PM sub Annex'!P13</f>
        <v>0</v>
      </c>
      <c r="O450" s="3090">
        <f>'16-A. PM sub Annex'!Q13</f>
        <v>0</v>
      </c>
      <c r="P450" s="3091">
        <f>'16-A. PM sub Annex'!R13</f>
        <v>0</v>
      </c>
      <c r="Q450" s="3092"/>
      <c r="R450" s="3093"/>
    </row>
    <row r="451" spans="1:18" s="3084" customFormat="1" ht="30">
      <c r="A451" s="3087" t="str">
        <f>'16-A. PM sub Annex'!B14</f>
        <v>16.1.1.5</v>
      </c>
      <c r="B451" s="3087" t="str">
        <f>'16-A. PM sub Annex'!D14</f>
        <v>A.11.1</v>
      </c>
      <c r="C451" s="3088" t="str">
        <f>'16-A. PM sub Annex'!E14</f>
        <v>Planning, including mapping and co-ordination with other departments</v>
      </c>
      <c r="D451" s="3089" t="str">
        <f>'16-A. PM sub Annex'!F14</f>
        <v>RCH</v>
      </c>
      <c r="E451" s="3089" t="str">
        <f>'16-A. PM sub Annex'!G14</f>
        <v>HRH&amp;HPIP/RCH</v>
      </c>
      <c r="F451" s="3089">
        <f>'16-A. PM sub Annex'!H14</f>
        <v>0</v>
      </c>
      <c r="G451" s="3089">
        <f>'16-A. PM sub Annex'!I14</f>
        <v>0</v>
      </c>
      <c r="H451" s="3089">
        <f>'16-A. PM sub Annex'!J14</f>
        <v>0</v>
      </c>
      <c r="I451" s="3089">
        <f>'16-A. PM sub Annex'!K14</f>
        <v>0</v>
      </c>
      <c r="J451" s="3089">
        <f>'16-A. PM sub Annex'!L14</f>
        <v>0</v>
      </c>
      <c r="K451" s="3089">
        <f>'16-A. PM sub Annex'!M14</f>
        <v>0</v>
      </c>
      <c r="L451" s="3090">
        <f>'16-A. PM sub Annex'!N14</f>
        <v>0</v>
      </c>
      <c r="M451" s="3090">
        <f>'16-A. PM sub Annex'!O14</f>
        <v>0</v>
      </c>
      <c r="N451" s="3089">
        <f>'16-A. PM sub Annex'!P14</f>
        <v>0</v>
      </c>
      <c r="O451" s="3090">
        <f>'16-A. PM sub Annex'!Q14</f>
        <v>0</v>
      </c>
      <c r="P451" s="3091">
        <f>'16-A. PM sub Annex'!R14</f>
        <v>0</v>
      </c>
      <c r="Q451" s="3092"/>
      <c r="R451" s="3093"/>
    </row>
    <row r="452" spans="1:18" s="3084" customFormat="1" ht="45">
      <c r="A452" s="3087" t="str">
        <f>'16-A. PM sub Annex'!B15</f>
        <v>16.1.1.6</v>
      </c>
      <c r="B452" s="3087" t="str">
        <f>'16-A. PM sub Annex'!D15</f>
        <v>C.1.j</v>
      </c>
      <c r="C452" s="3088" t="str">
        <f>'16-A. PM sub Annex'!E15</f>
        <v>To develop micro plan at sub-centre level</v>
      </c>
      <c r="D452" s="3089" t="str">
        <f>'16-A. PM sub Annex'!F15</f>
        <v>RCH</v>
      </c>
      <c r="E452" s="3089" t="str">
        <f>'16-A. PM sub Annex'!G15</f>
        <v>HRH&amp;HPIP/RI</v>
      </c>
      <c r="F452" s="3089">
        <f>'16-A. PM sub Annex'!H15</f>
        <v>0</v>
      </c>
      <c r="G452" s="3089">
        <f>'16-A. PM sub Annex'!I15</f>
        <v>0</v>
      </c>
      <c r="H452" s="3089">
        <f>'16-A. PM sub Annex'!J15</f>
        <v>0</v>
      </c>
      <c r="I452" s="3089">
        <f>'16-A. PM sub Annex'!K15</f>
        <v>0</v>
      </c>
      <c r="J452" s="3089">
        <f>'16-A. PM sub Annex'!L15</f>
        <v>0</v>
      </c>
      <c r="K452" s="3089" t="str">
        <f>'16-A. PM sub Annex'!M15</f>
        <v>No of Sub Centre+No. of APHC</v>
      </c>
      <c r="L452" s="3090">
        <f>'16-A. PM sub Annex'!N15</f>
        <v>100</v>
      </c>
      <c r="M452" s="3090">
        <f>'16-A. PM sub Annex'!O15</f>
        <v>1E-3</v>
      </c>
      <c r="N452" s="3089">
        <f>'16-A. PM sub Annex'!P15</f>
        <v>10914</v>
      </c>
      <c r="O452" s="3090">
        <f>'16-A. PM sub Annex'!Q15</f>
        <v>10.914</v>
      </c>
      <c r="P452" s="3091" t="str">
        <f>'16-A. PM sub Annex'!R15</f>
        <v>Continued Activity
Fund is required for Microplan @ Rs 100/- for APHC &amp; HSC</v>
      </c>
      <c r="Q452" s="3092"/>
      <c r="R452" s="3093"/>
    </row>
    <row r="453" spans="1:18" s="3084" customFormat="1" ht="60">
      <c r="A453" s="3087" t="str">
        <f>'16-A. PM sub Annex'!B16</f>
        <v>16.1.1.7</v>
      </c>
      <c r="B453" s="3087" t="str">
        <f>'16-A. PM sub Annex'!D16</f>
        <v>C.1.k</v>
      </c>
      <c r="C453" s="3088" t="str">
        <f>'16-A. PM sub Annex'!E16</f>
        <v>For consolidation of micro plans at block level</v>
      </c>
      <c r="D453" s="3089" t="str">
        <f>'16-A. PM sub Annex'!F16</f>
        <v>RCH</v>
      </c>
      <c r="E453" s="3089" t="str">
        <f>'16-A. PM sub Annex'!G16</f>
        <v>HRH&amp;HPIP/RI</v>
      </c>
      <c r="F453" s="3089">
        <f>'16-A. PM sub Annex'!H16</f>
        <v>0</v>
      </c>
      <c r="G453" s="3089">
        <f>'16-A. PM sub Annex'!I16</f>
        <v>0</v>
      </c>
      <c r="H453" s="3089">
        <f>'16-A. PM sub Annex'!J16</f>
        <v>0</v>
      </c>
      <c r="I453" s="3089">
        <f>'16-A. PM sub Annex'!K16</f>
        <v>0</v>
      </c>
      <c r="J453" s="3089">
        <f>'16-A. PM sub Annex'!L16</f>
        <v>0</v>
      </c>
      <c r="K453" s="3089" t="str">
        <f>'16-A. PM sub Annex'!M16</f>
        <v>No. of PHC+UPHC+DHQ</v>
      </c>
      <c r="L453" s="3090">
        <f>'16-A. PM sub Annex'!N16</f>
        <v>1052.6300000000001</v>
      </c>
      <c r="M453" s="3090">
        <f>'16-A. PM sub Annex'!O16</f>
        <v>1.0526300000000001E-2</v>
      </c>
      <c r="N453" s="3089">
        <f>'16-A. PM sub Annex'!P16</f>
        <v>722</v>
      </c>
      <c r="O453" s="3090">
        <f>'16-A. PM sub Annex'!Q16</f>
        <v>7.5999886000000005</v>
      </c>
      <c r="P453" s="3091" t="str">
        <f>'16-A. PM sub Annex'!R16</f>
        <v>Continued Activity
(Per PHC-534 &amp; UPHC-150) + DHQ.
Fund calculation: ((Rs 1000X(534+150)+(38X2000))= Rs 684000 + 76000= 760000/-</v>
      </c>
      <c r="Q453" s="3092"/>
      <c r="R453" s="3093"/>
    </row>
    <row r="454" spans="1:18" s="3084" customFormat="1" ht="60">
      <c r="A454" s="3087" t="str">
        <f>'16-A. PM sub Annex'!B21</f>
        <v>16.1.2.1.1</v>
      </c>
      <c r="B454" s="3087" t="str">
        <f>'16-A. PM sub Annex'!D21</f>
        <v>A.2.11.1</v>
      </c>
      <c r="C454" s="3088" t="str">
        <f>'16-A. PM sub Annex'!E21</f>
        <v>Provision for State &amp; District level (Meetings/ review meetings)</v>
      </c>
      <c r="D454" s="3089" t="str">
        <f>'16-A. PM sub Annex'!F21</f>
        <v>RCH</v>
      </c>
      <c r="E454" s="3089" t="str">
        <f>'16-A. PM sub Annex'!G21</f>
        <v>HRH&amp;HPIP/CH</v>
      </c>
      <c r="F454" s="3089">
        <f>'16-A. PM sub Annex'!H21</f>
        <v>0</v>
      </c>
      <c r="G454" s="3089">
        <f>'16-A. PM sub Annex'!I21</f>
        <v>0</v>
      </c>
      <c r="H454" s="3089">
        <f>'16-A. PM sub Annex'!J21</f>
        <v>0</v>
      </c>
      <c r="I454" s="3089">
        <f>'16-A. PM sub Annex'!K21</f>
        <v>0</v>
      </c>
      <c r="J454" s="3089">
        <f>'16-A. PM sub Annex'!L21</f>
        <v>0</v>
      </c>
      <c r="K454" s="3089">
        <f>'16-A. PM sub Annex'!M21</f>
        <v>0</v>
      </c>
      <c r="L454" s="3090">
        <f>'16-A. PM sub Annex'!N21</f>
        <v>771000</v>
      </c>
      <c r="M454" s="3090">
        <f>'16-A. PM sub Annex'!O21</f>
        <v>7.71</v>
      </c>
      <c r="N454" s="3089">
        <f>'16-A. PM sub Annex'!P21</f>
        <v>1</v>
      </c>
      <c r="O454" s="3090">
        <f>'16-A. PM sub Annex'!Q21</f>
        <v>7.71</v>
      </c>
      <c r="P454" s="3091" t="str">
        <f>'16-A. PM sub Annex'!R21</f>
        <v>1.one day review on NRC, MAA and IYCF at State level@74970 per meeting = 2 meeting*74970 =1.49940
2. one day review at Regional level on Child health @34500=2*34500 =69000* 9 region = 6.21000 lakh</v>
      </c>
      <c r="Q454" s="3092"/>
      <c r="R454" s="3093"/>
    </row>
    <row r="455" spans="1:18" s="3084" customFormat="1" ht="60">
      <c r="A455" s="3087" t="str">
        <f>'16-A. PM sub Annex'!B22</f>
        <v>16.1.2.1.2</v>
      </c>
      <c r="B455" s="3087">
        <f>'16-A. PM sub Annex'!D22</f>
        <v>0</v>
      </c>
      <c r="C455" s="3088" t="str">
        <f>'16-A. PM sub Annex'!E22</f>
        <v>Review/orientation meetings for HBNC</v>
      </c>
      <c r="D455" s="3089" t="str">
        <f>'16-A. PM sub Annex'!F22</f>
        <v>RCH</v>
      </c>
      <c r="E455" s="3089" t="str">
        <f>'16-A. PM sub Annex'!G22</f>
        <v>HRH&amp;HPIP/CH</v>
      </c>
      <c r="F455" s="3089">
        <f>'16-A. PM sub Annex'!H22</f>
        <v>0</v>
      </c>
      <c r="G455" s="3089">
        <f>'16-A. PM sub Annex'!I22</f>
        <v>0</v>
      </c>
      <c r="H455" s="3089">
        <f>'16-A. PM sub Annex'!J22</f>
        <v>0</v>
      </c>
      <c r="I455" s="3089">
        <f>'16-A. PM sub Annex'!K22</f>
        <v>0</v>
      </c>
      <c r="J455" s="3089">
        <f>'16-A. PM sub Annex'!L22</f>
        <v>0</v>
      </c>
      <c r="K455" s="3089" t="str">
        <f>'16-A. PM sub Annex'!M22</f>
        <v>No. of Child</v>
      </c>
      <c r="L455" s="3090">
        <f>'16-A. PM sub Annex'!N22</f>
        <v>25</v>
      </c>
      <c r="M455" s="3090">
        <f>'16-A. PM sub Annex'!O22</f>
        <v>2.5000000000000001E-4</v>
      </c>
      <c r="N455" s="3089">
        <f>'16-A. PM sub Annex'!P22</f>
        <v>616000</v>
      </c>
      <c r="O455" s="3090">
        <f>'16-A. PM sub Annex'!Q22</f>
        <v>154</v>
      </c>
      <c r="P455" s="3091" t="str">
        <f>'16-A. PM sub Annex'!R22</f>
        <v>Budget is being proposed for data entry of child visited by ASHA under HBYC @ Rs-5 per entry/visit for 5 entry for 5 visit of one child. It is assuming that 80% child will received 5 complete visit under HBYC. Hence total child would be 616000. So budget would be = 616000*5*5= Rs.154.00lakh.</v>
      </c>
      <c r="Q455" s="3092"/>
      <c r="R455" s="3093"/>
    </row>
    <row r="456" spans="1:18" s="3084" customFormat="1" ht="120">
      <c r="A456" s="3087" t="str">
        <f>'16-A. PM sub Annex'!B23</f>
        <v>16.1.2.1.3</v>
      </c>
      <c r="B456" s="3087">
        <f>'16-A. PM sub Annex'!D23</f>
        <v>0</v>
      </c>
      <c r="C456" s="3088" t="str">
        <f>'16-A. PM sub Annex'!E23</f>
        <v>Review/orientation meetings for child health programmes</v>
      </c>
      <c r="D456" s="3089" t="str">
        <f>'16-A. PM sub Annex'!F23</f>
        <v>RCH</v>
      </c>
      <c r="E456" s="3089" t="str">
        <f>'16-A. PM sub Annex'!G23</f>
        <v>HRH&amp;HPIP/CH</v>
      </c>
      <c r="F456" s="3089">
        <f>'16-A. PM sub Annex'!H23</f>
        <v>0</v>
      </c>
      <c r="G456" s="3089">
        <f>'16-A. PM sub Annex'!I23</f>
        <v>0</v>
      </c>
      <c r="H456" s="3089">
        <f>'16-A. PM sub Annex'!J23</f>
        <v>0</v>
      </c>
      <c r="I456" s="3089">
        <f>'16-A. PM sub Annex'!K23</f>
        <v>0</v>
      </c>
      <c r="J456" s="3089">
        <f>'16-A. PM sub Annex'!L23</f>
        <v>0</v>
      </c>
      <c r="K456" s="3089" t="str">
        <f>'16-A. PM sub Annex'!M23</f>
        <v>Number of review meetings</v>
      </c>
      <c r="L456" s="3090">
        <f>'16-A. PM sub Annex'!N23</f>
        <v>1895000</v>
      </c>
      <c r="M456" s="3090">
        <f>'16-A. PM sub Annex'!O23</f>
        <v>18.95</v>
      </c>
      <c r="N456" s="3089">
        <f>'16-A. PM sub Annex'!P23</f>
        <v>1</v>
      </c>
      <c r="O456" s="3090">
        <f>'16-A. PM sub Annex'!Q23</f>
        <v>18.95</v>
      </c>
      <c r="P456" s="3091" t="str">
        <f>'16-A. PM sub Annex'!R23</f>
        <v>Quarterly review meetings on AMB programme with the district level officials, at state level, total four meetings at state level.  Rs. 43,700 X 4 Meeting= 1,74,800
Quarterly review meeting on AMB programme with the block officials at district level, total 38 districts x 4 meetings = 152 meetings @ Rs. 10,000/meeting= 15,20,000
B
.Budget is being proposed for state level review meeting  on Child health programs biannualy@rs.100000 per review meeting = 2 meeting*Rs.100000 = 2 lakh</v>
      </c>
      <c r="Q456" s="3092"/>
      <c r="R456" s="3093"/>
    </row>
    <row r="457" spans="1:18" s="3084" customFormat="1" ht="45">
      <c r="A457" s="3087" t="str">
        <f>'16-A. PM sub Annex'!B24</f>
        <v>16.1.2.1.4</v>
      </c>
      <c r="B457" s="3087" t="str">
        <f>'16-A. PM sub Annex'!D24</f>
        <v>A.3.5.1</v>
      </c>
      <c r="C457" s="3088" t="str">
        <f>'16-A. PM sub Annex'!E24</f>
        <v>FP QAC meetings (Minimum frequency of QAC meetings as per Supreme court mandate: State level - Biannual meeting; District level - Quarterly)</v>
      </c>
      <c r="D457" s="3089" t="str">
        <f>'16-A. PM sub Annex'!F24</f>
        <v>RCH</v>
      </c>
      <c r="E457" s="3089" t="str">
        <f>'16-A. PM sub Annex'!G24</f>
        <v>HRH&amp;HPIP/FP</v>
      </c>
      <c r="F457" s="3089">
        <f>'16-A. PM sub Annex'!H24</f>
        <v>95</v>
      </c>
      <c r="G457" s="3089">
        <f>'16-A. PM sub Annex'!I24</f>
        <v>5</v>
      </c>
      <c r="H457" s="3089">
        <f>'16-A. PM sub Annex'!J24</f>
        <v>4.8</v>
      </c>
      <c r="I457" s="3089">
        <f>'16-A. PM sub Annex'!K24</f>
        <v>0.28000000000000003</v>
      </c>
      <c r="J457" s="3089">
        <f>'16-A. PM sub Annex'!L24</f>
        <v>0</v>
      </c>
      <c r="K457" s="3089" t="str">
        <f>'16-A. PM sub Annex'!M24</f>
        <v>no. Of units</v>
      </c>
      <c r="L457" s="3090">
        <f>'16-A. PM sub Annex'!N24</f>
        <v>10000</v>
      </c>
      <c r="M457" s="3090">
        <f>'16-A. PM sub Annex'!O24</f>
        <v>0.1</v>
      </c>
      <c r="N457" s="3089">
        <f>'16-A. PM sub Annex'!P24</f>
        <v>172</v>
      </c>
      <c r="O457" s="3090">
        <f>'16-A. PM sub Annex'!Q24</f>
        <v>17.2</v>
      </c>
      <c r="P457" s="3091" t="str">
        <f>'16-A. PM sub Annex'!R24</f>
        <v>continued activity- (2 state level + 2 regional level + 4 district level QAC meeting) X Rs 10000</v>
      </c>
      <c r="Q457" s="3092"/>
      <c r="R457" s="3093"/>
    </row>
    <row r="458" spans="1:18" s="3084" customFormat="1">
      <c r="A458" s="3087" t="str">
        <f>'16-A. PM sub Annex'!B25</f>
        <v>16.1.2.1.5</v>
      </c>
      <c r="B458" s="3087" t="str">
        <f>'16-A. PM sub Annex'!D25</f>
        <v>A.3.5.2</v>
      </c>
      <c r="C458" s="3088" t="str">
        <f>'16-A. PM sub Annex'!E25</f>
        <v>FP review meetings (As per Hon'ble SC judgement)</v>
      </c>
      <c r="D458" s="3089" t="str">
        <f>'16-A. PM sub Annex'!F25</f>
        <v>RCH</v>
      </c>
      <c r="E458" s="3089" t="str">
        <f>'16-A. PM sub Annex'!G25</f>
        <v>HRH&amp;HPIP/FP</v>
      </c>
      <c r="F458" s="3089">
        <f>'16-A. PM sub Annex'!H25</f>
        <v>5</v>
      </c>
      <c r="G458" s="3089">
        <f>'16-A. PM sub Annex'!I25</f>
        <v>0</v>
      </c>
      <c r="H458" s="3089">
        <f>'16-A. PM sub Annex'!J25</f>
        <v>4.88</v>
      </c>
      <c r="I458" s="3089">
        <f>'16-A. PM sub Annex'!K25</f>
        <v>0</v>
      </c>
      <c r="J458" s="3089">
        <f>'16-A. PM sub Annex'!L25</f>
        <v>0</v>
      </c>
      <c r="K458" s="3089" t="str">
        <f>'16-A. PM sub Annex'!M25</f>
        <v>No. Of units</v>
      </c>
      <c r="L458" s="3090">
        <f>'16-A. PM sub Annex'!N25</f>
        <v>75000</v>
      </c>
      <c r="M458" s="3090">
        <f>'16-A. PM sub Annex'!O25</f>
        <v>0.75</v>
      </c>
      <c r="N458" s="3089">
        <f>'16-A. PM sub Annex'!P25</f>
        <v>10</v>
      </c>
      <c r="O458" s="3090">
        <f>'16-A. PM sub Annex'!Q25</f>
        <v>7.5</v>
      </c>
      <c r="P458" s="3091" t="str">
        <f>'16-A. PM sub Annex'!R25</f>
        <v>Continued activity- 3 lakh at state level FP review + Rs 50000 X 9 division</v>
      </c>
      <c r="Q458" s="3092"/>
      <c r="R458" s="3093"/>
    </row>
    <row r="459" spans="1:18" s="3084" customFormat="1">
      <c r="A459" s="3087" t="str">
        <f>'16-A. PM sub Annex'!B26</f>
        <v>16.1.2.1.6</v>
      </c>
      <c r="B459" s="3087" t="str">
        <f>'16-A. PM sub Annex'!D26</f>
        <v>A.4.1.1</v>
      </c>
      <c r="C459" s="3088" t="str">
        <f>'16-A. PM sub Annex'!E26</f>
        <v xml:space="preserve">Review meetings/ workshops under RKSK </v>
      </c>
      <c r="D459" s="3089" t="str">
        <f>'16-A. PM sub Annex'!F26</f>
        <v>RCH</v>
      </c>
      <c r="E459" s="3089" t="str">
        <f>'16-A. PM sub Annex'!G26</f>
        <v>HRH&amp;HPIP/AH</v>
      </c>
      <c r="F459" s="3089">
        <f>'16-A. PM sub Annex'!H26</f>
        <v>0</v>
      </c>
      <c r="G459" s="3089">
        <f>'16-A. PM sub Annex'!I26</f>
        <v>0</v>
      </c>
      <c r="H459" s="3089">
        <f>'16-A. PM sub Annex'!J26</f>
        <v>0</v>
      </c>
      <c r="I459" s="3089">
        <f>'16-A. PM sub Annex'!K26</f>
        <v>0</v>
      </c>
      <c r="J459" s="3089">
        <f>'16-A. PM sub Annex'!L26</f>
        <v>0</v>
      </c>
      <c r="K459" s="3089">
        <f>'16-A. PM sub Annex'!M26</f>
        <v>0</v>
      </c>
      <c r="L459" s="3090">
        <f>'16-A. PM sub Annex'!N26</f>
        <v>0</v>
      </c>
      <c r="M459" s="3090">
        <f>'16-A. PM sub Annex'!O26</f>
        <v>0</v>
      </c>
      <c r="N459" s="3089">
        <f>'16-A. PM sub Annex'!P26</f>
        <v>0</v>
      </c>
      <c r="O459" s="3090">
        <f>'16-A. PM sub Annex'!Q26</f>
        <v>0</v>
      </c>
      <c r="P459" s="3091">
        <f>'16-A. PM sub Annex'!R26</f>
        <v>0</v>
      </c>
      <c r="Q459" s="3092"/>
      <c r="R459" s="3093"/>
    </row>
    <row r="460" spans="1:18" s="3084" customFormat="1" ht="189" customHeight="1">
      <c r="A460" s="3087" t="str">
        <f>'16-A. PM sub Annex'!B27</f>
        <v>16.1.2.1.7</v>
      </c>
      <c r="B460" s="3087" t="str">
        <f>'16-A. PM sub Annex'!D27</f>
        <v>A.5.1.2</v>
      </c>
      <c r="C460" s="3088" t="str">
        <f>'16-A. PM sub Annex'!E27</f>
        <v xml:space="preserve">RBSK Convergence/Monitoring meetings   </v>
      </c>
      <c r="D460" s="3089" t="str">
        <f>'16-A. PM sub Annex'!F27</f>
        <v>RCH</v>
      </c>
      <c r="E460" s="3089" t="str">
        <f>'16-A. PM sub Annex'!G27</f>
        <v>HRH&amp;HPIP/RBSK</v>
      </c>
      <c r="F460" s="3089">
        <f>'16-A. PM sub Annex'!H27</f>
        <v>0</v>
      </c>
      <c r="G460" s="3089">
        <f>'16-A. PM sub Annex'!I27</f>
        <v>0</v>
      </c>
      <c r="H460" s="3089">
        <f>'16-A. PM sub Annex'!J27</f>
        <v>0</v>
      </c>
      <c r="I460" s="3089">
        <f>'16-A. PM sub Annex'!K27</f>
        <v>0</v>
      </c>
      <c r="J460" s="3089">
        <f>'16-A. PM sub Annex'!L27</f>
        <v>0</v>
      </c>
      <c r="K460" s="3087" t="str">
        <f>'16-A. PM sub Annex'!M27</f>
        <v>No. of Convergence meeting at each level + No. of State level quarterly  Monitoring meeting + No. of district level monthly  Monitoring meeting</v>
      </c>
      <c r="L460" s="3090">
        <f>'16-A. PM sub Annex'!N27</f>
        <v>7238.3649999999998</v>
      </c>
      <c r="M460" s="3090">
        <f>'16-A. PM sub Annex'!O27</f>
        <v>7.2383649999999994E-2</v>
      </c>
      <c r="N460" s="3089">
        <f>'16-A. PM sub Annex'!P27</f>
        <v>159</v>
      </c>
      <c r="O460" s="3090">
        <f>'16-A. PM sub Annex'!Q27</f>
        <v>11.509000349999999</v>
      </c>
      <c r="P460" s="3091" t="str">
        <f>'16-A. PM sub Annex'!R27</f>
        <v xml:space="preserve">Continued Activities 
1- Convergence Meetings- 3 State level convergence meeting @ Rs. 3900/meeting x 3 meetings = Rs. 11,700 /- 
2- 4 State level quarterly meeting of representatives of district (District level personnel involved in the programme). @ Rs. 1,10,600 /meeting x 4 meetings = Rs. 4,42,400 /- 
3. District level Quarterly meeting- District nodal officer, who is ACMO of the district holds monthly meeting with mobile health teams at district level. District level quarterly meeting of 2 representatives (One AYUSH doctor + One Pharmacist) from each mobile health team is important.
For 38 districts x 04 Quarter = 152 meeting needed at the cost of Rs. 6,96,800 /- 
The total cost of Rs. 11,50,900/- (Detail Annexed) 
</v>
      </c>
      <c r="Q460" s="3092"/>
      <c r="R460" s="3093"/>
    </row>
    <row r="461" spans="1:18" s="3084" customFormat="1" ht="60">
      <c r="A461" s="3087" t="str">
        <f>'16-A. PM sub Annex'!B33</f>
        <v>16.1.2.1.13</v>
      </c>
      <c r="B461" s="3087" t="str">
        <f>'16-A. PM sub Annex'!D33</f>
        <v>C.1.c</v>
      </c>
      <c r="C461" s="3088" t="str">
        <f>'16-A. PM sub Annex'!E33</f>
        <v>Support for Quarterly State level review meetings of district officer</v>
      </c>
      <c r="D461" s="3089" t="str">
        <f>'16-A. PM sub Annex'!F33</f>
        <v>RCH</v>
      </c>
      <c r="E461" s="3089" t="str">
        <f>'16-A. PM sub Annex'!G33</f>
        <v>HRH&amp;HPIP/RI</v>
      </c>
      <c r="F461" s="3089">
        <f>'16-A. PM sub Annex'!H33</f>
        <v>0</v>
      </c>
      <c r="G461" s="3089">
        <f>'16-A. PM sub Annex'!I33</f>
        <v>0</v>
      </c>
      <c r="H461" s="3089">
        <f>'16-A. PM sub Annex'!J33</f>
        <v>0</v>
      </c>
      <c r="I461" s="3089">
        <f>'16-A. PM sub Annex'!K33</f>
        <v>0</v>
      </c>
      <c r="J461" s="3089">
        <f>'16-A. PM sub Annex'!L33</f>
        <v>0</v>
      </c>
      <c r="K461" s="3089" t="str">
        <f>'16-A. PM sub Annex'!M33</f>
        <v>No. of Participants</v>
      </c>
      <c r="L461" s="3090">
        <f>'16-A. PM sub Annex'!N33</f>
        <v>1500</v>
      </c>
      <c r="M461" s="3090">
        <f>'16-A. PM sub Annex'!O33</f>
        <v>1.4999999999999999E-2</v>
      </c>
      <c r="N461" s="3089">
        <f>'16-A. PM sub Annex'!P33</f>
        <v>456</v>
      </c>
      <c r="O461" s="3090">
        <f>'16-A. PM sub Annex'!Q33</f>
        <v>6.84</v>
      </c>
      <c r="P461" s="3091" t="str">
        <f>'16-A. PM sub Annex'!R33</f>
        <v>Continued Activity
(As per GoI Norms)
For meeting of district level officer and other personnels like CCT, VCCM, DVSM, RVSM etc. (Rs 1500X12X38=Rs 684000/-)</v>
      </c>
      <c r="Q461" s="3092"/>
      <c r="R461" s="3093"/>
    </row>
    <row r="462" spans="1:18" s="3084" customFormat="1" ht="45">
      <c r="A462" s="3087" t="str">
        <f>'16-A. PM sub Annex'!B34</f>
        <v>16.1.2.1.14</v>
      </c>
      <c r="B462" s="3087" t="str">
        <f>'16-A. PM sub Annex'!D34</f>
        <v>C.1.d</v>
      </c>
      <c r="C462" s="3088" t="str">
        <f>'16-A. PM sub Annex'!E34</f>
        <v>Quarterly review meetings exclusive for RI at district level with Block MOs, CDPO, and other stake holders</v>
      </c>
      <c r="D462" s="3089" t="str">
        <f>'16-A. PM sub Annex'!F34</f>
        <v>RCH</v>
      </c>
      <c r="E462" s="3089" t="str">
        <f>'16-A. PM sub Annex'!G34</f>
        <v>HRH&amp;HPIP/RI</v>
      </c>
      <c r="F462" s="3089">
        <f>'16-A. PM sub Annex'!H34</f>
        <v>0</v>
      </c>
      <c r="G462" s="3089">
        <f>'16-A. PM sub Annex'!I34</f>
        <v>0</v>
      </c>
      <c r="H462" s="3089">
        <f>'16-A. PM sub Annex'!J34</f>
        <v>0</v>
      </c>
      <c r="I462" s="3089">
        <f>'16-A. PM sub Annex'!K34</f>
        <v>0</v>
      </c>
      <c r="J462" s="3089">
        <f>'16-A. PM sub Annex'!L34</f>
        <v>0</v>
      </c>
      <c r="K462" s="3089" t="str">
        <f>'16-A. PM sub Annex'!M34</f>
        <v>No. of Participants</v>
      </c>
      <c r="L462" s="3090">
        <f>'16-A. PM sub Annex'!N34</f>
        <v>150</v>
      </c>
      <c r="M462" s="3090">
        <f>'16-A. PM sub Annex'!O34</f>
        <v>1.5E-3</v>
      </c>
      <c r="N462" s="3089">
        <f>'16-A. PM sub Annex'!P34</f>
        <v>13680</v>
      </c>
      <c r="O462" s="3090">
        <f>'16-A. PM sub Annex'!Q34</f>
        <v>20.52</v>
      </c>
      <c r="P462" s="3091" t="str">
        <f>'16-A. PM sub Annex'!R34</f>
        <v>Continued Activity
(As per GoI Norms) Participants from 534 PHC and 150 UPHC @ 5 Participants from each facility. (Fund calculation: Rs 150X5personX684 facilityX4 times)</v>
      </c>
      <c r="Q462" s="3092"/>
      <c r="R462" s="3093"/>
    </row>
    <row r="463" spans="1:18" s="3084" customFormat="1" ht="45">
      <c r="A463" s="3087" t="str">
        <f>'16-A. PM sub Annex'!B35</f>
        <v>16.1.2.1.15</v>
      </c>
      <c r="B463" s="3087" t="str">
        <f>'16-A. PM sub Annex'!D35</f>
        <v>C.1.e</v>
      </c>
      <c r="C463" s="3088" t="str">
        <f>'16-A. PM sub Annex'!E35</f>
        <v>Quarterly review meetings exclusive for RI at block level</v>
      </c>
      <c r="D463" s="3089" t="str">
        <f>'16-A. PM sub Annex'!F35</f>
        <v>RCH</v>
      </c>
      <c r="E463" s="3089" t="str">
        <f>'16-A. PM sub Annex'!G35</f>
        <v>HRH&amp;HPIP/RI</v>
      </c>
      <c r="F463" s="3089">
        <f>'16-A. PM sub Annex'!H35</f>
        <v>0</v>
      </c>
      <c r="G463" s="3089">
        <f>'16-A. PM sub Annex'!I35</f>
        <v>0</v>
      </c>
      <c r="H463" s="3089">
        <f>'16-A. PM sub Annex'!J35</f>
        <v>0</v>
      </c>
      <c r="I463" s="3089">
        <f>'16-A. PM sub Annex'!K35</f>
        <v>0</v>
      </c>
      <c r="J463" s="3089">
        <f>'16-A. PM sub Annex'!L35</f>
        <v>0</v>
      </c>
      <c r="K463" s="3089" t="str">
        <f>'16-A. PM sub Annex'!M35</f>
        <v>No. of Participants</v>
      </c>
      <c r="L463" s="3090">
        <f>'16-A. PM sub Annex'!N35</f>
        <v>100</v>
      </c>
      <c r="M463" s="3090">
        <f>'16-A. PM sub Annex'!O35</f>
        <v>1E-3</v>
      </c>
      <c r="N463" s="3089">
        <f>'16-A. PM sub Annex'!P35</f>
        <v>470004</v>
      </c>
      <c r="O463" s="3090">
        <f>'16-A. PM sub Annex'!Q35</f>
        <v>470.00400000000002</v>
      </c>
      <c r="P463" s="3091" t="str">
        <f>'16-A. PM sub Annex'!R35</f>
        <v>Continued Activity
(As per GoI Norms)
(Fund calculation: Rs 100X117501 SSX 4 quarter)= 47000400/-</v>
      </c>
      <c r="Q463" s="3092"/>
      <c r="R463" s="3093"/>
    </row>
    <row r="464" spans="1:18" s="3084" customFormat="1">
      <c r="A464" s="3087" t="str">
        <f>'16-A. PM sub Annex'!B50</f>
        <v>16.1.2.2.1</v>
      </c>
      <c r="B464" s="3087" t="str">
        <f>'16-A. PM sub Annex'!D50</f>
        <v>A.2.4.2</v>
      </c>
      <c r="C464" s="3088" t="str">
        <f>'16-A. PM sub Annex'!E50</f>
        <v>Monitoring and Award/ Recognition  for MAA programme</v>
      </c>
      <c r="D464" s="3089" t="str">
        <f>'16-A. PM sub Annex'!F50</f>
        <v>RCH</v>
      </c>
      <c r="E464" s="3089" t="str">
        <f>'16-A. PM sub Annex'!G50</f>
        <v>HRH&amp;HPIP/CH</v>
      </c>
      <c r="F464" s="3089">
        <f>'16-A. PM sub Annex'!H50</f>
        <v>0</v>
      </c>
      <c r="G464" s="3089">
        <f>'16-A. PM sub Annex'!I50</f>
        <v>0</v>
      </c>
      <c r="H464" s="3089">
        <f>'16-A. PM sub Annex'!J50</f>
        <v>0</v>
      </c>
      <c r="I464" s="3089">
        <f>'16-A. PM sub Annex'!K50</f>
        <v>0</v>
      </c>
      <c r="J464" s="3089">
        <f>'16-A. PM sub Annex'!L50</f>
        <v>0</v>
      </c>
      <c r="K464" s="3089">
        <f>'16-A. PM sub Annex'!M50</f>
        <v>0</v>
      </c>
      <c r="L464" s="3090">
        <f>'16-A. PM sub Annex'!N50</f>
        <v>0</v>
      </c>
      <c r="M464" s="3090">
        <f>'16-A. PM sub Annex'!O50</f>
        <v>0</v>
      </c>
      <c r="N464" s="3089">
        <f>'16-A. PM sub Annex'!P50</f>
        <v>0</v>
      </c>
      <c r="O464" s="3090">
        <f>'16-A. PM sub Annex'!Q50</f>
        <v>0</v>
      </c>
      <c r="P464" s="3091">
        <f>'16-A. PM sub Annex'!R50</f>
        <v>0</v>
      </c>
      <c r="Q464" s="3092"/>
      <c r="R464" s="3093"/>
    </row>
    <row r="465" spans="1:18" s="3084" customFormat="1" ht="30">
      <c r="A465" s="3087" t="str">
        <f>'16-A. PM sub Annex'!B70</f>
        <v>16.1.3.1.2</v>
      </c>
      <c r="B465" s="3087" t="str">
        <f>'16-A. PM sub Annex'!D70</f>
        <v>A.4.1.4</v>
      </c>
      <c r="C465" s="3088" t="str">
        <f>'16-A. PM sub Annex'!E70</f>
        <v>Mobility and communication support for RKSK district coordinator/ consultant</v>
      </c>
      <c r="D465" s="3089" t="str">
        <f>'16-A. PM sub Annex'!F70</f>
        <v>RCH</v>
      </c>
      <c r="E465" s="3089" t="str">
        <f>'16-A. PM sub Annex'!G70</f>
        <v>HRH&amp;HPIP/AH</v>
      </c>
      <c r="F465" s="3089">
        <f>'16-A. PM sub Annex'!H70</f>
        <v>0</v>
      </c>
      <c r="G465" s="3089">
        <f>'16-A. PM sub Annex'!I70</f>
        <v>0</v>
      </c>
      <c r="H465" s="3089">
        <f>'16-A. PM sub Annex'!J70</f>
        <v>0</v>
      </c>
      <c r="I465" s="3089">
        <f>'16-A. PM sub Annex'!K70</f>
        <v>0</v>
      </c>
      <c r="J465" s="3089">
        <f>'16-A. PM sub Annex'!L70</f>
        <v>0</v>
      </c>
      <c r="K465" s="3089">
        <f>'16-A. PM sub Annex'!M70</f>
        <v>0</v>
      </c>
      <c r="L465" s="3090">
        <f>'16-A. PM sub Annex'!N70</f>
        <v>0</v>
      </c>
      <c r="M465" s="3090">
        <f>'16-A. PM sub Annex'!O70</f>
        <v>0</v>
      </c>
      <c r="N465" s="3089">
        <f>'16-A. PM sub Annex'!P70</f>
        <v>0</v>
      </c>
      <c r="O465" s="3090">
        <f>'16-A. PM sub Annex'!Q70</f>
        <v>0</v>
      </c>
      <c r="P465" s="3091">
        <f>'16-A. PM sub Annex'!R70</f>
        <v>0</v>
      </c>
      <c r="Q465" s="3092"/>
      <c r="R465" s="3093"/>
    </row>
    <row r="466" spans="1:18" s="3084" customFormat="1" ht="135">
      <c r="A466" s="3087" t="str">
        <f>'16-A. PM sub Annex'!B73</f>
        <v>16.1.3.1.5</v>
      </c>
      <c r="B466" s="3087" t="str">
        <f>'16-A. PM sub Annex'!D73</f>
        <v>C.1.b</v>
      </c>
      <c r="C466" s="3088" t="str">
        <f>'16-A. PM sub Annex'!E73</f>
        <v>Mobility support for supervision at State level (including SAANS supportive supervision)</v>
      </c>
      <c r="D466" s="3089" t="str">
        <f>'16-A. PM sub Annex'!F73</f>
        <v>RCH</v>
      </c>
      <c r="E466" s="3089" t="str">
        <f>'16-A. PM sub Annex'!G73</f>
        <v>HRH&amp;HPIP/RI/CH</v>
      </c>
      <c r="F466" s="3089">
        <f>'16-A. PM sub Annex'!H73</f>
        <v>0</v>
      </c>
      <c r="G466" s="3089">
        <f>'16-A. PM sub Annex'!I73</f>
        <v>0</v>
      </c>
      <c r="H466" s="3089">
        <f>'16-A. PM sub Annex'!J73</f>
        <v>5.4</v>
      </c>
      <c r="I466" s="3089">
        <f>'16-A. PM sub Annex'!K73</f>
        <v>0</v>
      </c>
      <c r="J466" s="3089">
        <f>'16-A. PM sub Annex'!L73</f>
        <v>0</v>
      </c>
      <c r="K466" s="3089" t="str">
        <f>'16-A. PM sub Annex'!M73</f>
        <v>Vehicle for State level monitoring</v>
      </c>
      <c r="L466" s="3090">
        <f>'16-A. PM sub Annex'!N73</f>
        <v>1836000</v>
      </c>
      <c r="M466" s="3090">
        <f>'16-A. PM sub Annex'!O73</f>
        <v>18.36</v>
      </c>
      <c r="N466" s="3089">
        <f>'16-A. PM sub Annex'!P73</f>
        <v>1</v>
      </c>
      <c r="O466" s="3090">
        <f>'16-A. PM sub Annex'!Q73</f>
        <v>18.36</v>
      </c>
      <c r="P466" s="3091" t="str">
        <f>'16-A. PM sub Annex'!R73</f>
        <v>Continued Activity
(As per GoI Norms)
Fund calculation @ Rs 540000/- per year). For state level monitoring/supevision
B.
Budget is being proposed for mobility support to CBCE to visit(@200 per visit) atleast 10 VHNDs/ Block PHCs/AWCs in month to facilitate screening of severe acute malnourished children and referral to the NRCs. There are 54 CBCEs have been recruited to support community and facility level screening of SAM with medical complication to meet the target of more than 75% BoR of NRC.</v>
      </c>
      <c r="Q466" s="3092"/>
      <c r="R466" s="3093"/>
    </row>
    <row r="467" spans="1:18" s="3084" customFormat="1" ht="45">
      <c r="A467" s="3087" t="str">
        <f>'16-A. PM sub Annex'!B74</f>
        <v>16.1.3.1.6</v>
      </c>
      <c r="B467" s="3087" t="str">
        <f>'16-A. PM sub Annex'!D74</f>
        <v>C.2.3</v>
      </c>
      <c r="C467" s="3088" t="str">
        <f>'16-A. PM sub Annex'!E74</f>
        <v>Mobility support for staff for E-Vin (VCCM)</v>
      </c>
      <c r="D467" s="3089" t="str">
        <f>'16-A. PM sub Annex'!F74</f>
        <v>RCH</v>
      </c>
      <c r="E467" s="3089" t="str">
        <f>'16-A. PM sub Annex'!G74</f>
        <v>HRH&amp;HPIP/RI</v>
      </c>
      <c r="F467" s="3089">
        <f>'16-A. PM sub Annex'!H74</f>
        <v>0</v>
      </c>
      <c r="G467" s="3089">
        <f>'16-A. PM sub Annex'!I74</f>
        <v>0</v>
      </c>
      <c r="H467" s="3089">
        <f>'16-A. PM sub Annex'!J74</f>
        <v>51.6</v>
      </c>
      <c r="I467" s="3089">
        <f>'16-A. PM sub Annex'!K74</f>
        <v>0</v>
      </c>
      <c r="J467" s="3089">
        <f>'16-A. PM sub Annex'!L74</f>
        <v>0</v>
      </c>
      <c r="K467" s="3089" t="str">
        <f>'16-A. PM sub Annex'!M74</f>
        <v>per month mobility support</v>
      </c>
      <c r="L467" s="3090">
        <f>'16-A. PM sub Annex'!N74</f>
        <v>10636.362999999999</v>
      </c>
      <c r="M467" s="3090">
        <f>'16-A. PM sub Annex'!O74</f>
        <v>0.10636363</v>
      </c>
      <c r="N467" s="3089">
        <f>'16-A. PM sub Annex'!P74</f>
        <v>528</v>
      </c>
      <c r="O467" s="3090">
        <f>'16-A. PM sub Annex'!Q74</f>
        <v>56.159996640000003</v>
      </c>
      <c r="P467" s="3091" t="str">
        <f>'16-A. PM sub Annex'!R74</f>
        <v>Continued Activity….
Mobility support for 44 Staffs of eVIN @10636.363/- per staffs per month for one year. Details of Staffs:- 2 at State, 4 at Region &amp; 38 at district</v>
      </c>
      <c r="Q467" s="3092"/>
      <c r="R467" s="3093"/>
    </row>
    <row r="468" spans="1:18" s="3084" customFormat="1" ht="30">
      <c r="A468" s="3087" t="str">
        <f>'16-A. PM sub Annex'!B94</f>
        <v>16.1.3.3.1</v>
      </c>
      <c r="B468" s="3087" t="str">
        <f>'16-A. PM sub Annex'!D94</f>
        <v>A.3.5.4</v>
      </c>
      <c r="C468" s="3088" t="str">
        <f>'16-A. PM sub Annex'!E94</f>
        <v>PM activities for World Population Day’ celebration (Only mobility cost): funds earmarked for district level activities</v>
      </c>
      <c r="D468" s="3089" t="str">
        <f>'16-A. PM sub Annex'!F94</f>
        <v>RCH</v>
      </c>
      <c r="E468" s="3089" t="str">
        <f>'16-A. PM sub Annex'!G94</f>
        <v>HRH&amp;HPIP/FP</v>
      </c>
      <c r="F468" s="3089">
        <f>'16-A. PM sub Annex'!H94</f>
        <v>300</v>
      </c>
      <c r="G468" s="3089">
        <f>'16-A. PM sub Annex'!I94</f>
        <v>100</v>
      </c>
      <c r="H468" s="3089">
        <f>'16-A. PM sub Annex'!J94</f>
        <v>3</v>
      </c>
      <c r="I468" s="3089">
        <f>'16-A. PM sub Annex'!K94</f>
        <v>97.67</v>
      </c>
      <c r="J468" s="3089">
        <f>'16-A. PM sub Annex'!L94</f>
        <v>0</v>
      </c>
      <c r="K468" s="3089" t="str">
        <f>'16-A. PM sub Annex'!M94</f>
        <v>No. Of FDS at outreach</v>
      </c>
      <c r="L468" s="3090">
        <f>'16-A. PM sub Annex'!N94</f>
        <v>1000</v>
      </c>
      <c r="M468" s="3090">
        <f>'16-A. PM sub Annex'!O94</f>
        <v>0.01</v>
      </c>
      <c r="N468" s="3089">
        <f>'16-A. PM sub Annex'!P94</f>
        <v>380</v>
      </c>
      <c r="O468" s="3090">
        <f>'16-A. PM sub Annex'!Q94</f>
        <v>3.8000000000000003</v>
      </c>
      <c r="P468" s="3091" t="str">
        <f>'16-A. PM sub Annex'!R94</f>
        <v>Continued activity- Rs 1000/FDS at outreach / hard to reach area X 380 such FDS</v>
      </c>
      <c r="Q468" s="3092"/>
      <c r="R468" s="3093"/>
    </row>
    <row r="469" spans="1:18" s="3084" customFormat="1" ht="30">
      <c r="A469" s="3087" t="str">
        <f>'16-A. PM sub Annex'!B95</f>
        <v>16.1.3.3.2</v>
      </c>
      <c r="B469" s="3087" t="str">
        <f>'16-A. PM sub Annex'!D95</f>
        <v>A.3.5.5</v>
      </c>
      <c r="C469" s="3088" t="str">
        <f>'16-A. PM sub Annex'!E95</f>
        <v>PM activities for Vasectomy Fortnight celebration  (Only mobility cost): funds earmarked for district level activities</v>
      </c>
      <c r="D469" s="3089" t="str">
        <f>'16-A. PM sub Annex'!F95</f>
        <v>RCH</v>
      </c>
      <c r="E469" s="3089" t="str">
        <f>'16-A. PM sub Annex'!G95</f>
        <v>HRH&amp;HPIP/FP</v>
      </c>
      <c r="F469" s="3089">
        <f>'16-A. PM sub Annex'!H95</f>
        <v>50</v>
      </c>
      <c r="G469" s="3089">
        <f>'16-A. PM sub Annex'!I95</f>
        <v>0</v>
      </c>
      <c r="H469" s="3089">
        <f>'16-A. PM sub Annex'!J95</f>
        <v>0.5</v>
      </c>
      <c r="I469" s="3089">
        <f>'16-A. PM sub Annex'!K95</f>
        <v>0</v>
      </c>
      <c r="J469" s="3089">
        <f>'16-A. PM sub Annex'!L95</f>
        <v>0</v>
      </c>
      <c r="K469" s="3089" t="str">
        <f>'16-A. PM sub Annex'!M95</f>
        <v>No. Of FDS at outreach</v>
      </c>
      <c r="L469" s="3090">
        <f>'16-A. PM sub Annex'!N95</f>
        <v>1000</v>
      </c>
      <c r="M469" s="3090">
        <f>'16-A. PM sub Annex'!O95</f>
        <v>0.01</v>
      </c>
      <c r="N469" s="3089">
        <f>'16-A. PM sub Annex'!P95</f>
        <v>76</v>
      </c>
      <c r="O469" s="3090">
        <f>'16-A. PM sub Annex'!Q95</f>
        <v>0.76</v>
      </c>
      <c r="P469" s="3091" t="str">
        <f>'16-A. PM sub Annex'!R95</f>
        <v>Continued activity- Rs 1000/FDS at outreach / hard to reach area X 76 such FDS</v>
      </c>
      <c r="Q469" s="3092"/>
      <c r="R469" s="3093"/>
    </row>
    <row r="470" spans="1:18" s="3084" customFormat="1" ht="45" customHeight="1">
      <c r="A470" s="3087" t="str">
        <f>'16-A. PM sub Annex'!B100</f>
        <v>16.1.3.3.7</v>
      </c>
      <c r="B470" s="3087" t="str">
        <f>'16-A. PM sub Annex'!D100</f>
        <v>C.1.a</v>
      </c>
      <c r="C470" s="3088" t="str">
        <f>'16-A. PM sub Annex'!E100</f>
        <v>Mobility Support for supervision for district level officers.</v>
      </c>
      <c r="D470" s="3089" t="str">
        <f>'16-A. PM sub Annex'!F100</f>
        <v>RCH</v>
      </c>
      <c r="E470" s="3089" t="str">
        <f>'16-A. PM sub Annex'!G100</f>
        <v>HRH&amp;HPIP/RI</v>
      </c>
      <c r="F470" s="3089">
        <f>'16-A. PM sub Annex'!H100</f>
        <v>0</v>
      </c>
      <c r="G470" s="3089">
        <f>'16-A. PM sub Annex'!I100</f>
        <v>0</v>
      </c>
      <c r="H470" s="3089">
        <f>'16-A. PM sub Annex'!J100</f>
        <v>114</v>
      </c>
      <c r="I470" s="3089">
        <f>'16-A. PM sub Annex'!K100</f>
        <v>0</v>
      </c>
      <c r="J470" s="3089">
        <f>'16-A. PM sub Annex'!L100</f>
        <v>0</v>
      </c>
      <c r="K470" s="3087" t="str">
        <f>'16-A. PM sub Annex'!M100</f>
        <v>district level monitoring</v>
      </c>
      <c r="L470" s="3090">
        <f>'16-A. PM sub Annex'!N100</f>
        <v>325000</v>
      </c>
      <c r="M470" s="3090">
        <f>'16-A. PM sub Annex'!O100</f>
        <v>3.25</v>
      </c>
      <c r="N470" s="3089">
        <f>'16-A. PM sub Annex'!P100</f>
        <v>38</v>
      </c>
      <c r="O470" s="3090">
        <f>'16-A. PM sub Annex'!Q100</f>
        <v>123.5</v>
      </c>
      <c r="P470" s="3091" t="str">
        <f>'16-A. PM sub Annex'!R100</f>
        <v>Continued Activity
Fund calculation @ Rs 325000/- per year for 38 DHQ). For District level monitoring/supevision</v>
      </c>
      <c r="Q470" s="3092"/>
      <c r="R470" s="3093"/>
    </row>
    <row r="471" spans="1:18" s="3084" customFormat="1" ht="27.6" customHeight="1">
      <c r="A471" s="3087" t="str">
        <f>'16-A. PM sub Annex'!B111</f>
        <v>16.1.3.4.1</v>
      </c>
      <c r="B471" s="3087" t="str">
        <f>'16-A. PM sub Annex'!D111</f>
        <v>A.3.5.4</v>
      </c>
      <c r="C471" s="3088" t="str">
        <f>'16-A. PM sub Annex'!E111</f>
        <v>PM activities for World Population Day’ celebration (Only mobility cost): funds earmarked for block level activities</v>
      </c>
      <c r="D471" s="3089" t="str">
        <f>'16-A. PM sub Annex'!F111</f>
        <v>RCH</v>
      </c>
      <c r="E471" s="3089" t="str">
        <f>'16-A. PM sub Annex'!G111</f>
        <v>HRH&amp;HPIP/FP</v>
      </c>
      <c r="F471" s="3089">
        <f>'16-A. PM sub Annex'!H111</f>
        <v>0</v>
      </c>
      <c r="G471" s="3089">
        <f>'16-A. PM sub Annex'!I111</f>
        <v>0</v>
      </c>
      <c r="H471" s="3089">
        <f>'16-A. PM sub Annex'!J111</f>
        <v>0</v>
      </c>
      <c r="I471" s="3089">
        <f>'16-A. PM sub Annex'!K111</f>
        <v>0</v>
      </c>
      <c r="J471" s="3089">
        <f>'16-A. PM sub Annex'!L111</f>
        <v>0</v>
      </c>
      <c r="K471" s="3089">
        <f>'16-A. PM sub Annex'!M111</f>
        <v>0</v>
      </c>
      <c r="L471" s="3090">
        <f>'16-A. PM sub Annex'!N111</f>
        <v>0</v>
      </c>
      <c r="M471" s="3090">
        <f>'16-A. PM sub Annex'!O111</f>
        <v>0</v>
      </c>
      <c r="N471" s="3089">
        <f>'16-A. PM sub Annex'!P111</f>
        <v>0</v>
      </c>
      <c r="O471" s="3090">
        <f>'16-A. PM sub Annex'!Q111</f>
        <v>0</v>
      </c>
      <c r="P471" s="3091">
        <f>'16-A. PM sub Annex'!R111</f>
        <v>0</v>
      </c>
      <c r="Q471" s="3092"/>
      <c r="R471" s="3093"/>
    </row>
    <row r="472" spans="1:18" s="3084" customFormat="1" ht="30">
      <c r="A472" s="3087" t="str">
        <f>'16-A. PM sub Annex'!B112</f>
        <v>16.1.3.4.2</v>
      </c>
      <c r="B472" s="3087" t="str">
        <f>'16-A. PM sub Annex'!D112</f>
        <v>A.3.5.5</v>
      </c>
      <c r="C472" s="3088" t="str">
        <f>'16-A. PM sub Annex'!E112</f>
        <v>PM activities for Vasectomy Fortnight celebration  (Only mobility cost): funds earmarked for block level activities</v>
      </c>
      <c r="D472" s="3089" t="str">
        <f>'16-A. PM sub Annex'!F112</f>
        <v>RCH</v>
      </c>
      <c r="E472" s="3089" t="str">
        <f>'16-A. PM sub Annex'!G112</f>
        <v>HRH&amp;HPIP/FP</v>
      </c>
      <c r="F472" s="3089">
        <f>'16-A. PM sub Annex'!H112</f>
        <v>0</v>
      </c>
      <c r="G472" s="3089">
        <f>'16-A. PM sub Annex'!I112</f>
        <v>0</v>
      </c>
      <c r="H472" s="3089">
        <f>'16-A. PM sub Annex'!J112</f>
        <v>0</v>
      </c>
      <c r="I472" s="3089">
        <f>'16-A. PM sub Annex'!K112</f>
        <v>0</v>
      </c>
      <c r="J472" s="3089">
        <f>'16-A. PM sub Annex'!L112</f>
        <v>0</v>
      </c>
      <c r="K472" s="3089">
        <f>'16-A. PM sub Annex'!M112</f>
        <v>0</v>
      </c>
      <c r="L472" s="3090">
        <f>'16-A. PM sub Annex'!N112</f>
        <v>0</v>
      </c>
      <c r="M472" s="3090">
        <f>'16-A. PM sub Annex'!O112</f>
        <v>0</v>
      </c>
      <c r="N472" s="3089">
        <f>'16-A. PM sub Annex'!P112</f>
        <v>0</v>
      </c>
      <c r="O472" s="3090">
        <f>'16-A. PM sub Annex'!Q112</f>
        <v>0</v>
      </c>
      <c r="P472" s="3091">
        <f>'16-A. PM sub Annex'!R112</f>
        <v>0</v>
      </c>
      <c r="Q472" s="3092"/>
      <c r="R472" s="3093"/>
    </row>
    <row r="473" spans="1:18" s="3084" customFormat="1">
      <c r="A473" s="3087" t="str">
        <f>'16-A. PM sub Annex'!B120</f>
        <v>16.1.4.1.1</v>
      </c>
      <c r="B473" s="3087" t="str">
        <f>'16-A. PM sub Annex'!D120</f>
        <v>A.1.3.3</v>
      </c>
      <c r="C473" s="3088" t="str">
        <f>'16-A. PM sub Annex'!E120</f>
        <v xml:space="preserve">JSY Administrative Expenses </v>
      </c>
      <c r="D473" s="3089" t="str">
        <f>'16-A. PM sub Annex'!F120</f>
        <v>RCH</v>
      </c>
      <c r="E473" s="3089" t="str">
        <f>'16-A. PM sub Annex'!G120</f>
        <v>HRH&amp;HPIP/MH</v>
      </c>
      <c r="F473" s="3089">
        <f>'16-A. PM sub Annex'!H120</f>
        <v>0</v>
      </c>
      <c r="G473" s="3089">
        <f>'16-A. PM sub Annex'!I120</f>
        <v>0</v>
      </c>
      <c r="H473" s="3089">
        <f>'16-A. PM sub Annex'!J120</f>
        <v>0</v>
      </c>
      <c r="I473" s="3089">
        <f>'16-A. PM sub Annex'!K120</f>
        <v>0</v>
      </c>
      <c r="J473" s="3089">
        <f>'16-A. PM sub Annex'!L120</f>
        <v>0</v>
      </c>
      <c r="K473" s="3089">
        <f>'16-A. PM sub Annex'!M120</f>
        <v>0</v>
      </c>
      <c r="L473" s="3090">
        <f>'16-A. PM sub Annex'!N120</f>
        <v>45000000</v>
      </c>
      <c r="M473" s="3089">
        <f>'16-A. PM sub Annex'!O120</f>
        <v>450</v>
      </c>
      <c r="N473" s="3089">
        <f>'16-A. PM sub Annex'!P120</f>
        <v>1</v>
      </c>
      <c r="O473" s="3090">
        <f>'16-A. PM sub Annex'!Q120</f>
        <v>450</v>
      </c>
      <c r="P473" s="3091" t="e">
        <f>'16-A. PM sub Annex'!#REF!</f>
        <v>#REF!</v>
      </c>
      <c r="Q473" s="3092"/>
      <c r="R473" s="3093"/>
    </row>
    <row r="474" spans="1:18" s="3084" customFormat="1" ht="45">
      <c r="A474" s="3087" t="str">
        <f>'16-A. PM sub Annex'!B146</f>
        <v>16.1.4.3.1</v>
      </c>
      <c r="B474" s="3087" t="str">
        <f>'16-A. PM sub Annex'!D146</f>
        <v>A.2.2.1.1</v>
      </c>
      <c r="C474" s="3088" t="str">
        <f>'16-A. PM sub Annex'!E146</f>
        <v>SNCU Data management (excluding HR)</v>
      </c>
      <c r="D474" s="3089" t="str">
        <f>'16-A. PM sub Annex'!F146</f>
        <v>RCH</v>
      </c>
      <c r="E474" s="3089" t="str">
        <f>'16-A. PM sub Annex'!G146</f>
        <v>HRH&amp;HPIP/CH</v>
      </c>
      <c r="F474" s="3089">
        <f>'16-A. PM sub Annex'!H146</f>
        <v>0</v>
      </c>
      <c r="G474" s="3089">
        <f>'16-A. PM sub Annex'!I146</f>
        <v>0</v>
      </c>
      <c r="H474" s="3089">
        <f>'16-A. PM sub Annex'!J146</f>
        <v>0</v>
      </c>
      <c r="I474" s="3089">
        <f>'16-A. PM sub Annex'!K146</f>
        <v>0</v>
      </c>
      <c r="J474" s="3089">
        <f>'16-A. PM sub Annex'!L146</f>
        <v>0</v>
      </c>
      <c r="K474" s="3089" t="str">
        <f>'16-A. PM sub Annex'!M146</f>
        <v>No. of NBSU</v>
      </c>
      <c r="L474" s="3090">
        <f>'16-A. PM sub Annex'!N146</f>
        <v>24000</v>
      </c>
      <c r="M474" s="3089">
        <f>'16-A. PM sub Annex'!O146</f>
        <v>0.24</v>
      </c>
      <c r="N474" s="3089">
        <f>'16-A. PM sub Annex'!P146</f>
        <v>43</v>
      </c>
      <c r="O474" s="3090">
        <f>'16-A. PM sub Annex'!Q146</f>
        <v>10.32</v>
      </c>
      <c r="P474" s="3091" t="str">
        <f>'16-A. PM sub Annex'!R146</f>
        <v>New Activity: Budget is being proposed for Data entry management @ 2,000 INR per month per NBSU  for Online data entry in NBSU portal.  Total Budgdet required = 2000*43 NBSU*12 month = 10.32 lakh</v>
      </c>
      <c r="Q474" s="3092"/>
      <c r="R474" s="3093"/>
    </row>
    <row r="475" spans="1:18" s="3084" customFormat="1" ht="30">
      <c r="A475" s="3087" t="str">
        <f>'16-A. PM sub Annex'!B163</f>
        <v>16.1.5.3.1</v>
      </c>
      <c r="B475" s="3087" t="str">
        <f>'16-A. PM sub Annex'!D163</f>
        <v>A.2.7</v>
      </c>
      <c r="C475" s="3088" t="str">
        <f>'16-A. PM sub Annex'!E163</f>
        <v>PM activities under Micronutrient Supplementation Programme</v>
      </c>
      <c r="D475" s="3089" t="str">
        <f>'16-A. PM sub Annex'!F163</f>
        <v>RCH</v>
      </c>
      <c r="E475" s="3089" t="str">
        <f>'16-A. PM sub Annex'!G163</f>
        <v>HRH&amp;HPIP/CH</v>
      </c>
      <c r="F475" s="3089">
        <f>'16-A. PM sub Annex'!H163</f>
        <v>0</v>
      </c>
      <c r="G475" s="3089">
        <f>'16-A. PM sub Annex'!I163</f>
        <v>0</v>
      </c>
      <c r="H475" s="3089">
        <f>'16-A. PM sub Annex'!J163</f>
        <v>0</v>
      </c>
      <c r="I475" s="3089">
        <f>'16-A. PM sub Annex'!K163</f>
        <v>0</v>
      </c>
      <c r="J475" s="3089">
        <f>'16-A. PM sub Annex'!L163</f>
        <v>0</v>
      </c>
      <c r="K475" s="3089">
        <f>'16-A. PM sub Annex'!M163</f>
        <v>0</v>
      </c>
      <c r="L475" s="3090">
        <f>'16-A. PM sub Annex'!N163</f>
        <v>0</v>
      </c>
      <c r="M475" s="3089">
        <f>'16-A. PM sub Annex'!O163</f>
        <v>0</v>
      </c>
      <c r="N475" s="3089">
        <f>'16-A. PM sub Annex'!P163</f>
        <v>0</v>
      </c>
      <c r="O475" s="3090">
        <f>'16-A. PM sub Annex'!Q163</f>
        <v>0</v>
      </c>
      <c r="P475" s="3091">
        <f>'16-A. PM sub Annex'!R163</f>
        <v>0</v>
      </c>
      <c r="Q475" s="3092"/>
      <c r="R475" s="3093"/>
    </row>
    <row r="476" spans="1:18" s="3084" customFormat="1">
      <c r="A476" s="3078">
        <f>'18.Innovation'!A7</f>
        <v>18</v>
      </c>
      <c r="B476" s="3078"/>
      <c r="C476" s="3079" t="str">
        <f>'18.Innovation'!C7</f>
        <v>Innovations (if any)</v>
      </c>
      <c r="D476" s="3080"/>
      <c r="E476" s="3080"/>
      <c r="F476" s="3080"/>
      <c r="G476" s="3080"/>
      <c r="H476" s="3080"/>
      <c r="I476" s="3080"/>
      <c r="J476" s="3080"/>
      <c r="K476" s="3080"/>
      <c r="L476" s="3056"/>
      <c r="M476" s="3056"/>
      <c r="N476" s="3080"/>
      <c r="O476" s="3056">
        <f>SUM(O477:O481)</f>
        <v>3133.4498779999999</v>
      </c>
      <c r="P476" s="3081"/>
      <c r="Q476" s="3082"/>
      <c r="R476" s="3083">
        <f>SUM(R477:R481)</f>
        <v>0</v>
      </c>
    </row>
    <row r="477" spans="1:18" s="3084" customFormat="1" ht="45">
      <c r="A477" s="3087" t="str">
        <f>'18.Innovation'!A9</f>
        <v>18.1.1</v>
      </c>
      <c r="B477" s="3087">
        <f>'18.Innovation'!B9</f>
        <v>0</v>
      </c>
      <c r="C477" s="3088" t="str">
        <f>'18.Innovation'!C9</f>
        <v>SMNET</v>
      </c>
      <c r="D477" s="3089" t="str">
        <f>'18.Innovation'!D9</f>
        <v>RCH</v>
      </c>
      <c r="E477" s="3089" t="str">
        <f>'18.Innovation'!E9</f>
        <v>RI</v>
      </c>
      <c r="F477" s="3089">
        <f>'18.Innovation'!F9</f>
        <v>0</v>
      </c>
      <c r="G477" s="3089">
        <f>'18.Innovation'!G9</f>
        <v>0</v>
      </c>
      <c r="H477" s="3089">
        <f>'18.Innovation'!H9</f>
        <v>0</v>
      </c>
      <c r="I477" s="3089">
        <f>'18.Innovation'!I9</f>
        <v>0</v>
      </c>
      <c r="J477" s="3089">
        <f>'18.Innovation'!J9</f>
        <v>0</v>
      </c>
      <c r="K477" s="3089" t="str">
        <f>'18.Innovation'!K9</f>
        <v>SMNET</v>
      </c>
      <c r="L477" s="3090">
        <f>'18.Innovation'!L9</f>
        <v>148409000</v>
      </c>
      <c r="M477" s="3089">
        <f>'18.Innovation'!M9</f>
        <v>1484.09</v>
      </c>
      <c r="N477" s="3089">
        <f>'18.Innovation'!N9</f>
        <v>1</v>
      </c>
      <c r="O477" s="3090">
        <f>'18.Innovation'!O9</f>
        <v>1484.09</v>
      </c>
      <c r="P477" s="3091" t="str">
        <f>'18.Innovation'!P9</f>
        <v>Continued Activity…
Support for Block, District &amp; State vide SMNet project, which jas been continued since F.Y 2016-17 vide transfer of fund to UNICEF for R.I. Polio and other activity.</v>
      </c>
      <c r="Q477" s="3092"/>
      <c r="R477" s="3093"/>
    </row>
    <row r="478" spans="1:18" s="3084" customFormat="1" ht="45">
      <c r="A478" s="3087" t="str">
        <f>'18.Innovation'!A10</f>
        <v>18.1.2</v>
      </c>
      <c r="B478" s="3087">
        <f>'18.Innovation'!B10</f>
        <v>0</v>
      </c>
      <c r="C478" s="3088" t="str">
        <f>'18.Innovation'!C10</f>
        <v>Field Monitor funding support to WHO</v>
      </c>
      <c r="D478" s="3089" t="str">
        <f>'18.Innovation'!D10</f>
        <v>RCH</v>
      </c>
      <c r="E478" s="3089" t="str">
        <f>'18.Innovation'!E10</f>
        <v>RI</v>
      </c>
      <c r="F478" s="3089">
        <f>'18.Innovation'!F10</f>
        <v>0</v>
      </c>
      <c r="G478" s="3089">
        <f>'18.Innovation'!G10</f>
        <v>0</v>
      </c>
      <c r="H478" s="3089">
        <f>'18.Innovation'!H10</f>
        <v>0</v>
      </c>
      <c r="I478" s="3089">
        <f>'18.Innovation'!I10</f>
        <v>0</v>
      </c>
      <c r="J478" s="3089">
        <f>'18.Innovation'!J10</f>
        <v>0</v>
      </c>
      <c r="K478" s="3089" t="str">
        <f>'18.Innovation'!K10</f>
        <v>FM for WHO</v>
      </c>
      <c r="L478" s="3090">
        <f>'18.Innovation'!L10</f>
        <v>128375347.8</v>
      </c>
      <c r="M478" s="3089">
        <f>'18.Innovation'!M10</f>
        <v>1283.7534779999999</v>
      </c>
      <c r="N478" s="3089">
        <f>'18.Innovation'!N10</f>
        <v>1</v>
      </c>
      <c r="O478" s="3090">
        <f>'18.Innovation'!O10</f>
        <v>1283.7534779999999</v>
      </c>
      <c r="P478" s="3091" t="str">
        <f>'18.Innovation'!P10</f>
        <v>Continued Activity…
Block level Monitoring support for R.I., Polio &amp; Surveillance from Field Monitor of WHO 
Details attached.</v>
      </c>
      <c r="Q478" s="3092"/>
      <c r="R478" s="3093"/>
    </row>
    <row r="479" spans="1:18" s="3084" customFormat="1" ht="30">
      <c r="A479" s="3087" t="str">
        <f>'18.Innovation'!A11</f>
        <v>18.1.3</v>
      </c>
      <c r="B479" s="3087">
        <f>'18.Innovation'!B11</f>
        <v>0</v>
      </c>
      <c r="C479" s="3088" t="str">
        <f>'18.Innovation'!C11</f>
        <v>Inclusion of SHG of Jeevka for promotion of FP prog.</v>
      </c>
      <c r="D479" s="3089" t="str">
        <f>'18.Innovation'!D11</f>
        <v>RCH</v>
      </c>
      <c r="E479" s="3089" t="str">
        <f>'18.Innovation'!E11</f>
        <v>F.P</v>
      </c>
      <c r="F479" s="3089">
        <f>'18.Innovation'!F11</f>
        <v>5</v>
      </c>
      <c r="G479" s="3089">
        <f>'18.Innovation'!G11</f>
        <v>0</v>
      </c>
      <c r="H479" s="3089">
        <f>'18.Innovation'!H11</f>
        <v>433.46</v>
      </c>
      <c r="I479" s="3089">
        <f>'18.Innovation'!I11</f>
        <v>11.8</v>
      </c>
      <c r="J479" s="3089">
        <f>'18.Innovation'!J11</f>
        <v>0</v>
      </c>
      <c r="K479" s="3089" t="str">
        <f>'18.Innovation'!K11</f>
        <v>no. Of pilot district</v>
      </c>
      <c r="L479" s="3090">
        <f>'18.Innovation'!L11</f>
        <v>3670128</v>
      </c>
      <c r="M479" s="3089">
        <f>'18.Innovation'!M11</f>
        <v>36.701279999999997</v>
      </c>
      <c r="N479" s="3089">
        <f>'18.Innovation'!N11</f>
        <v>5</v>
      </c>
      <c r="O479" s="3090">
        <f>'18.Innovation'!O11</f>
        <v>183.50639999999999</v>
      </c>
      <c r="P479" s="3091" t="str">
        <f>'18.Innovation'!P11</f>
        <v>continued activity- fund required for pilotring in phase 1 and scale up fund will be demanded in suppli. PIP if1st phase implemented (Details in write up)</v>
      </c>
      <c r="Q479" s="3092"/>
      <c r="R479" s="3093"/>
    </row>
    <row r="480" spans="1:18" s="3084" customFormat="1" ht="30">
      <c r="A480" s="3087" t="str">
        <f>'18.Innovation'!A12</f>
        <v>18.1.4</v>
      </c>
      <c r="B480" s="3087">
        <f>'18.Innovation'!B12</f>
        <v>0</v>
      </c>
      <c r="C480" s="3088" t="str">
        <f>'18.Innovation'!C12</f>
        <v>Sehat center at university college for promotion of RMNCH+A prog.</v>
      </c>
      <c r="D480" s="3089" t="str">
        <f>'18.Innovation'!D12</f>
        <v>RCH</v>
      </c>
      <c r="E480" s="3089" t="str">
        <f>'18.Innovation'!E12</f>
        <v>F.P</v>
      </c>
      <c r="F480" s="3089">
        <f>'18.Innovation'!F12</f>
        <v>30</v>
      </c>
      <c r="G480" s="3089">
        <f>'18.Innovation'!G12</f>
        <v>0</v>
      </c>
      <c r="H480" s="3089">
        <f>'18.Innovation'!H12</f>
        <v>30</v>
      </c>
      <c r="I480" s="3089">
        <f>'18.Innovation'!I12</f>
        <v>0.04</v>
      </c>
      <c r="J480" s="3089">
        <f>'18.Innovation'!J12</f>
        <v>0</v>
      </c>
      <c r="K480" s="3089" t="str">
        <f>'18.Innovation'!K12</f>
        <v>No. Of sehat center</v>
      </c>
      <c r="L480" s="3090">
        <f>'18.Innovation'!L12</f>
        <v>95000</v>
      </c>
      <c r="M480" s="3089">
        <f>'18.Innovation'!M12</f>
        <v>0.95</v>
      </c>
      <c r="N480" s="3089">
        <f>'18.Innovation'!N12</f>
        <v>60</v>
      </c>
      <c r="O480" s="3090">
        <f>'18.Innovation'!O12</f>
        <v>57</v>
      </c>
      <c r="P480" s="3091" t="str">
        <f>'18.Innovation'!P12</f>
        <v>continued activity- Rs 50000 for  activity at 30 old Sehat kendra and  Rs 140000 for establishment &amp; activities of 30 new sehat kendra = Rs 1500000 + 4200000 = Rs 57 lacs</v>
      </c>
      <c r="Q480" s="3092"/>
      <c r="R480" s="3093"/>
    </row>
    <row r="481" spans="1:18" s="3084" customFormat="1" ht="30">
      <c r="A481" s="3087" t="str">
        <f>'18.Innovation'!A13</f>
        <v>18.1.5</v>
      </c>
      <c r="B481" s="3087">
        <f>'18.Innovation'!B13</f>
        <v>0</v>
      </c>
      <c r="C481" s="3088" t="str">
        <f>'18.Innovation'!C13</f>
        <v xml:space="preserve">Parivar Niyojan diwas </v>
      </c>
      <c r="D481" s="3089" t="str">
        <f>'18.Innovation'!D13</f>
        <v>RCH</v>
      </c>
      <c r="E481" s="3089" t="str">
        <f>'18.Innovation'!E13</f>
        <v>F.P</v>
      </c>
      <c r="F481" s="3089">
        <f>'18.Innovation'!F13</f>
        <v>0</v>
      </c>
      <c r="G481" s="3089">
        <f>'18.Innovation'!G13</f>
        <v>0</v>
      </c>
      <c r="H481" s="3089">
        <f>'18.Innovation'!H13</f>
        <v>0</v>
      </c>
      <c r="I481" s="3089">
        <f>'18.Innovation'!I13</f>
        <v>0</v>
      </c>
      <c r="J481" s="3089">
        <f>'18.Innovation'!J13</f>
        <v>0</v>
      </c>
      <c r="K481" s="3089" t="str">
        <f>'18.Innovation'!K13</f>
        <v>No. Of Diwas</v>
      </c>
      <c r="L481" s="3090">
        <f>'18.Innovation'!L13</f>
        <v>3000</v>
      </c>
      <c r="M481" s="3089">
        <f>'18.Innovation'!M13</f>
        <v>0.03</v>
      </c>
      <c r="N481" s="3089">
        <f>'18.Innovation'!N13</f>
        <v>4170</v>
      </c>
      <c r="O481" s="3090">
        <f>'18.Innovation'!O13</f>
        <v>125.1</v>
      </c>
      <c r="P481" s="3091" t="str">
        <f>'18.Innovation'!P13</f>
        <v>New activity- Parivaar Niyojan Diwas/ Kushaal Parivaar Diwas at HI upto PHC level. 695 HI X Rs 3000 per PND X 6month</v>
      </c>
      <c r="Q481" s="3092"/>
      <c r="R481" s="3093"/>
    </row>
  </sheetData>
  <sheetProtection sheet="1" formatCells="0" formatColumns="0" formatRows="0" autoFilter="0"/>
  <autoFilter ref="A5:M481"/>
  <mergeCells count="42">
    <mergeCell ref="A97:A100"/>
    <mergeCell ref="A1:C1"/>
    <mergeCell ref="D4:D5"/>
    <mergeCell ref="A4:A5"/>
    <mergeCell ref="B4:B5"/>
    <mergeCell ref="C4:C5"/>
    <mergeCell ref="Q4:R4"/>
    <mergeCell ref="A27:A30"/>
    <mergeCell ref="A114:A120"/>
    <mergeCell ref="A214:A222"/>
    <mergeCell ref="A299:A300"/>
    <mergeCell ref="A42:A53"/>
    <mergeCell ref="A36:A40"/>
    <mergeCell ref="A57:A60"/>
    <mergeCell ref="A63:A89"/>
    <mergeCell ref="E4:E5"/>
    <mergeCell ref="F4:J4"/>
    <mergeCell ref="K4:P4"/>
    <mergeCell ref="A271:A276"/>
    <mergeCell ref="A176:A179"/>
    <mergeCell ref="A93:A95"/>
    <mergeCell ref="A278:A282"/>
    <mergeCell ref="A127:A131"/>
    <mergeCell ref="A133:A143"/>
    <mergeCell ref="A225:A230"/>
    <mergeCell ref="A232:A233"/>
    <mergeCell ref="A147:A172"/>
    <mergeCell ref="A314:A329"/>
    <mergeCell ref="A379:A382"/>
    <mergeCell ref="A365:A369"/>
    <mergeCell ref="A305:A306"/>
    <mergeCell ref="A307:A310"/>
    <mergeCell ref="A331:A333"/>
    <mergeCell ref="A335:A340"/>
    <mergeCell ref="A415:A416"/>
    <mergeCell ref="A441:A442"/>
    <mergeCell ref="A360:A361"/>
    <mergeCell ref="A355:A359"/>
    <mergeCell ref="A410:A411"/>
    <mergeCell ref="A412:A413"/>
    <mergeCell ref="A418:A419"/>
    <mergeCell ref="A421:A422"/>
  </mergeCells>
  <phoneticPr fontId="27" type="noConversion"/>
  <pageMargins left="0.7" right="0.2" top="0.25" bottom="0.25" header="0.3" footer="0.3"/>
  <pageSetup paperSize="5" scale="65" orientation="landscape" horizontalDpi="4294967295" verticalDpi="4294967295" r:id="rId1"/>
</worksheet>
</file>

<file path=xl/worksheets/sheet36.xml><?xml version="1.0" encoding="utf-8"?>
<worksheet xmlns="http://schemas.openxmlformats.org/spreadsheetml/2006/main" xmlns:r="http://schemas.openxmlformats.org/officeDocument/2006/relationships">
  <sheetPr codeName="Sheet23">
    <tabColor theme="8" tint="0.79998168889431442"/>
  </sheetPr>
  <dimension ref="A1:V24"/>
  <sheetViews>
    <sheetView zoomScale="70" zoomScaleNormal="70" workbookViewId="0">
      <pane xSplit="3" ySplit="5" topLeftCell="F6" activePane="bottomRight" state="frozen"/>
      <selection activeCell="Q172" sqref="A1:BE179"/>
      <selection pane="topRight" activeCell="Q172" sqref="A1:BE179"/>
      <selection pane="bottomLeft" activeCell="Q172" sqref="A1:BE179"/>
      <selection pane="bottomRight" activeCell="P7" sqref="P7"/>
    </sheetView>
  </sheetViews>
  <sheetFormatPr defaultColWidth="11.85546875" defaultRowHeight="18.75"/>
  <cols>
    <col min="1" max="1" width="11.85546875" style="110"/>
    <col min="2" max="2" width="16.28515625" style="110" customWidth="1"/>
    <col min="3" max="3" width="40.5703125" style="110" customWidth="1"/>
    <col min="4" max="4" width="5.5703125" style="112" bestFit="1" customWidth="1"/>
    <col min="5" max="5" width="17.5703125" style="112" customWidth="1"/>
    <col min="6" max="6" width="22.7109375" style="112" customWidth="1"/>
    <col min="7" max="7" width="16.85546875" style="112" bestFit="1" customWidth="1"/>
    <col min="8" max="8" width="18.28515625" style="116" customWidth="1"/>
    <col min="9" max="9" width="11.85546875" style="112"/>
    <col min="10" max="10" width="14.42578125" style="116" customWidth="1"/>
    <col min="11" max="11" width="16.5703125" style="93" customWidth="1"/>
    <col min="12" max="12" width="11.42578125" style="93" customWidth="1"/>
    <col min="13" max="13" width="14" style="119" customWidth="1"/>
    <col min="14" max="14" width="11.85546875" style="109"/>
    <col min="15" max="15" width="22.42578125" style="2992" customWidth="1"/>
    <col min="16" max="16" width="49" style="109" customWidth="1"/>
    <col min="17" max="18" width="0" style="109" hidden="1" customWidth="1"/>
    <col min="19" max="16384" width="11.85546875" style="109"/>
  </cols>
  <sheetData>
    <row r="1" spans="1:22" s="908" customFormat="1">
      <c r="A1" s="4616" t="s">
        <v>2128</v>
      </c>
      <c r="B1" s="4617"/>
      <c r="C1" s="4618"/>
      <c r="D1" s="900"/>
      <c r="E1" s="901"/>
      <c r="F1" s="902" t="s">
        <v>3918</v>
      </c>
      <c r="G1" s="903"/>
      <c r="H1" s="904"/>
      <c r="I1" s="900"/>
      <c r="J1" s="905"/>
      <c r="K1" s="906"/>
      <c r="L1" s="906"/>
      <c r="M1" s="907"/>
      <c r="O1" s="2985"/>
    </row>
    <row r="2" spans="1:22" s="106" customFormat="1" ht="30">
      <c r="A2" s="94" t="str">
        <f>HYPERLINK("#Index!F3", "Index Pg")</f>
        <v>Index Pg</v>
      </c>
      <c r="B2" s="175" t="str">
        <f>HYPERLINK("#'Summary of Abstracts'!A2", "Summary of Abst.")</f>
        <v>Summary of Abst.</v>
      </c>
      <c r="C2" s="174" t="str">
        <f>HYPERLINK("#'Budget Summary I'!A1:AL1", "Budget Summary I")</f>
        <v>Budget Summary I</v>
      </c>
      <c r="D2" s="80"/>
      <c r="E2" s="105" t="s">
        <v>4599</v>
      </c>
      <c r="F2" s="121">
        <f>R6+R8+R10+R15+R18</f>
        <v>0</v>
      </c>
      <c r="G2" s="103"/>
      <c r="H2" s="102"/>
      <c r="I2" s="68"/>
      <c r="J2" s="114"/>
      <c r="K2" s="56"/>
      <c r="L2" s="56"/>
      <c r="M2" s="117"/>
      <c r="O2" s="2986"/>
    </row>
    <row r="3" spans="1:22" s="106" customFormat="1" ht="41.25" customHeight="1">
      <c r="A3" s="104"/>
      <c r="B3" s="101"/>
      <c r="C3" s="174" t="str">
        <f>HYPERLINK("#'Budget Summary II'!A3:B5", "Budget Summary II")</f>
        <v>Budget Summary II</v>
      </c>
      <c r="D3" s="111"/>
      <c r="E3" s="105" t="s">
        <v>4600</v>
      </c>
      <c r="F3" s="120">
        <f>O6+O8+O10+O15+O18</f>
        <v>96.241000000000014</v>
      </c>
      <c r="G3" s="103"/>
      <c r="H3" s="102"/>
      <c r="I3" s="113"/>
      <c r="J3" s="115"/>
      <c r="K3" s="107"/>
      <c r="L3" s="108"/>
      <c r="M3" s="118"/>
      <c r="O3" s="2986"/>
    </row>
    <row r="4" spans="1:22" s="112" customFormat="1" ht="12.75" customHeight="1">
      <c r="A4" s="4615" t="s">
        <v>53</v>
      </c>
      <c r="B4" s="4615" t="s">
        <v>54</v>
      </c>
      <c r="C4" s="4615" t="s">
        <v>55</v>
      </c>
      <c r="D4" s="4615" t="s">
        <v>56</v>
      </c>
      <c r="E4" s="4615" t="s">
        <v>57</v>
      </c>
      <c r="F4" s="4619" t="s">
        <v>4620</v>
      </c>
      <c r="G4" s="4619"/>
      <c r="H4" s="4619"/>
      <c r="I4" s="4619"/>
      <c r="J4" s="4619"/>
      <c r="K4" s="4619" t="s">
        <v>4631</v>
      </c>
      <c r="L4" s="4619"/>
      <c r="M4" s="4619"/>
      <c r="N4" s="4619"/>
      <c r="O4" s="4619"/>
      <c r="P4" s="4619"/>
      <c r="Q4" s="4614" t="s">
        <v>4661</v>
      </c>
      <c r="R4" s="4614"/>
    </row>
    <row r="5" spans="1:22" s="61" customFormat="1" ht="60">
      <c r="A5" s="4615"/>
      <c r="B5" s="4615"/>
      <c r="C5" s="4615"/>
      <c r="D5" s="4615"/>
      <c r="E5" s="4615"/>
      <c r="F5" s="57" t="s">
        <v>4621</v>
      </c>
      <c r="G5" s="57" t="s">
        <v>4629</v>
      </c>
      <c r="H5" s="57" t="s">
        <v>4622</v>
      </c>
      <c r="I5" s="57" t="s">
        <v>4630</v>
      </c>
      <c r="J5" s="58" t="s">
        <v>2534</v>
      </c>
      <c r="K5" s="59" t="s">
        <v>58</v>
      </c>
      <c r="L5" s="59" t="s">
        <v>59</v>
      </c>
      <c r="M5" s="96" t="s">
        <v>60</v>
      </c>
      <c r="N5" s="59" t="s">
        <v>61</v>
      </c>
      <c r="O5" s="2987" t="s">
        <v>62</v>
      </c>
      <c r="P5" s="59" t="s">
        <v>63</v>
      </c>
      <c r="Q5" s="60" t="s">
        <v>2536</v>
      </c>
      <c r="R5" s="100" t="s">
        <v>4662</v>
      </c>
    </row>
    <row r="6" spans="1:22" ht="88.5" customHeight="1">
      <c r="A6" s="90">
        <f>'3.Community Intervention Annexn'!A7</f>
        <v>3</v>
      </c>
      <c r="B6" s="320"/>
      <c r="C6" s="90" t="str">
        <f>'3.Community Intervention Annexn'!C7</f>
        <v>Community Interventions</v>
      </c>
      <c r="D6" s="320"/>
      <c r="E6" s="320"/>
      <c r="F6" s="320"/>
      <c r="G6" s="320"/>
      <c r="H6" s="320"/>
      <c r="I6" s="320"/>
      <c r="J6" s="320"/>
      <c r="K6" s="321"/>
      <c r="L6" s="321"/>
      <c r="M6" s="98"/>
      <c r="N6" s="321"/>
      <c r="O6" s="2988">
        <f>O7</f>
        <v>31.870500000000003</v>
      </c>
      <c r="P6" s="321"/>
      <c r="Q6" s="321"/>
      <c r="R6" s="98">
        <f>R7</f>
        <v>0</v>
      </c>
    </row>
    <row r="7" spans="1:22" ht="105">
      <c r="A7" s="319" t="str">
        <f>'3.Community Intervention Annexn'!A17</f>
        <v>3.1.1.2</v>
      </c>
      <c r="B7" s="319" t="str">
        <f>'3-A. CI Sub-Annex'!C37</f>
        <v>D.5</v>
      </c>
      <c r="C7" s="319" t="str">
        <f>'3-A. CI Sub-Annex'!D37</f>
        <v>ASHA Incentive under NIDDCP</v>
      </c>
      <c r="D7" s="319" t="str">
        <f>'3-A. CI Sub-Annex'!E37</f>
        <v>RCH</v>
      </c>
      <c r="E7" s="319" t="str">
        <f>'3-A. CI Sub-Annex'!F37</f>
        <v>NIDDCP/NHSRC-CP</v>
      </c>
      <c r="F7" s="319">
        <f>'3-A. CI Sub-Annex'!G37</f>
        <v>30000</v>
      </c>
      <c r="G7" s="319">
        <f>'3-A. CI Sub-Annex'!H37</f>
        <v>0</v>
      </c>
      <c r="H7" s="319">
        <f>'3-A. CI Sub-Annex'!I37</f>
        <v>22.5</v>
      </c>
      <c r="I7" s="319">
        <f>'3-A. CI Sub-Annex'!J37</f>
        <v>0</v>
      </c>
      <c r="J7" s="319">
        <f>'3-A. CI Sub-Annex'!K37</f>
        <v>0</v>
      </c>
      <c r="K7" s="319" t="str">
        <f>'3-A. CI Sub-Annex'!L37</f>
        <v>Per ASHA</v>
      </c>
      <c r="L7" s="319">
        <f>'3-A. CI Sub-Annex'!M37</f>
        <v>0.5</v>
      </c>
      <c r="M7" s="319">
        <f>'3-A. CI Sub-Annex'!N37</f>
        <v>5.0000000000000004E-6</v>
      </c>
      <c r="N7" s="319">
        <f>'3-A. CI Sub-Annex'!O37</f>
        <v>6374100</v>
      </c>
      <c r="O7" s="2989">
        <f>'3-A. CI Sub-Annex'!P37</f>
        <v>31.870500000000003</v>
      </c>
      <c r="P7" s="2984" t="str">
        <f>'3-A. CI Sub-Annex'!Q37</f>
        <v xml:space="preserve"> Continued Activity:                                                                                                                                                      Asha incentive for  Three Month Salt testing  at Comunity level for the  Quality of Iodated salt                                                                  42494 ASHA in 14 Epidemic District @ .50 Rs per test  at least 50 Sample  per month                                                                          Amount Required 42494 *50*.50*3  month =31.87 Lakhs</v>
      </c>
      <c r="Q7" s="204"/>
      <c r="R7" s="896"/>
      <c r="S7" s="106"/>
      <c r="T7" s="106"/>
      <c r="U7" s="106"/>
      <c r="V7" s="106"/>
    </row>
    <row r="8" spans="1:22">
      <c r="A8" s="90">
        <f>'5.Infrastructure Annex'!A7</f>
        <v>5</v>
      </c>
      <c r="B8" s="90"/>
      <c r="C8" s="90" t="str">
        <f>'5.Infrastructure Annex'!C7</f>
        <v>Infrastructure</v>
      </c>
      <c r="D8" s="95"/>
      <c r="E8" s="95"/>
      <c r="F8" s="95"/>
      <c r="G8" s="95"/>
      <c r="H8" s="95"/>
      <c r="I8" s="95"/>
      <c r="J8" s="95"/>
      <c r="K8" s="322"/>
      <c r="L8" s="322"/>
      <c r="M8" s="323"/>
      <c r="N8" s="322"/>
      <c r="O8" s="2988">
        <f>O9</f>
        <v>4</v>
      </c>
      <c r="P8" s="324"/>
      <c r="Q8" s="325"/>
      <c r="R8" s="129">
        <f>R9</f>
        <v>0</v>
      </c>
      <c r="S8" s="106"/>
      <c r="T8" s="106"/>
      <c r="U8" s="106"/>
      <c r="V8" s="106"/>
    </row>
    <row r="9" spans="1:22">
      <c r="A9" s="69" t="str">
        <f>'5.Infrastructure Annex'!A90</f>
        <v>5.3.10</v>
      </c>
      <c r="B9" s="69" t="str">
        <f>'5.Infrastructure Annex'!B90</f>
        <v>D.2</v>
      </c>
      <c r="C9" s="69" t="str">
        <f>'5.Infrastructure Annex'!C90</f>
        <v>Establishment of IDD Monitoring Lab</v>
      </c>
      <c r="D9" s="69" t="str">
        <f>'5.Infrastructure Annex'!D90</f>
        <v>RCH</v>
      </c>
      <c r="E9" s="69" t="str">
        <f>'5.Infrastructure Annex'!E90</f>
        <v>NIDDCP</v>
      </c>
      <c r="F9" s="69">
        <f>'5.Infrastructure Annex'!F90</f>
        <v>0</v>
      </c>
      <c r="G9" s="69">
        <f>'5.Infrastructure Annex'!G90</f>
        <v>0</v>
      </c>
      <c r="H9" s="69">
        <f>'5.Infrastructure Annex'!H90</f>
        <v>0</v>
      </c>
      <c r="I9" s="69">
        <f>'5.Infrastructure Annex'!I90</f>
        <v>0</v>
      </c>
      <c r="J9" s="69">
        <f>'5.Infrastructure Annex'!J90</f>
        <v>0</v>
      </c>
      <c r="K9" s="69" t="str">
        <f>'5.Infrastructure Annex'!K90</f>
        <v xml:space="preserve">per lab </v>
      </c>
      <c r="L9" s="69">
        <f>'5.Infrastructure Annex'!L90</f>
        <v>400000</v>
      </c>
      <c r="M9" s="69">
        <f>'5.Infrastructure Annex'!M90</f>
        <v>4</v>
      </c>
      <c r="N9" s="69">
        <f>'5.Infrastructure Annex'!N90</f>
        <v>1</v>
      </c>
      <c r="O9" s="2990">
        <f>'5.Infrastructure Annex'!O90</f>
        <v>4</v>
      </c>
      <c r="P9" s="69">
        <f>'[1]5.Infrastructure Annex'!P92</f>
        <v>0</v>
      </c>
      <c r="Q9" s="62"/>
      <c r="R9" s="318"/>
      <c r="S9" s="106"/>
      <c r="T9" s="106"/>
      <c r="U9" s="106"/>
      <c r="V9" s="106"/>
    </row>
    <row r="10" spans="1:22">
      <c r="A10" s="90">
        <f>'6.Procurement Annex'!A7</f>
        <v>6</v>
      </c>
      <c r="B10" s="90"/>
      <c r="C10" s="90" t="str">
        <f>'6.Procurement Annex'!C7</f>
        <v>Procurement</v>
      </c>
      <c r="D10" s="95"/>
      <c r="E10" s="95"/>
      <c r="F10" s="95"/>
      <c r="G10" s="95"/>
      <c r="H10" s="95"/>
      <c r="I10" s="95"/>
      <c r="J10" s="95"/>
      <c r="K10" s="322"/>
      <c r="L10" s="322"/>
      <c r="M10" s="323"/>
      <c r="N10" s="322"/>
      <c r="O10" s="2991">
        <f>SUM(O11:O14)</f>
        <v>34.3705</v>
      </c>
      <c r="P10" s="324"/>
      <c r="Q10" s="325"/>
      <c r="R10" s="326">
        <f>SUM(R11:R14)</f>
        <v>0</v>
      </c>
      <c r="S10" s="106"/>
      <c r="T10" s="106"/>
      <c r="U10" s="106"/>
      <c r="V10" s="106"/>
    </row>
    <row r="11" spans="1:22" ht="135">
      <c r="A11" s="69" t="str">
        <f>'6.Procurement Annex'!A16</f>
        <v>6.1.1.7</v>
      </c>
      <c r="B11" s="69">
        <f>'6-A. Proc. Sub-Annex'!C39</f>
        <v>0</v>
      </c>
      <c r="C11" s="69" t="str">
        <f>'6-A. Proc. Sub-Annex'!D39</f>
        <v>Procurement of lab equipment</v>
      </c>
      <c r="D11" s="69" t="str">
        <f>'6-A. Proc. Sub-Annex'!E39</f>
        <v>RCH</v>
      </c>
      <c r="E11" s="69" t="str">
        <f>'6-A. Proc. Sub-Annex'!F39</f>
        <v>NIDDCP</v>
      </c>
      <c r="F11" s="69">
        <f>'6-A. Proc. Sub-Annex'!G39</f>
        <v>0</v>
      </c>
      <c r="G11" s="69">
        <f>'6-A. Proc. Sub-Annex'!H39</f>
        <v>0</v>
      </c>
      <c r="H11" s="69">
        <f>'6-A. Proc. Sub-Annex'!I39</f>
        <v>0</v>
      </c>
      <c r="I11" s="69">
        <f>'6-A. Proc. Sub-Annex'!J39</f>
        <v>0</v>
      </c>
      <c r="J11" s="69">
        <f>'6-A. Proc. Sub-Annex'!K39</f>
        <v>0</v>
      </c>
      <c r="K11" s="69" t="str">
        <f>'6-A. Proc. Sub-Annex'!L39</f>
        <v>Per lab</v>
      </c>
      <c r="L11" s="69">
        <f>'6-A. Proc. Sub-Annex'!M39</f>
        <v>250000</v>
      </c>
      <c r="M11" s="69">
        <f>'6-A. Proc. Sub-Annex'!N39</f>
        <v>2.5</v>
      </c>
      <c r="N11" s="69">
        <f>'6-A. Proc. Sub-Annex'!O39</f>
        <v>1</v>
      </c>
      <c r="O11" s="2990">
        <f>'6-A. Proc. Sub-Annex'!P39</f>
        <v>2.5</v>
      </c>
      <c r="P11" s="2983" t="str">
        <f>'6-A. Proc. Sub-Annex'!Q39</f>
        <v xml:space="preserve">    NEW  Activity- For the running of UIE lab need to procure equipment. Fund Calculation Electronic Weighing Machines- Rs. 25,000, Digital Colorimeter- Rs.15000, Micropipate-Rs. 30000 , Water Bath- Rs.25000, Hot Air oven-Rs. 40000, Auto Buratte-Rs. 20000, Distillation Plant- Rs.50000 , Magnatic Stirrer- Rs.15000 and misclenious 30000 Total Budget-2,50,000
</v>
      </c>
      <c r="Q11" s="62"/>
      <c r="R11" s="318"/>
      <c r="S11" s="106"/>
      <c r="T11" s="106"/>
      <c r="U11" s="106"/>
      <c r="V11" s="106"/>
    </row>
    <row r="12" spans="1:22">
      <c r="A12" s="69"/>
      <c r="B12" s="69">
        <f>'6-A. Proc. Sub-Annex'!C40</f>
        <v>0</v>
      </c>
      <c r="C12" s="69" t="str">
        <f>'6-A. Proc. Sub-Annex'!D40</f>
        <v>Any other equipment (please specify)</v>
      </c>
      <c r="D12" s="69" t="str">
        <f>'6-A. Proc. Sub-Annex'!E40</f>
        <v>RCH</v>
      </c>
      <c r="E12" s="69" t="str">
        <f>'6-A. Proc. Sub-Annex'!F40</f>
        <v>NIDDCP</v>
      </c>
      <c r="F12" s="69">
        <f>'6-A. Proc. Sub-Annex'!G40</f>
        <v>0</v>
      </c>
      <c r="G12" s="69">
        <f>'6-A. Proc. Sub-Annex'!H40</f>
        <v>0</v>
      </c>
      <c r="H12" s="69">
        <f>'6-A. Proc. Sub-Annex'!I40</f>
        <v>0</v>
      </c>
      <c r="I12" s="69">
        <f>'6-A. Proc. Sub-Annex'!J40</f>
        <v>0</v>
      </c>
      <c r="J12" s="69">
        <f>'6-A. Proc. Sub-Annex'!K40</f>
        <v>0</v>
      </c>
      <c r="K12" s="69">
        <f>'6-A. Proc. Sub-Annex'!L40</f>
        <v>0</v>
      </c>
      <c r="L12" s="69">
        <f>'6-A. Proc. Sub-Annex'!M40</f>
        <v>0</v>
      </c>
      <c r="M12" s="69">
        <f>'6-A. Proc. Sub-Annex'!N40</f>
        <v>0</v>
      </c>
      <c r="N12" s="69">
        <f>'6-A. Proc. Sub-Annex'!O40</f>
        <v>0</v>
      </c>
      <c r="O12" s="2990">
        <f>'6-A. Proc. Sub-Annex'!P40</f>
        <v>0</v>
      </c>
      <c r="P12" s="69">
        <f>'6-A. Proc. Sub-Annex'!Q40</f>
        <v>0</v>
      </c>
      <c r="Q12" s="62"/>
      <c r="R12" s="318"/>
      <c r="S12" s="106"/>
      <c r="T12" s="106"/>
      <c r="U12" s="106"/>
      <c r="V12" s="106"/>
    </row>
    <row r="13" spans="1:22" ht="90">
      <c r="A13" s="69" t="str">
        <f>'6.Procurement Annex'!A62</f>
        <v>6.2.1.7</v>
      </c>
      <c r="B13" s="69" t="str">
        <f>'6-A. Proc. Sub-Annex'!C188</f>
        <v>D.4</v>
      </c>
      <c r="C13" s="69" t="str">
        <f>'6-A. Proc. Sub-Annex'!D188</f>
        <v xml:space="preserve">Supply of Salt Testing Kit </v>
      </c>
      <c r="D13" s="69" t="str">
        <f>'6-A. Proc. Sub-Annex'!E188</f>
        <v>RCH</v>
      </c>
      <c r="E13" s="69" t="str">
        <f>'6-A. Proc. Sub-Annex'!F188</f>
        <v>NIDDCP</v>
      </c>
      <c r="F13" s="69">
        <f>'6-A. Proc. Sub-Annex'!G188</f>
        <v>7500</v>
      </c>
      <c r="G13" s="69">
        <f>'6-A. Proc. Sub-Annex'!H188</f>
        <v>0</v>
      </c>
      <c r="H13" s="69">
        <f>'6-A. Proc. Sub-Annex'!I188</f>
        <v>18</v>
      </c>
      <c r="I13" s="69">
        <f>'6-A. Proc. Sub-Annex'!J188</f>
        <v>0</v>
      </c>
      <c r="J13" s="69">
        <f>'6-A. Proc. Sub-Annex'!K188</f>
        <v>0</v>
      </c>
      <c r="K13" s="69" t="str">
        <f>'6-A. Proc. Sub-Annex'!L188</f>
        <v>Per Kit</v>
      </c>
      <c r="L13" s="69">
        <f>'6-A. Proc. Sub-Annex'!M188</f>
        <v>25</v>
      </c>
      <c r="M13" s="69">
        <f>'6-A. Proc. Sub-Annex'!N188</f>
        <v>2.5000000000000001E-4</v>
      </c>
      <c r="N13" s="69">
        <f>'6-A. Proc. Sub-Annex'!O188</f>
        <v>127482</v>
      </c>
      <c r="O13" s="2990">
        <f>'6-A. Proc. Sub-Annex'!P188</f>
        <v>31.8705</v>
      </c>
      <c r="P13" s="2983" t="str">
        <f>'6-A. Proc. Sub-Annex'!Q188</f>
        <v>Continued Activity : 
Purchase of salt testing kits for  3 Month comunity level  for Asha and Asha facilatotor 14 Endemic  districts. 3 salt test kits per Asha  for 42494 ASHA @25 per salt testing kit                                                                        
  fund reqired  42494*3*25=31.87 Lakhs</v>
      </c>
      <c r="Q13" s="62"/>
      <c r="R13" s="318"/>
      <c r="S13" s="106"/>
      <c r="T13" s="106"/>
      <c r="U13" s="106"/>
      <c r="V13" s="106"/>
    </row>
    <row r="14" spans="1:22">
      <c r="A14" s="69"/>
      <c r="B14" s="69">
        <f>'6-A. Proc. Sub-Annex'!C189</f>
        <v>0</v>
      </c>
      <c r="C14" s="69" t="str">
        <f>'6-A. Proc. Sub-Annex'!D189</f>
        <v>Any other supplies (please specify)</v>
      </c>
      <c r="D14" s="69" t="str">
        <f>'6-A. Proc. Sub-Annex'!E189</f>
        <v>RCH</v>
      </c>
      <c r="E14" s="69" t="str">
        <f>'6-A. Proc. Sub-Annex'!F189</f>
        <v>NIDDCP</v>
      </c>
      <c r="F14" s="69">
        <f>'6-A. Proc. Sub-Annex'!G189</f>
        <v>0</v>
      </c>
      <c r="G14" s="69">
        <f>'6-A. Proc. Sub-Annex'!H189</f>
        <v>0</v>
      </c>
      <c r="H14" s="69">
        <f>'6-A. Proc. Sub-Annex'!I189</f>
        <v>0</v>
      </c>
      <c r="I14" s="69">
        <f>'6-A. Proc. Sub-Annex'!J189</f>
        <v>0</v>
      </c>
      <c r="J14" s="69">
        <f>'6-A. Proc. Sub-Annex'!K189</f>
        <v>0</v>
      </c>
      <c r="K14" s="69">
        <f>'6-A. Proc. Sub-Annex'!L189</f>
        <v>0</v>
      </c>
      <c r="L14" s="69">
        <f>'6-A. Proc. Sub-Annex'!M189</f>
        <v>0</v>
      </c>
      <c r="M14" s="69">
        <f>'6-A. Proc. Sub-Annex'!N189</f>
        <v>0</v>
      </c>
      <c r="N14" s="69">
        <f>'6-A. Proc. Sub-Annex'!O189</f>
        <v>0</v>
      </c>
      <c r="O14" s="2990">
        <f>'6-A. Proc. Sub-Annex'!P189</f>
        <v>0</v>
      </c>
      <c r="P14" s="69">
        <f>'6-A. Proc. Sub-Annex'!Q189</f>
        <v>0</v>
      </c>
      <c r="Q14" s="62"/>
      <c r="R14" s="318"/>
      <c r="S14" s="106"/>
      <c r="T14" s="106"/>
      <c r="U14" s="106"/>
      <c r="V14" s="106"/>
    </row>
    <row r="15" spans="1:22" ht="30">
      <c r="A15" s="90">
        <f>'10.Review Research &amp; Surveillen'!A7</f>
        <v>10</v>
      </c>
      <c r="B15" s="90"/>
      <c r="C15" s="90" t="str">
        <f>'10.Review Research &amp; Surveillen'!C7</f>
        <v>Reviews, Research, Surveys and Surveillance</v>
      </c>
      <c r="D15" s="95"/>
      <c r="E15" s="95"/>
      <c r="F15" s="95"/>
      <c r="G15" s="95"/>
      <c r="H15" s="95"/>
      <c r="I15" s="95"/>
      <c r="J15" s="95"/>
      <c r="K15" s="322"/>
      <c r="L15" s="322"/>
      <c r="M15" s="323"/>
      <c r="N15" s="322"/>
      <c r="O15" s="2988">
        <f>SUM(O16:O17)</f>
        <v>13.6</v>
      </c>
      <c r="P15" s="324"/>
      <c r="Q15" s="325"/>
      <c r="R15" s="129">
        <f>SUM(R16:R17)</f>
        <v>0</v>
      </c>
      <c r="S15" s="106"/>
      <c r="T15" s="106"/>
      <c r="U15" s="106"/>
      <c r="V15" s="106"/>
    </row>
    <row r="16" spans="1:22" ht="60">
      <c r="A16" s="84" t="str">
        <f>'10.Review Research &amp; Surveillen'!A14</f>
        <v>10.2.2</v>
      </c>
      <c r="B16" s="84" t="str">
        <f>'10.Review Research &amp; Surveillen'!B14</f>
        <v>D.3</v>
      </c>
      <c r="C16" s="84" t="str">
        <f>'10.Review Research &amp; Surveillen'!C14</f>
        <v>IDD Surveys/Re-surveys</v>
      </c>
      <c r="D16" s="84" t="str">
        <f>'10.Review Research &amp; Surveillen'!D14</f>
        <v>RCH</v>
      </c>
      <c r="E16" s="84" t="str">
        <f>'10.Review Research &amp; Surveillen'!E14</f>
        <v>NIDDCP</v>
      </c>
      <c r="F16" s="69">
        <f>'10.Review Research &amp; Surveillen'!F14</f>
        <v>8</v>
      </c>
      <c r="G16" s="69">
        <f>'10.Review Research &amp; Surveillen'!G14</f>
        <v>8</v>
      </c>
      <c r="H16" s="69">
        <f>'10.Review Research &amp; Surveillen'!H14</f>
        <v>4</v>
      </c>
      <c r="I16" s="69">
        <f>'10.Review Research &amp; Surveillen'!I14</f>
        <v>0</v>
      </c>
      <c r="J16" s="69">
        <f>'10.Review Research &amp; Surveillen'!J14</f>
        <v>0</v>
      </c>
      <c r="K16" s="69" t="str">
        <f>'10.Review Research &amp; Surveillen'!K14</f>
        <v>Per District</v>
      </c>
      <c r="L16" s="69">
        <f>'10.Review Research &amp; Surveillen'!L14</f>
        <v>50000</v>
      </c>
      <c r="M16" s="69">
        <f>'10.Review Research &amp; Surveillen'!M14</f>
        <v>0.5</v>
      </c>
      <c r="N16" s="69">
        <f>'10.Review Research &amp; Surveillen'!N14</f>
        <v>14</v>
      </c>
      <c r="O16" s="2990">
        <f>'10.Review Research &amp; Surveillen'!O14</f>
        <v>7</v>
      </c>
      <c r="P16" s="2983" t="str">
        <f>'10.Review Research &amp; Surveillen'!P14</f>
        <v>Continuied Actvities                                 IDD servey in 14 selected districts @ Rs 50 lakh/District through PMCH, Patna/AIIMS/ other Medical College Hospitals.</v>
      </c>
      <c r="Q16" s="88"/>
      <c r="R16" s="318"/>
      <c r="S16" s="106"/>
      <c r="T16" s="106"/>
      <c r="U16" s="106"/>
      <c r="V16" s="106"/>
    </row>
    <row r="17" spans="1:22" ht="120">
      <c r="A17" s="84" t="str">
        <f>'10.Review Research &amp; Surveillen'!A48</f>
        <v>10.4.1</v>
      </c>
      <c r="B17" s="84" t="str">
        <f>'10.Review Research &amp; Surveillen'!B48</f>
        <v>D.6</v>
      </c>
      <c r="C17" s="84" t="str">
        <f>'10.Review Research &amp; Surveillen'!C48</f>
        <v>Management of IDD Monitoring Laboratory</v>
      </c>
      <c r="D17" s="84" t="str">
        <f>'10.Review Research &amp; Surveillen'!D48</f>
        <v>RCH</v>
      </c>
      <c r="E17" s="84" t="str">
        <f>'10.Review Research &amp; Surveillen'!E48</f>
        <v>NIDDCP</v>
      </c>
      <c r="F17" s="69">
        <f>'10.Review Research &amp; Surveillen'!F48</f>
        <v>1</v>
      </c>
      <c r="G17" s="69">
        <f>'10.Review Research &amp; Surveillen'!G48</f>
        <v>1</v>
      </c>
      <c r="H17" s="69">
        <f>'10.Review Research &amp; Surveillen'!H48</f>
        <v>0.5</v>
      </c>
      <c r="I17" s="69">
        <f>'10.Review Research &amp; Surveillen'!I48</f>
        <v>0</v>
      </c>
      <c r="J17" s="69">
        <f>'10.Review Research &amp; Surveillen'!J48</f>
        <v>0</v>
      </c>
      <c r="K17" s="69" t="str">
        <f>'10.Review Research &amp; Surveillen'!K48</f>
        <v>Per Lab</v>
      </c>
      <c r="L17" s="69">
        <f>'10.Review Research &amp; Surveillen'!L48</f>
        <v>330000</v>
      </c>
      <c r="M17" s="69">
        <f>'10.Review Research &amp; Surveillen'!M48</f>
        <v>3.3</v>
      </c>
      <c r="N17" s="69">
        <f>'10.Review Research &amp; Surveillen'!N48</f>
        <v>2</v>
      </c>
      <c r="O17" s="2990">
        <f>'10.Review Research &amp; Surveillen'!O48</f>
        <v>6.6</v>
      </c>
      <c r="P17" s="2983" t="str">
        <f>'10.Review Research &amp; Surveillen'!P48</f>
        <v>Management cost of 1st Lab- Salt Testing Lab= Rs.1.50 Lakh for Reagents &amp; Consumables. Rs.4.50 Lakh for Salt Sample collection from district to state lab.
Management of  UiE Lab=Rs. 60000 for Reagents &amp; Consumables.
1. Cost of Salt Testing Lab-1.50+4.50=6.00 Lakh).
2.  Cost of UIE Lab-0.60 Lakh.
Total Cost=6.00+0.60=6.60 Lakh</v>
      </c>
      <c r="Q17" s="88"/>
      <c r="R17" s="318"/>
      <c r="S17" s="106"/>
      <c r="T17" s="106"/>
      <c r="U17" s="106"/>
      <c r="V17" s="106"/>
    </row>
    <row r="18" spans="1:22">
      <c r="A18" s="90">
        <f>'11.IEC-BCC Annex'!A7</f>
        <v>11</v>
      </c>
      <c r="B18" s="90"/>
      <c r="C18" s="90" t="str">
        <f>'11.IEC-BCC Annex'!C7</f>
        <v>IEC/BCC</v>
      </c>
      <c r="D18" s="95"/>
      <c r="E18" s="95"/>
      <c r="F18" s="95"/>
      <c r="G18" s="95"/>
      <c r="H18" s="95"/>
      <c r="I18" s="95"/>
      <c r="J18" s="95"/>
      <c r="K18" s="322"/>
      <c r="L18" s="322"/>
      <c r="M18" s="323"/>
      <c r="N18" s="322"/>
      <c r="O18" s="2988">
        <f>SUM(O19:O20)</f>
        <v>12.4</v>
      </c>
      <c r="P18" s="324"/>
      <c r="Q18" s="325"/>
      <c r="R18" s="129">
        <f>SUM(R19:R20)</f>
        <v>0</v>
      </c>
      <c r="S18" s="106"/>
      <c r="T18" s="106"/>
      <c r="U18" s="106"/>
      <c r="V18" s="106"/>
    </row>
    <row r="19" spans="1:22" ht="120">
      <c r="A19" s="69" t="str">
        <f>'11.IEC-BCC Annex'!A15</f>
        <v>11.1.7</v>
      </c>
      <c r="B19" s="69" t="str">
        <f>'11-A. IEC Sub-Annex'!C33</f>
        <v>B.10.6.7</v>
      </c>
      <c r="C19" s="69" t="str">
        <f>'11-A. IEC Sub-Annex'!D33</f>
        <v>Health Education &amp; Publicity for NIDDCP</v>
      </c>
      <c r="D19" s="69" t="str">
        <f>'11-A. IEC Sub-Annex'!E33</f>
        <v>RCH</v>
      </c>
      <c r="E19" s="69" t="str">
        <f>'11-A. IEC Sub-Annex'!F33</f>
        <v>NIDDCP</v>
      </c>
      <c r="F19" s="69">
        <f>'11-A. IEC Sub-Annex'!G33</f>
        <v>0</v>
      </c>
      <c r="G19" s="69">
        <f>'11-A. IEC Sub-Annex'!H33</f>
        <v>0</v>
      </c>
      <c r="H19" s="69">
        <f>'11-A. IEC Sub-Annex'!I33</f>
        <v>0</v>
      </c>
      <c r="I19" s="69">
        <f>'11-A. IEC Sub-Annex'!J33</f>
        <v>0</v>
      </c>
      <c r="J19" s="69">
        <f>'11-A. IEC Sub-Annex'!K33</f>
        <v>0</v>
      </c>
      <c r="K19" s="69" t="str">
        <f>'11-A. IEC Sub-Annex'!L33</f>
        <v>Per District</v>
      </c>
      <c r="L19" s="69">
        <f>'11-A. IEC Sub-Annex'!M33</f>
        <v>30000</v>
      </c>
      <c r="M19" s="69">
        <f>'11-A. IEC Sub-Annex'!N33</f>
        <v>0.3</v>
      </c>
      <c r="N19" s="69">
        <f>'11-A. IEC Sub-Annex'!O33</f>
        <v>38</v>
      </c>
      <c r="O19" s="2990">
        <f>'11-A. IEC Sub-Annex'!P33</f>
        <v>11.4</v>
      </c>
      <c r="P19" s="69" t="str">
        <f>'11-A. IEC Sub-Annex'!Q33</f>
        <v>NIDDCP Programme implementation in all 38 district as third party survey shows that coverage percentage is declineing as a reported to be 75% against NIDDCP survey reports  showing 94% of Coverages. Radio/TV spots, Advt., Pamphlets, Posters, Banner, Broadcasting of audio/video spot, different shows, Sensitisation etc. as per requirement for Community Awareness. Rs. 30000x38 =Rs. 11.40 lakhs</v>
      </c>
      <c r="Q19" s="62"/>
      <c r="R19" s="318"/>
      <c r="S19" s="106"/>
      <c r="T19" s="106"/>
      <c r="U19" s="106"/>
      <c r="V19" s="106"/>
    </row>
    <row r="20" spans="1:22" ht="30">
      <c r="A20" s="69"/>
      <c r="B20" s="69">
        <f>'11-A. IEC Sub-Annex'!C34</f>
        <v>0</v>
      </c>
      <c r="C20" s="69" t="str">
        <f>'11-A. IEC Sub-Annex'!D34</f>
        <v>Any other IEC/BCC activities (please specify)</v>
      </c>
      <c r="D20" s="69" t="str">
        <f>'11-A. IEC Sub-Annex'!E34</f>
        <v>RCH</v>
      </c>
      <c r="E20" s="69" t="str">
        <f>'11-A. IEC Sub-Annex'!F34</f>
        <v>NIDDCP</v>
      </c>
      <c r="F20" s="69">
        <f>'11-A. IEC Sub-Annex'!G34</f>
        <v>0</v>
      </c>
      <c r="G20" s="69">
        <f>'11-A. IEC Sub-Annex'!H34</f>
        <v>0</v>
      </c>
      <c r="H20" s="69">
        <f>'11-A. IEC Sub-Annex'!I34</f>
        <v>0</v>
      </c>
      <c r="I20" s="69">
        <f>'11-A. IEC Sub-Annex'!J34</f>
        <v>0</v>
      </c>
      <c r="J20" s="69">
        <f>'11-A. IEC Sub-Annex'!K34</f>
        <v>0</v>
      </c>
      <c r="K20" s="69" t="str">
        <f>'11-A. IEC Sub-Annex'!L34</f>
        <v>Per Meeting</v>
      </c>
      <c r="L20" s="69">
        <f>'11-A. IEC Sub-Annex'!M34</f>
        <v>100000</v>
      </c>
      <c r="M20" s="69">
        <f>'11-A. IEC Sub-Annex'!N34</f>
        <v>1</v>
      </c>
      <c r="N20" s="69">
        <f>'11-A. IEC Sub-Annex'!O34</f>
        <v>1</v>
      </c>
      <c r="O20" s="2990">
        <f>'11-A. IEC Sub-Annex'!P34</f>
        <v>1</v>
      </c>
      <c r="P20" s="69" t="str">
        <f>'11-A. IEC Sub-Annex'!Q34</f>
        <v xml:space="preserve">Organize  Co-ordination Meeting  and  Awarness genration with stackholder  IDD Day </v>
      </c>
      <c r="Q20" s="62"/>
      <c r="R20" s="318"/>
      <c r="S20" s="106"/>
      <c r="T20" s="106"/>
      <c r="U20" s="106"/>
      <c r="V20" s="106"/>
    </row>
    <row r="21" spans="1:22">
      <c r="S21" s="106"/>
      <c r="T21" s="106"/>
      <c r="U21" s="106"/>
      <c r="V21" s="106"/>
    </row>
    <row r="22" spans="1:22">
      <c r="S22" s="106"/>
      <c r="T22" s="106"/>
      <c r="U22" s="106"/>
      <c r="V22" s="106"/>
    </row>
    <row r="23" spans="1:22">
      <c r="S23" s="106"/>
      <c r="T23" s="106"/>
      <c r="U23" s="106"/>
      <c r="V23" s="106"/>
    </row>
    <row r="24" spans="1:22">
      <c r="S24" s="106"/>
      <c r="T24" s="106"/>
      <c r="U24" s="106"/>
      <c r="V24" s="106"/>
    </row>
  </sheetData>
  <sheetProtection sheet="1" formatCells="0" formatColumns="0" formatRows="0" autoFilter="0"/>
  <autoFilter ref="A5:M20"/>
  <mergeCells count="9">
    <mergeCell ref="Q4:R4"/>
    <mergeCell ref="E4:E5"/>
    <mergeCell ref="A1:C1"/>
    <mergeCell ref="A4:A5"/>
    <mergeCell ref="B4:B5"/>
    <mergeCell ref="C4:C5"/>
    <mergeCell ref="D4:D5"/>
    <mergeCell ref="F4:J4"/>
    <mergeCell ref="K4:P4"/>
  </mergeCells>
  <pageMargins left="0.7" right="0.7" top="0.75" bottom="0.75" header="0.3" footer="0.3"/>
  <pageSetup orientation="portrait" horizontalDpi="0" verticalDpi="0" r:id="rId1"/>
</worksheet>
</file>

<file path=xl/worksheets/sheet37.xml><?xml version="1.0" encoding="utf-8"?>
<worksheet xmlns="http://schemas.openxmlformats.org/spreadsheetml/2006/main" xmlns:r="http://schemas.openxmlformats.org/officeDocument/2006/relationships">
  <sheetPr codeName="Sheet24"/>
  <dimension ref="A1:R107"/>
  <sheetViews>
    <sheetView zoomScale="70" zoomScaleNormal="70" workbookViewId="0">
      <pane xSplit="3" ySplit="5" topLeftCell="D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85546875" defaultRowHeight="15"/>
  <cols>
    <col min="1" max="1" width="13.140625" style="621" customWidth="1"/>
    <col min="2" max="2" width="16.5703125" style="621" bestFit="1" customWidth="1"/>
    <col min="3" max="3" width="51" style="453" customWidth="1"/>
    <col min="4" max="4" width="6.140625" style="407" bestFit="1" customWidth="1"/>
    <col min="5" max="5" width="18.5703125" style="407" customWidth="1"/>
    <col min="6" max="6" width="16.42578125" style="621" bestFit="1" customWidth="1"/>
    <col min="7" max="7" width="16.85546875" style="621" bestFit="1" customWidth="1"/>
    <col min="8" max="8" width="18.28515625" style="949" bestFit="1" customWidth="1"/>
    <col min="9" max="9" width="17.28515625" style="621" bestFit="1" customWidth="1"/>
    <col min="10" max="10" width="18.28515625" style="949" bestFit="1" customWidth="1"/>
    <col min="11" max="11" width="18.140625" style="621" customWidth="1"/>
    <col min="12" max="12" width="11.140625" style="621" customWidth="1"/>
    <col min="13" max="13" width="12.5703125" style="949" customWidth="1"/>
    <col min="14" max="14" width="8.85546875" style="621"/>
    <col min="15" max="15" width="12.140625" style="949" customWidth="1"/>
    <col min="16" max="16" width="30.28515625" style="820" customWidth="1"/>
    <col min="17" max="17" width="36.42578125" style="950" customWidth="1"/>
    <col min="18" max="18" width="14.140625" style="949" customWidth="1"/>
    <col min="19" max="16384" width="8.85546875" style="621"/>
  </cols>
  <sheetData>
    <row r="1" spans="1:18" s="910" customFormat="1" ht="30">
      <c r="A1" s="4620" t="s">
        <v>2124</v>
      </c>
      <c r="B1" s="4620"/>
      <c r="C1" s="4620"/>
      <c r="D1" s="909"/>
      <c r="F1" s="911" t="s">
        <v>3953</v>
      </c>
      <c r="G1" s="597"/>
      <c r="H1" s="597"/>
      <c r="I1" s="597"/>
      <c r="J1" s="865"/>
      <c r="K1" s="912"/>
      <c r="L1" s="912"/>
      <c r="M1" s="913"/>
      <c r="O1" s="914"/>
      <c r="P1" s="915"/>
      <c r="Q1" s="915"/>
      <c r="R1" s="914"/>
    </row>
    <row r="2" spans="1:18" s="910" customFormat="1" ht="30">
      <c r="A2" s="916" t="str">
        <f>HYPERLINK("#Index!F3", "Index Pg")</f>
        <v>Index Pg</v>
      </c>
      <c r="B2" s="691" t="str">
        <f>HYPERLINK("#'Summary of Abstracts'!A2", "Summary of Abst.")</f>
        <v>Summary of Abst.</v>
      </c>
      <c r="C2" s="403" t="str">
        <f>HYPERLINK("#'Budget Summary I'!A1:AL1", "Budget Summary I")</f>
        <v>Budget Summary I</v>
      </c>
      <c r="D2" s="917"/>
      <c r="E2" s="585" t="s">
        <v>4599</v>
      </c>
      <c r="F2" s="918" t="e">
        <f>M97+M88+M82+#REF!+M6+M94+M103</f>
        <v>#REF!</v>
      </c>
      <c r="G2" s="919"/>
      <c r="H2" s="920"/>
      <c r="I2" s="921"/>
      <c r="J2" s="919"/>
      <c r="K2" s="921"/>
      <c r="L2" s="919"/>
      <c r="M2" s="913"/>
      <c r="O2" s="914"/>
      <c r="P2" s="915"/>
      <c r="Q2" s="915"/>
      <c r="R2" s="914"/>
    </row>
    <row r="3" spans="1:18" s="929" customFormat="1">
      <c r="A3" s="922"/>
      <c r="B3" s="923"/>
      <c r="C3" s="924" t="str">
        <f>HYPERLINK("#'Budget Summary II'!A3:B5", "Budget Summary II")</f>
        <v>Budget Summary II</v>
      </c>
      <c r="D3" s="925"/>
      <c r="E3" s="926" t="s">
        <v>4600</v>
      </c>
      <c r="F3" s="927" t="e">
        <f>J97+J88+J82+#REF!+J6+J94+J103</f>
        <v>#REF!</v>
      </c>
      <c r="G3" s="919"/>
      <c r="H3" s="920"/>
      <c r="I3" s="921"/>
      <c r="J3" s="919"/>
      <c r="K3" s="921"/>
      <c r="L3" s="919"/>
      <c r="M3" s="928"/>
      <c r="O3" s="930"/>
      <c r="P3" s="931"/>
      <c r="Q3" s="931"/>
      <c r="R3" s="930"/>
    </row>
    <row r="4" spans="1:18" ht="14.45" customHeight="1">
      <c r="A4" s="4323" t="s">
        <v>53</v>
      </c>
      <c r="B4" s="4323" t="s">
        <v>54</v>
      </c>
      <c r="C4" s="4621" t="s">
        <v>55</v>
      </c>
      <c r="D4" s="4323" t="s">
        <v>56</v>
      </c>
      <c r="E4" s="4323" t="s">
        <v>57</v>
      </c>
      <c r="F4" s="4409" t="s">
        <v>4620</v>
      </c>
      <c r="G4" s="4409"/>
      <c r="H4" s="4409"/>
      <c r="I4" s="4409"/>
      <c r="J4" s="4409"/>
      <c r="K4" s="4409" t="s">
        <v>4631</v>
      </c>
      <c r="L4" s="4409"/>
      <c r="M4" s="4409"/>
      <c r="N4" s="4409"/>
      <c r="O4" s="4409"/>
      <c r="P4" s="4409"/>
      <c r="Q4" s="4323" t="s">
        <v>4661</v>
      </c>
      <c r="R4" s="4323"/>
    </row>
    <row r="5" spans="1:18" ht="45">
      <c r="A5" s="4323"/>
      <c r="B5" s="4323"/>
      <c r="C5" s="4621"/>
      <c r="D5" s="4323"/>
      <c r="E5" s="4323"/>
      <c r="F5" s="464" t="s">
        <v>4621</v>
      </c>
      <c r="G5" s="464" t="s">
        <v>4629</v>
      </c>
      <c r="H5" s="464" t="s">
        <v>4622</v>
      </c>
      <c r="I5" s="464" t="s">
        <v>4630</v>
      </c>
      <c r="J5" s="464" t="s">
        <v>2534</v>
      </c>
      <c r="K5" s="465" t="s">
        <v>58</v>
      </c>
      <c r="L5" s="465" t="s">
        <v>59</v>
      </c>
      <c r="M5" s="466" t="s">
        <v>60</v>
      </c>
      <c r="N5" s="465" t="s">
        <v>61</v>
      </c>
      <c r="O5" s="466" t="s">
        <v>62</v>
      </c>
      <c r="P5" s="932" t="s">
        <v>63</v>
      </c>
      <c r="Q5" s="933" t="s">
        <v>2536</v>
      </c>
      <c r="R5" s="468" t="s">
        <v>4662</v>
      </c>
    </row>
    <row r="6" spans="1:18">
      <c r="A6" s="934">
        <f>'3.Community Intervention Annexn'!A7</f>
        <v>3</v>
      </c>
      <c r="B6" s="934"/>
      <c r="C6" s="935" t="str">
        <f>'3.Community Intervention Annexn'!C7</f>
        <v>Community Interventions</v>
      </c>
      <c r="D6" s="838"/>
      <c r="E6" s="838"/>
      <c r="F6" s="934"/>
      <c r="G6" s="934"/>
      <c r="H6" s="936"/>
      <c r="I6" s="934"/>
      <c r="J6" s="936"/>
      <c r="K6" s="934"/>
      <c r="L6" s="934"/>
      <c r="M6" s="485"/>
      <c r="N6" s="937"/>
      <c r="O6" s="938"/>
      <c r="P6" s="939"/>
      <c r="Q6" s="939"/>
      <c r="R6" s="938"/>
    </row>
    <row r="7" spans="1:18">
      <c r="A7" s="697" t="str">
        <f>'3.Community Intervention Annexn'!A11</f>
        <v>3.1.1.1.1</v>
      </c>
      <c r="B7" s="697"/>
      <c r="C7" s="696" t="str">
        <f>'3-A. CI Sub-Annex'!D7</f>
        <v>Incentive for MH Services</v>
      </c>
      <c r="D7" s="697"/>
      <c r="E7" s="697"/>
      <c r="F7" s="697"/>
      <c r="G7" s="697"/>
      <c r="H7" s="695"/>
      <c r="I7" s="697"/>
      <c r="J7" s="695"/>
      <c r="K7" s="697"/>
      <c r="L7" s="697"/>
      <c r="M7" s="695"/>
      <c r="N7" s="695"/>
      <c r="O7" s="695"/>
      <c r="P7" s="940"/>
      <c r="Q7" s="940"/>
      <c r="R7" s="695"/>
    </row>
    <row r="8" spans="1:18" ht="210">
      <c r="A8" s="606">
        <f>'3-A. CI Sub-Annex'!A8</f>
        <v>1</v>
      </c>
      <c r="B8" s="606" t="str">
        <f>'3-A. CI Sub-Annex'!C8</f>
        <v xml:space="preserve">A.1.3.4 </v>
      </c>
      <c r="C8" s="224" t="str">
        <f>'3-A. CI Sub-Annex'!D8</f>
        <v xml:space="preserve">JSY Incentive to ASHA </v>
      </c>
      <c r="D8" s="603" t="str">
        <f>'3-A. CI Sub-Annex'!E8</f>
        <v>RCH</v>
      </c>
      <c r="E8" s="606" t="str">
        <f>'3-A. CI Sub-Annex'!F8</f>
        <v>MH</v>
      </c>
      <c r="F8" s="606">
        <f>'3-A. CI Sub-Annex'!G8</f>
        <v>0</v>
      </c>
      <c r="G8" s="606">
        <f>'3-A. CI Sub-Annex'!H8</f>
        <v>0</v>
      </c>
      <c r="H8" s="606">
        <f>'3-A. CI Sub-Annex'!I8</f>
        <v>11721.15</v>
      </c>
      <c r="I8" s="606">
        <f>'3-A. CI Sub-Annex'!J8</f>
        <v>2860.8018900000002</v>
      </c>
      <c r="J8" s="606">
        <f>'3-A. CI Sub-Annex'!K8</f>
        <v>0</v>
      </c>
      <c r="K8" s="606" t="str">
        <f>'3-A. CI Sub-Annex'!L8</f>
        <v>600/del-rural &amp; 400/del- Urb</v>
      </c>
      <c r="L8" s="606">
        <f>'3-A. CI Sub-Annex'!M8</f>
        <v>1161958400</v>
      </c>
      <c r="M8" s="136">
        <f>'3-A. CI Sub-Annex'!N8</f>
        <v>11619.584000000001</v>
      </c>
      <c r="N8" s="606">
        <f>'3-A. CI Sub-Annex'!O8</f>
        <v>1</v>
      </c>
      <c r="O8" s="136">
        <f>'3-A. CI Sub-Annex'!P8</f>
        <v>11619.584000000001</v>
      </c>
      <c r="P8" s="224" t="str">
        <f>'3-A. CI Sub-Annex'!Q8</f>
        <v xml:space="preserve">Continued Activity,
(A) ASHA Incentive Rural Institutional Delivery- 1880340 .
Total-1880340 @Rs. 600 per case.
= Rs. 1128204000.
(B) ASHA Incentive for Urban Instituional Delivery- 84386.
Total- 84386@Rs. 400 per case=  Rs.33754400.
Total Amount-  1128204000+33754400= Rs.1161958400.
</v>
      </c>
      <c r="Q8" s="126">
        <f>'Ab1. RMNCH+A'!Q27</f>
        <v>0</v>
      </c>
      <c r="R8" s="896">
        <f>'Ab1. RMNCH+A'!R27</f>
        <v>0</v>
      </c>
    </row>
    <row r="9" spans="1:18" ht="30">
      <c r="A9" s="606">
        <f>'3-A. CI Sub-Annex'!A9</f>
        <v>2</v>
      </c>
      <c r="B9" s="606" t="str">
        <f>'3-A. CI Sub-Annex'!C9</f>
        <v>B1.1.3.5.1</v>
      </c>
      <c r="C9" s="224" t="str">
        <f>'3-A. CI Sub-Annex'!D9</f>
        <v>National Iron Plus Incentive for mobilizing WRA (non pregnant &amp; non-lactating Women 20-49 years)</v>
      </c>
      <c r="D9" s="603" t="str">
        <f>'3-A. CI Sub-Annex'!E9</f>
        <v>RCH</v>
      </c>
      <c r="E9" s="606" t="str">
        <f>'3-A. CI Sub-Annex'!F9</f>
        <v>MH/ CP</v>
      </c>
      <c r="F9" s="606">
        <f>'3-A. CI Sub-Annex'!G9</f>
        <v>0</v>
      </c>
      <c r="G9" s="606">
        <f>'3-A. CI Sub-Annex'!H9</f>
        <v>0</v>
      </c>
      <c r="H9" s="606">
        <f>'3-A. CI Sub-Annex'!I9</f>
        <v>0</v>
      </c>
      <c r="I9" s="606">
        <f>'3-A. CI Sub-Annex'!J9</f>
        <v>0</v>
      </c>
      <c r="J9" s="606">
        <f>'3-A. CI Sub-Annex'!K9</f>
        <v>0</v>
      </c>
      <c r="K9" s="606" t="str">
        <f>'3-A. CI Sub-Annex'!L9</f>
        <v>Number of ASHA</v>
      </c>
      <c r="L9" s="606">
        <f>'3-A. CI Sub-Annex'!M9</f>
        <v>600</v>
      </c>
      <c r="M9" s="136">
        <f>'3-A. CI Sub-Annex'!N9</f>
        <v>6.0000000000000001E-3</v>
      </c>
      <c r="N9" s="606">
        <f>'3-A. CI Sub-Annex'!O9</f>
        <v>88076</v>
      </c>
      <c r="O9" s="136">
        <f>'3-A. CI Sub-Annex'!P9</f>
        <v>528.45600000000002</v>
      </c>
      <c r="P9" s="224" t="str">
        <f>'3-A. CI Sub-Annex'!Q9</f>
        <v>Rs. 50/month/ASHA x 12month (for 88,076 ASHA) = 528.46 Lakhs</v>
      </c>
      <c r="Q9" s="126">
        <f>'Ab1. RMNCH+A'!Q28</f>
        <v>0</v>
      </c>
      <c r="R9" s="896">
        <f>'Ab1. RMNCH+A'!R28</f>
        <v>0</v>
      </c>
    </row>
    <row r="10" spans="1:18" ht="45">
      <c r="A10" s="606">
        <f>'3-A. CI Sub-Annex'!A10</f>
        <v>3</v>
      </c>
      <c r="B10" s="606" t="str">
        <f>'3-A. CI Sub-Annex'!C10</f>
        <v>B1.1.3.5.2</v>
      </c>
      <c r="C10" s="224" t="str">
        <f>'3-A. CI Sub-Annex'!D10</f>
        <v>National Iron Plus Incentive for mobilizing children and/or ensuring compliance and reporting (6-59 months)</v>
      </c>
      <c r="D10" s="603" t="str">
        <f>'3-A. CI Sub-Annex'!E10</f>
        <v>RCH</v>
      </c>
      <c r="E10" s="606" t="str">
        <f>'3-A. CI Sub-Annex'!F10</f>
        <v>MH/ CP</v>
      </c>
      <c r="F10" s="606">
        <f>'3-A. CI Sub-Annex'!G10</f>
        <v>0</v>
      </c>
      <c r="G10" s="606">
        <f>'3-A. CI Sub-Annex'!H10</f>
        <v>0</v>
      </c>
      <c r="H10" s="606">
        <f>'3-A. CI Sub-Annex'!I10</f>
        <v>0</v>
      </c>
      <c r="I10" s="606">
        <f>'3-A. CI Sub-Annex'!J10</f>
        <v>0</v>
      </c>
      <c r="J10" s="606">
        <f>'3-A. CI Sub-Annex'!K10</f>
        <v>0</v>
      </c>
      <c r="K10" s="606" t="str">
        <f>'3-A. CI Sub-Annex'!L10</f>
        <v>Number of ASHA</v>
      </c>
      <c r="L10" s="606">
        <f>'3-A. CI Sub-Annex'!M10</f>
        <v>1200</v>
      </c>
      <c r="M10" s="136">
        <f>'3-A. CI Sub-Annex'!N10</f>
        <v>1.2E-2</v>
      </c>
      <c r="N10" s="606">
        <f>'3-A. CI Sub-Annex'!O10</f>
        <v>88076</v>
      </c>
      <c r="O10" s="136">
        <f>'3-A. CI Sub-Annex'!P10</f>
        <v>1056.912</v>
      </c>
      <c r="P10" s="224" t="str">
        <f>'3-A. CI Sub-Annex'!Q10</f>
        <v>Rs. 100/month/ASHA x 12month (for 88,076 ASHA) = 1056.91 Lakhs</v>
      </c>
      <c r="Q10" s="126">
        <f>'Ab1. RMNCH+A'!Q29</f>
        <v>0</v>
      </c>
      <c r="R10" s="896">
        <f>'Ab1. RMNCH+A'!R29</f>
        <v>0</v>
      </c>
    </row>
    <row r="11" spans="1:18">
      <c r="A11" s="606">
        <f>'3-A. CI Sub-Annex'!A11</f>
        <v>4</v>
      </c>
      <c r="B11" s="606" t="str">
        <f>'3-A. CI Sub-Annex'!C11</f>
        <v>B1.1.3.5.3</v>
      </c>
      <c r="C11" s="224" t="str">
        <f>'3-A. CI Sub-Annex'!D11</f>
        <v>National Iron Plus Others</v>
      </c>
      <c r="D11" s="603" t="str">
        <f>'3-A. CI Sub-Annex'!E11</f>
        <v>RCH</v>
      </c>
      <c r="E11" s="606" t="str">
        <f>'3-A. CI Sub-Annex'!F11</f>
        <v>MH/ CP</v>
      </c>
      <c r="F11" s="606">
        <f>'3-A. CI Sub-Annex'!G11</f>
        <v>0</v>
      </c>
      <c r="G11" s="606">
        <f>'3-A. CI Sub-Annex'!H11</f>
        <v>0</v>
      </c>
      <c r="H11" s="606">
        <f>'3-A. CI Sub-Annex'!I11</f>
        <v>0</v>
      </c>
      <c r="I11" s="606">
        <f>'3-A. CI Sub-Annex'!J11</f>
        <v>0</v>
      </c>
      <c r="J11" s="606">
        <f>'3-A. CI Sub-Annex'!K11</f>
        <v>0</v>
      </c>
      <c r="K11" s="606">
        <f>'3-A. CI Sub-Annex'!L11</f>
        <v>0</v>
      </c>
      <c r="L11" s="606">
        <f>'3-A. CI Sub-Annex'!M11</f>
        <v>0</v>
      </c>
      <c r="M11" s="136">
        <f>'3-A. CI Sub-Annex'!N11</f>
        <v>0</v>
      </c>
      <c r="N11" s="606">
        <f>'3-A. CI Sub-Annex'!O11</f>
        <v>0</v>
      </c>
      <c r="O11" s="136">
        <f>'3-A. CI Sub-Annex'!P11</f>
        <v>0</v>
      </c>
      <c r="P11" s="224">
        <f>'3-A. CI Sub-Annex'!Q11</f>
        <v>0</v>
      </c>
      <c r="Q11" s="126">
        <f>'Ab1. RMNCH+A'!Q30</f>
        <v>0</v>
      </c>
      <c r="R11" s="896">
        <f>'Ab1. RMNCH+A'!R30</f>
        <v>0</v>
      </c>
    </row>
    <row r="12" spans="1:18">
      <c r="A12" s="941" t="str">
        <f>'3.Community Intervention Annexn'!A12</f>
        <v>3.1.1.1.2</v>
      </c>
      <c r="B12" s="941">
        <f>'3-A. CI Sub-Annex'!C12</f>
        <v>0</v>
      </c>
      <c r="C12" s="942" t="str">
        <f>'3-A. CI Sub-Annex'!D12</f>
        <v>Incentive for CH Services</v>
      </c>
      <c r="D12" s="941"/>
      <c r="E12" s="941"/>
      <c r="F12" s="941"/>
      <c r="G12" s="941"/>
      <c r="H12" s="943"/>
      <c r="I12" s="941"/>
      <c r="J12" s="943"/>
      <c r="K12" s="941"/>
      <c r="L12" s="944"/>
      <c r="M12" s="943"/>
      <c r="N12" s="941"/>
      <c r="O12" s="943"/>
      <c r="P12" s="942"/>
      <c r="Q12" s="951"/>
      <c r="R12" s="952"/>
    </row>
    <row r="13" spans="1:18" ht="45">
      <c r="A13" s="606">
        <f>'3-A. CI Sub-Annex'!A13</f>
        <v>1</v>
      </c>
      <c r="B13" s="606" t="str">
        <f>'3-A. CI Sub-Annex'!C13</f>
        <v>B1.1.3.2.6</v>
      </c>
      <c r="C13" s="224" t="str">
        <f>'3-A. CI Sub-Annex'!D13</f>
        <v xml:space="preserve">ASHA incentive under MAA programme @ Rs 100 per ASHA for quarterly mother's meeting </v>
      </c>
      <c r="D13" s="603" t="str">
        <f>'3-A. CI Sub-Annex'!E13</f>
        <v>RCH</v>
      </c>
      <c r="E13" s="606" t="str">
        <f>'3-A. CI Sub-Annex'!F13</f>
        <v>CH/NHSRC-CP</v>
      </c>
      <c r="F13" s="606">
        <f>'3-A. CI Sub-Annex'!G13</f>
        <v>0</v>
      </c>
      <c r="G13" s="606">
        <f>'3-A. CI Sub-Annex'!H13</f>
        <v>0</v>
      </c>
      <c r="H13" s="606">
        <f>'3-A. CI Sub-Annex'!I13</f>
        <v>0</v>
      </c>
      <c r="I13" s="606">
        <f>'3-A. CI Sub-Annex'!J13</f>
        <v>0</v>
      </c>
      <c r="J13" s="606">
        <f>'3-A. CI Sub-Annex'!K13</f>
        <v>0</v>
      </c>
      <c r="K13" s="606" t="str">
        <f>'3-A. CI Sub-Annex'!L13</f>
        <v>No. of ASHA</v>
      </c>
      <c r="L13" s="606">
        <f>'3-A. CI Sub-Annex'!M13</f>
        <v>400</v>
      </c>
      <c r="M13" s="136">
        <f>'3-A. CI Sub-Annex'!N13</f>
        <v>4.0000000000000001E-3</v>
      </c>
      <c r="N13" s="606">
        <f>'3-A. CI Sub-Annex'!O13</f>
        <v>90000</v>
      </c>
      <c r="O13" s="136">
        <f>'3-A. CI Sub-Annex'!P13</f>
        <v>360</v>
      </c>
      <c r="P13" s="224" t="str">
        <f>'3-A. CI Sub-Annex'!Q13</f>
        <v>Budget is being proposed for incentive to ASHA@100(4*100) per quarter mother's meeting</v>
      </c>
      <c r="Q13" s="63">
        <f>'Ab1. RMNCH+A'!Q114</f>
        <v>0</v>
      </c>
      <c r="R13" s="125">
        <f>'Ab1. RMNCH+A'!R114</f>
        <v>0</v>
      </c>
    </row>
    <row r="14" spans="1:18" ht="90">
      <c r="A14" s="606">
        <f>'3-A. CI Sub-Annex'!A14</f>
        <v>2</v>
      </c>
      <c r="B14" s="606" t="str">
        <f>'3-A. CI Sub-Annex'!C14</f>
        <v>B1.1.3.2.1</v>
      </c>
      <c r="C14" s="224" t="str">
        <f>'3-A. CI Sub-Annex'!D14</f>
        <v>Incentive for Home Based New-born Care programme</v>
      </c>
      <c r="D14" s="603" t="str">
        <f>'3-A. CI Sub-Annex'!E14</f>
        <v>RCH</v>
      </c>
      <c r="E14" s="606" t="str">
        <f>'3-A. CI Sub-Annex'!F14</f>
        <v>CH/NHSRC-CP</v>
      </c>
      <c r="F14" s="606">
        <f>'3-A. CI Sub-Annex'!G14</f>
        <v>0</v>
      </c>
      <c r="G14" s="606">
        <f>'3-A. CI Sub-Annex'!H14</f>
        <v>0</v>
      </c>
      <c r="H14" s="606">
        <f>'3-A. CI Sub-Annex'!I14</f>
        <v>0</v>
      </c>
      <c r="I14" s="606">
        <f>'3-A. CI Sub-Annex'!J14</f>
        <v>0</v>
      </c>
      <c r="J14" s="606">
        <f>'3-A. CI Sub-Annex'!K14</f>
        <v>0</v>
      </c>
      <c r="K14" s="606" t="str">
        <f>'3-A. CI Sub-Annex'!L14</f>
        <v>No. of live birth</v>
      </c>
      <c r="L14" s="606">
        <f>'3-A. CI Sub-Annex'!M14</f>
        <v>250</v>
      </c>
      <c r="M14" s="136">
        <f>'3-A. CI Sub-Annex'!N14</f>
        <v>2.5000000000000001E-3</v>
      </c>
      <c r="N14" s="606">
        <f>'3-A. CI Sub-Annex'!O14</f>
        <v>1200000</v>
      </c>
      <c r="O14" s="136">
        <f>'3-A. CI Sub-Annex'!P14</f>
        <v>3000</v>
      </c>
      <c r="P14" s="224" t="str">
        <f>'3-A. CI Sub-Annex'!Q14</f>
        <v>Continued Activity: Budget is being proposed for incentive to ASHA@Rs.250 per newborn after completion of 6/7 home visits(as per guideline) = 160000*Rs250 = 4000 lakh</v>
      </c>
      <c r="Q14" s="63">
        <f>'Ab1. RMNCH+A'!Q115</f>
        <v>0</v>
      </c>
      <c r="R14" s="125">
        <f>'Ab1. RMNCH+A'!R115</f>
        <v>0</v>
      </c>
    </row>
    <row r="15" spans="1:18" ht="255">
      <c r="A15" s="606">
        <f>'3-A. CI Sub-Annex'!A15</f>
        <v>3</v>
      </c>
      <c r="B15" s="606" t="str">
        <f>'3-A. CI Sub-Annex'!C15</f>
        <v>B1.1.3.2.2</v>
      </c>
      <c r="C15" s="224" t="str">
        <f>'3-A. CI Sub-Annex'!D15</f>
        <v>Incentive to ASHA for follow up of SNCU discharge babies and for follow up of LBW babies</v>
      </c>
      <c r="D15" s="603" t="str">
        <f>'3-A. CI Sub-Annex'!E15</f>
        <v>RCH</v>
      </c>
      <c r="E15" s="606" t="str">
        <f>'3-A. CI Sub-Annex'!F15</f>
        <v>CH/NHSRC-CP</v>
      </c>
      <c r="F15" s="606">
        <f>'3-A. CI Sub-Annex'!G15</f>
        <v>0</v>
      </c>
      <c r="G15" s="606">
        <f>'3-A. CI Sub-Annex'!H15</f>
        <v>0</v>
      </c>
      <c r="H15" s="606">
        <f>'3-A. CI Sub-Annex'!I15</f>
        <v>0</v>
      </c>
      <c r="I15" s="606">
        <f>'3-A. CI Sub-Annex'!J15</f>
        <v>0</v>
      </c>
      <c r="J15" s="606">
        <f>'3-A. CI Sub-Annex'!K15</f>
        <v>0</v>
      </c>
      <c r="K15" s="606" t="str">
        <f>'3-A. CI Sub-Annex'!L15</f>
        <v>No. of SNCU Discharge babies and LBW babies</v>
      </c>
      <c r="L15" s="606">
        <f>'3-A. CI Sub-Annex'!M15</f>
        <v>200</v>
      </c>
      <c r="M15" s="136">
        <f>'3-A. CI Sub-Annex'!N15</f>
        <v>2E-3</v>
      </c>
      <c r="N15" s="606">
        <f>'3-A. CI Sub-Annex'!O15</f>
        <v>50000</v>
      </c>
      <c r="O15" s="136">
        <f>'3-A. CI Sub-Annex'!P15</f>
        <v>100</v>
      </c>
      <c r="P15" s="224" t="str">
        <f>'3-A. CI Sub-Annex'!Q15</f>
        <v xml:space="preserve">Continued Activity: Budget is being proposed for incentive to ASHA for follow up of SNCU discharge babies and follow up of LBW babies@Rs.200 per babies. As per HMIS data(2018-19), around 1.93 lakh babies are identified as LBW babies in a year. It is assuming that 50% (1 lakh)of them are followed up by ASHA. Similarly  as per SNCU data,  around 45000 newborn are admitted in SNCU per year and 75% of babies are discharged from SNCU, hence 33750 babies are followed up by ASHA. </v>
      </c>
      <c r="Q15" s="63">
        <f>'Ab1. RMNCH+A'!Q116</f>
        <v>0</v>
      </c>
      <c r="R15" s="125">
        <f>'Ab1. RMNCH+A'!R116</f>
        <v>0</v>
      </c>
    </row>
    <row r="16" spans="1:18" ht="409.5">
      <c r="A16" s="606">
        <f>'3-A. CI Sub-Annex'!A16</f>
        <v>4</v>
      </c>
      <c r="B16" s="606" t="str">
        <f>'3-A. CI Sub-Annex'!C16</f>
        <v>B1.1.3.2.4</v>
      </c>
      <c r="C16" s="224" t="str">
        <f>'3-A. CI Sub-Annex'!D16</f>
        <v>Incentive for referral of SAM cases to NRC and for follow up of discharge SAM children from NRCs</v>
      </c>
      <c r="D16" s="603" t="str">
        <f>'3-A. CI Sub-Annex'!E16</f>
        <v>RCH</v>
      </c>
      <c r="E16" s="606" t="str">
        <f>'3-A. CI Sub-Annex'!F16</f>
        <v>CH/NHSRC-CP</v>
      </c>
      <c r="F16" s="606">
        <f>'3-A. CI Sub-Annex'!G16</f>
        <v>0</v>
      </c>
      <c r="G16" s="606">
        <f>'3-A. CI Sub-Annex'!H16</f>
        <v>0</v>
      </c>
      <c r="H16" s="606">
        <f>'3-A. CI Sub-Annex'!I16</f>
        <v>0</v>
      </c>
      <c r="I16" s="606">
        <f>'3-A. CI Sub-Annex'!J16</f>
        <v>0</v>
      </c>
      <c r="J16" s="606">
        <f>'3-A. CI Sub-Annex'!K16</f>
        <v>0</v>
      </c>
      <c r="K16" s="606" t="str">
        <f>'3-A. CI Sub-Annex'!L16</f>
        <v>No. of SAM referral and discharge follow up</v>
      </c>
      <c r="L16" s="606">
        <f>'3-A. CI Sub-Annex'!M16</f>
        <v>2120000</v>
      </c>
      <c r="M16" s="136">
        <f>'3-A. CI Sub-Annex'!N16</f>
        <v>21.2</v>
      </c>
      <c r="N16" s="606">
        <f>'3-A. CI Sub-Annex'!O16</f>
        <v>1</v>
      </c>
      <c r="O16" s="136">
        <f>'3-A. CI Sub-Annex'!P16</f>
        <v>21.2</v>
      </c>
      <c r="P16" s="224" t="str">
        <f>'3-A. CI Sub-Annex'!Q16</f>
        <v>Continued Activity: Budget is being proposed for ASHA incentive for referal of SAM children to NRC. For 38 NRC(20 beded), total no. of children admitted in a year = 18240 (based on 100% BOR), It is expected that , 70%(12768) of SAM children admitted in NRC are refered by ASHA, therefore amount of incentive = 12768*Rs.100 = 12.76 lakh. 
Similarly,for 3 NRC(10 beded), total no. of children admitted in a year = 720, (based on 100% BOR), It is expected that  70%(500) of SAM children admitted in NRC are refered by ASHA, therefore amount of incentive = 500*Rs.100= 0.50 lakh
For 38 NRC(20 beded), total no. of children discharged in a year = 10944, As per reported data, 70%(7660) of total dicharged chidren are being follow up by ASHA, therefore amount of incentive = 7660*Rs.25*4 visit = 7.66 lakh. 
Similarly,For 3 NRC(10 beded), total no. of children discharged in a year = 400(60% of total admission), As per reported data, 70%(280) of total dicharged chidren are being follow up by ASHA, therefore amount of incentive = 280*Rs.25*4 visit =0.28 lakh.
Total budget required = 12.76 +0.50+7.66+0.28 = 21.20 lakh</v>
      </c>
      <c r="Q16" s="63">
        <f>'Ab1. RMNCH+A'!Q117</f>
        <v>0</v>
      </c>
      <c r="R16" s="125">
        <f>'Ab1. RMNCH+A'!R117</f>
        <v>0</v>
      </c>
    </row>
    <row r="17" spans="1:18" ht="45">
      <c r="A17" s="606">
        <f>'3-A. CI Sub-Annex'!A17</f>
        <v>5</v>
      </c>
      <c r="B17" s="606" t="str">
        <f>'3-A. CI Sub-Annex'!C17</f>
        <v>B1.1.3.2.7</v>
      </c>
      <c r="C17" s="224" t="str">
        <f>'3-A. CI Sub-Annex'!D17</f>
        <v>Incentive for National Deworming Day  for mobilising out of school children</v>
      </c>
      <c r="D17" s="603" t="str">
        <f>'3-A. CI Sub-Annex'!E17</f>
        <v>RCH</v>
      </c>
      <c r="E17" s="606" t="str">
        <f>'3-A. CI Sub-Annex'!F17</f>
        <v>CH/NHSRC-CP</v>
      </c>
      <c r="F17" s="606">
        <f>'3-A. CI Sub-Annex'!G17</f>
        <v>0</v>
      </c>
      <c r="G17" s="606">
        <f>'3-A. CI Sub-Annex'!H17</f>
        <v>0</v>
      </c>
      <c r="H17" s="606">
        <f>'3-A. CI Sub-Annex'!I17</f>
        <v>0</v>
      </c>
      <c r="I17" s="606">
        <f>'3-A. CI Sub-Annex'!J17</f>
        <v>0</v>
      </c>
      <c r="J17" s="606">
        <f>'3-A. CI Sub-Annex'!K17</f>
        <v>0</v>
      </c>
      <c r="K17" s="606" t="str">
        <f>'3-A. CI Sub-Annex'!L17</f>
        <v>No. of ASHA</v>
      </c>
      <c r="L17" s="606">
        <f>'3-A. CI Sub-Annex'!M17</f>
        <v>200</v>
      </c>
      <c r="M17" s="136">
        <f>'3-A. CI Sub-Annex'!N17</f>
        <v>2E-3</v>
      </c>
      <c r="N17" s="606">
        <f>'3-A. CI Sub-Annex'!O17</f>
        <v>91000</v>
      </c>
      <c r="O17" s="136">
        <f>'3-A. CI Sub-Annex'!P17</f>
        <v>182</v>
      </c>
      <c r="P17" s="224" t="str">
        <f>'3-A. CI Sub-Annex'!Q17</f>
        <v>Budget is being proposed for 2 round of NDD@100 per ASHA per round</v>
      </c>
      <c r="Q17" s="63">
        <f>'Ab1. RMNCH+A'!Q118</f>
        <v>0</v>
      </c>
      <c r="R17" s="125">
        <f>'Ab1. RMNCH+A'!R118</f>
        <v>0</v>
      </c>
    </row>
    <row r="18" spans="1:18" ht="45">
      <c r="A18" s="606">
        <f>'3-A. CI Sub-Annex'!A18</f>
        <v>6</v>
      </c>
      <c r="B18" s="606" t="str">
        <f>'3-A. CI Sub-Annex'!C18</f>
        <v>B1.1.3.2.8</v>
      </c>
      <c r="C18" s="224" t="str">
        <f>'3-A. CI Sub-Annex'!D18</f>
        <v xml:space="preserve">Incentive for IDCF for prophylactic distribution of ORS  to family with under-five children. </v>
      </c>
      <c r="D18" s="603" t="str">
        <f>'3-A. CI Sub-Annex'!E18</f>
        <v>RCH</v>
      </c>
      <c r="E18" s="606" t="str">
        <f>'3-A. CI Sub-Annex'!F18</f>
        <v>CH/NHSRC-CP</v>
      </c>
      <c r="F18" s="606">
        <f>'3-A. CI Sub-Annex'!G18</f>
        <v>0</v>
      </c>
      <c r="G18" s="606">
        <f>'3-A. CI Sub-Annex'!H18</f>
        <v>0</v>
      </c>
      <c r="H18" s="606">
        <f>'3-A. CI Sub-Annex'!I18</f>
        <v>0</v>
      </c>
      <c r="I18" s="606">
        <f>'3-A. CI Sub-Annex'!J18</f>
        <v>0</v>
      </c>
      <c r="J18" s="606">
        <f>'3-A. CI Sub-Annex'!K18</f>
        <v>0</v>
      </c>
      <c r="K18" s="606" t="str">
        <f>'3-A. CI Sub-Annex'!L18</f>
        <v>No. of ASHA</v>
      </c>
      <c r="L18" s="606">
        <f>'3-A. CI Sub-Annex'!M18</f>
        <v>100</v>
      </c>
      <c r="M18" s="136">
        <f>'3-A. CI Sub-Annex'!N18</f>
        <v>1E-3</v>
      </c>
      <c r="N18" s="606">
        <f>'3-A. CI Sub-Annex'!O18</f>
        <v>91000</v>
      </c>
      <c r="O18" s="136">
        <f>'3-A. CI Sub-Annex'!P18</f>
        <v>91</v>
      </c>
      <c r="P18" s="224" t="str">
        <f>'3-A. CI Sub-Annex'!Q18</f>
        <v>Budget is Being proposed for prepostioning  of ORS under IDCF program@100 Rs. Per ASHA</v>
      </c>
      <c r="Q18" s="63">
        <f>'Ab1. RMNCH+A'!Q119</f>
        <v>0</v>
      </c>
      <c r="R18" s="125">
        <f>'Ab1. RMNCH+A'!R119</f>
        <v>0</v>
      </c>
    </row>
    <row r="19" spans="1:18" ht="225">
      <c r="A19" s="606">
        <f>'3-A. CI Sub-Annex'!A19</f>
        <v>7</v>
      </c>
      <c r="B19" s="606">
        <f>'3-A. CI Sub-Annex'!C19</f>
        <v>0</v>
      </c>
      <c r="C19" s="224" t="str">
        <f>'3-A. CI Sub-Annex'!D19</f>
        <v xml:space="preserve">Incentive to ASHA for quarterly visits under HBYC </v>
      </c>
      <c r="D19" s="603" t="str">
        <f>'3-A. CI Sub-Annex'!E19</f>
        <v>RCH</v>
      </c>
      <c r="E19" s="606" t="str">
        <f>'3-A. CI Sub-Annex'!F19</f>
        <v>CH/NHSRC-CP</v>
      </c>
      <c r="F19" s="606">
        <f>'3-A. CI Sub-Annex'!G19</f>
        <v>0</v>
      </c>
      <c r="G19" s="606">
        <f>'3-A. CI Sub-Annex'!H19</f>
        <v>0</v>
      </c>
      <c r="H19" s="606">
        <f>'3-A. CI Sub-Annex'!I19</f>
        <v>0</v>
      </c>
      <c r="I19" s="606">
        <f>'3-A. CI Sub-Annex'!J19</f>
        <v>0</v>
      </c>
      <c r="J19" s="606">
        <f>'3-A. CI Sub-Annex'!K19</f>
        <v>0</v>
      </c>
      <c r="K19" s="606" t="str">
        <f>'3-A. CI Sub-Annex'!L19</f>
        <v>No. of ASHA</v>
      </c>
      <c r="L19" s="606">
        <f>'3-A. CI Sub-Annex'!M19</f>
        <v>105580000</v>
      </c>
      <c r="M19" s="136">
        <f>'3-A. CI Sub-Annex'!N19</f>
        <v>1055.8</v>
      </c>
      <c r="N19" s="606">
        <f>'3-A. CI Sub-Annex'!O19</f>
        <v>1</v>
      </c>
      <c r="O19" s="136">
        <f>'3-A. CI Sub-Annex'!P19</f>
        <v>1055.8</v>
      </c>
      <c r="P19" s="224" t="str">
        <f>'3-A. CI Sub-Annex'!Q19</f>
        <v>Continued Activity: Budget is being proposed for 1.Incentive to ASHA- Rs 250 (50/visit X 5 visits) X 385000 (50% of total live birth) Children in 13 Aspirational districts=962.50 lakhs &amp; 
2.Monitoring and supervision of ASHA activities  under HBYC program by ASHA facilitator: Rs.500/month/ASHA faclitator X 12 months X 1555 ASHA Fac. = 93.30 lakh
Total Budget required = 962.50 + 93.30 = 1055.80 lakh</v>
      </c>
      <c r="Q19" s="63">
        <f>'Ab1. RMNCH+A'!Q120</f>
        <v>0</v>
      </c>
      <c r="R19" s="125">
        <f>'Ab1. RMNCH+A'!R120</f>
        <v>0</v>
      </c>
    </row>
    <row r="20" spans="1:18">
      <c r="A20" s="941" t="str">
        <f>'3.Community Intervention Annexn'!A13</f>
        <v>3.1.1.1.3</v>
      </c>
      <c r="B20" s="941">
        <f>'3-A. CI Sub-Annex'!C20</f>
        <v>0</v>
      </c>
      <c r="C20" s="942" t="str">
        <f>'3-A. CI Sub-Annex'!D20</f>
        <v>Incentive for Immunization Services</v>
      </c>
      <c r="D20" s="941"/>
      <c r="E20" s="941"/>
      <c r="F20" s="941"/>
      <c r="G20" s="941"/>
      <c r="H20" s="943"/>
      <c r="I20" s="941"/>
      <c r="J20" s="943"/>
      <c r="K20" s="941"/>
      <c r="L20" s="944"/>
      <c r="M20" s="943"/>
      <c r="N20" s="941"/>
      <c r="O20" s="943"/>
      <c r="P20" s="942"/>
      <c r="Q20" s="951"/>
      <c r="R20" s="952"/>
    </row>
    <row r="21" spans="1:18" ht="409.5">
      <c r="A21" s="606">
        <f>'3-A. CI Sub-Annex'!A21</f>
        <v>1</v>
      </c>
      <c r="B21" s="606" t="str">
        <f>'3-A. CI Sub-Annex'!C21</f>
        <v>C.5</v>
      </c>
      <c r="C21" s="224" t="str">
        <f>'3-A. CI Sub-Annex'!D21</f>
        <v>ASHA Incentive under Immunization</v>
      </c>
      <c r="D21" s="603" t="str">
        <f>'3-A. CI Sub-Annex'!E21</f>
        <v>RCH</v>
      </c>
      <c r="E21" s="606" t="str">
        <f>'3-A. CI Sub-Annex'!F21</f>
        <v>RI/NHSRC-CP</v>
      </c>
      <c r="F21" s="606">
        <f>'3-A. CI Sub-Annex'!G21</f>
        <v>0</v>
      </c>
      <c r="G21" s="606">
        <f>'3-A. CI Sub-Annex'!H21</f>
        <v>0</v>
      </c>
      <c r="H21" s="606">
        <f>'3-A. CI Sub-Annex'!I21</f>
        <v>7402.24</v>
      </c>
      <c r="I21" s="606">
        <f>'3-A. CI Sub-Annex'!J21</f>
        <v>0</v>
      </c>
      <c r="J21" s="606">
        <f>'3-A. CI Sub-Annex'!K21</f>
        <v>0</v>
      </c>
      <c r="K21" s="606" t="str">
        <f>'3-A. CI Sub-Annex'!L21</f>
        <v>No. of Benefeciaries</v>
      </c>
      <c r="L21" s="606">
        <f>'3-A. CI Sub-Annex'!M21</f>
        <v>304.34160000000003</v>
      </c>
      <c r="M21" s="136">
        <f>'3-A. CI Sub-Annex'!N21</f>
        <v>3.0434160000000002E-3</v>
      </c>
      <c r="N21" s="606">
        <f>'3-A. CI Sub-Annex'!O21</f>
        <v>2700000</v>
      </c>
      <c r="O21" s="136">
        <f>'3-A. CI Sub-Annex'!P21</f>
        <v>8217.2232000000004</v>
      </c>
      <c r="P21" s="224" t="str">
        <f>'3-A. CI Sub-Annex'!Q21</f>
        <v>ontinued Activity:
IIncentive under Routine Immunization
1. Full immunization @ Rs. 100 per beneficiary, for 3000000 beneficiary 
2.Rs. 75/- for complete Immunization,for 2560000 beneficiary  
3.  2nd DPT booster  @ Rs. 50 per beneficiary, for 2200000 beneficiary 
4. Due list preparation @ Rs. 300 per session  for paid mobilizer/link worker where Asha do not work.Total Session without ASHA: 30517
5. Yearly Survey &amp; Monthly updation @ Rs. 300 per session  for paid mobilizer/link worker where Asha do not work. Total Session without ASHA: 30517 i.e. (3000000 X 100)+(2560000X75)+(2200000X50)+(30517X12X300)+(30517X12X300)=821722400/-
Kindly approved Rs. 82.17 Cr., However it is subjected to actual expenditure .state will propose more in supplimentry if needed.</v>
      </c>
      <c r="Q21" s="63">
        <f>'Ab1. RMNCH+A'!Q405</f>
        <v>0</v>
      </c>
      <c r="R21" s="821">
        <f>'Ab1. RMNCH+A'!R405</f>
        <v>0</v>
      </c>
    </row>
    <row r="22" spans="1:18" ht="255">
      <c r="A22" s="606">
        <f>'3-A. CI Sub-Annex'!A22</f>
        <v>2</v>
      </c>
      <c r="B22" s="606" t="str">
        <f>'3-A. CI Sub-Annex'!C22</f>
        <v>C.1.g</v>
      </c>
      <c r="C22" s="224" t="str">
        <f>'3-A. CI Sub-Annex'!D22</f>
        <v>Mobilization of children through ASHA or other mobilizers</v>
      </c>
      <c r="D22" s="603" t="str">
        <f>'3-A. CI Sub-Annex'!E22</f>
        <v>RCH</v>
      </c>
      <c r="E22" s="606" t="str">
        <f>'3-A. CI Sub-Annex'!F22</f>
        <v>RI/NHSRC-CP</v>
      </c>
      <c r="F22" s="606">
        <f>'3-A. CI Sub-Annex'!G22</f>
        <v>0</v>
      </c>
      <c r="G22" s="606">
        <f>'3-A. CI Sub-Annex'!H22</f>
        <v>0</v>
      </c>
      <c r="H22" s="606">
        <f>'3-A. CI Sub-Annex'!I22</f>
        <v>551.16999999999996</v>
      </c>
      <c r="I22" s="606">
        <f>'3-A. CI Sub-Annex'!J22</f>
        <v>0</v>
      </c>
      <c r="J22" s="606">
        <f>'3-A. CI Sub-Annex'!K22</f>
        <v>0</v>
      </c>
      <c r="K22" s="606" t="str">
        <f>'3-A. CI Sub-Annex'!L22</f>
        <v>No. of Session sites where ASHAs are not available including Urban Areas</v>
      </c>
      <c r="L22" s="606">
        <f>'3-A. CI Sub-Annex'!M22</f>
        <v>200</v>
      </c>
      <c r="M22" s="136">
        <f>'3-A. CI Sub-Annex'!N22</f>
        <v>2E-3</v>
      </c>
      <c r="N22" s="606">
        <f>'3-A. CI Sub-Annex'!O22</f>
        <v>366204</v>
      </c>
      <c r="O22" s="136">
        <f>'3-A. CI Sub-Annex'!P22</f>
        <v>732.40800000000002</v>
      </c>
      <c r="P22" s="224" t="str">
        <f>'3-A. CI Sub-Annex'!Q22</f>
        <v>Continued…
 Fund has been requested for those sessions where ASHA's are not available including Urban Areas. Mobilization for other Areas where ASHAs are available has already been allotted in FMR code: 3.1.1.6.1 in previous F.Y.2020-21. To avoid duplicacy of the fund we request fund for those areas where ASHA not available.
Total no. of 30517 sites per month where mobilization has been done by Link Worker. Thus fund required :
30517 X 12 X 200/- = 73240800/-</v>
      </c>
      <c r="Q22" s="63">
        <f>'Ab1. RMNCH+A'!Q406</f>
        <v>0</v>
      </c>
      <c r="R22" s="821">
        <f>'Ab1. RMNCH+A'!R406</f>
        <v>0</v>
      </c>
    </row>
    <row r="23" spans="1:18">
      <c r="A23" s="941" t="str">
        <f>'3.Community Intervention Annexn'!A14</f>
        <v>3.1.1.1.4</v>
      </c>
      <c r="B23" s="941">
        <f>'3-A. CI Sub-Annex'!C23</f>
        <v>0</v>
      </c>
      <c r="C23" s="942" t="str">
        <f>'3-A. CI Sub-Annex'!D23</f>
        <v>Incentive for FP Services</v>
      </c>
      <c r="D23" s="941"/>
      <c r="E23" s="941"/>
      <c r="F23" s="941"/>
      <c r="G23" s="941"/>
      <c r="H23" s="941"/>
      <c r="I23" s="941"/>
      <c r="J23" s="941"/>
      <c r="K23" s="941"/>
      <c r="L23" s="941"/>
      <c r="M23" s="943"/>
      <c r="N23" s="941"/>
      <c r="O23" s="943"/>
      <c r="P23" s="942"/>
      <c r="Q23" s="951"/>
      <c r="R23" s="952"/>
    </row>
    <row r="24" spans="1:18" ht="60">
      <c r="A24" s="606">
        <f>'3-A. CI Sub-Annex'!A24</f>
        <v>1</v>
      </c>
      <c r="B24" s="606" t="str">
        <f>'3-A. CI Sub-Annex'!C24</f>
        <v>A.3.7.1</v>
      </c>
      <c r="C24" s="224" t="str">
        <f>'3-A. CI Sub-Annex'!D24</f>
        <v>ASHA Incentives under Saas Bahu Sammellan</v>
      </c>
      <c r="D24" s="603" t="str">
        <f>'3-A. CI Sub-Annex'!E24</f>
        <v>RCH</v>
      </c>
      <c r="E24" s="606" t="str">
        <f>'3-A. CI Sub-Annex'!F24</f>
        <v>FP/NHSRC-CP</v>
      </c>
      <c r="F24" s="606">
        <f>'3-A. CI Sub-Annex'!G24</f>
        <v>91677</v>
      </c>
      <c r="G24" s="606">
        <f>'3-A. CI Sub-Annex'!H24</f>
        <v>2971</v>
      </c>
      <c r="H24" s="606">
        <f>'3-A. CI Sub-Annex'!I24</f>
        <v>91.68</v>
      </c>
      <c r="I24" s="606">
        <f>'3-A. CI Sub-Annex'!J24</f>
        <v>2.97</v>
      </c>
      <c r="J24" s="606">
        <f>'3-A. CI Sub-Annex'!K24</f>
        <v>0</v>
      </c>
      <c r="K24" s="606" t="str">
        <f>'3-A. CI Sub-Annex'!L24</f>
        <v>No. Of saas Bahu Beti Sammelan organised</v>
      </c>
      <c r="L24" s="606">
        <f>'3-A. CI Sub-Annex'!M24</f>
        <v>100</v>
      </c>
      <c r="M24" s="136">
        <f>'3-A. CI Sub-Annex'!N24</f>
        <v>1E-3</v>
      </c>
      <c r="N24" s="606">
        <f>'3-A. CI Sub-Annex'!O24</f>
        <v>92037</v>
      </c>
      <c r="O24" s="136">
        <f>'3-A. CI Sub-Annex'!P24</f>
        <v>92.037000000000006</v>
      </c>
      <c r="P24" s="224" t="str">
        <f>'3-A. CI Sub-Annex'!Q24</f>
        <v>(Key deliverable- mCPR) Continued activity- 92037 AWC X 1 SBS X Rs 100 per SBS (for all 38 districts)</v>
      </c>
      <c r="Q24" s="63">
        <f>'Ab1. RMNCH+A'!Q214</f>
        <v>0</v>
      </c>
      <c r="R24" s="821">
        <f>'Ab1. RMNCH+A'!R214</f>
        <v>0</v>
      </c>
    </row>
    <row r="25" spans="1:18" ht="75">
      <c r="A25" s="606">
        <f>'3-A. CI Sub-Annex'!A25</f>
        <v>2</v>
      </c>
      <c r="B25" s="606" t="str">
        <f>'3-A. CI Sub-Annex'!C25</f>
        <v>A.3.7.2</v>
      </c>
      <c r="C25" s="224" t="str">
        <f>'3-A. CI Sub-Annex'!D25</f>
        <v>ASHA Incentives under Nayi Pehl Kit</v>
      </c>
      <c r="D25" s="603" t="str">
        <f>'3-A. CI Sub-Annex'!E25</f>
        <v>RCH</v>
      </c>
      <c r="E25" s="606" t="str">
        <f>'3-A. CI Sub-Annex'!F25</f>
        <v>FP/NHSRC-CP</v>
      </c>
      <c r="F25" s="606">
        <f>'3-A. CI Sub-Annex'!G25</f>
        <v>89007</v>
      </c>
      <c r="G25" s="606">
        <f>'3-A. CI Sub-Annex'!H25</f>
        <v>2003</v>
      </c>
      <c r="H25" s="606">
        <f>'3-A. CI Sub-Annex'!I25</f>
        <v>89.01</v>
      </c>
      <c r="I25" s="606">
        <f>'3-A. CI Sub-Annex'!J25</f>
        <v>2</v>
      </c>
      <c r="J25" s="606">
        <f>'3-A. CI Sub-Annex'!K25</f>
        <v>0</v>
      </c>
      <c r="K25" s="606" t="str">
        <f>'3-A. CI Sub-Annex'!L25</f>
        <v>No. Of Nayi Pahel kit distributed</v>
      </c>
      <c r="L25" s="606">
        <f>'3-A. CI Sub-Annex'!M25</f>
        <v>100</v>
      </c>
      <c r="M25" s="136">
        <f>'3-A. CI Sub-Annex'!N25</f>
        <v>1E-3</v>
      </c>
      <c r="N25" s="606">
        <f>'3-A. CI Sub-Annex'!O25</f>
        <v>88076</v>
      </c>
      <c r="O25" s="136">
        <f>'3-A. CI Sub-Annex'!P25</f>
        <v>88.076000000000008</v>
      </c>
      <c r="P25" s="224" t="str">
        <f>'3-A. CI Sub-Annex'!Q25</f>
        <v>(Key deliverable- mCPR) Continued activity- 88076 ASHA X Rs 100 as incentive for distribution of Nayi pahel kit X 1 kit per ASHA (for all 38 districts)</v>
      </c>
      <c r="Q25" s="63">
        <f>'Ab1. RMNCH+A'!Q215</f>
        <v>0</v>
      </c>
      <c r="R25" s="821">
        <f>'Ab1. RMNCH+A'!R215</f>
        <v>0</v>
      </c>
    </row>
    <row r="26" spans="1:18" ht="75">
      <c r="A26" s="606">
        <f>'3-A. CI Sub-Annex'!A26</f>
        <v>3</v>
      </c>
      <c r="B26" s="606">
        <f>'3-A. CI Sub-Annex'!C26</f>
        <v>0</v>
      </c>
      <c r="C26" s="224" t="str">
        <f>'3-A. CI Sub-Annex'!D26</f>
        <v>ASHA incentive for updation of EC survey before each MPV campaign</v>
      </c>
      <c r="D26" s="603" t="str">
        <f>'3-A. CI Sub-Annex'!E26</f>
        <v>RCH</v>
      </c>
      <c r="E26" s="606" t="str">
        <f>'3-A. CI Sub-Annex'!F26</f>
        <v>FP/NHSRC-CP</v>
      </c>
      <c r="F26" s="606">
        <f>'3-A. CI Sub-Annex'!G26</f>
        <v>89007</v>
      </c>
      <c r="G26" s="606">
        <f>'3-A. CI Sub-Annex'!H26</f>
        <v>5980</v>
      </c>
      <c r="H26" s="606">
        <f>'3-A. CI Sub-Annex'!I26</f>
        <v>178.01</v>
      </c>
      <c r="I26" s="606">
        <f>'3-A. CI Sub-Annex'!J26</f>
        <v>11.96</v>
      </c>
      <c r="J26" s="606">
        <f>'3-A. CI Sub-Annex'!K26</f>
        <v>0</v>
      </c>
      <c r="K26" s="606" t="str">
        <f>'3-A. CI Sub-Annex'!L26</f>
        <v>No. Of ASHA</v>
      </c>
      <c r="L26" s="606">
        <f>'3-A. CI Sub-Annex'!M26</f>
        <v>600</v>
      </c>
      <c r="M26" s="136">
        <f>'3-A. CI Sub-Annex'!N26</f>
        <v>6.0000000000000001E-3</v>
      </c>
      <c r="N26" s="606">
        <f>'3-A. CI Sub-Annex'!O26</f>
        <v>88076</v>
      </c>
      <c r="O26" s="136">
        <f>'3-A. CI Sub-Annex'!P26</f>
        <v>528.45600000000002</v>
      </c>
      <c r="P26" s="224" t="str">
        <f>'3-A. CI Sub-Annex'!Q26</f>
        <v>Continued activity - 88076 ASHA X Rs 200 per drive X 3 MPV drives = Rs 528.46 (For Community Need assessment and Pre registration scheme)</v>
      </c>
      <c r="Q26" s="63">
        <f>'Ab1. RMNCH+A'!Q216</f>
        <v>0</v>
      </c>
      <c r="R26" s="821">
        <f>'Ab1. RMNCH+A'!R216</f>
        <v>0</v>
      </c>
    </row>
    <row r="27" spans="1:18" ht="135">
      <c r="A27" s="606">
        <f>'3-A. CI Sub-Annex'!A27</f>
        <v>4</v>
      </c>
      <c r="B27" s="606" t="str">
        <f>'3-A. CI Sub-Annex'!C27</f>
        <v>B1.1.3.3.1</v>
      </c>
      <c r="C27" s="224" t="str">
        <f>'3-A. CI Sub-Annex'!D27</f>
        <v>ASHA PPIUCD incentive for accompanying the client for PPIUCD insertion (@ Rs. 150/ASHA/insertion)</v>
      </c>
      <c r="D27" s="603" t="str">
        <f>'3-A. CI Sub-Annex'!E27</f>
        <v>RCH</v>
      </c>
      <c r="E27" s="606" t="str">
        <f>'3-A. CI Sub-Annex'!F27</f>
        <v>FP/NHSRC-CP</v>
      </c>
      <c r="F27" s="606">
        <f>'3-A. CI Sub-Annex'!G27</f>
        <v>20000</v>
      </c>
      <c r="G27" s="606">
        <f>'3-A. CI Sub-Annex'!H27</f>
        <v>33410</v>
      </c>
      <c r="H27" s="606">
        <f>'3-A. CI Sub-Annex'!I27</f>
        <v>300</v>
      </c>
      <c r="I27" s="606">
        <f>'3-A. CI Sub-Annex'!J27</f>
        <v>50.11</v>
      </c>
      <c r="J27" s="606">
        <f>'3-A. CI Sub-Annex'!K27</f>
        <v>0</v>
      </c>
      <c r="K27" s="606" t="str">
        <f>'3-A. CI Sub-Annex'!L27</f>
        <v>No. Of PPIUCD cases</v>
      </c>
      <c r="L27" s="606">
        <f>'3-A. CI Sub-Annex'!M27</f>
        <v>150</v>
      </c>
      <c r="M27" s="136">
        <f>'3-A. CI Sub-Annex'!N27</f>
        <v>1.5E-3</v>
      </c>
      <c r="N27" s="606">
        <f>'3-A. CI Sub-Annex'!O27</f>
        <v>200000</v>
      </c>
      <c r="O27" s="136">
        <f>'3-A. CI Sub-Annex'!P27</f>
        <v>300</v>
      </c>
      <c r="P27" s="224" t="str">
        <f>'3-A. CI Sub-Annex'!Q27</f>
        <v>Continued Activity
State requests a total amount of 200.00 lacs for PPIUCD incentives for ASHAs accompanying client.
The budget proposed under the head is ;
200000 Case*Rs.150/- = 300.00 lacs</v>
      </c>
      <c r="Q27" s="63">
        <f>'Ab1. RMNCH+A'!Q217</f>
        <v>0</v>
      </c>
      <c r="R27" s="821">
        <f>'Ab1. RMNCH+A'!R217</f>
        <v>0</v>
      </c>
    </row>
    <row r="28" spans="1:18" ht="120">
      <c r="A28" s="606">
        <f>'3-A. CI Sub-Annex'!A28</f>
        <v>5</v>
      </c>
      <c r="B28" s="606" t="str">
        <f>'3-A. CI Sub-Annex'!C28</f>
        <v>B1.1.3.3.2</v>
      </c>
      <c r="C28" s="224" t="str">
        <f>'3-A. CI Sub-Annex'!D28</f>
        <v>ASHA PAIUCD incentive for accompanying the client for PAIUCD insertion (@ Rs. 150/ASHA/insertion)</v>
      </c>
      <c r="D28" s="603" t="str">
        <f>'3-A. CI Sub-Annex'!E28</f>
        <v>RCH</v>
      </c>
      <c r="E28" s="606" t="str">
        <f>'3-A. CI Sub-Annex'!F28</f>
        <v>FP/NHSRC-CP</v>
      </c>
      <c r="F28" s="606">
        <f>'3-A. CI Sub-Annex'!G28</f>
        <v>2000</v>
      </c>
      <c r="G28" s="606">
        <f>'3-A. CI Sub-Annex'!H28</f>
        <v>1653</v>
      </c>
      <c r="H28" s="606">
        <f>'3-A. CI Sub-Annex'!I28</f>
        <v>3</v>
      </c>
      <c r="I28" s="606">
        <f>'3-A. CI Sub-Annex'!J28</f>
        <v>2.48</v>
      </c>
      <c r="J28" s="606">
        <f>'3-A. CI Sub-Annex'!K28</f>
        <v>0</v>
      </c>
      <c r="K28" s="606" t="str">
        <f>'3-A. CI Sub-Annex'!L28</f>
        <v>No. Of PAIUCD cases</v>
      </c>
      <c r="L28" s="606">
        <f>'3-A. CI Sub-Annex'!M28</f>
        <v>150</v>
      </c>
      <c r="M28" s="136">
        <f>'3-A. CI Sub-Annex'!N28</f>
        <v>1.5E-3</v>
      </c>
      <c r="N28" s="606">
        <f>'3-A. CI Sub-Annex'!O28</f>
        <v>2000</v>
      </c>
      <c r="O28" s="136">
        <f>'3-A. CI Sub-Annex'!P28</f>
        <v>3</v>
      </c>
      <c r="P28" s="224" t="str">
        <f>'3-A. CI Sub-Annex'!Q28</f>
        <v xml:space="preserve">Continued Activity
State requests a total amount of 3.00 lacs for PAIUCD incentives for ASHAs accompanying client.
The budget proposed under the head is ;
2000 Case*Rs.150/- = 3.0 lacs
</v>
      </c>
      <c r="Q28" s="63">
        <f>'Ab1. RMNCH+A'!Q218</f>
        <v>0</v>
      </c>
      <c r="R28" s="821">
        <f>'Ab1. RMNCH+A'!R218</f>
        <v>0</v>
      </c>
    </row>
    <row r="29" spans="1:18" ht="150">
      <c r="A29" s="606">
        <f>'3-A. CI Sub-Annex'!A29</f>
        <v>6</v>
      </c>
      <c r="B29" s="606" t="str">
        <f>'3-A. CI Sub-Annex'!C29</f>
        <v>B1.1.3.3.3</v>
      </c>
      <c r="C29" s="224" t="str">
        <f>'3-A. CI Sub-Annex'!D29</f>
        <v>ASHA incentive under ESB scheme for promoting spacing of births</v>
      </c>
      <c r="D29" s="603" t="str">
        <f>'3-A. CI Sub-Annex'!E29</f>
        <v>RCH</v>
      </c>
      <c r="E29" s="606" t="str">
        <f>'3-A. CI Sub-Annex'!F29</f>
        <v>FP/NHSRC-CP</v>
      </c>
      <c r="F29" s="606">
        <f>'3-A. CI Sub-Annex'!G29</f>
        <v>20000</v>
      </c>
      <c r="G29" s="606">
        <f>'3-A. CI Sub-Annex'!H29</f>
        <v>1870</v>
      </c>
      <c r="H29" s="606">
        <f>'3-A. CI Sub-Annex'!I29</f>
        <v>100</v>
      </c>
      <c r="I29" s="606">
        <f>'3-A. CI Sub-Annex'!J29</f>
        <v>9.35</v>
      </c>
      <c r="J29" s="606">
        <f>'3-A. CI Sub-Annex'!K29</f>
        <v>0</v>
      </c>
      <c r="K29" s="606" t="str">
        <f>'3-A. CI Sub-Annex'!L29</f>
        <v>No. Of spacing claims under ADY</v>
      </c>
      <c r="L29" s="606">
        <f>'3-A. CI Sub-Annex'!M29</f>
        <v>500</v>
      </c>
      <c r="M29" s="136">
        <f>'3-A. CI Sub-Annex'!N29</f>
        <v>5.0000000000000001E-3</v>
      </c>
      <c r="N29" s="606">
        <f>'3-A. CI Sub-Annex'!O29</f>
        <v>20000</v>
      </c>
      <c r="O29" s="136">
        <f>'3-A. CI Sub-Annex'!P29</f>
        <v>100</v>
      </c>
      <c r="P29" s="224" t="str">
        <f>'3-A. CI Sub-Annex'!Q29</f>
        <v>Continued Activity
State requests a total amount of 100.0 lacs for ASHAs incentive @ Rs 500 under ESB scheme for promoting spacing of birth for 20000 cases..
The budget proposed under the head is ;
20000 Case * Rs. 500/- = 100.0 lacs</v>
      </c>
      <c r="Q29" s="63">
        <f>'Ab1. RMNCH+A'!Q219</f>
        <v>0</v>
      </c>
      <c r="R29" s="821">
        <f>'Ab1. RMNCH+A'!R219</f>
        <v>0</v>
      </c>
    </row>
    <row r="30" spans="1:18" ht="150">
      <c r="A30" s="606">
        <f>'3-A. CI Sub-Annex'!A30</f>
        <v>7</v>
      </c>
      <c r="B30" s="606" t="str">
        <f>'3-A. CI Sub-Annex'!C30</f>
        <v>B1.1.3.3.4</v>
      </c>
      <c r="C30" s="224" t="str">
        <f>'3-A. CI Sub-Annex'!D30</f>
        <v>ASHA Incentive under ESB scheme for promoting adoption of limiting method up to two children</v>
      </c>
      <c r="D30" s="603" t="str">
        <f>'3-A. CI Sub-Annex'!E30</f>
        <v>RCH</v>
      </c>
      <c r="E30" s="606" t="str">
        <f>'3-A. CI Sub-Annex'!F30</f>
        <v>FP/NHSRC-CP</v>
      </c>
      <c r="F30" s="606">
        <f>'3-A. CI Sub-Annex'!G30</f>
        <v>36000</v>
      </c>
      <c r="G30" s="606">
        <f>'3-A. CI Sub-Annex'!H30</f>
        <v>5897</v>
      </c>
      <c r="H30" s="606">
        <f>'3-A. CI Sub-Annex'!I30</f>
        <v>360</v>
      </c>
      <c r="I30" s="606">
        <f>'3-A. CI Sub-Annex'!J30</f>
        <v>58.97</v>
      </c>
      <c r="J30" s="606">
        <f>'3-A. CI Sub-Annex'!K30</f>
        <v>0</v>
      </c>
      <c r="K30" s="606" t="str">
        <f>'3-A. CI Sub-Annex'!L30</f>
        <v>No. Of limiting claim under ADY</v>
      </c>
      <c r="L30" s="606">
        <f>'3-A. CI Sub-Annex'!M30</f>
        <v>1000</v>
      </c>
      <c r="M30" s="136">
        <f>'3-A. CI Sub-Annex'!N30</f>
        <v>0.01</v>
      </c>
      <c r="N30" s="606">
        <f>'3-A. CI Sub-Annex'!O30</f>
        <v>40000</v>
      </c>
      <c r="O30" s="136">
        <f>'3-A. CI Sub-Annex'!P30</f>
        <v>400</v>
      </c>
      <c r="P30" s="224" t="str">
        <f>'3-A. CI Sub-Annex'!Q30</f>
        <v>Continued Activity
State requests a total amount of 400.00 lacs for ASHAs incentive @ Rs 1000 under ESB scheme for promoting adoption of limiting method upto two children for 40000 cases.
The budget proposed under the head is ;
40000 Case* Rs. 1000/-= 400 lacs</v>
      </c>
      <c r="Q30" s="63">
        <f>'Ab1. RMNCH+A'!Q220</f>
        <v>0</v>
      </c>
      <c r="R30" s="821">
        <f>'Ab1. RMNCH+A'!R220</f>
        <v>0</v>
      </c>
    </row>
    <row r="31" spans="1:18" ht="150">
      <c r="A31" s="606">
        <f>'3-A. CI Sub-Annex'!A31</f>
        <v>8</v>
      </c>
      <c r="B31" s="606" t="str">
        <f>'3-A. CI Sub-Annex'!C31</f>
        <v>A.3.7.3/ 3.1.1.2.8</v>
      </c>
      <c r="C31" s="224" t="str">
        <f>'3-A. CI Sub-Annex'!D31</f>
        <v>ASHA incentive for accompanying the client for Injectable MPA (Antara Prog) administration ( @Rs 100/dose/beneficiary)- Only for 146 Mission Parivar Vikas districts</v>
      </c>
      <c r="D31" s="603" t="str">
        <f>'3-A. CI Sub-Annex'!E31</f>
        <v>RCH</v>
      </c>
      <c r="E31" s="606" t="str">
        <f>'3-A. CI Sub-Annex'!F31</f>
        <v>FP/ RC-CP</v>
      </c>
      <c r="F31" s="606">
        <f>'3-A. CI Sub-Annex'!G31</f>
        <v>400000</v>
      </c>
      <c r="G31" s="606">
        <f>'3-A. CI Sub-Annex'!H31</f>
        <v>13310</v>
      </c>
      <c r="H31" s="606">
        <f>'3-A. CI Sub-Annex'!I31</f>
        <v>400</v>
      </c>
      <c r="I31" s="606">
        <f>'3-A. CI Sub-Annex'!J31</f>
        <v>13.31</v>
      </c>
      <c r="J31" s="606">
        <f>'3-A. CI Sub-Annex'!K31</f>
        <v>0</v>
      </c>
      <c r="K31" s="606" t="str">
        <f>'3-A. CI Sub-Annex'!L31</f>
        <v>No. Of MPA doses</v>
      </c>
      <c r="L31" s="606">
        <f>'3-A. CI Sub-Annex'!M31</f>
        <v>100</v>
      </c>
      <c r="M31" s="136">
        <f>'3-A. CI Sub-Annex'!N31</f>
        <v>1E-3</v>
      </c>
      <c r="N31" s="606">
        <f>'3-A. CI Sub-Annex'!O31</f>
        <v>300000</v>
      </c>
      <c r="O31" s="136">
        <f>'3-A. CI Sub-Annex'!P31</f>
        <v>300</v>
      </c>
      <c r="P31" s="224" t="str">
        <f>'3-A. CI Sub-Annex'!Q31</f>
        <v xml:space="preserve">Continued Activity 
State estimates Incentive payment @ Rs 100/- per injectabe dose (MPA) per ASHA for  400000 ASHAs for Financial year 2020-21
Budget required:
300000 cases * Rs. 100/ = 300 Lacs
</v>
      </c>
      <c r="Q31" s="63">
        <f>'Ab1. RMNCH+A'!Q221</f>
        <v>0</v>
      </c>
      <c r="R31" s="821">
        <f>'Ab1. RMNCH+A'!R221</f>
        <v>0</v>
      </c>
    </row>
    <row r="32" spans="1:18" ht="30">
      <c r="A32" s="606">
        <f>'3-A. CI Sub-Annex'!A32</f>
        <v>9</v>
      </c>
      <c r="B32" s="606">
        <f>'3-A. CI Sub-Annex'!C32</f>
        <v>0</v>
      </c>
      <c r="C32" s="224" t="str">
        <f>'3-A. CI Sub-Annex'!D32</f>
        <v>Any other ASHA incentives (please specify)</v>
      </c>
      <c r="D32" s="603" t="str">
        <f>'3-A. CI Sub-Annex'!E32</f>
        <v>RCH</v>
      </c>
      <c r="E32" s="606" t="str">
        <f>'3-A. CI Sub-Annex'!F32</f>
        <v>FP/ RC-CP</v>
      </c>
      <c r="F32" s="606">
        <f>'3-A. CI Sub-Annex'!G32</f>
        <v>0</v>
      </c>
      <c r="G32" s="606">
        <f>'3-A. CI Sub-Annex'!H32</f>
        <v>0</v>
      </c>
      <c r="H32" s="606">
        <f>'3-A. CI Sub-Annex'!I32</f>
        <v>0</v>
      </c>
      <c r="I32" s="606">
        <f>'3-A. CI Sub-Annex'!J32</f>
        <v>0</v>
      </c>
      <c r="J32" s="606">
        <f>'3-A. CI Sub-Annex'!K32</f>
        <v>0</v>
      </c>
      <c r="K32" s="606">
        <f>'3-A. CI Sub-Annex'!L32</f>
        <v>0</v>
      </c>
      <c r="L32" s="606">
        <f>'3-A. CI Sub-Annex'!M32</f>
        <v>0</v>
      </c>
      <c r="M32" s="136">
        <f>'3-A. CI Sub-Annex'!N32</f>
        <v>0</v>
      </c>
      <c r="N32" s="606">
        <f>'3-A. CI Sub-Annex'!O32</f>
        <v>0</v>
      </c>
      <c r="O32" s="136">
        <f>'3-A. CI Sub-Annex'!P32</f>
        <v>0</v>
      </c>
      <c r="P32" s="224" t="str">
        <f>'3-A. CI Sub-Annex'!Q32</f>
        <v>Proposal withdrawn as per discussion in NPCC</v>
      </c>
      <c r="Q32" s="63">
        <f>'Ab1. RMNCH+A'!Q222</f>
        <v>0</v>
      </c>
      <c r="R32" s="821">
        <f>'Ab1. RMNCH+A'!R222</f>
        <v>0</v>
      </c>
    </row>
    <row r="33" spans="1:18">
      <c r="A33" s="941" t="str">
        <f>'3.Community Intervention Annexn'!A15</f>
        <v>3.1.1.1.5</v>
      </c>
      <c r="B33" s="941">
        <f>'3-A. CI Sub-Annex'!C33</f>
        <v>0</v>
      </c>
      <c r="C33" s="942" t="str">
        <f>'3-A. CI Sub-Annex'!D33</f>
        <v>Incentive for AH/ RKSK Services</v>
      </c>
      <c r="D33" s="941"/>
      <c r="E33" s="941"/>
      <c r="F33" s="941"/>
      <c r="G33" s="941"/>
      <c r="H33" s="941"/>
      <c r="I33" s="941"/>
      <c r="J33" s="941"/>
      <c r="K33" s="941"/>
      <c r="L33" s="941"/>
      <c r="M33" s="943"/>
      <c r="N33" s="941"/>
      <c r="O33" s="943"/>
      <c r="P33" s="942"/>
      <c r="Q33" s="951"/>
      <c r="R33" s="952"/>
    </row>
    <row r="34" spans="1:18">
      <c r="A34" s="606">
        <f>'3-A. CI Sub-Annex'!A34</f>
        <v>1</v>
      </c>
      <c r="B34" s="606" t="str">
        <f>'3-A. CI Sub-Annex'!C34</f>
        <v>B.1.1.3.4.1</v>
      </c>
      <c r="C34" s="224" t="str">
        <f>'3-A. CI Sub-Annex'!D34</f>
        <v>Incentive for support to Peer Educator</v>
      </c>
      <c r="D34" s="603" t="str">
        <f>'3-A. CI Sub-Annex'!E34</f>
        <v>HSS</v>
      </c>
      <c r="E34" s="606" t="str">
        <f>'3-A. CI Sub-Annex'!F34</f>
        <v>AH/NHSRC-CP</v>
      </c>
      <c r="F34" s="606">
        <f>'3-A. CI Sub-Annex'!G34</f>
        <v>0</v>
      </c>
      <c r="G34" s="606">
        <f>'3-A. CI Sub-Annex'!H34</f>
        <v>0</v>
      </c>
      <c r="H34" s="606">
        <f>'3-A. CI Sub-Annex'!I34</f>
        <v>0</v>
      </c>
      <c r="I34" s="606">
        <f>'3-A. CI Sub-Annex'!J34</f>
        <v>0</v>
      </c>
      <c r="J34" s="606">
        <f>'3-A. CI Sub-Annex'!K34</f>
        <v>0</v>
      </c>
      <c r="K34" s="606">
        <f>'3-A. CI Sub-Annex'!L34</f>
        <v>0</v>
      </c>
      <c r="L34" s="606">
        <f>'3-A. CI Sub-Annex'!M34</f>
        <v>0</v>
      </c>
      <c r="M34" s="136">
        <f>'3-A. CI Sub-Annex'!N34</f>
        <v>0</v>
      </c>
      <c r="N34" s="606">
        <f>'3-A. CI Sub-Annex'!O34</f>
        <v>0</v>
      </c>
      <c r="O34" s="136">
        <f>'3-A. CI Sub-Annex'!P34</f>
        <v>0</v>
      </c>
      <c r="P34" s="224">
        <f>'3-A. CI Sub-Annex'!Q34</f>
        <v>0</v>
      </c>
      <c r="Q34" s="63">
        <f>'Ab1. RMNCH+A'!Q299</f>
        <v>0</v>
      </c>
      <c r="R34" s="821">
        <f>'Ab1. RMNCH+A'!R299</f>
        <v>0</v>
      </c>
    </row>
    <row r="35" spans="1:18" ht="225">
      <c r="A35" s="606">
        <f>'3-A. CI Sub-Annex'!A35</f>
        <v>2</v>
      </c>
      <c r="B35" s="606" t="str">
        <f>'3-A. CI Sub-Annex'!C35</f>
        <v>B.1.1.3.4.2</v>
      </c>
      <c r="C35" s="224" t="str">
        <f>'3-A. CI Sub-Annex'!D35</f>
        <v>Incentive for mobilizing adolescents  and community for AHD</v>
      </c>
      <c r="D35" s="603" t="str">
        <f>'3-A. CI Sub-Annex'!E35</f>
        <v>HSS</v>
      </c>
      <c r="E35" s="606" t="str">
        <f>'3-A. CI Sub-Annex'!F35</f>
        <v>AH/NHSRC-CP</v>
      </c>
      <c r="F35" s="606">
        <f>'3-A. CI Sub-Annex'!G35</f>
        <v>0</v>
      </c>
      <c r="G35" s="606">
        <f>'3-A. CI Sub-Annex'!H35</f>
        <v>0</v>
      </c>
      <c r="H35" s="606">
        <f>'3-A. CI Sub-Annex'!I35</f>
        <v>0</v>
      </c>
      <c r="I35" s="606">
        <f>'3-A. CI Sub-Annex'!J35</f>
        <v>0</v>
      </c>
      <c r="J35" s="606">
        <f>'3-A. CI Sub-Annex'!K35</f>
        <v>0</v>
      </c>
      <c r="K35" s="606" t="str">
        <f>'3-A. CI Sub-Annex'!L35</f>
        <v xml:space="preserve">Number of ASHA </v>
      </c>
      <c r="L35" s="606">
        <f>'3-A. CI Sub-Annex'!M35</f>
        <v>200</v>
      </c>
      <c r="M35" s="136">
        <f>'3-A. CI Sub-Annex'!N35</f>
        <v>2E-3</v>
      </c>
      <c r="N35" s="606">
        <f>'3-A. CI Sub-Annex'!O35</f>
        <v>28056</v>
      </c>
      <c r="O35" s="136">
        <f>'3-A. CI Sub-Annex'!P35</f>
        <v>56.112000000000002</v>
      </c>
      <c r="P35" s="224" t="str">
        <f>'3-A. CI Sub-Annex'!Q35</f>
        <v xml:space="preserve">Continued Activity
State has proposed to oranised AHWDs in 5 aspirational districts at school level.Since the objective of AHWD is to create a supportive environment for adolescent issues non school going adolescents (both Boys &amp; Girls) will also be invited to attend the event. ASHA will be responsible to mobilize non-school going children as well as community members. For this 14028 ASHA to be incentivised @200/- per AHD. </v>
      </c>
      <c r="Q35" s="63">
        <f>'Ab1. RMNCH+A'!Q300</f>
        <v>0</v>
      </c>
      <c r="R35" s="821">
        <f>'Ab1. RMNCH+A'!R300</f>
        <v>0</v>
      </c>
    </row>
    <row r="36" spans="1:18">
      <c r="A36" s="941" t="str">
        <f>'3.Community Intervention Annexn'!A16</f>
        <v>3.1.1.1.6</v>
      </c>
      <c r="B36" s="941">
        <f>'3-A. CI Sub-Annex'!C36</f>
        <v>0</v>
      </c>
      <c r="C36" s="942" t="str">
        <f>'3-A. CI Sub-Annex'!D36</f>
        <v>Any other ASHA incentives (please specify)</v>
      </c>
      <c r="D36" s="941"/>
      <c r="E36" s="941"/>
      <c r="F36" s="941">
        <f>'3-A. CI Sub-Annex'!G36</f>
        <v>0</v>
      </c>
      <c r="G36" s="941">
        <f>'3-A. CI Sub-Annex'!H36</f>
        <v>0</v>
      </c>
      <c r="H36" s="941">
        <f>'3-A. CI Sub-Annex'!I36</f>
        <v>0</v>
      </c>
      <c r="I36" s="941">
        <f>'3-A. CI Sub-Annex'!J36</f>
        <v>0</v>
      </c>
      <c r="J36" s="941">
        <f>'3-A. CI Sub-Annex'!K36</f>
        <v>0</v>
      </c>
      <c r="K36" s="941">
        <f>'3-A. CI Sub-Annex'!L36</f>
        <v>0</v>
      </c>
      <c r="L36" s="941">
        <f>'3-A. CI Sub-Annex'!M36</f>
        <v>0</v>
      </c>
      <c r="M36" s="943">
        <f>'3-A. CI Sub-Annex'!N36</f>
        <v>0</v>
      </c>
      <c r="N36" s="941">
        <f>'3-A. CI Sub-Annex'!O36</f>
        <v>0</v>
      </c>
      <c r="O36" s="943">
        <f>'3-A. CI Sub-Annex'!P36</f>
        <v>0</v>
      </c>
      <c r="P36" s="942">
        <f>'3-A. CI Sub-Annex'!Q36</f>
        <v>0</v>
      </c>
      <c r="Q36" s="951"/>
      <c r="R36" s="952"/>
    </row>
    <row r="37" spans="1:18" ht="135">
      <c r="A37" s="941" t="str">
        <f>'3.Community Intervention Annexn'!A17</f>
        <v>3.1.1.2</v>
      </c>
      <c r="B37" s="941" t="str">
        <f>'3-A. CI Sub-Annex'!C37</f>
        <v>D.5</v>
      </c>
      <c r="C37" s="942" t="str">
        <f>'3-A. CI Sub-Annex'!D37</f>
        <v>ASHA Incentive under NIDDCP</v>
      </c>
      <c r="D37" s="941" t="str">
        <f>'3-A. CI Sub-Annex'!E37</f>
        <v>RCH</v>
      </c>
      <c r="E37" s="941" t="str">
        <f>'3-A. CI Sub-Annex'!F37</f>
        <v>NIDDCP/NHSRC-CP</v>
      </c>
      <c r="F37" s="941">
        <f>'3-A. CI Sub-Annex'!G37</f>
        <v>30000</v>
      </c>
      <c r="G37" s="941">
        <f>'3-A. CI Sub-Annex'!H37</f>
        <v>0</v>
      </c>
      <c r="H37" s="941">
        <f>'3-A. CI Sub-Annex'!I37</f>
        <v>22.5</v>
      </c>
      <c r="I37" s="941">
        <f>'3-A. CI Sub-Annex'!J37</f>
        <v>0</v>
      </c>
      <c r="J37" s="941">
        <f>'3-A. CI Sub-Annex'!K37</f>
        <v>0</v>
      </c>
      <c r="K37" s="941" t="str">
        <f>'3-A. CI Sub-Annex'!L37</f>
        <v>Per ASHA</v>
      </c>
      <c r="L37" s="941">
        <f>'3-A. CI Sub-Annex'!M37</f>
        <v>0.5</v>
      </c>
      <c r="M37" s="943">
        <f>'3-A. CI Sub-Annex'!N37</f>
        <v>5.0000000000000004E-6</v>
      </c>
      <c r="N37" s="941">
        <f>'3-A. CI Sub-Annex'!O37</f>
        <v>6374100</v>
      </c>
      <c r="O37" s="943">
        <f>'3-A. CI Sub-Annex'!P37</f>
        <v>31.870500000000003</v>
      </c>
      <c r="P37" s="942" t="str">
        <f>'3-A. CI Sub-Annex'!Q37</f>
        <v xml:space="preserve"> Continued Activity:                                                                                                                                                      Asha incentive for  Three Month Salt testing  at Comunity level for the  Quality of Iodated salt                                                                  42494 ASHA in 14 Epidemic District @ .50 Rs per test  at least 50 Sample  per month                                                                          Amount Required 42494 *50*.50*3  month =31.87 Lakhs</v>
      </c>
      <c r="Q37" s="951">
        <f>'Ab2. NIDDCP'!Q7</f>
        <v>0</v>
      </c>
      <c r="R37" s="953">
        <f>'Ab2. NIDDCP'!R7</f>
        <v>0</v>
      </c>
    </row>
    <row r="38" spans="1:18">
      <c r="A38" s="941" t="str">
        <f>'3.Community Intervention Annexn'!A19</f>
        <v>3.1.1.3.1</v>
      </c>
      <c r="B38" s="941">
        <f>'3-A. CI Sub-Annex'!C39</f>
        <v>0</v>
      </c>
      <c r="C38" s="942" t="str">
        <f>'3-A. CI Sub-Annex'!D39</f>
        <v>Incentive for NVBDCP</v>
      </c>
      <c r="D38" s="941"/>
      <c r="E38" s="941"/>
      <c r="F38" s="941"/>
      <c r="G38" s="941"/>
      <c r="H38" s="941"/>
      <c r="I38" s="941"/>
      <c r="J38" s="941"/>
      <c r="K38" s="941"/>
      <c r="L38" s="941"/>
      <c r="M38" s="943"/>
      <c r="N38" s="941"/>
      <c r="O38" s="943"/>
      <c r="P38" s="942"/>
      <c r="Q38" s="951"/>
      <c r="R38" s="952"/>
    </row>
    <row r="39" spans="1:18" ht="135">
      <c r="A39" s="606">
        <f>'3-A. CI Sub-Annex'!A40</f>
        <v>1</v>
      </c>
      <c r="B39" s="606" t="str">
        <f>'3-A. CI Sub-Annex'!C40</f>
        <v>F.1.1.b</v>
      </c>
      <c r="C39" s="224" t="str">
        <f>'3-A. CI Sub-Annex'!D40</f>
        <v>ASHA Incentive/ Honorarium for Malaria and LLIN distribution</v>
      </c>
      <c r="D39" s="603" t="str">
        <f>'3-A. CI Sub-Annex'!E40</f>
        <v>NDCP</v>
      </c>
      <c r="E39" s="606" t="str">
        <f>'3-A. CI Sub-Annex'!F40</f>
        <v>NVBDCP-Malaria</v>
      </c>
      <c r="F39" s="606">
        <f>'3-A. CI Sub-Annex'!G40</f>
        <v>0</v>
      </c>
      <c r="G39" s="606">
        <f>'3-A. CI Sub-Annex'!H40</f>
        <v>0</v>
      </c>
      <c r="H39" s="606">
        <f>'3-A. CI Sub-Annex'!I40</f>
        <v>0</v>
      </c>
      <c r="I39" s="606">
        <f>'3-A. CI Sub-Annex'!J40</f>
        <v>0</v>
      </c>
      <c r="J39" s="606">
        <f>'3-A. CI Sub-Annex'!K40</f>
        <v>0</v>
      </c>
      <c r="K39" s="606" t="str">
        <f>'3-A. CI Sub-Annex'!L40</f>
        <v>ASHA</v>
      </c>
      <c r="L39" s="606">
        <f>'3-A. CI Sub-Annex'!M40</f>
        <v>200000</v>
      </c>
      <c r="M39" s="136">
        <f>'3-A. CI Sub-Annex'!N40</f>
        <v>2</v>
      </c>
      <c r="N39" s="606">
        <f>'3-A. CI Sub-Annex'!O40</f>
        <v>38</v>
      </c>
      <c r="O39" s="136">
        <f>'3-A. CI Sub-Annex'!P40</f>
        <v>76</v>
      </c>
      <c r="P39" s="224" t="str">
        <f>'3-A. CI Sub-Annex'!Q40</f>
        <v>Incentive to ASHA for collecting 3.5 lacs blood smear for MP Test @ Rs. 15/slide or RDT kit. Incentive to ASHA for help in treatment of expected 3000 malaria positive cases @ Rs 75/-each. Incentive to ASHA @ Rs. 10 for distribution of 1,43,000 LLIN.</v>
      </c>
      <c r="Q39" s="63">
        <f>'Abs9. NVBDCP'!Q15</f>
        <v>0</v>
      </c>
      <c r="R39" s="821">
        <f>'Abs9. NVBDCP'!R15</f>
        <v>0</v>
      </c>
    </row>
    <row r="40" spans="1:18" ht="30">
      <c r="A40" s="606">
        <f>'3-A. CI Sub-Annex'!A41</f>
        <v>2</v>
      </c>
      <c r="B40" s="606" t="str">
        <f>'3-A. CI Sub-Annex'!C41</f>
        <v>F.1.2.i</v>
      </c>
      <c r="C40" s="224" t="str">
        <f>'3-A. CI Sub-Annex'!D41</f>
        <v>ASHA Incentive for Dengue and Chikungunya</v>
      </c>
      <c r="D40" s="603" t="str">
        <f>'3-A. CI Sub-Annex'!E41</f>
        <v>NDCP</v>
      </c>
      <c r="E40" s="606" t="str">
        <f>'3-A. CI Sub-Annex'!F41</f>
        <v>NVBDCP-Dengue &amp; Chikungunya</v>
      </c>
      <c r="F40" s="606">
        <f>'3-A. CI Sub-Annex'!G41</f>
        <v>0</v>
      </c>
      <c r="G40" s="606">
        <f>'3-A. CI Sub-Annex'!H41</f>
        <v>0</v>
      </c>
      <c r="H40" s="606">
        <f>'3-A. CI Sub-Annex'!I41</f>
        <v>0</v>
      </c>
      <c r="I40" s="606">
        <f>'3-A. CI Sub-Annex'!J41</f>
        <v>0</v>
      </c>
      <c r="J40" s="606">
        <f>'3-A. CI Sub-Annex'!K41</f>
        <v>0</v>
      </c>
      <c r="K40" s="606">
        <f>'3-A. CI Sub-Annex'!L41</f>
        <v>0</v>
      </c>
      <c r="L40" s="606">
        <f>'3-A. CI Sub-Annex'!M41</f>
        <v>0</v>
      </c>
      <c r="M40" s="136">
        <f>'3-A. CI Sub-Annex'!N41</f>
        <v>0</v>
      </c>
      <c r="N40" s="606">
        <f>'3-A. CI Sub-Annex'!O41</f>
        <v>0</v>
      </c>
      <c r="O40" s="136">
        <f>'3-A. CI Sub-Annex'!P41</f>
        <v>0</v>
      </c>
      <c r="P40" s="224">
        <f>'3-A. CI Sub-Annex'!Q41</f>
        <v>0</v>
      </c>
      <c r="Q40" s="63">
        <f>'Abs9. NVBDCP'!Q16</f>
        <v>0</v>
      </c>
      <c r="R40" s="821">
        <f>'Abs9. NVBDCP'!R16</f>
        <v>0</v>
      </c>
    </row>
    <row r="41" spans="1:18" ht="30">
      <c r="A41" s="606">
        <f>'3-A. CI Sub-Annex'!A42</f>
        <v>3</v>
      </c>
      <c r="B41" s="606" t="str">
        <f>'3-A. CI Sub-Annex'!C42</f>
        <v>F.1.3.k</v>
      </c>
      <c r="C41" s="224" t="str">
        <f>'3-A. CI Sub-Annex'!D42</f>
        <v xml:space="preserve">ASHA Incentivization for sensitizing community for AES/JE </v>
      </c>
      <c r="D41" s="603" t="str">
        <f>'3-A. CI Sub-Annex'!E42</f>
        <v>NDCP</v>
      </c>
      <c r="E41" s="606" t="str">
        <f>'3-A. CI Sub-Annex'!F42</f>
        <v>NVBDCP-AES/JE</v>
      </c>
      <c r="F41" s="606">
        <f>'3-A. CI Sub-Annex'!G42</f>
        <v>0</v>
      </c>
      <c r="G41" s="606">
        <f>'3-A. CI Sub-Annex'!H42</f>
        <v>0</v>
      </c>
      <c r="H41" s="606">
        <f>'3-A. CI Sub-Annex'!I42</f>
        <v>0</v>
      </c>
      <c r="I41" s="606">
        <f>'3-A. CI Sub-Annex'!J42</f>
        <v>0</v>
      </c>
      <c r="J41" s="606">
        <f>'3-A. CI Sub-Annex'!K42</f>
        <v>0</v>
      </c>
      <c r="K41" s="606">
        <f>'3-A. CI Sub-Annex'!L42</f>
        <v>0</v>
      </c>
      <c r="L41" s="606">
        <f>'3-A. CI Sub-Annex'!M42</f>
        <v>0</v>
      </c>
      <c r="M41" s="136">
        <f>'3-A. CI Sub-Annex'!N42</f>
        <v>0</v>
      </c>
      <c r="N41" s="606">
        <f>'3-A. CI Sub-Annex'!O42</f>
        <v>0</v>
      </c>
      <c r="O41" s="136">
        <f>'3-A. CI Sub-Annex'!P42</f>
        <v>0</v>
      </c>
      <c r="P41" s="224">
        <f>'3-A. CI Sub-Annex'!Q42</f>
        <v>0</v>
      </c>
      <c r="Q41" s="63">
        <f>'Abs9. NVBDCP'!Q17</f>
        <v>0</v>
      </c>
      <c r="R41" s="821">
        <f>'Abs9. NVBDCP'!R17</f>
        <v>0</v>
      </c>
    </row>
    <row r="42" spans="1:18" ht="45">
      <c r="A42" s="606">
        <f>'3-A. CI Sub-Annex'!A43</f>
        <v>4</v>
      </c>
      <c r="B42" s="606" t="str">
        <f>'3-A. CI Sub-Annex'!C43</f>
        <v>F.1.3.m</v>
      </c>
      <c r="C42" s="224" t="str">
        <f>'3-A. CI Sub-Annex'!D43</f>
        <v>ASHA incentive for referral of AES/JE cases to the nearest CHC/DH/Medical College</v>
      </c>
      <c r="D42" s="603" t="str">
        <f>'3-A. CI Sub-Annex'!E43</f>
        <v>NDCP</v>
      </c>
      <c r="E42" s="606" t="str">
        <f>'3-A. CI Sub-Annex'!F43</f>
        <v>NVBDCP-AES/JE</v>
      </c>
      <c r="F42" s="606">
        <f>'3-A. CI Sub-Annex'!G43</f>
        <v>0</v>
      </c>
      <c r="G42" s="606">
        <f>'3-A. CI Sub-Annex'!H43</f>
        <v>0</v>
      </c>
      <c r="H42" s="606">
        <f>'3-A. CI Sub-Annex'!I43</f>
        <v>0</v>
      </c>
      <c r="I42" s="606">
        <f>'3-A. CI Sub-Annex'!J43</f>
        <v>0</v>
      </c>
      <c r="J42" s="606">
        <f>'3-A. CI Sub-Annex'!K43</f>
        <v>0</v>
      </c>
      <c r="K42" s="606" t="str">
        <f>'3-A. CI Sub-Annex'!L43</f>
        <v>Per Case</v>
      </c>
      <c r="L42" s="606">
        <f>'3-A. CI Sub-Annex'!M43</f>
        <v>54300</v>
      </c>
      <c r="M42" s="136">
        <f>'3-A. CI Sub-Annex'!N43</f>
        <v>0.54300000000000004</v>
      </c>
      <c r="N42" s="606">
        <f>'3-A. CI Sub-Annex'!O43</f>
        <v>1</v>
      </c>
      <c r="O42" s="136">
        <f>'3-A. CI Sub-Annex'!P43</f>
        <v>0.54300000000000004</v>
      </c>
      <c r="P42" s="224" t="str">
        <f>'3-A. CI Sub-Annex'!Q43</f>
        <v>Incentive of ASHA for 50% of  AES unknown + JE confirmed cases since last three years.</v>
      </c>
      <c r="Q42" s="63">
        <f>'Abs9. NVBDCP'!Q18</f>
        <v>0</v>
      </c>
      <c r="R42" s="821">
        <f>'Abs9. NVBDCP'!R18</f>
        <v>0</v>
      </c>
    </row>
    <row r="43" spans="1:18" s="946" customFormat="1" ht="105">
      <c r="A43" s="606">
        <f>'3-A. CI Sub-Annex'!A44</f>
        <v>5</v>
      </c>
      <c r="B43" s="606" t="str">
        <f>'3-A. CI Sub-Annex'!C44</f>
        <v>F.1.4.e</v>
      </c>
      <c r="C43" s="224" t="str">
        <f>'3-A. CI Sub-Annex'!D44</f>
        <v>Honorarium  for Drug Distribution including ASHAs and supervisors involved in MDA</v>
      </c>
      <c r="D43" s="603" t="str">
        <f>'3-A. CI Sub-Annex'!E44</f>
        <v>NDCP</v>
      </c>
      <c r="E43" s="606" t="str">
        <f>'3-A. CI Sub-Annex'!F44</f>
        <v>NVBDCP-Lymphatic Filariasis</v>
      </c>
      <c r="F43" s="606">
        <f>'3-A. CI Sub-Annex'!G44</f>
        <v>0</v>
      </c>
      <c r="G43" s="606">
        <f>'3-A. CI Sub-Annex'!H44</f>
        <v>0</v>
      </c>
      <c r="H43" s="606">
        <f>'3-A. CI Sub-Annex'!I44</f>
        <v>0</v>
      </c>
      <c r="I43" s="606">
        <f>'3-A. CI Sub-Annex'!J44</f>
        <v>0</v>
      </c>
      <c r="J43" s="606">
        <f>'3-A. CI Sub-Annex'!K44</f>
        <v>0</v>
      </c>
      <c r="K43" s="606" t="str">
        <f>'3-A. CI Sub-Annex'!L44</f>
        <v>Honorarium  for Drug Distribution including ASHAs and supervisors involved in MDA</v>
      </c>
      <c r="L43" s="606">
        <f>'3-A. CI Sub-Annex'!M44</f>
        <v>333904800</v>
      </c>
      <c r="M43" s="136">
        <f>'3-A. CI Sub-Annex'!N44</f>
        <v>3339.0479999999998</v>
      </c>
      <c r="N43" s="606">
        <f>'3-A. CI Sub-Annex'!O44</f>
        <v>1</v>
      </c>
      <c r="O43" s="136">
        <f>'3-A. CI Sub-Annex'!P44</f>
        <v>3339.0479999999998</v>
      </c>
      <c r="P43" s="224" t="str">
        <f>'3-A. CI Sub-Annex'!Q44</f>
        <v>Honorarium  for Drug Distribution including ASHAs and supervisors involved in MDA (Asha incentive @600 per 50 houses) and supervisor incentive @175 per day for 14 days)</v>
      </c>
      <c r="Q43" s="63">
        <f>'Abs9. NVBDCP'!Q19</f>
        <v>0</v>
      </c>
      <c r="R43" s="821">
        <f>'Abs9. NVBDCP'!R19</f>
        <v>0</v>
      </c>
    </row>
    <row r="44" spans="1:18" ht="45">
      <c r="A44" s="606">
        <f>'3-A. CI Sub-Annex'!A45</f>
        <v>6</v>
      </c>
      <c r="B44" s="606" t="str">
        <f>'3-A. CI Sub-Annex'!C45</f>
        <v>F.1.4.i</v>
      </c>
      <c r="C44" s="224" t="str">
        <f>'3-A. CI Sub-Annex'!D45</f>
        <v>ASHA incentive for one time line listing of Lymphoedema and Hydrocele cases in non-endemic dist.</v>
      </c>
      <c r="D44" s="603" t="str">
        <f>'3-A. CI Sub-Annex'!E45</f>
        <v>NDCP</v>
      </c>
      <c r="E44" s="606" t="str">
        <f>'3-A. CI Sub-Annex'!F45</f>
        <v>NVBDCP-Lymphatic Filariasis</v>
      </c>
      <c r="F44" s="606">
        <f>'3-A. CI Sub-Annex'!G45</f>
        <v>0</v>
      </c>
      <c r="G44" s="606">
        <f>'3-A. CI Sub-Annex'!H45</f>
        <v>0</v>
      </c>
      <c r="H44" s="606">
        <f>'3-A. CI Sub-Annex'!I45</f>
        <v>0</v>
      </c>
      <c r="I44" s="606">
        <f>'3-A. CI Sub-Annex'!J45</f>
        <v>0</v>
      </c>
      <c r="J44" s="606">
        <f>'3-A. CI Sub-Annex'!K45</f>
        <v>0</v>
      </c>
      <c r="K44" s="606">
        <f>'3-A. CI Sub-Annex'!L45</f>
        <v>0</v>
      </c>
      <c r="L44" s="606">
        <f>'3-A. CI Sub-Annex'!M45</f>
        <v>0</v>
      </c>
      <c r="M44" s="136">
        <f>'3-A. CI Sub-Annex'!N45</f>
        <v>0</v>
      </c>
      <c r="N44" s="606">
        <f>'3-A. CI Sub-Annex'!O45</f>
        <v>0</v>
      </c>
      <c r="O44" s="136">
        <f>'3-A. CI Sub-Annex'!P45</f>
        <v>0</v>
      </c>
      <c r="P44" s="224">
        <f>'3-A. CI Sub-Annex'!Q45</f>
        <v>0</v>
      </c>
      <c r="Q44" s="63">
        <f>'Abs9. NVBDCP'!Q20</f>
        <v>0</v>
      </c>
      <c r="R44" s="821">
        <f>'Abs9. NVBDCP'!R20</f>
        <v>0</v>
      </c>
    </row>
    <row r="45" spans="1:18" ht="45">
      <c r="A45" s="606">
        <f>'3-A. CI Sub-Annex'!A46</f>
        <v>7</v>
      </c>
      <c r="B45" s="606">
        <f>'3-A. CI Sub-Annex'!C46</f>
        <v>0</v>
      </c>
      <c r="C45" s="224" t="str">
        <f>'3-A. CI Sub-Annex'!D46</f>
        <v>ASHA incentive for supporting IRS / sensitizing community to accept IRS and Referral / Ensuring treatment for Kala-azar cases</v>
      </c>
      <c r="D45" s="603" t="str">
        <f>'3-A. CI Sub-Annex'!E46</f>
        <v>NDCP</v>
      </c>
      <c r="E45" s="606" t="str">
        <f>'3-A. CI Sub-Annex'!F46</f>
        <v>NVBDCP- Kala-azar</v>
      </c>
      <c r="F45" s="606">
        <f>'3-A. CI Sub-Annex'!G46</f>
        <v>0</v>
      </c>
      <c r="G45" s="606">
        <f>'3-A. CI Sub-Annex'!H46</f>
        <v>0</v>
      </c>
      <c r="H45" s="606">
        <f>'3-A. CI Sub-Annex'!I46</f>
        <v>0</v>
      </c>
      <c r="I45" s="606">
        <f>'3-A. CI Sub-Annex'!J46</f>
        <v>0</v>
      </c>
      <c r="J45" s="606">
        <f>'3-A. CI Sub-Annex'!K46</f>
        <v>0</v>
      </c>
      <c r="K45" s="606" t="str">
        <f>'3-A. CI Sub-Annex'!L46</f>
        <v>Asha</v>
      </c>
      <c r="L45" s="606">
        <f>'3-A. CI Sub-Annex'!M46</f>
        <v>402</v>
      </c>
      <c r="M45" s="136">
        <f>'3-A. CI Sub-Annex'!N46</f>
        <v>4.0200000000000001E-3</v>
      </c>
      <c r="N45" s="606">
        <f>'3-A. CI Sub-Annex'!O46</f>
        <v>22025</v>
      </c>
      <c r="O45" s="136">
        <f>'3-A. CI Sub-Annex'!P46</f>
        <v>88.540500000000009</v>
      </c>
      <c r="P45" s="224" t="str">
        <f>'3-A. CI Sub-Annex'!Q46</f>
        <v xml:space="preserve"> Rs. 200/- per  IRS round/Asha,Rs 500/ASHA for KA search,tratment and follow up,</v>
      </c>
      <c r="Q45" s="63">
        <f>'Abs9. NVBDCP'!Q21</f>
        <v>0</v>
      </c>
      <c r="R45" s="821">
        <f>'Abs9. NVBDCP'!R21</f>
        <v>0</v>
      </c>
    </row>
    <row r="46" spans="1:18">
      <c r="A46" s="941" t="str">
        <f>'3.Community Intervention Annexn'!A20</f>
        <v>3.1.1.3.2</v>
      </c>
      <c r="B46" s="941" t="str">
        <f>'3-A. CI Sub-Annex'!C47</f>
        <v>G.1.3.a</v>
      </c>
      <c r="C46" s="942" t="str">
        <f>'3-A. CI Sub-Annex'!D47</f>
        <v>ASHA Involvement under NLEP</v>
      </c>
      <c r="D46" s="941"/>
      <c r="E46" s="941"/>
      <c r="F46" s="941"/>
      <c r="G46" s="941"/>
      <c r="H46" s="941"/>
      <c r="I46" s="941"/>
      <c r="J46" s="941"/>
      <c r="K46" s="941"/>
      <c r="L46" s="941"/>
      <c r="M46" s="943"/>
      <c r="N46" s="941"/>
      <c r="O46" s="943"/>
      <c r="P46" s="942"/>
      <c r="Q46" s="951"/>
      <c r="R46" s="952"/>
    </row>
    <row r="47" spans="1:18" ht="60">
      <c r="A47" s="606">
        <f>'3-A. CI Sub-Annex'!A48</f>
        <v>1</v>
      </c>
      <c r="B47" s="606" t="str">
        <f>'3-A. CI Sub-Annex'!C48</f>
        <v>G.1.3.b.i</v>
      </c>
      <c r="C47" s="224" t="str">
        <f>'3-A. CI Sub-Annex'!D48</f>
        <v>Incentive for ASHA/AWW/Volunteer/etc for detection of Leprosy (Rs 250 for detection of an early case before onset of any visible deformity, Rs 200 for detection of new case with visible deformity in hands, feet or eye)</v>
      </c>
      <c r="D47" s="603" t="str">
        <f>'3-A. CI Sub-Annex'!E48</f>
        <v>NDCP</v>
      </c>
      <c r="E47" s="606" t="str">
        <f>'3-A. CI Sub-Annex'!F48</f>
        <v>NLEP/NHSRC-CP</v>
      </c>
      <c r="F47" s="606">
        <f>'3-A. CI Sub-Annex'!G48</f>
        <v>0</v>
      </c>
      <c r="G47" s="606">
        <f>'3-A. CI Sub-Annex'!H48</f>
        <v>0</v>
      </c>
      <c r="H47" s="606">
        <f>'3-A. CI Sub-Annex'!I48</f>
        <v>0</v>
      </c>
      <c r="I47" s="606">
        <f>'3-A. CI Sub-Annex'!J48</f>
        <v>0</v>
      </c>
      <c r="J47" s="606">
        <f>'3-A. CI Sub-Annex'!K48</f>
        <v>0</v>
      </c>
      <c r="K47" s="606">
        <f>'3-A. CI Sub-Annex'!L48</f>
        <v>1</v>
      </c>
      <c r="L47" s="606">
        <f>'3-A. CI Sub-Annex'!M48</f>
        <v>250</v>
      </c>
      <c r="M47" s="136">
        <f>'3-A. CI Sub-Annex'!N48</f>
        <v>2.5000000000000001E-3</v>
      </c>
      <c r="N47" s="606">
        <f>'3-A. CI Sub-Annex'!O48</f>
        <v>17000</v>
      </c>
      <c r="O47" s="136">
        <f>'3-A. CI Sub-Annex'!P48</f>
        <v>42.5</v>
      </c>
      <c r="P47" s="224" t="str">
        <f>'3-A. CI Sub-Annex'!Q48</f>
        <v>Incentive for new case detection  (250/case)</v>
      </c>
      <c r="Q47" s="63">
        <f>'Abs10. NLEP'!Q13</f>
        <v>0</v>
      </c>
      <c r="R47" s="821">
        <f>'Abs10. NLEP'!R13</f>
        <v>0</v>
      </c>
    </row>
    <row r="48" spans="1:18" ht="45">
      <c r="A48" s="606">
        <f>'3-A. CI Sub-Annex'!A49</f>
        <v>2</v>
      </c>
      <c r="B48" s="606" t="str">
        <f>'3-A. CI Sub-Annex'!C49</f>
        <v>G.1.3.b.ii</v>
      </c>
      <c r="C48" s="224" t="str">
        <f>'3-A. CI Sub-Annex'!D49</f>
        <v>ASHA Incentive for Treatment completion of PB cases (@ Rs 400)</v>
      </c>
      <c r="D48" s="603" t="str">
        <f>'3-A. CI Sub-Annex'!E49</f>
        <v>NDCP</v>
      </c>
      <c r="E48" s="606" t="str">
        <f>'3-A. CI Sub-Annex'!F49</f>
        <v>NLEP/NHSRC-CP</v>
      </c>
      <c r="F48" s="606">
        <f>'3-A. CI Sub-Annex'!G49</f>
        <v>0</v>
      </c>
      <c r="G48" s="606">
        <f>'3-A. CI Sub-Annex'!H49</f>
        <v>0</v>
      </c>
      <c r="H48" s="606">
        <f>'3-A. CI Sub-Annex'!I49</f>
        <v>0</v>
      </c>
      <c r="I48" s="606">
        <f>'3-A. CI Sub-Annex'!J49</f>
        <v>0</v>
      </c>
      <c r="J48" s="606">
        <f>'3-A. CI Sub-Annex'!K49</f>
        <v>0</v>
      </c>
      <c r="K48" s="606">
        <f>'3-A. CI Sub-Annex'!L49</f>
        <v>1</v>
      </c>
      <c r="L48" s="606">
        <f>'3-A. CI Sub-Annex'!M49</f>
        <v>400</v>
      </c>
      <c r="M48" s="136">
        <f>'3-A. CI Sub-Annex'!N49</f>
        <v>4.0000000000000001E-3</v>
      </c>
      <c r="N48" s="606">
        <f>'3-A. CI Sub-Annex'!O49</f>
        <v>10200</v>
      </c>
      <c r="O48" s="136">
        <f>'3-A. CI Sub-Annex'!P49</f>
        <v>40.800000000000004</v>
      </c>
      <c r="P48" s="224" t="str">
        <f>'3-A. CI Sub-Annex'!Q49</f>
        <v>Incentive for Treatment Completion of PB case @ Rs.400/-</v>
      </c>
      <c r="Q48" s="63">
        <f>'Abs10. NLEP'!Q14</f>
        <v>0</v>
      </c>
      <c r="R48" s="821">
        <f>'Abs10. NLEP'!R14</f>
        <v>0</v>
      </c>
    </row>
    <row r="49" spans="1:18" ht="45">
      <c r="A49" s="606">
        <f>'3-A. CI Sub-Annex'!A50</f>
        <v>3</v>
      </c>
      <c r="B49" s="606" t="str">
        <f>'3-A. CI Sub-Annex'!C50</f>
        <v>G.1.3.b.iii</v>
      </c>
      <c r="C49" s="224" t="str">
        <f>'3-A. CI Sub-Annex'!D50</f>
        <v>ASHA Incentive for Treatment completion of MB cases (@ Rs 600)</v>
      </c>
      <c r="D49" s="603" t="str">
        <f>'3-A. CI Sub-Annex'!E50</f>
        <v>NDCP</v>
      </c>
      <c r="E49" s="606" t="str">
        <f>'3-A. CI Sub-Annex'!F50</f>
        <v>NLEP/NHSRC-CP</v>
      </c>
      <c r="F49" s="606">
        <f>'3-A. CI Sub-Annex'!G50</f>
        <v>0</v>
      </c>
      <c r="G49" s="606">
        <f>'3-A. CI Sub-Annex'!H50</f>
        <v>0</v>
      </c>
      <c r="H49" s="606">
        <f>'3-A. CI Sub-Annex'!I50</f>
        <v>0</v>
      </c>
      <c r="I49" s="606">
        <f>'3-A. CI Sub-Annex'!J50</f>
        <v>0</v>
      </c>
      <c r="J49" s="606">
        <f>'3-A. CI Sub-Annex'!K50</f>
        <v>0</v>
      </c>
      <c r="K49" s="606">
        <f>'3-A. CI Sub-Annex'!L50</f>
        <v>1</v>
      </c>
      <c r="L49" s="606">
        <f>'3-A. CI Sub-Annex'!M50</f>
        <v>600</v>
      </c>
      <c r="M49" s="136">
        <f>'3-A. CI Sub-Annex'!N50</f>
        <v>6.0000000000000001E-3</v>
      </c>
      <c r="N49" s="606">
        <f>'3-A. CI Sub-Annex'!O50</f>
        <v>6800</v>
      </c>
      <c r="O49" s="136">
        <f>'3-A. CI Sub-Annex'!P50</f>
        <v>40.800000000000004</v>
      </c>
      <c r="P49" s="224" t="str">
        <f>'3-A. CI Sub-Annex'!Q50</f>
        <v>Incentive for Treatment Completion of MB case @ Rs.600/-</v>
      </c>
      <c r="Q49" s="63">
        <f>'Abs10. NLEP'!Q15</f>
        <v>0</v>
      </c>
      <c r="R49" s="821">
        <f>'Abs10. NLEP'!R15</f>
        <v>0</v>
      </c>
    </row>
    <row r="50" spans="1:18">
      <c r="A50" s="941" t="str">
        <f>'3.Community Intervention Annexn'!A21</f>
        <v>3.1.1.3.3</v>
      </c>
      <c r="B50" s="941">
        <f>'3-A. CI Sub-Annex'!C51</f>
        <v>0</v>
      </c>
      <c r="C50" s="942" t="str">
        <f>'3-A. CI Sub-Annex'!D51</f>
        <v>Any other ASHA incentives (please specify)</v>
      </c>
      <c r="D50" s="941" t="str">
        <f>'3-A. CI Sub-Annex'!E51</f>
        <v>NDCP</v>
      </c>
      <c r="E50" s="941" t="str">
        <f>'3-A. CI Sub-Annex'!F51</f>
        <v>NHSRC-CP</v>
      </c>
      <c r="F50" s="941">
        <f>'3-A. CI Sub-Annex'!G51</f>
        <v>0</v>
      </c>
      <c r="G50" s="941">
        <f>'3-A. CI Sub-Annex'!H51</f>
        <v>0</v>
      </c>
      <c r="H50" s="941">
        <f>'3-A. CI Sub-Annex'!I51</f>
        <v>0</v>
      </c>
      <c r="I50" s="941">
        <f>'3-A. CI Sub-Annex'!J51</f>
        <v>0</v>
      </c>
      <c r="J50" s="941">
        <f>'3-A. CI Sub-Annex'!K51</f>
        <v>0</v>
      </c>
      <c r="K50" s="941">
        <f>'3-A. CI Sub-Annex'!L51</f>
        <v>1</v>
      </c>
      <c r="L50" s="941">
        <f>'3-A. CI Sub-Annex'!M51</f>
        <v>100</v>
      </c>
      <c r="M50" s="943">
        <f>'3-A. CI Sub-Annex'!N51</f>
        <v>1E-3</v>
      </c>
      <c r="N50" s="941">
        <f>'3-A. CI Sub-Annex'!O51</f>
        <v>57000</v>
      </c>
      <c r="O50" s="943">
        <f>'3-A. CI Sub-Annex'!P51</f>
        <v>57</v>
      </c>
      <c r="P50" s="942" t="str">
        <f>'3-A. CI Sub-Annex'!Q51</f>
        <v>Sensitisation for ASHA/AWW</v>
      </c>
      <c r="Q50" s="951"/>
      <c r="R50" s="952"/>
    </row>
    <row r="51" spans="1:18">
      <c r="A51" s="941" t="str">
        <f>'3.Community Intervention Annexn'!A22</f>
        <v>3.1.1.4</v>
      </c>
      <c r="B51" s="941">
        <f>'3-A. CI Sub-Annex'!C53</f>
        <v>0</v>
      </c>
      <c r="C51" s="942" t="str">
        <f>'3-A. CI Sub-Annex'!D53</f>
        <v>Incentive for NCDs</v>
      </c>
      <c r="D51" s="941"/>
      <c r="E51" s="941"/>
      <c r="F51" s="941"/>
      <c r="G51" s="941"/>
      <c r="H51" s="941"/>
      <c r="I51" s="941"/>
      <c r="J51" s="941"/>
      <c r="K51" s="941"/>
      <c r="L51" s="941"/>
      <c r="M51" s="943"/>
      <c r="N51" s="941"/>
      <c r="O51" s="943"/>
      <c r="P51" s="942"/>
      <c r="Q51" s="951"/>
      <c r="R51" s="952"/>
    </row>
    <row r="52" spans="1:18" ht="135">
      <c r="A52" s="606">
        <f>'3-A. CI Sub-Annex'!A54</f>
        <v>1</v>
      </c>
      <c r="B52" s="606">
        <f>'3-A. CI Sub-Annex'!C54</f>
        <v>0</v>
      </c>
      <c r="C52" s="224" t="str">
        <f>'3-A. CI Sub-Annex'!D54</f>
        <v xml:space="preserve">Filling up of CBAC form and mobilizing for NCD screening </v>
      </c>
      <c r="D52" s="603" t="str">
        <f>'3-A. CI Sub-Annex'!E54</f>
        <v>HSS</v>
      </c>
      <c r="E52" s="606" t="str">
        <f>'3-A. CI Sub-Annex'!F54</f>
        <v>NHSRC-CP</v>
      </c>
      <c r="F52" s="606">
        <f>'3-A. CI Sub-Annex'!G54</f>
        <v>9426212</v>
      </c>
      <c r="G52" s="606">
        <f>'3-A. CI Sub-Annex'!H54</f>
        <v>1027593</v>
      </c>
      <c r="H52" s="606">
        <f>'3-A. CI Sub-Annex'!I54</f>
        <v>942.62</v>
      </c>
      <c r="I52" s="606">
        <f>'3-A. CI Sub-Annex'!J54</f>
        <v>4.05</v>
      </c>
      <c r="J52" s="606">
        <f>'3-A. CI Sub-Annex'!K54</f>
        <v>0</v>
      </c>
      <c r="K52" s="606" t="str">
        <f>'3-A. CI Sub-Annex'!L54</f>
        <v>Per CBAC &amp;FF</v>
      </c>
      <c r="L52" s="606">
        <f>'3-A. CI Sub-Annex'!M54</f>
        <v>10</v>
      </c>
      <c r="M52" s="136">
        <f>'3-A. CI Sub-Annex'!N54</f>
        <v>1E-4</v>
      </c>
      <c r="N52" s="606">
        <f>'3-A. CI Sub-Annex'!O54</f>
        <v>9426212</v>
      </c>
      <c r="O52" s="136">
        <f>'3-A. CI Sub-Annex'!P54</f>
        <v>942.62120000000004</v>
      </c>
      <c r="P52" s="224" t="str">
        <f>'3-A. CI Sub-Annex'!Q54</f>
        <v xml:space="preserve">Continued Activity    
) Proposed to cover 20 % of all eligible beneficaries (37% of total population) of  Bihar = 127381246 x 37% x 20%=9426212
(a) ASHA incentive @ Rs 10 per CBAC form = 9426212*10 (CBAC Forms + F.F.) 94262120
</v>
      </c>
      <c r="Q52" s="63"/>
      <c r="R52" s="125"/>
    </row>
    <row r="53" spans="1:18" ht="45">
      <c r="A53" s="606">
        <f>'3-A. CI Sub-Annex'!A55</f>
        <v>2</v>
      </c>
      <c r="B53" s="606">
        <f>'3-A. CI Sub-Annex'!C55</f>
        <v>0</v>
      </c>
      <c r="C53" s="224" t="str">
        <f>'3-A. CI Sub-Annex'!D55</f>
        <v xml:space="preserve">Follow up of NCD patients for treatment initiation and compliance </v>
      </c>
      <c r="D53" s="603" t="str">
        <f>'3-A. CI Sub-Annex'!E55</f>
        <v>HSS</v>
      </c>
      <c r="E53" s="606" t="str">
        <f>'3-A. CI Sub-Annex'!F55</f>
        <v>NHSRC-CP</v>
      </c>
      <c r="F53" s="606">
        <f>'3-A. CI Sub-Annex'!G55</f>
        <v>282786</v>
      </c>
      <c r="G53" s="606">
        <f>'3-A. CI Sub-Annex'!H55</f>
        <v>0</v>
      </c>
      <c r="H53" s="606">
        <f>'3-A. CI Sub-Annex'!I55</f>
        <v>141.38999999999999</v>
      </c>
      <c r="I53" s="606">
        <f>'3-A. CI Sub-Annex'!J55</f>
        <v>0.6</v>
      </c>
      <c r="J53" s="606">
        <f>'3-A. CI Sub-Annex'!K55</f>
        <v>0</v>
      </c>
      <c r="K53" s="606" t="str">
        <f>'3-A. CI Sub-Annex'!L55</f>
        <v>Per case</v>
      </c>
      <c r="L53" s="606">
        <f>'3-A. CI Sub-Annex'!M55</f>
        <v>50</v>
      </c>
      <c r="M53" s="136">
        <f>'3-A. CI Sub-Annex'!N55</f>
        <v>5.0000000000000001E-4</v>
      </c>
      <c r="N53" s="606">
        <f>'3-A. CI Sub-Annex'!O55</f>
        <v>282786</v>
      </c>
      <c r="O53" s="136">
        <f>'3-A. CI Sub-Annex'!P55</f>
        <v>141.393</v>
      </c>
      <c r="P53" s="224" t="str">
        <f>'3-A. CI Sub-Annex'!Q55</f>
        <v>Continued Activity Follow up  incentive == 9426212*3%*50=14139318</v>
      </c>
      <c r="Q53" s="63"/>
      <c r="R53" s="125"/>
    </row>
    <row r="54" spans="1:18" ht="105">
      <c r="A54" s="606">
        <f>'3-A. CI Sub-Annex'!A56</f>
        <v>3</v>
      </c>
      <c r="B54" s="606">
        <f>'3-A. CI Sub-Annex'!C56</f>
        <v>0</v>
      </c>
      <c r="C54" s="224" t="str">
        <f>'3-A. CI Sub-Annex'!D56</f>
        <v>Any other ASHA incentives (please specify)</v>
      </c>
      <c r="D54" s="603" t="str">
        <f>'3-A. CI Sub-Annex'!E56</f>
        <v>HSS</v>
      </c>
      <c r="E54" s="606" t="str">
        <f>'3-A. CI Sub-Annex'!F56</f>
        <v>NHSRC-CP</v>
      </c>
      <c r="F54" s="606">
        <f>'3-A. CI Sub-Annex'!G56</f>
        <v>9426212</v>
      </c>
      <c r="G54" s="606">
        <f>'3-A. CI Sub-Annex'!H56</f>
        <v>0</v>
      </c>
      <c r="H54" s="606">
        <f>'3-A. CI Sub-Annex'!I56</f>
        <v>942.62</v>
      </c>
      <c r="I54" s="606">
        <f>'3-A. CI Sub-Annex'!J56</f>
        <v>0</v>
      </c>
      <c r="J54" s="606">
        <f>'3-A. CI Sub-Annex'!K56</f>
        <v>0</v>
      </c>
      <c r="K54" s="606" t="str">
        <f>'3-A. CI Sub-Annex'!L56</f>
        <v>Per Screening</v>
      </c>
      <c r="L54" s="606">
        <f>'3-A. CI Sub-Annex'!M56</f>
        <v>5</v>
      </c>
      <c r="M54" s="136">
        <f>'3-A. CI Sub-Annex'!N56</f>
        <v>5.0000000000000002E-5</v>
      </c>
      <c r="N54" s="606">
        <f>'3-A. CI Sub-Annex'!O56</f>
        <v>9426212</v>
      </c>
      <c r="O54" s="136">
        <f>'3-A. CI Sub-Annex'!P56</f>
        <v>471.31060000000002</v>
      </c>
      <c r="P54" s="224" t="str">
        <f>'3-A. CI Sub-Annex'!Q56</f>
        <v>Continued  activity:                                                                                                                                              Digitization and Complete Screening of CBAC &amp; Family Folder  forms by ANM/data entry operators @ Rs 5 per Complete Screening = 9426212*5= 47131060.</v>
      </c>
      <c r="Q54" s="63"/>
      <c r="R54" s="125"/>
    </row>
    <row r="55" spans="1:18">
      <c r="A55" s="947" t="str">
        <f>'3.Community Intervention Annexn'!A24</f>
        <v>3.1.1.6</v>
      </c>
      <c r="B55" s="941"/>
      <c r="C55" s="942" t="str">
        <f>'3-A. CI Sub-Annex'!A57</f>
        <v xml:space="preserve">Other Incentives </v>
      </c>
      <c r="D55" s="941"/>
      <c r="E55" s="941"/>
      <c r="F55" s="941"/>
      <c r="G55" s="941"/>
      <c r="H55" s="941"/>
      <c r="I55" s="941"/>
      <c r="J55" s="941"/>
      <c r="K55" s="941"/>
      <c r="L55" s="941"/>
      <c r="M55" s="943"/>
      <c r="N55" s="941"/>
      <c r="O55" s="943"/>
      <c r="P55" s="942"/>
      <c r="Q55" s="951"/>
      <c r="R55" s="952"/>
    </row>
    <row r="56" spans="1:18" ht="409.5">
      <c r="A56" s="606">
        <f>'3-A. CI Sub-Annex'!A58</f>
        <v>1</v>
      </c>
      <c r="B56" s="606" t="str">
        <f>'3-A. CI Sub-Annex'!C58</f>
        <v>B1.1.3.6.1</v>
      </c>
      <c r="C56" s="224" t="str">
        <f>'3-A. CI Sub-Annex'!D58</f>
        <v xml:space="preserve">ASHA incentives for routine activities </v>
      </c>
      <c r="D56" s="603" t="str">
        <f>'3-A. CI Sub-Annex'!E58</f>
        <v>HSS</v>
      </c>
      <c r="E56" s="606" t="str">
        <f>'3-A. CI Sub-Annex'!F58</f>
        <v>NHSRC-CP</v>
      </c>
      <c r="F56" s="606">
        <f>'3-A. CI Sub-Annex'!G58</f>
        <v>0</v>
      </c>
      <c r="G56" s="606">
        <f>'3-A. CI Sub-Annex'!H58</f>
        <v>0</v>
      </c>
      <c r="H56" s="606">
        <f>'3-A. CI Sub-Annex'!I58</f>
        <v>0</v>
      </c>
      <c r="I56" s="606">
        <f>'3-A. CI Sub-Annex'!J58</f>
        <v>0</v>
      </c>
      <c r="J56" s="606">
        <f>'3-A. CI Sub-Annex'!K58</f>
        <v>0</v>
      </c>
      <c r="K56" s="606" t="str">
        <f>'3-A. CI Sub-Annex'!L58</f>
        <v>Per ASHA</v>
      </c>
      <c r="L56" s="606">
        <f>'3-A. CI Sub-Annex'!M58</f>
        <v>24000</v>
      </c>
      <c r="M56" s="136">
        <f>'3-A. CI Sub-Annex'!N58</f>
        <v>0.24</v>
      </c>
      <c r="N56" s="606">
        <f>'3-A. CI Sub-Annex'!O58</f>
        <v>90000</v>
      </c>
      <c r="O56" s="136">
        <f>'3-A. CI Sub-Annex'!P58</f>
        <v>21600</v>
      </c>
      <c r="P56" s="224" t="str">
        <f>'3-A. CI Sub-Annex'!Q58</f>
        <v xml:space="preserve">Continued:
1. Mobilizing and attending VHSND - Rs. 200/-
i) For Immunization of 0-4 Beneficiery = No Incentive
ii) 5 Benefifiery = Rs. 50/-
iii) 6 or more than 6 Beneficiery upto 35 = Rs 10/ per Beneficiary
2. Convening and guiding VHSNC meeting - Rs. 150/-
3. Attending the PHC Review meeting -Rs. 150/-
4. Line listing of households done at beginning of the year and updated on monthly basis -Rs. 300/-
5. Maintaining village health register and supporting universal registration of births and deaths to be updated on monthly basis -Rs. 300/-
6. Preparation of due list of children to be immunized to be updated on monthly basis -Rs. 300/-
7. Preparation of list of ANC beneficiaries to be updated on monthly basis -Rs. 300/-
8. Preparation of list of eligible couples to be updated on monthly basis - Rs. 300/-
</v>
      </c>
      <c r="Q56" s="63"/>
      <c r="R56" s="125"/>
    </row>
    <row r="57" spans="1:18" ht="409.5">
      <c r="A57" s="606">
        <f>'3-A. CI Sub-Annex'!A59</f>
        <v>2</v>
      </c>
      <c r="B57" s="606">
        <f>'3-A. CI Sub-Annex'!C59</f>
        <v>0</v>
      </c>
      <c r="C57" s="224" t="str">
        <f>'3-A. CI Sub-Annex'!D59</f>
        <v>Any other ASHA incentives (please specify)</v>
      </c>
      <c r="D57" s="603" t="str">
        <f>'3-A. CI Sub-Annex'!E59</f>
        <v>HSS</v>
      </c>
      <c r="E57" s="606" t="str">
        <f>'3-A. CI Sub-Annex'!F59</f>
        <v>NHSRC-CP</v>
      </c>
      <c r="F57" s="606">
        <f>'3-A. CI Sub-Annex'!G59</f>
        <v>117280</v>
      </c>
      <c r="G57" s="606">
        <f>'3-A. CI Sub-Annex'!H59</f>
        <v>0</v>
      </c>
      <c r="H57" s="606">
        <f>'3-A. CI Sub-Annex'!I59</f>
        <v>234.56</v>
      </c>
      <c r="I57" s="606">
        <f>'3-A. CI Sub-Annex'!J59</f>
        <v>0</v>
      </c>
      <c r="J57" s="606">
        <f>'3-A. CI Sub-Annex'!K59</f>
        <v>0</v>
      </c>
      <c r="K57" s="606" t="str">
        <f>'3-A. CI Sub-Annex'!L59</f>
        <v>No. of Session Sites</v>
      </c>
      <c r="L57" s="606">
        <f>'3-A. CI Sub-Annex'!M59</f>
        <v>47300000</v>
      </c>
      <c r="M57" s="136">
        <f>'3-A. CI Sub-Annex'!N59</f>
        <v>473</v>
      </c>
      <c r="N57" s="606">
        <f>'3-A. CI Sub-Annex'!O59</f>
        <v>1</v>
      </c>
      <c r="O57" s="136">
        <f>'3-A. CI Sub-Annex'!P59</f>
        <v>473</v>
      </c>
      <c r="P57" s="224" t="str">
        <f>'3-A. CI Sub-Annex'!Q59</f>
        <v>Continued Activity:
This fund is required to administer the VAS round. It includes mobilization and providing Vitamin A Syrup to beneficiary. This is the minimum proposed budget for successfully conducting the rounds.
In current  F.Y. fund has been  Last year we faces lots of difficulty due to lack of fund.
Fund Calculation: Rs 100 per day X 4 Days X 1 Round X 117501 Sites) =4,70,00,400/-                                                   ASHA incentives for CAC services @ Rs.150 for 2,000 cases  = Rs.150 X 2000 cases = Rs.3,00,000
Note- The FMR Code in the PIP 20-21 was 3.1.1.1.13 and this time as per GOI instruction the incentive has been asked to include under FMR Code- 3.1.1.6.3 FY 21-22.</v>
      </c>
      <c r="Q57" s="63"/>
      <c r="R57" s="125"/>
    </row>
    <row r="58" spans="1:18">
      <c r="A58" s="941" t="str">
        <f>'3.Community Intervention Annexn'!A26</f>
        <v>3.1.2.1</v>
      </c>
      <c r="B58" s="941" t="str">
        <f>'3-A. CI Sub-Annex'!C61</f>
        <v>B1.1.1</v>
      </c>
      <c r="C58" s="942" t="str">
        <f>'3-A. CI Sub-Annex'!D61</f>
        <v>Selection &amp; Training of ASHA</v>
      </c>
      <c r="D58" s="941"/>
      <c r="E58" s="941"/>
      <c r="F58" s="941"/>
      <c r="G58" s="941"/>
      <c r="H58" s="941"/>
      <c r="I58" s="941"/>
      <c r="J58" s="941"/>
      <c r="K58" s="941"/>
      <c r="L58" s="941"/>
      <c r="M58" s="943"/>
      <c r="N58" s="941"/>
      <c r="O58" s="943"/>
      <c r="P58" s="942"/>
      <c r="Q58" s="951"/>
      <c r="R58" s="952"/>
    </row>
    <row r="59" spans="1:18" ht="90">
      <c r="A59" s="606">
        <f>'3-A. CI Sub-Annex'!A62</f>
        <v>1</v>
      </c>
      <c r="B59" s="606" t="str">
        <f>'3-A. CI Sub-Annex'!C62</f>
        <v>B1.1.1.1</v>
      </c>
      <c r="C59" s="224" t="str">
        <f>'3-A. CI Sub-Annex'!D62</f>
        <v>Induction training</v>
      </c>
      <c r="D59" s="603" t="str">
        <f>'3-A. CI Sub-Annex'!E62</f>
        <v>HSS</v>
      </c>
      <c r="E59" s="606" t="str">
        <f>'3-A. CI Sub-Annex'!F62</f>
        <v>NHSRC-CP</v>
      </c>
      <c r="F59" s="606">
        <f>'3-A. CI Sub-Annex'!G62</f>
        <v>0</v>
      </c>
      <c r="G59" s="606">
        <f>'3-A. CI Sub-Annex'!H62</f>
        <v>0</v>
      </c>
      <c r="H59" s="606">
        <f>'3-A. CI Sub-Annex'!I62</f>
        <v>0</v>
      </c>
      <c r="I59" s="606">
        <f>'3-A. CI Sub-Annex'!J62</f>
        <v>0</v>
      </c>
      <c r="J59" s="606">
        <f>'3-A. CI Sub-Annex'!K62</f>
        <v>0</v>
      </c>
      <c r="K59" s="606" t="str">
        <f>'3-A. CI Sub-Annex'!L62</f>
        <v>Per Batch</v>
      </c>
      <c r="L59" s="606">
        <f>'3-A. CI Sub-Annex'!M62</f>
        <v>168000</v>
      </c>
      <c r="M59" s="136">
        <f>'3-A. CI Sub-Annex'!N62</f>
        <v>1.68</v>
      </c>
      <c r="N59" s="606">
        <f>'3-A. CI Sub-Annex'!O62</f>
        <v>237</v>
      </c>
      <c r="O59" s="136">
        <f>'3-A. CI Sub-Annex'!P62</f>
        <v>398.15999999999997</v>
      </c>
      <c r="P59" s="224" t="str">
        <f>'3-A. CI Sub-Annex'!Q62</f>
        <v xml:space="preserve">Continued:;
Induction training for new selected ASHA (7100 ASHA) 237 batches X Rs. 168000 = Rs.39816000/-  
Budget Annexure attached </v>
      </c>
      <c r="Q59" s="63"/>
      <c r="R59" s="125"/>
    </row>
    <row r="60" spans="1:18" ht="300">
      <c r="A60" s="606">
        <f>'3-A. CI Sub-Annex'!A63</f>
        <v>2</v>
      </c>
      <c r="B60" s="606" t="str">
        <f>'3-A. CI Sub-Annex'!C63</f>
        <v>B1.1.1.2</v>
      </c>
      <c r="C60" s="224" t="str">
        <f>'3-A. CI Sub-Annex'!D63</f>
        <v xml:space="preserve">Module VI &amp; VII </v>
      </c>
      <c r="D60" s="603" t="str">
        <f>'3-A. CI Sub-Annex'!E63</f>
        <v>HSS</v>
      </c>
      <c r="E60" s="606" t="str">
        <f>'3-A. CI Sub-Annex'!F63</f>
        <v>NHSRC-CP</v>
      </c>
      <c r="F60" s="606">
        <f>'3-A. CI Sub-Annex'!G63</f>
        <v>0</v>
      </c>
      <c r="G60" s="606">
        <f>'3-A. CI Sub-Annex'!H63</f>
        <v>0</v>
      </c>
      <c r="H60" s="606">
        <f>'3-A. CI Sub-Annex'!I63</f>
        <v>0</v>
      </c>
      <c r="I60" s="606">
        <f>'3-A. CI Sub-Annex'!J63</f>
        <v>0</v>
      </c>
      <c r="J60" s="606">
        <f>'3-A. CI Sub-Annex'!K63</f>
        <v>0</v>
      </c>
      <c r="K60" s="606" t="str">
        <f>'3-A. CI Sub-Annex'!L63</f>
        <v>ASHA Training</v>
      </c>
      <c r="L60" s="606">
        <f>'3-A. CI Sub-Annex'!M63</f>
        <v>262184000</v>
      </c>
      <c r="M60" s="136">
        <f>'3-A. CI Sub-Annex'!N63</f>
        <v>2621.84</v>
      </c>
      <c r="N60" s="606">
        <f>'3-A. CI Sub-Annex'!O63</f>
        <v>1</v>
      </c>
      <c r="O60" s="136">
        <f>'3-A. CI Sub-Annex'!P63</f>
        <v>2621.84</v>
      </c>
      <c r="P60" s="224" t="str">
        <f>'3-A. CI Sub-Annex'!Q63</f>
        <v xml:space="preserve">Continued: Total proposed Rs. 26,21,84,000/-
a) Remaining 60000 ASHA X Rs. 700 per ASHA X 6 days = Rs. 25,20,00,000/- (Budget Annexure attached )
b) State Master Trainers Honorarium for Supportive Supervision each district 3 batch per month (38 X 3 X 12 months = 1368) Rs. 6000 X 1368 batches = Rs. 82,08,000/-
c) TA for Master Trainer Rs. 1000 per batch X 1368 batches = Rs. 13,68,000
d) State  Visit for  Monitoring  of ASHA training  in all 38 districts 2 times  in a year for 2 days   = Rs. 6,08,000 (Rs. 4000 X 2 days X 76 Visit) </v>
      </c>
      <c r="Q60" s="63"/>
      <c r="R60" s="125"/>
    </row>
    <row r="61" spans="1:18">
      <c r="A61" s="606">
        <f>'3-A. CI Sub-Annex'!A64</f>
        <v>3</v>
      </c>
      <c r="B61" s="606" t="str">
        <f>'3-A. CI Sub-Annex'!C64</f>
        <v>B1.2</v>
      </c>
      <c r="C61" s="224" t="str">
        <f>'3-A. CI Sub-Annex'!D64</f>
        <v>Certification of ASHA by NIOS</v>
      </c>
      <c r="D61" s="603" t="str">
        <f>'3-A. CI Sub-Annex'!E64</f>
        <v>HSS</v>
      </c>
      <c r="E61" s="606" t="str">
        <f>'3-A. CI Sub-Annex'!F64</f>
        <v>NHSRC-CP</v>
      </c>
      <c r="F61" s="606">
        <f>'3-A. CI Sub-Annex'!G64</f>
        <v>0</v>
      </c>
      <c r="G61" s="606">
        <f>'3-A. CI Sub-Annex'!H64</f>
        <v>0</v>
      </c>
      <c r="H61" s="606">
        <f>'3-A. CI Sub-Annex'!I64</f>
        <v>0</v>
      </c>
      <c r="I61" s="606">
        <f>'3-A. CI Sub-Annex'!J64</f>
        <v>0</v>
      </c>
      <c r="J61" s="606">
        <f>'3-A. CI Sub-Annex'!K64</f>
        <v>0</v>
      </c>
      <c r="K61" s="606">
        <f>'3-A. CI Sub-Annex'!L64</f>
        <v>0</v>
      </c>
      <c r="L61" s="606">
        <f>'3-A. CI Sub-Annex'!M64</f>
        <v>0</v>
      </c>
      <c r="M61" s="136">
        <f>'3-A. CI Sub-Annex'!N64</f>
        <v>0</v>
      </c>
      <c r="N61" s="606">
        <f>'3-A. CI Sub-Annex'!O64</f>
        <v>0</v>
      </c>
      <c r="O61" s="136">
        <f>'3-A. CI Sub-Annex'!P64</f>
        <v>0</v>
      </c>
      <c r="P61" s="224">
        <f>'3-A. CI Sub-Annex'!Q64</f>
        <v>0</v>
      </c>
      <c r="Q61" s="63"/>
      <c r="R61" s="125"/>
    </row>
    <row r="62" spans="1:18" ht="180">
      <c r="A62" s="606">
        <f>'3-A. CI Sub-Annex'!A65</f>
        <v>4</v>
      </c>
      <c r="B62" s="606">
        <f>'3-A. CI Sub-Annex'!C65</f>
        <v>0</v>
      </c>
      <c r="C62" s="224" t="str">
        <f>'3-A. CI Sub-Annex'!D65</f>
        <v>Trainings under HBYC</v>
      </c>
      <c r="D62" s="603" t="str">
        <f>'3-A. CI Sub-Annex'!E65</f>
        <v>HSS</v>
      </c>
      <c r="E62" s="606" t="str">
        <f>'3-A. CI Sub-Annex'!F65</f>
        <v>NHSRC-CP</v>
      </c>
      <c r="F62" s="606">
        <f>'3-A. CI Sub-Annex'!G65</f>
        <v>0</v>
      </c>
      <c r="G62" s="606">
        <f>'3-A. CI Sub-Annex'!H65</f>
        <v>0</v>
      </c>
      <c r="H62" s="606">
        <f>'3-A. CI Sub-Annex'!I65</f>
        <v>0</v>
      </c>
      <c r="I62" s="606">
        <f>'3-A. CI Sub-Annex'!J65</f>
        <v>0</v>
      </c>
      <c r="J62" s="606">
        <f>'3-A. CI Sub-Annex'!K65</f>
        <v>0</v>
      </c>
      <c r="K62" s="606" t="str">
        <f>'3-A. CI Sub-Annex'!L65</f>
        <v>No. of batch</v>
      </c>
      <c r="L62" s="606">
        <f>'3-A. CI Sub-Annex'!M65</f>
        <v>139865</v>
      </c>
      <c r="M62" s="136">
        <f>'3-A. CI Sub-Annex'!N65</f>
        <v>1.3986499999999999</v>
      </c>
      <c r="N62" s="606">
        <f>'3-A. CI Sub-Annex'!O65</f>
        <v>590</v>
      </c>
      <c r="O62" s="136">
        <f>'3-A. CI Sub-Annex'!P65</f>
        <v>825.20349999999996</v>
      </c>
      <c r="P62" s="224" t="str">
        <f>'3-A. CI Sub-Annex'!Q65</f>
        <v>Continued activity:Budget is being proposed for training of ASHA, ASHA fascilitator and SN/ANM on HBYC program@Rs.139865 per batch in 13 Aspirational districts. Total 590 batches required for complete the training of ASHA/ASHA Facilitator/ANM/SN. Budget required = 590*139865 = 825.20 lakh</v>
      </c>
      <c r="Q62" s="63"/>
      <c r="R62" s="125"/>
    </row>
    <row r="63" spans="1:18">
      <c r="A63" s="606">
        <f>'3-A. CI Sub-Annex'!A66</f>
        <v>5</v>
      </c>
      <c r="B63" s="606">
        <f>'3-A. CI Sub-Annex'!C66</f>
        <v>0</v>
      </c>
      <c r="C63" s="224" t="str">
        <f>'3-A. CI Sub-Annex'!D66</f>
        <v xml:space="preserve">Training on Expanded services packages at HWCs </v>
      </c>
      <c r="D63" s="603" t="str">
        <f>'3-A. CI Sub-Annex'!E66</f>
        <v>HSS</v>
      </c>
      <c r="E63" s="606" t="str">
        <f>'3-A. CI Sub-Annex'!F66</f>
        <v>NHSRC-CP</v>
      </c>
      <c r="F63" s="606">
        <f>'3-A. CI Sub-Annex'!G66</f>
        <v>0</v>
      </c>
      <c r="G63" s="606">
        <f>'3-A. CI Sub-Annex'!H66</f>
        <v>0</v>
      </c>
      <c r="H63" s="606">
        <f>'3-A. CI Sub-Annex'!I66</f>
        <v>0</v>
      </c>
      <c r="I63" s="606">
        <f>'3-A. CI Sub-Annex'!J66</f>
        <v>0</v>
      </c>
      <c r="J63" s="606">
        <f>'3-A. CI Sub-Annex'!K66</f>
        <v>0</v>
      </c>
      <c r="K63" s="606">
        <f>'3-A. CI Sub-Annex'!L66</f>
        <v>0</v>
      </c>
      <c r="L63" s="606">
        <f>'3-A. CI Sub-Annex'!M66</f>
        <v>0</v>
      </c>
      <c r="M63" s="136">
        <f>'3-A. CI Sub-Annex'!N66</f>
        <v>0</v>
      </c>
      <c r="N63" s="606">
        <f>'3-A. CI Sub-Annex'!O66</f>
        <v>0</v>
      </c>
      <c r="O63" s="136">
        <f>'3-A. CI Sub-Annex'!P66</f>
        <v>0</v>
      </c>
      <c r="P63" s="224">
        <f>'3-A. CI Sub-Annex'!Q66</f>
        <v>0</v>
      </c>
      <c r="Q63" s="63"/>
      <c r="R63" s="125"/>
    </row>
    <row r="64" spans="1:18">
      <c r="A64" s="606">
        <f>'3-A. CI Sub-Annex'!A67</f>
        <v>6</v>
      </c>
      <c r="B64" s="606">
        <f>'3-A. CI Sub-Annex'!C67</f>
        <v>0</v>
      </c>
      <c r="C64" s="224" t="str">
        <f>'3-A. CI Sub-Annex'!D67</f>
        <v xml:space="preserve">Supplementary /Refresher/ Other  training for ASHAs </v>
      </c>
      <c r="D64" s="603" t="str">
        <f>'3-A. CI Sub-Annex'!E67</f>
        <v>HSS</v>
      </c>
      <c r="E64" s="606" t="str">
        <f>'3-A. CI Sub-Annex'!F67</f>
        <v>NHSRC-CP</v>
      </c>
      <c r="F64" s="606">
        <f>'3-A. CI Sub-Annex'!G67</f>
        <v>0</v>
      </c>
      <c r="G64" s="606">
        <f>'3-A. CI Sub-Annex'!H67</f>
        <v>0</v>
      </c>
      <c r="H64" s="606">
        <f>'3-A. CI Sub-Annex'!I67</f>
        <v>0</v>
      </c>
      <c r="I64" s="606">
        <f>'3-A. CI Sub-Annex'!J67</f>
        <v>0</v>
      </c>
      <c r="J64" s="606">
        <f>'3-A. CI Sub-Annex'!K67</f>
        <v>0</v>
      </c>
      <c r="K64" s="606">
        <f>'3-A. CI Sub-Annex'!L67</f>
        <v>0</v>
      </c>
      <c r="L64" s="606">
        <f>'3-A. CI Sub-Annex'!M67</f>
        <v>0</v>
      </c>
      <c r="M64" s="136">
        <f>'3-A. CI Sub-Annex'!N67</f>
        <v>0</v>
      </c>
      <c r="N64" s="606">
        <f>'3-A. CI Sub-Annex'!O67</f>
        <v>0</v>
      </c>
      <c r="O64" s="136">
        <f>'3-A. CI Sub-Annex'!P67</f>
        <v>353.29200000000003</v>
      </c>
      <c r="P64" s="224">
        <f>'3-A. CI Sub-Annex'!Q67</f>
        <v>0</v>
      </c>
      <c r="Q64" s="63"/>
      <c r="R64" s="125"/>
    </row>
    <row r="65" spans="1:18">
      <c r="A65" s="606">
        <f>'3-A. CI Sub-Annex'!A68</f>
        <v>7</v>
      </c>
      <c r="B65" s="606" t="str">
        <f>'3-A. CI Sub-Annex'!C68</f>
        <v>B1.1.1.3</v>
      </c>
      <c r="C65" s="224" t="str">
        <f>'3-A. CI Sub-Annex'!D68</f>
        <v xml:space="preserve">Supplementary /Refresher training for ASHAs </v>
      </c>
      <c r="D65" s="603" t="str">
        <f>'3-A. CI Sub-Annex'!E68</f>
        <v>HSS</v>
      </c>
      <c r="E65" s="606" t="str">
        <f>'3-A. CI Sub-Annex'!F68</f>
        <v>NHSRC-CP</v>
      </c>
      <c r="F65" s="606">
        <f>'3-A. CI Sub-Annex'!G68</f>
        <v>0</v>
      </c>
      <c r="G65" s="606">
        <f>'3-A. CI Sub-Annex'!H68</f>
        <v>0</v>
      </c>
      <c r="H65" s="606">
        <f>'3-A. CI Sub-Annex'!I68</f>
        <v>0</v>
      </c>
      <c r="I65" s="606">
        <f>'3-A. CI Sub-Annex'!J68</f>
        <v>0</v>
      </c>
      <c r="J65" s="606">
        <f>'3-A. CI Sub-Annex'!K68</f>
        <v>0</v>
      </c>
      <c r="K65" s="606">
        <f>'3-A. CI Sub-Annex'!L68</f>
        <v>0</v>
      </c>
      <c r="L65" s="606">
        <f>'3-A. CI Sub-Annex'!M68</f>
        <v>0</v>
      </c>
      <c r="M65" s="136">
        <f>'3-A. CI Sub-Annex'!N68</f>
        <v>0</v>
      </c>
      <c r="N65" s="606">
        <f>'3-A. CI Sub-Annex'!O68</f>
        <v>0</v>
      </c>
      <c r="O65" s="136">
        <f>'3-A. CI Sub-Annex'!P68</f>
        <v>0</v>
      </c>
      <c r="P65" s="224">
        <f>'3-A. CI Sub-Annex'!Q68</f>
        <v>0</v>
      </c>
      <c r="Q65" s="63"/>
      <c r="R65" s="125"/>
    </row>
    <row r="66" spans="1:18" ht="120">
      <c r="A66" s="606">
        <f>'3-A. CI Sub-Annex'!A69</f>
        <v>8</v>
      </c>
      <c r="B66" s="606" t="str">
        <f>'3-A. CI Sub-Annex'!C69</f>
        <v>A.3.2.6</v>
      </c>
      <c r="C66" s="224" t="str">
        <f>'3-A. CI Sub-Annex'!D69</f>
        <v xml:space="preserve">Orientation/review  of ASHAs (as applicable) for New Contraceptives, Post partum and post abortion Family Planning, Scheme for home delivery of contraceptives (HDC), Ensuring spacing at birth (ESB {wherever applicable}), Pregnancy Testing Kits (PTK) </v>
      </c>
      <c r="D66" s="603" t="str">
        <f>'3-A. CI Sub-Annex'!E69</f>
        <v>HSS</v>
      </c>
      <c r="E66" s="606" t="str">
        <f>'3-A. CI Sub-Annex'!F69</f>
        <v>NHSRC-CP</v>
      </c>
      <c r="F66" s="606">
        <f>'3-A. CI Sub-Annex'!G69</f>
        <v>2136</v>
      </c>
      <c r="G66" s="606">
        <f>'3-A. CI Sub-Annex'!H69</f>
        <v>94</v>
      </c>
      <c r="H66" s="606">
        <f>'3-A. CI Sub-Annex'!I69</f>
        <v>106.8</v>
      </c>
      <c r="I66" s="606">
        <f>'3-A. CI Sub-Annex'!J69</f>
        <v>4.71</v>
      </c>
      <c r="J66" s="606">
        <f>'3-A. CI Sub-Annex'!K69</f>
        <v>0</v>
      </c>
      <c r="K66" s="606" t="str">
        <f>'3-A. CI Sub-Annex'!L69</f>
        <v>No.of review meeting/ orientation on FPLMIs to ASHA/AF</v>
      </c>
      <c r="L66" s="606">
        <f>'3-A. CI Sub-Annex'!M69</f>
        <v>5000</v>
      </c>
      <c r="M66" s="136">
        <f>'3-A. CI Sub-Annex'!N69</f>
        <v>0.05</v>
      </c>
      <c r="N66" s="606">
        <f>'3-A. CI Sub-Annex'!O69</f>
        <v>2136</v>
      </c>
      <c r="O66" s="136">
        <f>'3-A. CI Sub-Annex'!P69</f>
        <v>106.80000000000001</v>
      </c>
      <c r="P66" s="224" t="str">
        <f>'3-A. CI Sub-Annex'!Q69</f>
        <v>Continued Activity
Orientation of ASHAs to be orgnaized  on 4 consecutive ASHA Diwas in a Month on FPLMIS. Budget propsoed under the head is as follows;
  534 PHC * 4  (ASHA DIWAS) @ Rs 5000/Batches = 106.80 lacs</v>
      </c>
      <c r="Q66" s="63"/>
      <c r="R66" s="125"/>
    </row>
    <row r="67" spans="1:18" ht="30">
      <c r="A67" s="606">
        <f>'3-A. CI Sub-Annex'!A70</f>
        <v>9</v>
      </c>
      <c r="B67" s="606" t="str">
        <f>'3-A. CI Sub-Annex'!C70</f>
        <v>A.9.12.5</v>
      </c>
      <c r="C67" s="224" t="str">
        <f>'3-A. CI Sub-Annex'!D70</f>
        <v>Training/Refresher training -ASHA (one day) (RBSK trainings)</v>
      </c>
      <c r="D67" s="603" t="str">
        <f>'3-A. CI Sub-Annex'!E70</f>
        <v>HSS</v>
      </c>
      <c r="E67" s="606" t="str">
        <f>'3-A. CI Sub-Annex'!F70</f>
        <v>NHSRC-CP</v>
      </c>
      <c r="F67" s="606">
        <f>'3-A. CI Sub-Annex'!G70</f>
        <v>0</v>
      </c>
      <c r="G67" s="606">
        <f>'3-A. CI Sub-Annex'!H70</f>
        <v>0</v>
      </c>
      <c r="H67" s="606">
        <f>'3-A. CI Sub-Annex'!I70</f>
        <v>0</v>
      </c>
      <c r="I67" s="606">
        <f>'3-A. CI Sub-Annex'!J70</f>
        <v>0</v>
      </c>
      <c r="J67" s="606">
        <f>'3-A. CI Sub-Annex'!K70</f>
        <v>0</v>
      </c>
      <c r="K67" s="606">
        <f>'3-A. CI Sub-Annex'!L70</f>
        <v>0</v>
      </c>
      <c r="L67" s="606">
        <f>'3-A. CI Sub-Annex'!M70</f>
        <v>0</v>
      </c>
      <c r="M67" s="136">
        <f>'3-A. CI Sub-Annex'!N70</f>
        <v>0</v>
      </c>
      <c r="N67" s="606">
        <f>'3-A. CI Sub-Annex'!O70</f>
        <v>0</v>
      </c>
      <c r="O67" s="136">
        <f>'3-A. CI Sub-Annex'!P70</f>
        <v>0</v>
      </c>
      <c r="P67" s="224">
        <f>'3-A. CI Sub-Annex'!Q70</f>
        <v>0</v>
      </c>
      <c r="Q67" s="63"/>
      <c r="R67" s="125"/>
    </row>
    <row r="68" spans="1:18" ht="210">
      <c r="A68" s="606">
        <f>'3-A. CI Sub-Annex'!A71</f>
        <v>10</v>
      </c>
      <c r="B68" s="606">
        <f>'3-A. CI Sub-Annex'!C71</f>
        <v>0</v>
      </c>
      <c r="C68" s="224" t="str">
        <f>'3-A. CI Sub-Annex'!D71</f>
        <v>Training of ASHAs in National Childhood Pneumonia Management Guidelines under SAANS</v>
      </c>
      <c r="D68" s="603" t="str">
        <f>'3-A. CI Sub-Annex'!E71</f>
        <v>HSS</v>
      </c>
      <c r="E68" s="606" t="str">
        <f>'3-A. CI Sub-Annex'!F71</f>
        <v>NHSRC-CP</v>
      </c>
      <c r="F68" s="606">
        <f>'3-A. CI Sub-Annex'!G71</f>
        <v>0</v>
      </c>
      <c r="G68" s="606">
        <f>'3-A. CI Sub-Annex'!H71</f>
        <v>0</v>
      </c>
      <c r="H68" s="606">
        <f>'3-A. CI Sub-Annex'!I71</f>
        <v>0</v>
      </c>
      <c r="I68" s="606">
        <f>'3-A. CI Sub-Annex'!J71</f>
        <v>0</v>
      </c>
      <c r="J68" s="606">
        <f>'3-A. CI Sub-Annex'!K71</f>
        <v>0</v>
      </c>
      <c r="K68" s="606" t="str">
        <f>'3-A. CI Sub-Annex'!L71</f>
        <v>No. of batch</v>
      </c>
      <c r="L68" s="606">
        <f>'3-A. CI Sub-Annex'!M71</f>
        <v>33400</v>
      </c>
      <c r="M68" s="136">
        <f>'3-A. CI Sub-Annex'!N71</f>
        <v>0.33400000000000002</v>
      </c>
      <c r="N68" s="606">
        <f>'3-A. CI Sub-Annex'!O71</f>
        <v>738</v>
      </c>
      <c r="O68" s="136">
        <f>'3-A. CI Sub-Annex'!P71</f>
        <v>246.49200000000002</v>
      </c>
      <c r="P68" s="224" t="str">
        <f>'3-A. CI Sub-Annex'!Q71</f>
        <v>SAANS program is planned to be upscale in 12 Aspirational districts in FY 2021-22. Total 1194 batch(30 participants in each batch) is required to complete the training of all ASHA, ASHA Facilitator and ANM in 14 districts. Therefore budget is being proposed for 50% of 1194 batch i.e. 738 batch.
1 day  training of ANM/ASHA/ASHA facilitator@Rs.33400 per batch =  738 batches*33400 =246.49 lakh</v>
      </c>
      <c r="Q68" s="63"/>
      <c r="R68" s="125"/>
    </row>
    <row r="69" spans="1:18">
      <c r="A69" s="941" t="str">
        <f>'3.Community Intervention Annexn'!A27</f>
        <v>3.1.2.2</v>
      </c>
      <c r="B69" s="941">
        <f>'3-A. CI Sub-Annex'!C72</f>
        <v>0</v>
      </c>
      <c r="C69" s="942" t="str">
        <f>'3-A. CI Sub-Annex'!D72</f>
        <v>Training of ASHA facilitator</v>
      </c>
      <c r="D69" s="941"/>
      <c r="E69" s="941"/>
      <c r="F69" s="941"/>
      <c r="G69" s="941"/>
      <c r="H69" s="941"/>
      <c r="I69" s="941"/>
      <c r="J69" s="941"/>
      <c r="K69" s="941"/>
      <c r="L69" s="941"/>
      <c r="M69" s="943"/>
      <c r="N69" s="941"/>
      <c r="O69" s="943"/>
      <c r="P69" s="942"/>
      <c r="Q69" s="951"/>
      <c r="R69" s="952"/>
    </row>
    <row r="70" spans="1:18" ht="75">
      <c r="A70" s="606">
        <f>'3-A. CI Sub-Annex'!A73</f>
        <v>1</v>
      </c>
      <c r="B70" s="606" t="str">
        <f>'3-A. CI Sub-Annex'!C73</f>
        <v>B1.1.1.5.1</v>
      </c>
      <c r="C70" s="224" t="str">
        <f>'3-A. CI Sub-Annex'!D73</f>
        <v>Training of ASHA facilitator</v>
      </c>
      <c r="D70" s="603" t="str">
        <f>'3-A. CI Sub-Annex'!E73</f>
        <v>HSS</v>
      </c>
      <c r="E70" s="606" t="str">
        <f>'3-A. CI Sub-Annex'!F73</f>
        <v>NHSRC-CP</v>
      </c>
      <c r="F70" s="606">
        <f>'3-A. CI Sub-Annex'!G73</f>
        <v>0</v>
      </c>
      <c r="G70" s="606">
        <f>'3-A. CI Sub-Annex'!H73</f>
        <v>0</v>
      </c>
      <c r="H70" s="606">
        <f>'3-A. CI Sub-Annex'!I73</f>
        <v>0</v>
      </c>
      <c r="I70" s="606">
        <f>'3-A. CI Sub-Annex'!J73</f>
        <v>0</v>
      </c>
      <c r="J70" s="606">
        <f>'3-A. CI Sub-Annex'!K73</f>
        <v>0</v>
      </c>
      <c r="K70" s="606" t="str">
        <f>'3-A. CI Sub-Annex'!L73</f>
        <v>Per Batch</v>
      </c>
      <c r="L70" s="606">
        <f>'3-A. CI Sub-Annex'!M73</f>
        <v>42000</v>
      </c>
      <c r="M70" s="136">
        <f>'3-A. CI Sub-Annex'!N73</f>
        <v>0.42</v>
      </c>
      <c r="N70" s="606">
        <f>'3-A. CI Sub-Annex'!O73</f>
        <v>156</v>
      </c>
      <c r="O70" s="136">
        <f>'3-A. CI Sub-Annex'!P73</f>
        <v>65.52</v>
      </c>
      <c r="P70" s="224" t="str">
        <f>'3-A. CI Sub-Annex'!Q73</f>
        <v xml:space="preserve">Continued:
ASHA facilitator training 156 batches X Rs. 42,000  = Rs. 65,52,000/-
Budget Annexure attached </v>
      </c>
      <c r="Q70" s="63"/>
      <c r="R70" s="125"/>
    </row>
    <row r="71" spans="1:18">
      <c r="A71" s="606">
        <f>'3-A. CI Sub-Annex'!A74</f>
        <v>2</v>
      </c>
      <c r="B71" s="606">
        <f>'3-A. CI Sub-Annex'!C74</f>
        <v>0</v>
      </c>
      <c r="C71" s="224" t="str">
        <f>'3-A. CI Sub-Annex'!D74</f>
        <v xml:space="preserve">Other training </v>
      </c>
      <c r="D71" s="603" t="str">
        <f>'3-A. CI Sub-Annex'!E74</f>
        <v>HSS</v>
      </c>
      <c r="E71" s="606" t="str">
        <f>'3-A. CI Sub-Annex'!F74</f>
        <v>NHSRC-CP</v>
      </c>
      <c r="F71" s="606">
        <f>'3-A. CI Sub-Annex'!G74</f>
        <v>0</v>
      </c>
      <c r="G71" s="606">
        <f>'3-A. CI Sub-Annex'!H74</f>
        <v>0</v>
      </c>
      <c r="H71" s="606">
        <f>'3-A. CI Sub-Annex'!I74</f>
        <v>0</v>
      </c>
      <c r="I71" s="606">
        <f>'3-A. CI Sub-Annex'!J74</f>
        <v>0</v>
      </c>
      <c r="J71" s="606">
        <f>'3-A. CI Sub-Annex'!K74</f>
        <v>0</v>
      </c>
      <c r="K71" s="606">
        <f>'3-A. CI Sub-Annex'!L74</f>
        <v>0</v>
      </c>
      <c r="L71" s="606">
        <f>'3-A. CI Sub-Annex'!M74</f>
        <v>0</v>
      </c>
      <c r="M71" s="136">
        <f>'3-A. CI Sub-Annex'!N74</f>
        <v>0</v>
      </c>
      <c r="N71" s="606">
        <f>'3-A. CI Sub-Annex'!O74</f>
        <v>0</v>
      </c>
      <c r="O71" s="136">
        <f>'3-A. CI Sub-Annex'!P74</f>
        <v>0</v>
      </c>
      <c r="P71" s="224">
        <f>'3-A. CI Sub-Annex'!Q74</f>
        <v>0</v>
      </c>
      <c r="Q71" s="63"/>
      <c r="R71" s="125"/>
    </row>
    <row r="72" spans="1:18" ht="150">
      <c r="A72" s="606" t="str">
        <f>'3.Community Intervention Annexn'!A28</f>
        <v>3.1.2.4</v>
      </c>
      <c r="B72" s="606">
        <f>'3-A. CI Sub-Annex'!C75</f>
        <v>0</v>
      </c>
      <c r="C72" s="224" t="str">
        <f>'3-A. CI Sub-Annex'!D75</f>
        <v>Any other (please specify)</v>
      </c>
      <c r="D72" s="603" t="str">
        <f>'3-A. CI Sub-Annex'!E75</f>
        <v>HSS</v>
      </c>
      <c r="E72" s="606" t="str">
        <f>'3-A. CI Sub-Annex'!F75</f>
        <v>NHSRC-CP</v>
      </c>
      <c r="F72" s="606">
        <f>'3-A. CI Sub-Annex'!G75</f>
        <v>0</v>
      </c>
      <c r="G72" s="606">
        <f>'3-A. CI Sub-Annex'!H75</f>
        <v>0</v>
      </c>
      <c r="H72" s="606">
        <f>'3-A. CI Sub-Annex'!I75</f>
        <v>0</v>
      </c>
      <c r="I72" s="606">
        <f>'3-A. CI Sub-Annex'!J75</f>
        <v>0</v>
      </c>
      <c r="J72" s="606">
        <f>'3-A. CI Sub-Annex'!K75</f>
        <v>0</v>
      </c>
      <c r="K72" s="606" t="str">
        <f>'3-A. CI Sub-Annex'!L75</f>
        <v>Per ASHA</v>
      </c>
      <c r="L72" s="606">
        <f>'3-A. CI Sub-Annex'!M75</f>
        <v>26236800</v>
      </c>
      <c r="M72" s="136">
        <f>'3-A. CI Sub-Annex'!N75</f>
        <v>262.36799999999999</v>
      </c>
      <c r="N72" s="606">
        <f>'3-A. CI Sub-Annex'!O75</f>
        <v>1</v>
      </c>
      <c r="O72" s="136">
        <f>'3-A. CI Sub-Annex'!P75</f>
        <v>262.36799999999999</v>
      </c>
      <c r="P72" s="224" t="str">
        <f>'3-A. CI Sub-Annex'!Q75</f>
        <v xml:space="preserve">New Activity: 
Total proposed amount Rs. 26236800/-
i) For attending HSC level Cluster Meeting at 2733  HWC for 17179 ASHA + 4685 ASHA Facilitators per month @Rs. 100/- X 12 months X 21864 = 26236800/-
</v>
      </c>
      <c r="Q72" s="63"/>
      <c r="R72" s="125"/>
    </row>
    <row r="73" spans="1:18">
      <c r="A73" s="941" t="str">
        <f>'3.Community Intervention Annexn'!A30</f>
        <v>3.1.3.1</v>
      </c>
      <c r="B73" s="941">
        <f>'3-A. CI Sub-Annex'!C77</f>
        <v>0</v>
      </c>
      <c r="C73" s="942" t="str">
        <f>'3-A. CI Sub-Annex'!D77</f>
        <v>Support provisions to ASHA</v>
      </c>
      <c r="D73" s="941"/>
      <c r="E73" s="941"/>
      <c r="F73" s="941"/>
      <c r="G73" s="941"/>
      <c r="H73" s="941"/>
      <c r="I73" s="941"/>
      <c r="J73" s="941"/>
      <c r="K73" s="941"/>
      <c r="L73" s="941"/>
      <c r="M73" s="943"/>
      <c r="N73" s="941"/>
      <c r="O73" s="943"/>
      <c r="P73" s="942"/>
      <c r="Q73" s="951"/>
      <c r="R73" s="952"/>
    </row>
    <row r="74" spans="1:18" ht="150">
      <c r="A74" s="606">
        <f>'3-A. CI Sub-Annex'!A78</f>
        <v>1</v>
      </c>
      <c r="B74" s="606" t="str">
        <f>'3-A. CI Sub-Annex'!C78</f>
        <v>B1.1.3.7</v>
      </c>
      <c r="C74" s="224" t="str">
        <f>'3-A. CI Sub-Annex'!D78</f>
        <v>Uniform</v>
      </c>
      <c r="D74" s="603" t="str">
        <f>'3-A. CI Sub-Annex'!E78</f>
        <v>HSS</v>
      </c>
      <c r="E74" s="606" t="str">
        <f>'3-A. CI Sub-Annex'!F78</f>
        <v>NHSRC-CP</v>
      </c>
      <c r="F74" s="606">
        <f>'3-A. CI Sub-Annex'!G78</f>
        <v>0</v>
      </c>
      <c r="G74" s="606">
        <f>'3-A. CI Sub-Annex'!H78</f>
        <v>0</v>
      </c>
      <c r="H74" s="606">
        <f>'3-A. CI Sub-Annex'!I78</f>
        <v>0</v>
      </c>
      <c r="I74" s="606">
        <f>'3-A. CI Sub-Annex'!J78</f>
        <v>0</v>
      </c>
      <c r="J74" s="606">
        <f>'3-A. CI Sub-Annex'!K78</f>
        <v>0</v>
      </c>
      <c r="K74" s="606" t="str">
        <f>'3-A. CI Sub-Annex'!L78</f>
        <v>Per ASHA &amp; ASHA Facilitator</v>
      </c>
      <c r="L74" s="606">
        <f>'3-A. CI Sub-Annex'!M78</f>
        <v>112406300</v>
      </c>
      <c r="M74" s="136">
        <f>'3-A. CI Sub-Annex'!N78</f>
        <v>1124.0630000000001</v>
      </c>
      <c r="N74" s="606">
        <f>'3-A. CI Sub-Annex'!O78</f>
        <v>1</v>
      </c>
      <c r="O74" s="136">
        <f>'3-A. CI Sub-Annex'!P78</f>
        <v>1124.0630000000001</v>
      </c>
      <c r="P74" s="224" t="str">
        <f>'3-A. CI Sub-Annex'!Q78</f>
        <v xml:space="preserve">Continued:-  Total Proposed Amount = 94685000+17721300 = 112406300
a) 02 Sari @ Rs. 500 for 90000 ASHA &amp; 4685 ASHA Faclitator = Rs. 9,46,85,000/-
b) Six Cotton Mask each for 90000 ASHA, 4685 ASHA Facilitator and 23457 ANMs @Rs. 25 x 6 x 118142 = Rs. 1,77,21,300/- </v>
      </c>
      <c r="Q74" s="63"/>
      <c r="R74" s="125"/>
    </row>
    <row r="75" spans="1:18" ht="60">
      <c r="A75" s="606">
        <f>'3-A. CI Sub-Annex'!A79</f>
        <v>2</v>
      </c>
      <c r="B75" s="606">
        <f>'3-A. CI Sub-Annex'!C79</f>
        <v>0</v>
      </c>
      <c r="C75" s="224" t="str">
        <f>'3-A. CI Sub-Annex'!D79</f>
        <v>ID cards</v>
      </c>
      <c r="D75" s="603" t="str">
        <f>'3-A. CI Sub-Annex'!E79</f>
        <v>HSS</v>
      </c>
      <c r="E75" s="606" t="str">
        <f>'3-A. CI Sub-Annex'!F79</f>
        <v>NHSRC-CP</v>
      </c>
      <c r="F75" s="606">
        <f>'3-A. CI Sub-Annex'!G79</f>
        <v>0</v>
      </c>
      <c r="G75" s="606">
        <f>'3-A. CI Sub-Annex'!H79</f>
        <v>0</v>
      </c>
      <c r="H75" s="606">
        <f>'3-A. CI Sub-Annex'!I79</f>
        <v>0</v>
      </c>
      <c r="I75" s="606">
        <f>'3-A. CI Sub-Annex'!J79</f>
        <v>0</v>
      </c>
      <c r="J75" s="606">
        <f>'3-A. CI Sub-Annex'!K79</f>
        <v>0</v>
      </c>
      <c r="K75" s="606" t="str">
        <f>'3-A. CI Sub-Annex'!L79</f>
        <v>Per ID card</v>
      </c>
      <c r="L75" s="606">
        <f>'3-A. CI Sub-Annex'!M79</f>
        <v>50</v>
      </c>
      <c r="M75" s="136">
        <f>'3-A. CI Sub-Annex'!N79</f>
        <v>5.0000000000000001E-4</v>
      </c>
      <c r="N75" s="606">
        <f>'3-A. CI Sub-Annex'!O79</f>
        <v>7000</v>
      </c>
      <c r="O75" s="136">
        <f>'3-A. CI Sub-Annex'!P79</f>
        <v>3.5</v>
      </c>
      <c r="P75" s="224" t="str">
        <f>'3-A. CI Sub-Annex'!Q79</f>
        <v>Continued:
Printing of I-Card for ASHA &amp; ASHA Facilitator for new selection.</v>
      </c>
      <c r="Q75" s="63"/>
      <c r="R75" s="125"/>
    </row>
    <row r="76" spans="1:18" ht="90">
      <c r="A76" s="606">
        <f>'3-A. CI Sub-Annex'!A80</f>
        <v>3</v>
      </c>
      <c r="B76" s="606" t="str">
        <f>'3-A. CI Sub-Annex'!C80</f>
        <v>B1.1.4</v>
      </c>
      <c r="C76" s="224" t="str">
        <f>'3-A. CI Sub-Annex'!D80</f>
        <v>Awards</v>
      </c>
      <c r="D76" s="603" t="str">
        <f>'3-A. CI Sub-Annex'!E80</f>
        <v>HSS</v>
      </c>
      <c r="E76" s="606" t="str">
        <f>'3-A. CI Sub-Annex'!F80</f>
        <v>NHSRC-CP</v>
      </c>
      <c r="F76" s="606">
        <f>'3-A. CI Sub-Annex'!G80</f>
        <v>0</v>
      </c>
      <c r="G76" s="606">
        <f>'3-A. CI Sub-Annex'!H80</f>
        <v>0</v>
      </c>
      <c r="H76" s="606">
        <f>'3-A. CI Sub-Annex'!I80</f>
        <v>0</v>
      </c>
      <c r="I76" s="606">
        <f>'3-A. CI Sub-Annex'!J80</f>
        <v>0</v>
      </c>
      <c r="J76" s="606">
        <f>'3-A. CI Sub-Annex'!K80</f>
        <v>0</v>
      </c>
      <c r="K76" s="606" t="str">
        <f>'3-A. CI Sub-Annex'!L80</f>
        <v>Per Block</v>
      </c>
      <c r="L76" s="606">
        <f>'3-A. CI Sub-Annex'!M80</f>
        <v>3500</v>
      </c>
      <c r="M76" s="136">
        <f>'3-A. CI Sub-Annex'!N80</f>
        <v>3.5000000000000003E-2</v>
      </c>
      <c r="N76" s="606">
        <f>'3-A. CI Sub-Annex'!O80</f>
        <v>534</v>
      </c>
      <c r="O76" s="136">
        <f>'3-A. CI Sub-Annex'!P80</f>
        <v>18.690000000000001</v>
      </c>
      <c r="P76" s="224" t="str">
        <f>'3-A. CI Sub-Annex'!Q80</f>
        <v>Continued:- In order to motivate ASHA, 3 ASHA per block are to be awarded. 1st prize - Rs. 1500/-,  2nd prize - Rs. 1000/-, 3rd prize - Rs. 800/- &amp; Rs. 200/- for certificate printing.</v>
      </c>
      <c r="Q76" s="63"/>
      <c r="R76" s="125"/>
    </row>
    <row r="77" spans="1:18">
      <c r="A77" s="606">
        <f>'3-A. CI Sub-Annex'!A81</f>
        <v>4</v>
      </c>
      <c r="B77" s="606">
        <f>'3-A. CI Sub-Annex'!C81</f>
        <v>0</v>
      </c>
      <c r="C77" s="224" t="str">
        <f>'3-A. CI Sub-Annex'!D81</f>
        <v>Samelan</v>
      </c>
      <c r="D77" s="603" t="str">
        <f>'3-A. CI Sub-Annex'!E81</f>
        <v>HSS</v>
      </c>
      <c r="E77" s="606" t="str">
        <f>'3-A. CI Sub-Annex'!F81</f>
        <v>NHSRC-CP</v>
      </c>
      <c r="F77" s="606">
        <f>'3-A. CI Sub-Annex'!G81</f>
        <v>0</v>
      </c>
      <c r="G77" s="606">
        <f>'3-A. CI Sub-Annex'!H81</f>
        <v>0</v>
      </c>
      <c r="H77" s="606">
        <f>'3-A. CI Sub-Annex'!I81</f>
        <v>0</v>
      </c>
      <c r="I77" s="606">
        <f>'3-A. CI Sub-Annex'!J81</f>
        <v>0</v>
      </c>
      <c r="J77" s="606">
        <f>'3-A. CI Sub-Annex'!K81</f>
        <v>0</v>
      </c>
      <c r="K77" s="606">
        <f>'3-A. CI Sub-Annex'!L81</f>
        <v>0</v>
      </c>
      <c r="L77" s="606">
        <f>'3-A. CI Sub-Annex'!M81</f>
        <v>0</v>
      </c>
      <c r="M77" s="136">
        <f>'3-A. CI Sub-Annex'!N81</f>
        <v>0</v>
      </c>
      <c r="N77" s="606">
        <f>'3-A. CI Sub-Annex'!O81</f>
        <v>0</v>
      </c>
      <c r="O77" s="136">
        <f>'3-A. CI Sub-Annex'!P81</f>
        <v>0</v>
      </c>
      <c r="P77" s="224">
        <f>'3-A. CI Sub-Annex'!Q81</f>
        <v>0</v>
      </c>
      <c r="Q77" s="63"/>
      <c r="R77" s="125"/>
    </row>
    <row r="78" spans="1:18" ht="285">
      <c r="A78" s="606">
        <f>'3-A. CI Sub-Annex'!A82</f>
        <v>5</v>
      </c>
      <c r="B78" s="606">
        <f>'3-A. CI Sub-Annex'!C82</f>
        <v>0</v>
      </c>
      <c r="C78" s="224" t="str">
        <f>'3-A. CI Sub-Annex'!D82</f>
        <v xml:space="preserve">CUG </v>
      </c>
      <c r="D78" s="603" t="str">
        <f>'3-A. CI Sub-Annex'!E82</f>
        <v>HSS</v>
      </c>
      <c r="E78" s="606" t="str">
        <f>'3-A. CI Sub-Annex'!F82</f>
        <v>NHSRC-CP</v>
      </c>
      <c r="F78" s="606">
        <f>'3-A. CI Sub-Annex'!G82</f>
        <v>0</v>
      </c>
      <c r="G78" s="606">
        <f>'3-A. CI Sub-Annex'!H82</f>
        <v>0</v>
      </c>
      <c r="H78" s="606">
        <f>'3-A. CI Sub-Annex'!I82</f>
        <v>0</v>
      </c>
      <c r="I78" s="606">
        <f>'3-A. CI Sub-Annex'!J82</f>
        <v>0</v>
      </c>
      <c r="J78" s="606">
        <f>'3-A. CI Sub-Annex'!K82</f>
        <v>0</v>
      </c>
      <c r="K78" s="606" t="str">
        <f>'3-A. CI Sub-Annex'!L82</f>
        <v>CUG Sim</v>
      </c>
      <c r="L78" s="606">
        <f>'3-A. CI Sub-Annex'!M82</f>
        <v>78872304</v>
      </c>
      <c r="M78" s="136">
        <f>'3-A. CI Sub-Annex'!N82</f>
        <v>788.72303999999997</v>
      </c>
      <c r="N78" s="606">
        <f>'3-A. CI Sub-Annex'!O82</f>
        <v>1</v>
      </c>
      <c r="O78" s="136">
        <f>'3-A. CI Sub-Annex'!P82</f>
        <v>788.72303999999997</v>
      </c>
      <c r="P78" s="224" t="str">
        <f>'3-A. CI Sub-Annex'!Q82</f>
        <v xml:space="preserve">Continued: Total proposed - Rs. 7,88,72,304/-
1. Communication Allowance to ASHA :-
68018 Sims X Rs. 94/- X 12 months = Rs. 7,67,24,304/-
2- Districts Officers (On going activity)
Total Proposed Amount Rs. 21,48,000/- (Rs.5,46,000/- + Rs. 16,02,000/- )
ASHA-: 625 CUG SIMs for HR of ASHA Programme
a) 91 Sims (6 State Level Staff, 9 DAC, 38 DCM &amp; 38 DDA) X Rs. 500/- X 12 months =  Rs. 5,46,000/-
b) 534 Sims for BCM X Rs. 250/- X 12 months = Rs. 16,02,000/- </v>
      </c>
      <c r="Q78" s="63"/>
      <c r="R78" s="125"/>
    </row>
    <row r="79" spans="1:18" ht="45">
      <c r="A79" s="606">
        <f>'3-A. CI Sub-Annex'!A83</f>
        <v>6</v>
      </c>
      <c r="B79" s="606" t="str">
        <f>'3-A. CI Sub-Annex'!C83</f>
        <v>B1.1.1.4.1</v>
      </c>
      <c r="C79" s="224" t="str">
        <f>'3-A. CI Sub-Annex'!D83</f>
        <v>Supervision costs  by ASHA facilitators(12 months)</v>
      </c>
      <c r="D79" s="603" t="str">
        <f>'3-A. CI Sub-Annex'!E83</f>
        <v>HSS</v>
      </c>
      <c r="E79" s="606" t="str">
        <f>'3-A. CI Sub-Annex'!F83</f>
        <v>NHSRC-CP</v>
      </c>
      <c r="F79" s="606">
        <f>'3-A. CI Sub-Annex'!G83</f>
        <v>0</v>
      </c>
      <c r="G79" s="606">
        <f>'3-A. CI Sub-Annex'!H83</f>
        <v>0</v>
      </c>
      <c r="H79" s="606">
        <f>'3-A. CI Sub-Annex'!I83</f>
        <v>0</v>
      </c>
      <c r="I79" s="606">
        <f>'3-A. CI Sub-Annex'!J83</f>
        <v>0</v>
      </c>
      <c r="J79" s="606">
        <f>'3-A. CI Sub-Annex'!K83</f>
        <v>0</v>
      </c>
      <c r="K79" s="606" t="str">
        <f>'3-A. CI Sub-Annex'!L83</f>
        <v>Per ASHA Facilitator</v>
      </c>
      <c r="L79" s="606">
        <f>'3-A. CI Sub-Annex'!M83</f>
        <v>72000</v>
      </c>
      <c r="M79" s="136">
        <f>'3-A. CI Sub-Annex'!N83</f>
        <v>0.72</v>
      </c>
      <c r="N79" s="606">
        <f>'3-A. CI Sub-Annex'!O83</f>
        <v>4685</v>
      </c>
      <c r="O79" s="136">
        <f>'3-A. CI Sub-Annex'!P83</f>
        <v>3373.2</v>
      </c>
      <c r="P79" s="224" t="str">
        <f>'3-A. CI Sub-Annex'!Q83</f>
        <v>Continued: 
No. of ASHA Facilitator 4685 X Rs. 6000 X 12 months</v>
      </c>
      <c r="Q79" s="63"/>
      <c r="R79" s="125"/>
    </row>
    <row r="80" spans="1:18">
      <c r="A80" s="606" t="str">
        <f>'3.Community Intervention Annexn'!A31</f>
        <v>3.1.3.2</v>
      </c>
      <c r="B80" s="606" t="str">
        <f>'3-A. CI Sub-Annex'!C84</f>
        <v>5.3.2/ B1.1.3.7</v>
      </c>
      <c r="C80" s="224" t="str">
        <f>'3-A. CI Sub-Annex'!D84</f>
        <v xml:space="preserve">ASHA Ghar </v>
      </c>
      <c r="D80" s="603" t="str">
        <f>'3-A. CI Sub-Annex'!E84</f>
        <v>HSS</v>
      </c>
      <c r="E80" s="606" t="str">
        <f>'3-A. CI Sub-Annex'!F84</f>
        <v>NHSRC-CP</v>
      </c>
      <c r="F80" s="606">
        <f>'3-A. CI Sub-Annex'!G84</f>
        <v>0</v>
      </c>
      <c r="G80" s="606">
        <f>'3-A. CI Sub-Annex'!H84</f>
        <v>0</v>
      </c>
      <c r="H80" s="606">
        <f>'3-A. CI Sub-Annex'!I84</f>
        <v>0</v>
      </c>
      <c r="I80" s="606">
        <f>'3-A. CI Sub-Annex'!J84</f>
        <v>0</v>
      </c>
      <c r="J80" s="606">
        <f>'3-A. CI Sub-Annex'!K84</f>
        <v>0</v>
      </c>
      <c r="K80" s="606">
        <f>'3-A. CI Sub-Annex'!L84</f>
        <v>0</v>
      </c>
      <c r="L80" s="606">
        <f>'3-A. CI Sub-Annex'!M84</f>
        <v>0</v>
      </c>
      <c r="M80" s="136">
        <f>'3-A. CI Sub-Annex'!N84</f>
        <v>0</v>
      </c>
      <c r="N80" s="606">
        <f>'3-A. CI Sub-Annex'!O84</f>
        <v>0</v>
      </c>
      <c r="O80" s="136">
        <f>'3-A. CI Sub-Annex'!P84</f>
        <v>0</v>
      </c>
      <c r="P80" s="224">
        <f>'3-A. CI Sub-Annex'!Q84</f>
        <v>0</v>
      </c>
      <c r="Q80" s="63"/>
      <c r="R80" s="125"/>
    </row>
    <row r="81" spans="1:18" ht="225">
      <c r="A81" s="606" t="str">
        <f>'3.Community Intervention Annexn'!A32</f>
        <v>3.1.3.3</v>
      </c>
      <c r="B81" s="606">
        <f>'3-A. CI Sub-Annex'!C85</f>
        <v>0</v>
      </c>
      <c r="C81" s="224" t="str">
        <f>'3-A. CI Sub-Annex'!D85</f>
        <v>Any other (please specify)</v>
      </c>
      <c r="D81" s="603" t="str">
        <f>'3-A. CI Sub-Annex'!E85</f>
        <v>HSS</v>
      </c>
      <c r="E81" s="606" t="str">
        <f>'3-A. CI Sub-Annex'!F85</f>
        <v>NHSRC-CP</v>
      </c>
      <c r="F81" s="606">
        <f>'3-A. CI Sub-Annex'!G85</f>
        <v>0</v>
      </c>
      <c r="G81" s="606">
        <f>'3-A. CI Sub-Annex'!H85</f>
        <v>0</v>
      </c>
      <c r="H81" s="606">
        <f>'3-A. CI Sub-Annex'!I85</f>
        <v>0</v>
      </c>
      <c r="I81" s="606">
        <f>'3-A. CI Sub-Annex'!J85</f>
        <v>0</v>
      </c>
      <c r="J81" s="606">
        <f>'3-A. CI Sub-Annex'!K85</f>
        <v>0</v>
      </c>
      <c r="K81" s="606">
        <f>'3-A. CI Sub-Annex'!L85</f>
        <v>1140</v>
      </c>
      <c r="L81" s="606">
        <f>'3-A. CI Sub-Annex'!M85</f>
        <v>672000</v>
      </c>
      <c r="M81" s="136">
        <f>'3-A. CI Sub-Annex'!N85</f>
        <v>6.72</v>
      </c>
      <c r="N81" s="606">
        <f>'3-A. CI Sub-Annex'!O85</f>
        <v>12</v>
      </c>
      <c r="O81" s="136">
        <f>'3-A. CI Sub-Annex'!P85</f>
        <v>80.64</v>
      </c>
      <c r="P81" s="224" t="str">
        <f>'3-A. CI Sub-Annex'!Q85</f>
        <v>A) CUG mobile monthly bill payment:
 1100 connections *600*12=Rs 7920000/
B) New Activity: For R.I.
NCCMIS portal is to be updated on regular basis for Cold Chain related repair/other work by Cold Chain Technicians. Providing CUG SIM to CCT will improve the updation process of NCCMIS web portal.
Fund Calculation:- CUG SIM:
40 pieces @ Rs 300 per month * 12 Months= Rs 144000/-</v>
      </c>
      <c r="Q81" s="63"/>
      <c r="R81" s="125"/>
    </row>
    <row r="82" spans="1:18">
      <c r="A82" s="894">
        <f>'6.Procurement Annex'!A7</f>
        <v>6</v>
      </c>
      <c r="B82" s="894"/>
      <c r="C82" s="893" t="str">
        <f>'6.Procurement Annex'!C7</f>
        <v>Procurement</v>
      </c>
      <c r="D82" s="894"/>
      <c r="E82" s="894"/>
      <c r="F82" s="894"/>
      <c r="G82" s="894"/>
      <c r="H82" s="485"/>
      <c r="I82" s="894"/>
      <c r="J82" s="485"/>
      <c r="K82" s="894"/>
      <c r="L82" s="894"/>
      <c r="M82" s="485"/>
      <c r="N82" s="937"/>
      <c r="O82" s="938"/>
      <c r="P82" s="939"/>
      <c r="Q82" s="331"/>
      <c r="R82" s="332"/>
    </row>
    <row r="83" spans="1:18">
      <c r="A83" s="4622" t="str">
        <f>'6.Procurement Annex'!A64</f>
        <v>6.2.2.1</v>
      </c>
      <c r="B83" s="473" t="str">
        <f>+'6-A. Proc. Sub-Annex'!C192</f>
        <v>B.16.2.10.1</v>
      </c>
      <c r="C83" s="78" t="str">
        <f>+'6-A. Proc. Sub-Annex'!D192</f>
        <v>New ASHA Drug Kits</v>
      </c>
      <c r="D83" s="133" t="str">
        <f>+'6-A. Proc. Sub-Annex'!E192</f>
        <v>HSS</v>
      </c>
      <c r="E83" s="133" t="str">
        <f>+'6-A. Proc. Sub-Annex'!F192</f>
        <v>CP</v>
      </c>
      <c r="F83" s="133">
        <f>+'6-A. Proc. Sub-Annex'!G192</f>
        <v>0</v>
      </c>
      <c r="G83" s="133">
        <f>+'6-A. Proc. Sub-Annex'!H192</f>
        <v>0</v>
      </c>
      <c r="H83" s="133">
        <f>+'6-A. Proc. Sub-Annex'!I192</f>
        <v>0</v>
      </c>
      <c r="I83" s="133">
        <f>+'6-A. Proc. Sub-Annex'!J192</f>
        <v>0</v>
      </c>
      <c r="J83" s="133">
        <f>+'6-A. Proc. Sub-Annex'!K192</f>
        <v>0</v>
      </c>
      <c r="K83" s="133">
        <f>+'6-A. Proc. Sub-Annex'!L192</f>
        <v>0</v>
      </c>
      <c r="L83" s="133">
        <f>+'6-A. Proc. Sub-Annex'!M192</f>
        <v>0</v>
      </c>
      <c r="M83" s="136">
        <f>+'6-A. Proc. Sub-Annex'!N192</f>
        <v>0</v>
      </c>
      <c r="N83" s="133">
        <f>+'6-A. Proc. Sub-Annex'!O192</f>
        <v>0</v>
      </c>
      <c r="O83" s="136">
        <f>+'6-A. Proc. Sub-Annex'!P192</f>
        <v>0</v>
      </c>
      <c r="P83" s="78">
        <f>+'6-A. Proc. Sub-Annex'!Q192</f>
        <v>0</v>
      </c>
      <c r="Q83" s="66"/>
      <c r="R83" s="125"/>
    </row>
    <row r="84" spans="1:18">
      <c r="A84" s="4623"/>
      <c r="B84" s="473" t="str">
        <f>+'6-A. Proc. Sub-Annex'!C193</f>
        <v>B.16.2.10.2</v>
      </c>
      <c r="C84" s="78" t="str">
        <f>+'6-A. Proc. Sub-Annex'!D193</f>
        <v>Replenishment of ASHA drug kits</v>
      </c>
      <c r="D84" s="133" t="str">
        <f>+'6-A. Proc. Sub-Annex'!E193</f>
        <v>HSS</v>
      </c>
      <c r="E84" s="133" t="str">
        <f>+'6-A. Proc. Sub-Annex'!F193</f>
        <v>CP</v>
      </c>
      <c r="F84" s="133">
        <f>+'6-A. Proc. Sub-Annex'!G193</f>
        <v>0</v>
      </c>
      <c r="G84" s="133">
        <f>+'6-A. Proc. Sub-Annex'!H193</f>
        <v>0</v>
      </c>
      <c r="H84" s="133">
        <f>+'6-A. Proc. Sub-Annex'!I193</f>
        <v>0</v>
      </c>
      <c r="I84" s="133">
        <f>+'6-A. Proc. Sub-Annex'!J193</f>
        <v>0</v>
      </c>
      <c r="J84" s="133">
        <f>+'6-A. Proc. Sub-Annex'!K193</f>
        <v>0</v>
      </c>
      <c r="K84" s="133">
        <f>+'6-A. Proc. Sub-Annex'!L193</f>
        <v>0</v>
      </c>
      <c r="L84" s="133">
        <f>+'6-A. Proc. Sub-Annex'!M193</f>
        <v>0</v>
      </c>
      <c r="M84" s="136">
        <f>+'6-A. Proc. Sub-Annex'!N193</f>
        <v>0</v>
      </c>
      <c r="N84" s="133">
        <f>+'6-A. Proc. Sub-Annex'!O193</f>
        <v>0</v>
      </c>
      <c r="O84" s="136">
        <f>+'6-A. Proc. Sub-Annex'!P193</f>
        <v>0</v>
      </c>
      <c r="P84" s="78">
        <f>+'6-A. Proc. Sub-Annex'!Q193</f>
        <v>0</v>
      </c>
      <c r="Q84" s="66"/>
      <c r="R84" s="125"/>
    </row>
    <row r="85" spans="1:18">
      <c r="A85" s="4623"/>
      <c r="B85" s="473" t="str">
        <f>+'6-A. Proc. Sub-Annex'!C194</f>
        <v>B.16.2.10.3.1</v>
      </c>
      <c r="C85" s="78" t="str">
        <f>+'6-A. Proc. Sub-Annex'!D194</f>
        <v>New ASHA HBNC Kits</v>
      </c>
      <c r="D85" s="133" t="str">
        <f>+'6-A. Proc. Sub-Annex'!E194</f>
        <v>HSS</v>
      </c>
      <c r="E85" s="133" t="str">
        <f>+'6-A. Proc. Sub-Annex'!F194</f>
        <v>CP</v>
      </c>
      <c r="F85" s="133">
        <f>+'6-A. Proc. Sub-Annex'!G194</f>
        <v>0</v>
      </c>
      <c r="G85" s="133">
        <f>+'6-A. Proc. Sub-Annex'!H194</f>
        <v>0</v>
      </c>
      <c r="H85" s="133">
        <f>+'6-A. Proc. Sub-Annex'!I194</f>
        <v>0</v>
      </c>
      <c r="I85" s="133">
        <f>+'6-A. Proc. Sub-Annex'!J194</f>
        <v>0</v>
      </c>
      <c r="J85" s="133">
        <f>+'6-A. Proc. Sub-Annex'!K194</f>
        <v>0</v>
      </c>
      <c r="K85" s="133">
        <f>+'6-A. Proc. Sub-Annex'!L194</f>
        <v>0</v>
      </c>
      <c r="L85" s="133">
        <f>+'6-A. Proc. Sub-Annex'!M194</f>
        <v>0</v>
      </c>
      <c r="M85" s="136">
        <f>+'6-A. Proc. Sub-Annex'!N194</f>
        <v>0</v>
      </c>
      <c r="N85" s="133">
        <f>+'6-A. Proc. Sub-Annex'!O194</f>
        <v>0</v>
      </c>
      <c r="O85" s="136">
        <f>+'6-A. Proc. Sub-Annex'!P194</f>
        <v>0</v>
      </c>
      <c r="P85" s="78">
        <f>+'6-A. Proc. Sub-Annex'!Q194</f>
        <v>0</v>
      </c>
      <c r="Q85" s="66"/>
      <c r="R85" s="125"/>
    </row>
    <row r="86" spans="1:18">
      <c r="A86" s="4623"/>
      <c r="B86" s="473" t="str">
        <f>+'6-A. Proc. Sub-Annex'!C195</f>
        <v>B.16.2.10.3.1.2</v>
      </c>
      <c r="C86" s="78" t="str">
        <f>+'6-A. Proc. Sub-Annex'!D195</f>
        <v>Replenishment of ASHA HBNC and HBYC kits</v>
      </c>
      <c r="D86" s="133" t="str">
        <f>+'6-A. Proc. Sub-Annex'!E195</f>
        <v>HSS</v>
      </c>
      <c r="E86" s="133" t="str">
        <f>+'6-A. Proc. Sub-Annex'!F195</f>
        <v>CP</v>
      </c>
      <c r="F86" s="133">
        <f>+'6-A. Proc. Sub-Annex'!G195</f>
        <v>0</v>
      </c>
      <c r="G86" s="133">
        <f>+'6-A. Proc. Sub-Annex'!H195</f>
        <v>0</v>
      </c>
      <c r="H86" s="133">
        <f>+'6-A. Proc. Sub-Annex'!I195</f>
        <v>0</v>
      </c>
      <c r="I86" s="133">
        <f>+'6-A. Proc. Sub-Annex'!J195</f>
        <v>0</v>
      </c>
      <c r="J86" s="133">
        <f>+'6-A. Proc. Sub-Annex'!K195</f>
        <v>0</v>
      </c>
      <c r="K86" s="133">
        <f>+'6-A. Proc. Sub-Annex'!L195</f>
        <v>0</v>
      </c>
      <c r="L86" s="133">
        <f>+'6-A. Proc. Sub-Annex'!M195</f>
        <v>0</v>
      </c>
      <c r="M86" s="136">
        <f>+'6-A. Proc. Sub-Annex'!N195</f>
        <v>0</v>
      </c>
      <c r="N86" s="133">
        <f>+'6-A. Proc. Sub-Annex'!O195</f>
        <v>0</v>
      </c>
      <c r="O86" s="136">
        <f>+'6-A. Proc. Sub-Annex'!P195</f>
        <v>0</v>
      </c>
      <c r="P86" s="78">
        <f>+'6-A. Proc. Sub-Annex'!Q195</f>
        <v>0</v>
      </c>
      <c r="Q86" s="66"/>
      <c r="R86" s="125"/>
    </row>
    <row r="87" spans="1:18" ht="195">
      <c r="A87" s="4624"/>
      <c r="B87" s="473"/>
      <c r="C87" s="78" t="str">
        <f>+'6-A. Proc. Sub-Annex'!D196</f>
        <v>Any other Drugs &amp; Supplies (Please specify)</v>
      </c>
      <c r="D87" s="133" t="str">
        <f>+'6-A. Proc. Sub-Annex'!E196</f>
        <v>HSS</v>
      </c>
      <c r="E87" s="133" t="str">
        <f>+'6-A. Proc. Sub-Annex'!F196</f>
        <v>CP</v>
      </c>
      <c r="F87" s="133">
        <f>+'6-A. Proc. Sub-Annex'!G196</f>
        <v>0</v>
      </c>
      <c r="G87" s="133">
        <f>+'6-A. Proc. Sub-Annex'!H196</f>
        <v>0</v>
      </c>
      <c r="H87" s="133">
        <f>+'6-A. Proc. Sub-Annex'!I196</f>
        <v>0</v>
      </c>
      <c r="I87" s="133">
        <f>+'6-A. Proc. Sub-Annex'!J196</f>
        <v>0</v>
      </c>
      <c r="J87" s="133">
        <f>+'6-A. Proc. Sub-Annex'!K196</f>
        <v>0</v>
      </c>
      <c r="K87" s="133" t="str">
        <f>+'6-A. Proc. Sub-Annex'!L196</f>
        <v>No. of HBYC-ECD kit</v>
      </c>
      <c r="L87" s="133">
        <f>+'6-A. Proc. Sub-Annex'!M196</f>
        <v>1000</v>
      </c>
      <c r="M87" s="136">
        <f>+'6-A. Proc. Sub-Annex'!N196</f>
        <v>0.01</v>
      </c>
      <c r="N87" s="133">
        <f>+'6-A. Proc. Sub-Annex'!O196</f>
        <v>15114</v>
      </c>
      <c r="O87" s="136">
        <f>+'6-A. Proc. Sub-Annex'!P196</f>
        <v>151.14000000000001</v>
      </c>
      <c r="P87" s="78" t="str">
        <f>+'6-A. Proc. Sub-Annex'!Q196</f>
        <v>New Activity: As per letter received from Additional commissioner, MoHFW, GOI (letter no. Z-28020/177/2017-CH dt. 15th January, 2021) HBYC trained ASHAs should equip with HBYC -ECD kit to ensure the quality implementation of HBYC program. Budget is being proposed for HBYC - ECD kit for HBYC trained ASHAs (aasuming 50% of Total ASHA =30228)is = 15114 * 1000 per kit = 151.14 lakh</v>
      </c>
      <c r="Q87" s="66"/>
      <c r="R87" s="125"/>
    </row>
    <row r="88" spans="1:18">
      <c r="A88" s="838">
        <f>'9.Training Annex'!A7</f>
        <v>9</v>
      </c>
      <c r="B88" s="838"/>
      <c r="C88" s="203" t="str">
        <f>'9.Training Annex'!C7</f>
        <v>Training and Capacity Building</v>
      </c>
      <c r="D88" s="838"/>
      <c r="E88" s="838"/>
      <c r="F88" s="838"/>
      <c r="G88" s="838"/>
      <c r="H88" s="485"/>
      <c r="I88" s="838"/>
      <c r="J88" s="485"/>
      <c r="K88" s="838"/>
      <c r="L88" s="838"/>
      <c r="M88" s="485"/>
      <c r="N88" s="937"/>
      <c r="O88" s="938"/>
      <c r="P88" s="939"/>
      <c r="Q88" s="331"/>
      <c r="R88" s="332"/>
    </row>
    <row r="89" spans="1:18" ht="75">
      <c r="A89" s="4622" t="str">
        <f>'9.Training Annex'!A32</f>
        <v>9.2.2.3</v>
      </c>
      <c r="B89" s="473" t="str">
        <f>+'9-A.Training Sub-Annex'!C164</f>
        <v>B1.1.1.5.2</v>
      </c>
      <c r="C89" s="78" t="str">
        <f>+'9-A.Training Sub-Annex'!D164</f>
        <v>Training of District trainers</v>
      </c>
      <c r="D89" s="133" t="str">
        <f>+'9-A.Training Sub-Annex'!E164</f>
        <v>HSS</v>
      </c>
      <c r="E89" s="133" t="str">
        <f>+'9-A.Training Sub-Annex'!F164</f>
        <v>CP</v>
      </c>
      <c r="F89" s="133">
        <f>+'9-A.Training Sub-Annex'!G164</f>
        <v>0</v>
      </c>
      <c r="G89" s="133">
        <f>+'9-A.Training Sub-Annex'!H164</f>
        <v>0</v>
      </c>
      <c r="H89" s="133">
        <f>+'9-A.Training Sub-Annex'!I164</f>
        <v>0</v>
      </c>
      <c r="I89" s="133">
        <f>+'9-A.Training Sub-Annex'!J164</f>
        <v>0</v>
      </c>
      <c r="J89" s="133">
        <f>+'9-A.Training Sub-Annex'!K164</f>
        <v>0</v>
      </c>
      <c r="K89" s="133" t="str">
        <f>+'9-A.Training Sub-Annex'!L164</f>
        <v>Per Batch</v>
      </c>
      <c r="L89" s="133">
        <f>+'9-A.Training Sub-Annex'!M164</f>
        <v>720750</v>
      </c>
      <c r="M89" s="136">
        <f>+'9-A.Training Sub-Annex'!N164</f>
        <v>7.2074999999999996</v>
      </c>
      <c r="N89" s="133">
        <f>+'9-A.Training Sub-Annex'!O164</f>
        <v>8</v>
      </c>
      <c r="O89" s="136">
        <f>+'9-A.Training Sub-Annex'!P164</f>
        <v>57.66</v>
      </c>
      <c r="P89" s="78" t="str">
        <f>+'9-A.Training Sub-Annex'!Q164</f>
        <v>At State Level: 15 days ToT of 200 newly selected District ASHA Trainers @Rs.720750/- per batch = Rs. 720750/- x 8 batches = Rs. 5766000/-</v>
      </c>
      <c r="Q89" s="66"/>
      <c r="R89" s="125"/>
    </row>
    <row r="90" spans="1:18">
      <c r="A90" s="4623"/>
      <c r="B90" s="473" t="str">
        <f>+'9-A.Training Sub-Annex'!C165</f>
        <v>B1.1.6.1</v>
      </c>
      <c r="C90" s="78" t="str">
        <f>+'9-A.Training Sub-Annex'!D165</f>
        <v>Capacity Building of ARC HR at State Level</v>
      </c>
      <c r="D90" s="133" t="str">
        <f>+'9-A.Training Sub-Annex'!E165</f>
        <v>HSS</v>
      </c>
      <c r="E90" s="133" t="str">
        <f>+'9-A.Training Sub-Annex'!F165</f>
        <v>CP</v>
      </c>
      <c r="F90" s="133">
        <f>+'9-A.Training Sub-Annex'!G165</f>
        <v>0</v>
      </c>
      <c r="G90" s="133">
        <f>+'9-A.Training Sub-Annex'!H165</f>
        <v>0</v>
      </c>
      <c r="H90" s="133">
        <f>+'9-A.Training Sub-Annex'!I165</f>
        <v>0</v>
      </c>
      <c r="I90" s="133">
        <f>+'9-A.Training Sub-Annex'!J165</f>
        <v>0</v>
      </c>
      <c r="J90" s="133">
        <f>+'9-A.Training Sub-Annex'!K165</f>
        <v>0</v>
      </c>
      <c r="K90" s="133">
        <f>+'9-A.Training Sub-Annex'!L165</f>
        <v>0</v>
      </c>
      <c r="L90" s="133">
        <f>+'9-A.Training Sub-Annex'!M165</f>
        <v>0</v>
      </c>
      <c r="M90" s="136">
        <f>+'9-A.Training Sub-Annex'!N165</f>
        <v>0</v>
      </c>
      <c r="N90" s="133">
        <f>+'9-A.Training Sub-Annex'!O165</f>
        <v>0</v>
      </c>
      <c r="O90" s="136">
        <f>+'9-A.Training Sub-Annex'!P165</f>
        <v>0</v>
      </c>
      <c r="P90" s="78">
        <f>+'9-A.Training Sub-Annex'!Q165</f>
        <v>0</v>
      </c>
      <c r="Q90" s="66"/>
      <c r="R90" s="125"/>
    </row>
    <row r="91" spans="1:18">
      <c r="A91" s="4623"/>
      <c r="B91" s="473" t="str">
        <f>+'9-A.Training Sub-Annex'!C166</f>
        <v>B1.1.6.2</v>
      </c>
      <c r="C91" s="78" t="str">
        <f>+'9-A.Training Sub-Annex'!D166</f>
        <v>Capacity Building of ARC HR at District Level</v>
      </c>
      <c r="D91" s="133" t="str">
        <f>+'9-A.Training Sub-Annex'!E166</f>
        <v>HSS</v>
      </c>
      <c r="E91" s="133" t="str">
        <f>+'9-A.Training Sub-Annex'!F166</f>
        <v>CP</v>
      </c>
      <c r="F91" s="133">
        <f>+'9-A.Training Sub-Annex'!G166</f>
        <v>0</v>
      </c>
      <c r="G91" s="133">
        <f>+'9-A.Training Sub-Annex'!H166</f>
        <v>0</v>
      </c>
      <c r="H91" s="133">
        <f>+'9-A.Training Sub-Annex'!I166</f>
        <v>0</v>
      </c>
      <c r="I91" s="133">
        <f>+'9-A.Training Sub-Annex'!J166</f>
        <v>0</v>
      </c>
      <c r="J91" s="133">
        <f>+'9-A.Training Sub-Annex'!K166</f>
        <v>0</v>
      </c>
      <c r="K91" s="133">
        <f>+'9-A.Training Sub-Annex'!L166</f>
        <v>0</v>
      </c>
      <c r="L91" s="133">
        <f>+'9-A.Training Sub-Annex'!M166</f>
        <v>0</v>
      </c>
      <c r="M91" s="136">
        <f>+'9-A.Training Sub-Annex'!N166</f>
        <v>0</v>
      </c>
      <c r="N91" s="133">
        <f>+'9-A.Training Sub-Annex'!O166</f>
        <v>0</v>
      </c>
      <c r="O91" s="136">
        <f>+'9-A.Training Sub-Annex'!P166</f>
        <v>0</v>
      </c>
      <c r="P91" s="78">
        <f>+'9-A.Training Sub-Annex'!Q166</f>
        <v>0</v>
      </c>
      <c r="Q91" s="66"/>
      <c r="R91" s="125"/>
    </row>
    <row r="92" spans="1:18">
      <c r="A92" s="4623"/>
      <c r="B92" s="473" t="str">
        <f>+'9-A.Training Sub-Annex'!C167</f>
        <v>B1.1.6.3</v>
      </c>
      <c r="C92" s="78" t="str">
        <f>+'9-A.Training Sub-Annex'!D167</f>
        <v>Capacity Building of ARC HR at Block Level</v>
      </c>
      <c r="D92" s="133" t="str">
        <f>+'9-A.Training Sub-Annex'!E167</f>
        <v>HSS</v>
      </c>
      <c r="E92" s="133" t="str">
        <f>+'9-A.Training Sub-Annex'!F167</f>
        <v>CP</v>
      </c>
      <c r="F92" s="133">
        <f>+'9-A.Training Sub-Annex'!G167</f>
        <v>0</v>
      </c>
      <c r="G92" s="133">
        <f>+'9-A.Training Sub-Annex'!H167</f>
        <v>0</v>
      </c>
      <c r="H92" s="133">
        <f>+'9-A.Training Sub-Annex'!I167</f>
        <v>0</v>
      </c>
      <c r="I92" s="133">
        <f>+'9-A.Training Sub-Annex'!J167</f>
        <v>0</v>
      </c>
      <c r="J92" s="133">
        <f>+'9-A.Training Sub-Annex'!K167</f>
        <v>0</v>
      </c>
      <c r="K92" s="133">
        <f>+'9-A.Training Sub-Annex'!L167</f>
        <v>0</v>
      </c>
      <c r="L92" s="133">
        <f>+'9-A.Training Sub-Annex'!M167</f>
        <v>0</v>
      </c>
      <c r="M92" s="136">
        <f>+'9-A.Training Sub-Annex'!N167</f>
        <v>0</v>
      </c>
      <c r="N92" s="133">
        <f>+'9-A.Training Sub-Annex'!O167</f>
        <v>0</v>
      </c>
      <c r="O92" s="136">
        <f>+'9-A.Training Sub-Annex'!P167</f>
        <v>0</v>
      </c>
      <c r="P92" s="78">
        <f>+'9-A.Training Sub-Annex'!Q167</f>
        <v>0</v>
      </c>
      <c r="Q92" s="66"/>
      <c r="R92" s="125"/>
    </row>
    <row r="93" spans="1:18">
      <c r="A93" s="4624"/>
      <c r="B93" s="473"/>
      <c r="C93" s="78" t="str">
        <f>+'9-A.Training Sub-Annex'!D168</f>
        <v>Any other (please specify)</v>
      </c>
      <c r="D93" s="133" t="str">
        <f>+'9-A.Training Sub-Annex'!E168</f>
        <v>HSS</v>
      </c>
      <c r="E93" s="133" t="str">
        <f>+'9-A.Training Sub-Annex'!F168</f>
        <v>CP</v>
      </c>
      <c r="F93" s="133">
        <f>+'9-A.Training Sub-Annex'!G168</f>
        <v>0</v>
      </c>
      <c r="G93" s="133">
        <f>+'9-A.Training Sub-Annex'!H168</f>
        <v>0</v>
      </c>
      <c r="H93" s="133">
        <f>+'9-A.Training Sub-Annex'!I168</f>
        <v>0</v>
      </c>
      <c r="I93" s="133">
        <f>+'9-A.Training Sub-Annex'!J168</f>
        <v>0</v>
      </c>
      <c r="J93" s="133">
        <f>+'9-A.Training Sub-Annex'!K168</f>
        <v>0</v>
      </c>
      <c r="K93" s="133">
        <f>+'9-A.Training Sub-Annex'!L168</f>
        <v>0</v>
      </c>
      <c r="L93" s="133">
        <f>+'9-A.Training Sub-Annex'!M168</f>
        <v>0</v>
      </c>
      <c r="M93" s="136">
        <f>+'9-A.Training Sub-Annex'!N168</f>
        <v>0</v>
      </c>
      <c r="N93" s="133">
        <f>+'9-A.Training Sub-Annex'!O168</f>
        <v>0</v>
      </c>
      <c r="O93" s="136">
        <f>+'9-A.Training Sub-Annex'!P168</f>
        <v>0</v>
      </c>
      <c r="P93" s="78">
        <f>+'9-A.Training Sub-Annex'!Q168</f>
        <v>0</v>
      </c>
      <c r="Q93" s="66"/>
      <c r="R93" s="125"/>
    </row>
    <row r="94" spans="1:18">
      <c r="A94" s="894">
        <f>'11.IEC-BCC Annex'!A7</f>
        <v>11</v>
      </c>
      <c r="B94" s="948"/>
      <c r="C94" s="893" t="str">
        <f>'11.IEC-BCC Annex'!C7</f>
        <v>IEC/BCC</v>
      </c>
      <c r="D94" s="894"/>
      <c r="E94" s="894"/>
      <c r="F94" s="894"/>
      <c r="G94" s="894"/>
      <c r="H94" s="485"/>
      <c r="I94" s="894"/>
      <c r="J94" s="485"/>
      <c r="K94" s="894"/>
      <c r="L94" s="894"/>
      <c r="M94" s="485"/>
      <c r="N94" s="937"/>
      <c r="O94" s="938"/>
      <c r="P94" s="939"/>
      <c r="Q94" s="331"/>
      <c r="R94" s="332"/>
    </row>
    <row r="95" spans="1:18">
      <c r="A95" s="4622" t="str">
        <f>'11.IEC-BCC Annex'!A33</f>
        <v>11.4.2</v>
      </c>
      <c r="B95" s="473"/>
      <c r="C95" s="78">
        <f>'11-A. IEC Sub-Annex'!D41</f>
        <v>0</v>
      </c>
      <c r="D95" s="133" t="str">
        <f>'11-A. IEC Sub-Annex'!E41</f>
        <v>HSS</v>
      </c>
      <c r="E95" s="133" t="str">
        <f>'11-A. IEC Sub-Annex'!F41</f>
        <v>CP</v>
      </c>
      <c r="F95" s="133">
        <f>'11-A. IEC Sub-Annex'!G41</f>
        <v>0</v>
      </c>
      <c r="G95" s="133">
        <f>'11-A. IEC Sub-Annex'!H41</f>
        <v>0</v>
      </c>
      <c r="H95" s="133">
        <f>'11-A. IEC Sub-Annex'!I41</f>
        <v>0</v>
      </c>
      <c r="I95" s="133">
        <f>'11-A. IEC Sub-Annex'!J41</f>
        <v>0</v>
      </c>
      <c r="J95" s="133">
        <f>'11-A. IEC Sub-Annex'!K41</f>
        <v>0</v>
      </c>
      <c r="K95" s="133">
        <f>'11-A. IEC Sub-Annex'!L41</f>
        <v>0</v>
      </c>
      <c r="L95" s="133">
        <f>'11-A. IEC Sub-Annex'!M41</f>
        <v>0</v>
      </c>
      <c r="M95" s="136">
        <f>'11-A. IEC Sub-Annex'!N41</f>
        <v>0</v>
      </c>
      <c r="N95" s="133">
        <f>'11-A. IEC Sub-Annex'!O41</f>
        <v>0</v>
      </c>
      <c r="O95" s="136">
        <f>'11-A. IEC Sub-Annex'!P41</f>
        <v>0</v>
      </c>
      <c r="P95" s="78">
        <f>'11-A. IEC Sub-Annex'!Q41</f>
        <v>0</v>
      </c>
      <c r="Q95" s="66"/>
      <c r="R95" s="125"/>
    </row>
    <row r="96" spans="1:18">
      <c r="A96" s="4624"/>
      <c r="B96" s="473"/>
      <c r="C96" s="78">
        <f>'11-A. IEC Sub-Annex'!D42</f>
        <v>0</v>
      </c>
      <c r="D96" s="133" t="str">
        <f>'11-A. IEC Sub-Annex'!E42</f>
        <v>HSS</v>
      </c>
      <c r="E96" s="133" t="str">
        <f>'11-A. IEC Sub-Annex'!F42</f>
        <v>CP</v>
      </c>
      <c r="F96" s="133">
        <f>'11-A. IEC Sub-Annex'!G42</f>
        <v>0</v>
      </c>
      <c r="G96" s="133">
        <f>'11-A. IEC Sub-Annex'!H42</f>
        <v>0</v>
      </c>
      <c r="H96" s="133">
        <f>'11-A. IEC Sub-Annex'!I42</f>
        <v>0</v>
      </c>
      <c r="I96" s="133">
        <f>'11-A. IEC Sub-Annex'!J42</f>
        <v>0</v>
      </c>
      <c r="J96" s="133">
        <f>'11-A. IEC Sub-Annex'!K42</f>
        <v>0</v>
      </c>
      <c r="K96" s="133">
        <f>'11-A. IEC Sub-Annex'!L42</f>
        <v>0</v>
      </c>
      <c r="L96" s="133">
        <f>'11-A. IEC Sub-Annex'!M42</f>
        <v>0</v>
      </c>
      <c r="M96" s="136">
        <f>'11-A. IEC Sub-Annex'!N42</f>
        <v>0</v>
      </c>
      <c r="N96" s="133">
        <f>'11-A. IEC Sub-Annex'!O42</f>
        <v>0</v>
      </c>
      <c r="O96" s="136">
        <f>'11-A. IEC Sub-Annex'!P42</f>
        <v>0</v>
      </c>
      <c r="P96" s="78">
        <f>'11-A. IEC Sub-Annex'!Q42</f>
        <v>0</v>
      </c>
      <c r="Q96" s="66"/>
      <c r="R96" s="125"/>
    </row>
    <row r="97" spans="1:18">
      <c r="A97" s="894">
        <f>'12.Printing Annex'!A7</f>
        <v>12</v>
      </c>
      <c r="B97" s="894"/>
      <c r="C97" s="893" t="str">
        <f>'12.Printing Annex'!C7</f>
        <v>Printing</v>
      </c>
      <c r="D97" s="894"/>
      <c r="E97" s="894"/>
      <c r="F97" s="894"/>
      <c r="G97" s="894"/>
      <c r="H97" s="485"/>
      <c r="I97" s="894"/>
      <c r="J97" s="485"/>
      <c r="K97" s="894"/>
      <c r="L97" s="894"/>
      <c r="M97" s="485"/>
      <c r="N97" s="937"/>
      <c r="O97" s="938"/>
      <c r="P97" s="939"/>
      <c r="Q97" s="331"/>
      <c r="R97" s="332"/>
    </row>
    <row r="98" spans="1:18">
      <c r="A98" s="4622" t="str">
        <f>'12.Printing Annex'!A18</f>
        <v>12.2.2</v>
      </c>
      <c r="B98" s="473" t="str">
        <f>'12-A. Print Sub-Annex'!C59</f>
        <v>B1.1.3.7</v>
      </c>
      <c r="C98" s="78" t="str">
        <f>+'12-A. Print Sub-Annex'!D59</f>
        <v>Printing of ASHA diary</v>
      </c>
      <c r="D98" s="133" t="str">
        <f>+'12-A. Print Sub-Annex'!E59</f>
        <v>HSS</v>
      </c>
      <c r="E98" s="133" t="str">
        <f>+'12-A. Print Sub-Annex'!F59</f>
        <v>CP</v>
      </c>
      <c r="F98" s="133">
        <f>+'12-A. Print Sub-Annex'!G59</f>
        <v>0</v>
      </c>
      <c r="G98" s="133">
        <f>+'12-A. Print Sub-Annex'!H59</f>
        <v>0</v>
      </c>
      <c r="H98" s="133">
        <f>+'12-A. Print Sub-Annex'!I59</f>
        <v>0</v>
      </c>
      <c r="I98" s="133">
        <f>+'12-A. Print Sub-Annex'!J59</f>
        <v>0</v>
      </c>
      <c r="J98" s="133">
        <f>+'12-A. Print Sub-Annex'!K59</f>
        <v>0</v>
      </c>
      <c r="K98" s="133">
        <f>+'12-A. Print Sub-Annex'!L59</f>
        <v>0</v>
      </c>
      <c r="L98" s="133">
        <f>+'12-A. Print Sub-Annex'!M59</f>
        <v>0</v>
      </c>
      <c r="M98" s="136">
        <f>+'12-A. Print Sub-Annex'!N59</f>
        <v>0</v>
      </c>
      <c r="N98" s="133">
        <f>+'12-A. Print Sub-Annex'!O59</f>
        <v>0</v>
      </c>
      <c r="O98" s="136">
        <f>+'12-A. Print Sub-Annex'!P59</f>
        <v>0</v>
      </c>
      <c r="P98" s="78">
        <f>+'12-A. Print Sub-Annex'!Q59</f>
        <v>0</v>
      </c>
      <c r="Q98" s="66"/>
      <c r="R98" s="125"/>
    </row>
    <row r="99" spans="1:18">
      <c r="A99" s="4623"/>
      <c r="B99" s="473"/>
      <c r="C99" s="78" t="str">
        <f>+'12-A. Print Sub-Annex'!D60</f>
        <v>Printing of ASHA Modules and formats</v>
      </c>
      <c r="D99" s="133" t="str">
        <f>+'12-A. Print Sub-Annex'!E60</f>
        <v>HSS</v>
      </c>
      <c r="E99" s="133" t="str">
        <f>+'12-A. Print Sub-Annex'!F60</f>
        <v>CP</v>
      </c>
      <c r="F99" s="133">
        <f>+'12-A. Print Sub-Annex'!G60</f>
        <v>0</v>
      </c>
      <c r="G99" s="133">
        <f>+'12-A. Print Sub-Annex'!H60</f>
        <v>0</v>
      </c>
      <c r="H99" s="133">
        <f>+'12-A. Print Sub-Annex'!I60</f>
        <v>0</v>
      </c>
      <c r="I99" s="133">
        <f>+'12-A. Print Sub-Annex'!J60</f>
        <v>0</v>
      </c>
      <c r="J99" s="133">
        <f>+'12-A. Print Sub-Annex'!K60</f>
        <v>0</v>
      </c>
      <c r="K99" s="133">
        <f>+'12-A. Print Sub-Annex'!L60</f>
        <v>0</v>
      </c>
      <c r="L99" s="133">
        <f>+'12-A. Print Sub-Annex'!M60</f>
        <v>0</v>
      </c>
      <c r="M99" s="136">
        <f>+'12-A. Print Sub-Annex'!N60</f>
        <v>0</v>
      </c>
      <c r="N99" s="133">
        <f>+'12-A. Print Sub-Annex'!O60</f>
        <v>0</v>
      </c>
      <c r="O99" s="136">
        <f>+'12-A. Print Sub-Annex'!P60</f>
        <v>0</v>
      </c>
      <c r="P99" s="78">
        <f>+'12-A. Print Sub-Annex'!Q60</f>
        <v>0</v>
      </c>
      <c r="Q99" s="66"/>
      <c r="R99" s="125"/>
    </row>
    <row r="100" spans="1:18">
      <c r="A100" s="4623"/>
      <c r="B100" s="473"/>
      <c r="C100" s="78" t="str">
        <f>+'12-A. Print Sub-Annex'!D61</f>
        <v>Printing of CBAC format</v>
      </c>
      <c r="D100" s="133" t="str">
        <f>+'12-A. Print Sub-Annex'!E61</f>
        <v>HSS</v>
      </c>
      <c r="E100" s="133" t="str">
        <f>+'12-A. Print Sub-Annex'!F61</f>
        <v>CP</v>
      </c>
      <c r="F100" s="133">
        <f>+'12-A. Print Sub-Annex'!G61</f>
        <v>0</v>
      </c>
      <c r="G100" s="133">
        <f>+'12-A. Print Sub-Annex'!H61</f>
        <v>0</v>
      </c>
      <c r="H100" s="133">
        <f>+'12-A. Print Sub-Annex'!I61</f>
        <v>0</v>
      </c>
      <c r="I100" s="133">
        <f>+'12-A. Print Sub-Annex'!J61</f>
        <v>0</v>
      </c>
      <c r="J100" s="133">
        <f>+'12-A. Print Sub-Annex'!K61</f>
        <v>0</v>
      </c>
      <c r="K100" s="133">
        <f>+'12-A. Print Sub-Annex'!L61</f>
        <v>0</v>
      </c>
      <c r="L100" s="133">
        <f>+'12-A. Print Sub-Annex'!M61</f>
        <v>0</v>
      </c>
      <c r="M100" s="136">
        <f>+'12-A. Print Sub-Annex'!N61</f>
        <v>0</v>
      </c>
      <c r="N100" s="133">
        <f>+'12-A. Print Sub-Annex'!O61</f>
        <v>0</v>
      </c>
      <c r="O100" s="136">
        <f>+'12-A. Print Sub-Annex'!P61</f>
        <v>0</v>
      </c>
      <c r="P100" s="78">
        <f>+'12-A. Print Sub-Annex'!Q61</f>
        <v>0</v>
      </c>
      <c r="Q100" s="66"/>
      <c r="R100" s="125"/>
    </row>
    <row r="101" spans="1:18">
      <c r="A101" s="4623"/>
      <c r="B101" s="473"/>
      <c r="C101" s="78" t="str">
        <f>+'12-A. Print Sub-Annex'!D62</f>
        <v>ASHA communication kit</v>
      </c>
      <c r="D101" s="133" t="str">
        <f>+'12-A. Print Sub-Annex'!E62</f>
        <v>HSS</v>
      </c>
      <c r="E101" s="133" t="str">
        <f>+'12-A. Print Sub-Annex'!F62</f>
        <v>CP</v>
      </c>
      <c r="F101" s="133">
        <f>+'12-A. Print Sub-Annex'!G62</f>
        <v>0</v>
      </c>
      <c r="G101" s="133">
        <f>+'12-A. Print Sub-Annex'!H62</f>
        <v>0</v>
      </c>
      <c r="H101" s="133">
        <f>+'12-A. Print Sub-Annex'!I62</f>
        <v>0</v>
      </c>
      <c r="I101" s="133">
        <f>+'12-A. Print Sub-Annex'!J62</f>
        <v>0</v>
      </c>
      <c r="J101" s="133">
        <f>+'12-A. Print Sub-Annex'!K62</f>
        <v>0</v>
      </c>
      <c r="K101" s="133">
        <f>+'12-A. Print Sub-Annex'!L62</f>
        <v>0</v>
      </c>
      <c r="L101" s="133">
        <f>+'12-A. Print Sub-Annex'!M62</f>
        <v>0</v>
      </c>
      <c r="M101" s="136">
        <f>+'12-A. Print Sub-Annex'!N62</f>
        <v>0</v>
      </c>
      <c r="N101" s="133">
        <f>+'12-A. Print Sub-Annex'!O62</f>
        <v>0</v>
      </c>
      <c r="O101" s="136">
        <f>+'12-A. Print Sub-Annex'!P62</f>
        <v>0</v>
      </c>
      <c r="P101" s="78">
        <f>+'12-A. Print Sub-Annex'!Q62</f>
        <v>0</v>
      </c>
      <c r="Q101" s="66"/>
      <c r="R101" s="125"/>
    </row>
    <row r="102" spans="1:18">
      <c r="A102" s="4624"/>
      <c r="B102" s="473"/>
      <c r="C102" s="78" t="str">
        <f>+'12-A. Print Sub-Annex'!D63</f>
        <v>Any other (please specify)</v>
      </c>
      <c r="D102" s="133" t="str">
        <f>+'12-A. Print Sub-Annex'!E63</f>
        <v>HSS</v>
      </c>
      <c r="E102" s="133" t="str">
        <f>+'12-A. Print Sub-Annex'!F63</f>
        <v>CP</v>
      </c>
      <c r="F102" s="133">
        <f>+'12-A. Print Sub-Annex'!G63</f>
        <v>0</v>
      </c>
      <c r="G102" s="133">
        <f>+'12-A. Print Sub-Annex'!H63</f>
        <v>0</v>
      </c>
      <c r="H102" s="133">
        <f>+'12-A. Print Sub-Annex'!I63</f>
        <v>0</v>
      </c>
      <c r="I102" s="133">
        <f>+'12-A. Print Sub-Annex'!J63</f>
        <v>0</v>
      </c>
      <c r="J102" s="133">
        <f>+'12-A. Print Sub-Annex'!K63</f>
        <v>0</v>
      </c>
      <c r="K102" s="133">
        <f>+'12-A. Print Sub-Annex'!L63</f>
        <v>0</v>
      </c>
      <c r="L102" s="133">
        <f>+'12-A. Print Sub-Annex'!M63</f>
        <v>0</v>
      </c>
      <c r="M102" s="136">
        <f>+'12-A. Print Sub-Annex'!N63</f>
        <v>0</v>
      </c>
      <c r="N102" s="133">
        <f>+'12-A. Print Sub-Annex'!O63</f>
        <v>0</v>
      </c>
      <c r="O102" s="136">
        <f>+'12-A. Print Sub-Annex'!P63</f>
        <v>0</v>
      </c>
      <c r="P102" s="78">
        <f>+'12-A. Print Sub-Annex'!Q63</f>
        <v>0</v>
      </c>
      <c r="Q102" s="66"/>
      <c r="R102" s="125"/>
    </row>
    <row r="103" spans="1:18">
      <c r="A103" s="894">
        <f>'16.PM Annex'!A7</f>
        <v>16</v>
      </c>
      <c r="B103" s="894"/>
      <c r="C103" s="893" t="str">
        <f>'16.PM Annex'!C7</f>
        <v>Programme Management</v>
      </c>
      <c r="D103" s="894"/>
      <c r="E103" s="894"/>
      <c r="F103" s="894"/>
      <c r="G103" s="894"/>
      <c r="H103" s="485"/>
      <c r="I103" s="894"/>
      <c r="J103" s="485"/>
      <c r="K103" s="894"/>
      <c r="L103" s="894"/>
      <c r="M103" s="485"/>
      <c r="N103" s="937"/>
      <c r="O103" s="485"/>
      <c r="P103" s="939"/>
      <c r="Q103" s="331"/>
      <c r="R103" s="99"/>
    </row>
    <row r="104" spans="1:18" ht="30">
      <c r="A104" s="473" t="str">
        <f>'16-A. PM sub Annex'!B29</f>
        <v>16.1.2.1.9</v>
      </c>
      <c r="B104" s="473" t="str">
        <f>'16-A. PM sub Annex'!D29</f>
        <v>B1.1.1.4.2</v>
      </c>
      <c r="C104" s="78" t="str">
        <f>'16-A. PM sub Annex'!E29</f>
        <v xml:space="preserve">Monthly Review meeting of ASHA facilitators with BCM at block level-Meeting Expenses </v>
      </c>
      <c r="D104" s="133" t="str">
        <f>'16-A. PM sub Annex'!F29</f>
        <v>HSS</v>
      </c>
      <c r="E104" s="133" t="str">
        <f>'16-A. PM sub Annex'!G29</f>
        <v>HRH&amp;HPIP/ NHSRC-CP</v>
      </c>
      <c r="F104" s="133">
        <f>'16-A. PM sub Annex'!H29</f>
        <v>0</v>
      </c>
      <c r="G104" s="133">
        <f>'16-A. PM sub Annex'!I29</f>
        <v>0</v>
      </c>
      <c r="H104" s="133">
        <f>'16-A. PM sub Annex'!J29</f>
        <v>0</v>
      </c>
      <c r="I104" s="133">
        <f>'16-A. PM sub Annex'!K29</f>
        <v>0</v>
      </c>
      <c r="J104" s="133">
        <f>'16-A. PM sub Annex'!L29</f>
        <v>0</v>
      </c>
      <c r="K104" s="133">
        <f>'16-A. PM sub Annex'!M29</f>
        <v>0</v>
      </c>
      <c r="L104" s="133">
        <f>'16-A. PM sub Annex'!N29</f>
        <v>0</v>
      </c>
      <c r="M104" s="136">
        <f>'16-A. PM sub Annex'!O29</f>
        <v>0</v>
      </c>
      <c r="N104" s="133">
        <f>'16-A. PM sub Annex'!P29</f>
        <v>0</v>
      </c>
      <c r="O104" s="136">
        <f>'16-A. PM sub Annex'!Q29</f>
        <v>0</v>
      </c>
      <c r="P104" s="78">
        <f>'16-A. PM sub Annex'!R29</f>
        <v>0</v>
      </c>
      <c r="Q104" s="66"/>
      <c r="R104" s="125"/>
    </row>
    <row r="105" spans="1:18" ht="360">
      <c r="A105" s="473" t="str">
        <f>'16-A. PM sub Annex'!B72</f>
        <v>16.1.3.1.4</v>
      </c>
      <c r="B105" s="473" t="str">
        <f>'16-A. PM sub Annex'!D72</f>
        <v>B1.1.5.4</v>
      </c>
      <c r="C105" s="78" t="str">
        <f>'16-A. PM sub Annex'!E72</f>
        <v>Mobility Costs for ASHA Resource Centre/ASHA Mentoring Group (Kindly Specify)</v>
      </c>
      <c r="D105" s="133" t="str">
        <f>'16-A. PM sub Annex'!F72</f>
        <v>HSS</v>
      </c>
      <c r="E105" s="133" t="str">
        <f>'16-A. PM sub Annex'!G72</f>
        <v>HRH&amp;HPIP/NHSRC-CP</v>
      </c>
      <c r="F105" s="133">
        <f>'16-A. PM sub Annex'!H72</f>
        <v>0</v>
      </c>
      <c r="G105" s="133">
        <f>'16-A. PM sub Annex'!I72</f>
        <v>0</v>
      </c>
      <c r="H105" s="133">
        <f>'16-A. PM sub Annex'!J72</f>
        <v>0</v>
      </c>
      <c r="I105" s="133">
        <f>'16-A. PM sub Annex'!K72</f>
        <v>0</v>
      </c>
      <c r="J105" s="133">
        <f>'16-A. PM sub Annex'!L72</f>
        <v>0</v>
      </c>
      <c r="K105" s="133" t="str">
        <f>'16-A. PM sub Annex'!M72</f>
        <v>State Level meeting &amp; Mobility for ARC Team</v>
      </c>
      <c r="L105" s="133">
        <f>'16-A. PM sub Annex'!N72</f>
        <v>17751400</v>
      </c>
      <c r="M105" s="136">
        <f>'16-A. PM sub Annex'!O72</f>
        <v>177.51400000000001</v>
      </c>
      <c r="N105" s="133">
        <f>'16-A. PM sub Annex'!P72</f>
        <v>1</v>
      </c>
      <c r="O105" s="136">
        <f>'16-A. PM sub Annex'!Q72</f>
        <v>177.51400000000001</v>
      </c>
      <c r="P105" s="78" t="str">
        <f>'16-A. PM sub Annex'!R72</f>
        <v xml:space="preserve">Continued: Total proposed amount 
Rs.17751400/-
1. DAC, DCM &amp; DDA Review Meeting @ Rs. 180000/- X 2 =  Rs. 3,60,000/-
2. BCM Meeting  611 Participants (534 BCM + 77 State   (11  person X 7 batches.)  X Rs. 700 X 2 days = Rs. 8,55,400/-
3. For Mobility Cost for ARC Team (Rs.16536000/- for State, Division, District &amp; Block) 
a)  Rs. 30000/- X 12 months =  Rs. 360000/- for State.
b)  Rs. 10000/- X 9 DAC for 12 months = Rs. 1080000/- for Division.
c) Rs. 5000/- X 38 DCM for 12 months = Rs. 2280000/- for District.
d) Rs. 2000/- X 534 BCM for 12 months = Rs. 12816000/- for Block.                                           </v>
      </c>
      <c r="Q105" s="66"/>
      <c r="R105" s="125"/>
    </row>
    <row r="106" spans="1:18" ht="30">
      <c r="A106" s="473" t="str">
        <f>'16-A. PM sub Annex'!B98</f>
        <v>16.1.3.3.5</v>
      </c>
      <c r="B106" s="473" t="str">
        <f>'16-A. PM sub Annex'!D98</f>
        <v>B1.1.5.4</v>
      </c>
      <c r="C106" s="78" t="str">
        <f>'16-A. PM sub Annex'!E98</f>
        <v>Mobility Costs for ASHA Resource Centre/ASHA Mentoring Group (Kindly Specify)</v>
      </c>
      <c r="D106" s="133" t="str">
        <f>'16-A. PM sub Annex'!F98</f>
        <v>HSS</v>
      </c>
      <c r="E106" s="133" t="str">
        <f>'16-A. PM sub Annex'!G98</f>
        <v>HRH&amp;HPIP/NHSRC-CP</v>
      </c>
      <c r="F106" s="133">
        <f>'16-A. PM sub Annex'!H98</f>
        <v>0</v>
      </c>
      <c r="G106" s="133">
        <f>'16-A. PM sub Annex'!I98</f>
        <v>0</v>
      </c>
      <c r="H106" s="133">
        <f>'16-A. PM sub Annex'!J98</f>
        <v>0</v>
      </c>
      <c r="I106" s="133">
        <f>'16-A. PM sub Annex'!K98</f>
        <v>0</v>
      </c>
      <c r="J106" s="133">
        <f>'16-A. PM sub Annex'!L98</f>
        <v>0</v>
      </c>
      <c r="K106" s="133">
        <f>'16-A. PM sub Annex'!M98</f>
        <v>0</v>
      </c>
      <c r="L106" s="133">
        <f>'16-A. PM sub Annex'!N98</f>
        <v>0</v>
      </c>
      <c r="M106" s="136">
        <f>'16-A. PM sub Annex'!O98</f>
        <v>0</v>
      </c>
      <c r="N106" s="133">
        <f>'16-A. PM sub Annex'!P98</f>
        <v>0</v>
      </c>
      <c r="O106" s="136">
        <f>'16-A. PM sub Annex'!Q98</f>
        <v>0</v>
      </c>
      <c r="P106" s="78">
        <f>'16-A. PM sub Annex'!R98</f>
        <v>0</v>
      </c>
      <c r="Q106" s="66"/>
      <c r="R106" s="125"/>
    </row>
    <row r="107" spans="1:18" ht="30">
      <c r="A107" s="473" t="str">
        <f>'16-A. PM sub Annex'!B114</f>
        <v>16.1.3.4.4</v>
      </c>
      <c r="B107" s="473" t="str">
        <f>'16-A. PM sub Annex'!D114</f>
        <v>B1.1.1.4.2</v>
      </c>
      <c r="C107" s="78" t="str">
        <f>'16-A. PM sub Annex'!E114</f>
        <v xml:space="preserve">Monthly Review meeting of ASHA facilitators with BCM at block level-cost of travel and meeting expenses </v>
      </c>
      <c r="D107" s="133" t="str">
        <f>'16-A. PM sub Annex'!F114</f>
        <v>HSS</v>
      </c>
      <c r="E107" s="133" t="str">
        <f>'16-A. PM sub Annex'!G114</f>
        <v>HRH&amp;HPIP/NHSRC-CP</v>
      </c>
      <c r="F107" s="133">
        <f>'16-A. PM sub Annex'!H114</f>
        <v>0</v>
      </c>
      <c r="G107" s="133">
        <f>'16-A. PM sub Annex'!I114</f>
        <v>0</v>
      </c>
      <c r="H107" s="133">
        <f>'16-A. PM sub Annex'!J114</f>
        <v>0</v>
      </c>
      <c r="I107" s="133">
        <f>'16-A. PM sub Annex'!K114</f>
        <v>0</v>
      </c>
      <c r="J107" s="133">
        <f>'16-A. PM sub Annex'!L114</f>
        <v>0</v>
      </c>
      <c r="K107" s="133">
        <f>'16-A. PM sub Annex'!M114</f>
        <v>0</v>
      </c>
      <c r="L107" s="133">
        <f>'16-A. PM sub Annex'!N114</f>
        <v>0</v>
      </c>
      <c r="M107" s="136">
        <f>'16-A. PM sub Annex'!O114</f>
        <v>0</v>
      </c>
      <c r="N107" s="133">
        <f>'16-A. PM sub Annex'!P114</f>
        <v>0</v>
      </c>
      <c r="O107" s="136">
        <f>'16-A. PM sub Annex'!Q114</f>
        <v>0</v>
      </c>
      <c r="P107" s="78">
        <f>'16-A. PM sub Annex'!R114</f>
        <v>0</v>
      </c>
      <c r="Q107" s="66"/>
      <c r="R107" s="125"/>
    </row>
  </sheetData>
  <sheetProtection sheet="1" formatCells="0" formatColumns="0" formatRows="0" autoFilter="0"/>
  <autoFilter ref="A5:M107"/>
  <mergeCells count="13">
    <mergeCell ref="A83:A87"/>
    <mergeCell ref="A89:A93"/>
    <mergeCell ref="A95:A96"/>
    <mergeCell ref="A98:A102"/>
    <mergeCell ref="Q4:R4"/>
    <mergeCell ref="E4:E5"/>
    <mergeCell ref="F4:J4"/>
    <mergeCell ref="K4:P4"/>
    <mergeCell ref="A1:C1"/>
    <mergeCell ref="A4:A5"/>
    <mergeCell ref="B4:B5"/>
    <mergeCell ref="C4:C5"/>
    <mergeCell ref="D4:D5"/>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16"/>
  <dimension ref="A1:R28"/>
  <sheetViews>
    <sheetView zoomScale="80" zoomScaleNormal="80" workbookViewId="0">
      <pane xSplit="3" ySplit="5" topLeftCell="D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85546875" defaultRowHeight="15"/>
  <cols>
    <col min="1" max="1" width="10.140625" style="820" bestFit="1" customWidth="1"/>
    <col min="2" max="2" width="13.42578125" style="820" customWidth="1"/>
    <col min="3" max="3" width="30.85546875" style="453" customWidth="1"/>
    <col min="4" max="4" width="5.5703125" style="407" bestFit="1" customWidth="1"/>
    <col min="5" max="5" width="34.7109375" style="407" customWidth="1"/>
    <col min="6" max="6" width="22.7109375" style="621" customWidth="1"/>
    <col min="7" max="9" width="15.140625" style="621" customWidth="1"/>
    <col min="10" max="10" width="20.5703125" style="949" customWidth="1"/>
    <col min="11" max="11" width="15.5703125" style="407" customWidth="1"/>
    <col min="12" max="12" width="13.140625" style="407" customWidth="1"/>
    <col min="13" max="13" width="15.140625" style="949" customWidth="1"/>
    <col min="14" max="14" width="8.85546875" style="621"/>
    <col min="15" max="15" width="13" style="974" customWidth="1"/>
    <col min="16" max="16" width="75.140625" style="820" customWidth="1"/>
    <col min="17" max="17" width="28.5703125" style="820" hidden="1" customWidth="1"/>
    <col min="18" max="18" width="0" style="974" hidden="1" customWidth="1"/>
    <col min="19" max="16384" width="8.85546875" style="950"/>
  </cols>
  <sheetData>
    <row r="1" spans="1:18" s="499" customFormat="1">
      <c r="A1" s="4625" t="s">
        <v>4785</v>
      </c>
      <c r="B1" s="4626"/>
      <c r="C1" s="4627"/>
      <c r="D1" s="954"/>
      <c r="E1" s="954"/>
      <c r="F1" s="74" t="s">
        <v>3955</v>
      </c>
      <c r="G1" s="909"/>
      <c r="H1" s="909"/>
      <c r="I1" s="909"/>
      <c r="J1" s="913"/>
      <c r="K1" s="909"/>
      <c r="L1" s="909"/>
      <c r="M1" s="913"/>
      <c r="N1" s="929"/>
      <c r="O1" s="955"/>
      <c r="P1" s="931"/>
      <c r="Q1" s="931"/>
      <c r="R1" s="955"/>
    </row>
    <row r="2" spans="1:18" s="499" customFormat="1">
      <c r="A2" s="868" t="str">
        <f>HYPERLINK("#Index!F3", "Index Pg")</f>
        <v>Index Pg</v>
      </c>
      <c r="B2" s="873"/>
      <c r="C2" s="956" t="str">
        <f>HYPERLINK("#'Budget Summary I'!A1:AL1", "Budget Summary I")</f>
        <v>Budget Summary I</v>
      </c>
      <c r="D2" s="957"/>
      <c r="E2" s="585" t="s">
        <v>4599</v>
      </c>
      <c r="F2" s="135">
        <f>R6+R8+R13+R18+R20+R26</f>
        <v>0</v>
      </c>
      <c r="G2" s="958"/>
      <c r="H2" s="958"/>
      <c r="I2" s="958"/>
      <c r="J2" s="913"/>
      <c r="K2" s="594"/>
      <c r="L2" s="594"/>
      <c r="M2" s="913"/>
      <c r="N2" s="929"/>
      <c r="O2" s="955"/>
      <c r="P2" s="931"/>
      <c r="Q2" s="931"/>
      <c r="R2" s="955"/>
    </row>
    <row r="3" spans="1:18" s="499" customFormat="1">
      <c r="A3" s="872"/>
      <c r="B3" s="873"/>
      <c r="C3" s="959" t="str">
        <f>HYPERLINK("#'Budget Summary II'!A3:B5", "Budget Summary II")</f>
        <v>Budget Summary II</v>
      </c>
      <c r="D3" s="960"/>
      <c r="E3" s="926" t="s">
        <v>4600</v>
      </c>
      <c r="F3" s="335">
        <f>O6+O8+O13+O18+O20+O26</f>
        <v>6502.3012799999997</v>
      </c>
      <c r="G3" s="958"/>
      <c r="H3" s="958"/>
      <c r="I3" s="958"/>
      <c r="J3" s="930"/>
      <c r="K3" s="594"/>
      <c r="L3" s="594"/>
      <c r="M3" s="913"/>
      <c r="N3" s="929"/>
      <c r="O3" s="955"/>
      <c r="P3" s="931"/>
      <c r="Q3" s="931"/>
      <c r="R3" s="955"/>
    </row>
    <row r="4" spans="1:18" s="621"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621" customFormat="1" ht="45">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s="965" customFormat="1">
      <c r="A6" s="412">
        <f>'6.Procurement Annex'!A7</f>
        <v>6</v>
      </c>
      <c r="B6" s="412"/>
      <c r="C6" s="412" t="str">
        <f>'6.Procurement Annex'!C7</f>
        <v>Procurement</v>
      </c>
      <c r="D6" s="471"/>
      <c r="E6" s="471"/>
      <c r="F6" s="471"/>
      <c r="G6" s="471"/>
      <c r="H6" s="961"/>
      <c r="I6" s="471"/>
      <c r="J6" s="240"/>
      <c r="K6" s="471"/>
      <c r="L6" s="471"/>
      <c r="M6" s="240"/>
      <c r="N6" s="962"/>
      <c r="O6" s="963">
        <f>O7</f>
        <v>0</v>
      </c>
      <c r="P6" s="964"/>
      <c r="Q6" s="964"/>
      <c r="R6" s="963">
        <f>R7</f>
        <v>0</v>
      </c>
    </row>
    <row r="7" spans="1:18" s="965" customFormat="1" ht="30">
      <c r="A7" s="966" t="str">
        <f>'6.Procurement Annex'!A24</f>
        <v>6.1.2.7</v>
      </c>
      <c r="B7" s="966">
        <f>'6-A. Proc. Sub-Annex'!C62</f>
        <v>0</v>
      </c>
      <c r="C7" s="966" t="str">
        <f>'6-A. Proc. Sub-Annex'!D62</f>
        <v>Tablets; software for implementation of ANMOL</v>
      </c>
      <c r="D7" s="352" t="str">
        <f>'6-A. Proc. Sub-Annex'!E62</f>
        <v>HSS</v>
      </c>
      <c r="E7" s="352" t="str">
        <f>'6-A. Proc. Sub-Annex'!F62</f>
        <v>HSS/ HMIS-MCTS</v>
      </c>
      <c r="F7" s="352">
        <f>'6-A. Proc. Sub-Annex'!G62</f>
        <v>0</v>
      </c>
      <c r="G7" s="352">
        <f>'6-A. Proc. Sub-Annex'!H62</f>
        <v>0</v>
      </c>
      <c r="H7" s="352">
        <f>'6-A. Proc. Sub-Annex'!I62</f>
        <v>0</v>
      </c>
      <c r="I7" s="352">
        <f>'6-A. Proc. Sub-Annex'!J62</f>
        <v>0</v>
      </c>
      <c r="J7" s="352">
        <f>'6-A. Proc. Sub-Annex'!K62</f>
        <v>0</v>
      </c>
      <c r="K7" s="352">
        <f>'6-A. Proc. Sub-Annex'!L62</f>
        <v>0</v>
      </c>
      <c r="L7" s="352">
        <f>'6-A. Proc. Sub-Annex'!M62</f>
        <v>0</v>
      </c>
      <c r="M7" s="967">
        <f>'6-A. Proc. Sub-Annex'!N62</f>
        <v>0</v>
      </c>
      <c r="N7" s="352">
        <f>'6-A. Proc. Sub-Annex'!O62</f>
        <v>0</v>
      </c>
      <c r="O7" s="967">
        <f>'6-A. Proc. Sub-Annex'!P62</f>
        <v>0</v>
      </c>
      <c r="P7" s="3109">
        <f>'6-A. Proc. Sub-Annex'!Q62</f>
        <v>0</v>
      </c>
      <c r="Q7" s="975"/>
      <c r="R7" s="976"/>
    </row>
    <row r="8" spans="1:18" ht="34.5" customHeight="1">
      <c r="A8" s="718">
        <f>'9.Training Annex'!A7</f>
        <v>9</v>
      </c>
      <c r="B8" s="968"/>
      <c r="C8" s="718" t="str">
        <f>'9.Training Annex'!C7</f>
        <v>Training and Capacity Building</v>
      </c>
      <c r="D8" s="693"/>
      <c r="E8" s="693"/>
      <c r="F8" s="693"/>
      <c r="G8" s="693"/>
      <c r="H8" s="693"/>
      <c r="I8" s="693"/>
      <c r="J8" s="240"/>
      <c r="K8" s="693"/>
      <c r="L8" s="693"/>
      <c r="M8" s="240"/>
      <c r="N8" s="962"/>
      <c r="O8" s="969">
        <f>SUM(O9:O12)</f>
        <v>1025.4760000000001</v>
      </c>
      <c r="P8" s="3110"/>
      <c r="Q8" s="977"/>
      <c r="R8" s="978">
        <f>SUM(R9:R12)</f>
        <v>0</v>
      </c>
    </row>
    <row r="9" spans="1:18" ht="45">
      <c r="A9" s="4247" t="str">
        <f>'9.Training Annex'!A36</f>
        <v>9.2.2.7</v>
      </c>
      <c r="B9" s="387" t="str">
        <f>'9-A.Training Sub-Annex'!C185</f>
        <v>B15.3.1.4.1</v>
      </c>
      <c r="C9" s="3108" t="str">
        <f>'9-A.Training Sub-Annex'!D185</f>
        <v>Training cum review meeting for HMIS &amp; MCTS at State level</v>
      </c>
      <c r="D9" s="473" t="str">
        <f>'9-A.Training Sub-Annex'!E185</f>
        <v>HSS</v>
      </c>
      <c r="E9" s="473" t="str">
        <f>'9-A.Training Sub-Annex'!F185</f>
        <v>HMIS/ MCTS</v>
      </c>
      <c r="F9" s="473">
        <f>'9-A.Training Sub-Annex'!G185</f>
        <v>2</v>
      </c>
      <c r="G9" s="473">
        <f>'9-A.Training Sub-Annex'!H185</f>
        <v>2</v>
      </c>
      <c r="H9" s="473">
        <f>'9-A.Training Sub-Annex'!I185</f>
        <v>5</v>
      </c>
      <c r="I9" s="473">
        <f>'9-A.Training Sub-Annex'!J185</f>
        <v>2</v>
      </c>
      <c r="J9" s="473">
        <f>'9-A.Training Sub-Annex'!K185</f>
        <v>0</v>
      </c>
      <c r="K9" s="473" t="str">
        <f>'9-A.Training Sub-Annex'!L185</f>
        <v>Per   Training-cum-Review Meeting</v>
      </c>
      <c r="L9" s="473">
        <f>'9-A.Training Sub-Annex'!M185</f>
        <v>500000</v>
      </c>
      <c r="M9" s="388">
        <f>'9-A.Training Sub-Annex'!N185</f>
        <v>5</v>
      </c>
      <c r="N9" s="473">
        <f>'9-A.Training Sub-Annex'!O185</f>
        <v>2</v>
      </c>
      <c r="O9" s="388">
        <f>'9-A.Training Sub-Annex'!P185</f>
        <v>10</v>
      </c>
      <c r="P9" s="3087" t="str">
        <f>'9-A.Training Sub-Annex'!Q185</f>
        <v xml:space="preserve">Old Activity: Training-cum-review meeting for HMIS &amp; RCH Portal at State level for  state level officials, Regional M&amp; E Officers, HMIS Supervisors &amp; District M &amp; E Officers. </v>
      </c>
      <c r="Q9" s="63"/>
      <c r="R9" s="979"/>
    </row>
    <row r="10" spans="1:18" ht="60">
      <c r="A10" s="4247"/>
      <c r="B10" s="387" t="str">
        <f>'9-A.Training Sub-Annex'!C186</f>
        <v>B15.3.1.4.2</v>
      </c>
      <c r="C10" s="3108" t="str">
        <f>'9-A.Training Sub-Annex'!D186</f>
        <v>Training cum review meeting for HMIS &amp; MCTS at District level</v>
      </c>
      <c r="D10" s="473" t="str">
        <f>'9-A.Training Sub-Annex'!E186</f>
        <v>HSS</v>
      </c>
      <c r="E10" s="473" t="str">
        <f>'9-A.Training Sub-Annex'!F186</f>
        <v>HMIS/ MCTS</v>
      </c>
      <c r="F10" s="473">
        <f>'9-A.Training Sub-Annex'!G186</f>
        <v>38</v>
      </c>
      <c r="G10" s="473">
        <f>'9-A.Training Sub-Annex'!H186</f>
        <v>25</v>
      </c>
      <c r="H10" s="473">
        <f>'9-A.Training Sub-Annex'!I186</f>
        <v>9.35</v>
      </c>
      <c r="I10" s="473">
        <f>'9-A.Training Sub-Annex'!J186</f>
        <v>4.4800000000000004</v>
      </c>
      <c r="J10" s="473">
        <f>'9-A.Training Sub-Annex'!K186</f>
        <v>0</v>
      </c>
      <c r="K10" s="473" t="str">
        <f>'9-A.Training Sub-Annex'!L186</f>
        <v xml:space="preserve">Per participant </v>
      </c>
      <c r="L10" s="473">
        <f>'9-A.Training Sub-Annex'!M186</f>
        <v>300</v>
      </c>
      <c r="M10" s="388">
        <f>'9-A.Training Sub-Annex'!N186</f>
        <v>3.0000000000000001E-3</v>
      </c>
      <c r="N10" s="473">
        <f>'9-A.Training Sub-Annex'!O186</f>
        <v>6236</v>
      </c>
      <c r="O10" s="388">
        <f>'9-A.Training Sub-Annex'!P186</f>
        <v>18.708000000000002</v>
      </c>
      <c r="P10" s="3087" t="str">
        <f>'9-A.Training Sub-Annex'!Q186</f>
        <v>Old Activity: District Level Orientation-cum-Hands on Training on HMS,  RCH Register &amp; RCH Portal.  The Participants will be CS, Dy. Superintendent, RME, HMIS Supervisor, DPM, DME, DCM, MOIC, BHM &amp; Block M&amp;E-cum-DEO. Total participants = 3118 per training for 2 training.</v>
      </c>
      <c r="Q10" s="63"/>
      <c r="R10" s="979"/>
    </row>
    <row r="11" spans="1:18" ht="75">
      <c r="A11" s="4247"/>
      <c r="B11" s="387" t="str">
        <f>'9-A.Training Sub-Annex'!C187</f>
        <v>B15.3.1.4.3</v>
      </c>
      <c r="C11" s="3108" t="str">
        <f>'9-A.Training Sub-Annex'!D187</f>
        <v>Training cum review meeting for HMIS &amp; MCTS at Block level</v>
      </c>
      <c r="D11" s="473" t="str">
        <f>'9-A.Training Sub-Annex'!E187</f>
        <v>HSS</v>
      </c>
      <c r="E11" s="473" t="str">
        <f>'9-A.Training Sub-Annex'!F187</f>
        <v>HMIS/ MCTS</v>
      </c>
      <c r="F11" s="473">
        <f>'9-A.Training Sub-Annex'!G187</f>
        <v>533</v>
      </c>
      <c r="G11" s="473">
        <f>'9-A.Training Sub-Annex'!H187</f>
        <v>163</v>
      </c>
      <c r="H11" s="473">
        <f>'9-A.Training Sub-Annex'!I187</f>
        <v>34.61</v>
      </c>
      <c r="I11" s="473">
        <f>'9-A.Training Sub-Annex'!J187</f>
        <v>5.32</v>
      </c>
      <c r="J11" s="473">
        <f>'9-A.Training Sub-Annex'!K187</f>
        <v>0</v>
      </c>
      <c r="K11" s="473" t="str">
        <f>'9-A.Training Sub-Annex'!L187</f>
        <v xml:space="preserve">Per participant </v>
      </c>
      <c r="L11" s="473">
        <f>'9-A.Training Sub-Annex'!M187</f>
        <v>300</v>
      </c>
      <c r="M11" s="388">
        <f>'9-A.Training Sub-Annex'!N187</f>
        <v>3.0000000000000001E-3</v>
      </c>
      <c r="N11" s="473">
        <f>'9-A.Training Sub-Annex'!O187</f>
        <v>332256</v>
      </c>
      <c r="O11" s="388">
        <f>'9-A.Training Sub-Annex'!P187</f>
        <v>996.76800000000003</v>
      </c>
      <c r="P11" s="3087" t="str">
        <f>'9-A.Training Sub-Annex'!Q187</f>
        <v>Old Activity: One day Block Level Orientation-cum-Hands-on monthly Training on HMIS, RCH Register &amp; RCH Portal for 12 months.  The Participants will be ANM, ASHA Facilitator, concern Block Official along with District/Region/State facilitators, Total participants = 27688 X 12 months @ Rs.300/- per participants and total training = 533 X 12 months.</v>
      </c>
      <c r="Q11" s="63"/>
      <c r="R11" s="979"/>
    </row>
    <row r="12" spans="1:18">
      <c r="A12" s="4247"/>
      <c r="B12" s="387">
        <f>'9-A.Training Sub-Annex'!C188</f>
        <v>0</v>
      </c>
      <c r="C12" s="3108" t="str">
        <f>'9-A.Training Sub-Annex'!D188</f>
        <v>Any other (please specify)</v>
      </c>
      <c r="D12" s="473" t="str">
        <f>'9-A.Training Sub-Annex'!E188</f>
        <v>HSS</v>
      </c>
      <c r="E12" s="473" t="str">
        <f>'9-A.Training Sub-Annex'!F188</f>
        <v>HMIS/ MCTS</v>
      </c>
      <c r="F12" s="473">
        <f>'9-A.Training Sub-Annex'!G188</f>
        <v>0</v>
      </c>
      <c r="G12" s="473">
        <f>'9-A.Training Sub-Annex'!H188</f>
        <v>0</v>
      </c>
      <c r="H12" s="473">
        <f>'9-A.Training Sub-Annex'!I188</f>
        <v>0</v>
      </c>
      <c r="I12" s="473">
        <f>'9-A.Training Sub-Annex'!J188</f>
        <v>0</v>
      </c>
      <c r="J12" s="473">
        <f>'9-A.Training Sub-Annex'!K188</f>
        <v>0</v>
      </c>
      <c r="K12" s="473">
        <f>'9-A.Training Sub-Annex'!L188</f>
        <v>0</v>
      </c>
      <c r="L12" s="473">
        <f>'9-A.Training Sub-Annex'!M188</f>
        <v>0</v>
      </c>
      <c r="M12" s="388">
        <f>'9-A.Training Sub-Annex'!N188</f>
        <v>0</v>
      </c>
      <c r="N12" s="473">
        <f>'9-A.Training Sub-Annex'!O188</f>
        <v>0</v>
      </c>
      <c r="O12" s="388">
        <f>'9-A.Training Sub-Annex'!P188</f>
        <v>0</v>
      </c>
      <c r="P12" s="3087">
        <f>'9-A.Training Sub-Annex'!Q188</f>
        <v>0</v>
      </c>
      <c r="Q12" s="63"/>
      <c r="R12" s="979"/>
    </row>
    <row r="13" spans="1:18">
      <c r="A13" s="333">
        <f>'12.Printing Annex'!A7</f>
        <v>12</v>
      </c>
      <c r="B13" s="333"/>
      <c r="C13" s="333" t="str">
        <f>'12.Printing Annex'!C7</f>
        <v>Printing</v>
      </c>
      <c r="D13" s="334"/>
      <c r="E13" s="334"/>
      <c r="F13" s="334"/>
      <c r="G13" s="334"/>
      <c r="H13" s="971"/>
      <c r="I13" s="334"/>
      <c r="J13" s="240"/>
      <c r="K13" s="334"/>
      <c r="L13" s="334"/>
      <c r="M13" s="240"/>
      <c r="N13" s="962"/>
      <c r="O13" s="969">
        <f>SUM(O14:O17)</f>
        <v>15.120000000000001</v>
      </c>
      <c r="P13" s="3110"/>
      <c r="Q13" s="977"/>
      <c r="R13" s="978">
        <f>SUM(R14:R17)</f>
        <v>0</v>
      </c>
    </row>
    <row r="14" spans="1:18">
      <c r="A14" s="4247" t="str">
        <f>'12.Printing Annex'!A20</f>
        <v>12.2.4</v>
      </c>
      <c r="B14" s="387" t="str">
        <f>'12-A. Print Sub-Annex'!C68</f>
        <v>B15.3.1.6</v>
      </c>
      <c r="C14" s="387" t="str">
        <f>'12-A. Print Sub-Annex'!D68</f>
        <v xml:space="preserve">Printing of HMIS Formats </v>
      </c>
      <c r="D14" s="473" t="str">
        <f>'12-A. Print Sub-Annex'!E68</f>
        <v>HSS</v>
      </c>
      <c r="E14" s="473" t="str">
        <f>'12-A. Print Sub-Annex'!F68</f>
        <v>HMIS-MCTS</v>
      </c>
      <c r="F14" s="473">
        <f>'12-A. Print Sub-Annex'!G68</f>
        <v>0</v>
      </c>
      <c r="G14" s="473">
        <f>'12-A. Print Sub-Annex'!H68</f>
        <v>0</v>
      </c>
      <c r="H14" s="473">
        <f>'12-A. Print Sub-Annex'!I68</f>
        <v>0</v>
      </c>
      <c r="I14" s="473">
        <f>'12-A. Print Sub-Annex'!J68</f>
        <v>0</v>
      </c>
      <c r="J14" s="473">
        <f>'12-A. Print Sub-Annex'!K68</f>
        <v>0</v>
      </c>
      <c r="K14" s="473">
        <f>'12-A. Print Sub-Annex'!L68</f>
        <v>0</v>
      </c>
      <c r="L14" s="473">
        <f>'12-A. Print Sub-Annex'!M68</f>
        <v>0</v>
      </c>
      <c r="M14" s="388">
        <f>'12-A. Print Sub-Annex'!N68</f>
        <v>0</v>
      </c>
      <c r="N14" s="473">
        <f>'12-A. Print Sub-Annex'!O68</f>
        <v>0</v>
      </c>
      <c r="O14" s="388">
        <f>'12-A. Print Sub-Annex'!P68</f>
        <v>0</v>
      </c>
      <c r="P14" s="3111">
        <f>'12-A. Print Sub-Annex'!Q68</f>
        <v>0</v>
      </c>
      <c r="Q14" s="63"/>
      <c r="R14" s="979"/>
    </row>
    <row r="15" spans="1:18">
      <c r="A15" s="4247"/>
      <c r="B15" s="387" t="str">
        <f>'12-A. Print Sub-Annex'!C69</f>
        <v>B15.3.2.1</v>
      </c>
      <c r="C15" s="387" t="str">
        <f>'12-A. Print Sub-Annex'!D69</f>
        <v xml:space="preserve">Printing of RCH Registers </v>
      </c>
      <c r="D15" s="473" t="str">
        <f>'12-A. Print Sub-Annex'!E69</f>
        <v>HSS</v>
      </c>
      <c r="E15" s="473" t="str">
        <f>'12-A. Print Sub-Annex'!F69</f>
        <v>HMIS-MCTS</v>
      </c>
      <c r="F15" s="473">
        <f>'12-A. Print Sub-Annex'!G69</f>
        <v>0</v>
      </c>
      <c r="G15" s="473">
        <f>'12-A. Print Sub-Annex'!H69</f>
        <v>0</v>
      </c>
      <c r="H15" s="473">
        <f>'12-A. Print Sub-Annex'!I69</f>
        <v>0</v>
      </c>
      <c r="I15" s="473">
        <f>'12-A. Print Sub-Annex'!J69</f>
        <v>0</v>
      </c>
      <c r="J15" s="473">
        <f>'12-A. Print Sub-Annex'!K69</f>
        <v>0</v>
      </c>
      <c r="K15" s="473">
        <f>'12-A. Print Sub-Annex'!L69</f>
        <v>0</v>
      </c>
      <c r="L15" s="473">
        <f>'12-A. Print Sub-Annex'!M69</f>
        <v>0</v>
      </c>
      <c r="M15" s="388">
        <f>'12-A. Print Sub-Annex'!N69</f>
        <v>0</v>
      </c>
      <c r="N15" s="473">
        <f>'12-A. Print Sub-Annex'!O69</f>
        <v>0</v>
      </c>
      <c r="O15" s="388">
        <f>'12-A. Print Sub-Annex'!P69</f>
        <v>0</v>
      </c>
      <c r="P15" s="3111">
        <f>'12-A. Print Sub-Annex'!Q69</f>
        <v>0</v>
      </c>
      <c r="Q15" s="63"/>
      <c r="R15" s="979"/>
    </row>
    <row r="16" spans="1:18">
      <c r="A16" s="4247"/>
      <c r="B16" s="387" t="str">
        <f>'12-A. Print Sub-Annex'!C70</f>
        <v>B15.3.2.2</v>
      </c>
      <c r="C16" s="387" t="str">
        <f>'12-A. Print Sub-Annex'!D70</f>
        <v>Printing of MCTS follow-up formats/ services due list/ work plan</v>
      </c>
      <c r="D16" s="473" t="str">
        <f>'12-A. Print Sub-Annex'!E70</f>
        <v>HSS</v>
      </c>
      <c r="E16" s="473" t="str">
        <f>'12-A. Print Sub-Annex'!F70</f>
        <v>HMIS-MCTS</v>
      </c>
      <c r="F16" s="473">
        <f>'12-A. Print Sub-Annex'!G70</f>
        <v>0</v>
      </c>
      <c r="G16" s="473">
        <f>'12-A. Print Sub-Annex'!H70</f>
        <v>0</v>
      </c>
      <c r="H16" s="473">
        <f>'12-A. Print Sub-Annex'!I70</f>
        <v>0</v>
      </c>
      <c r="I16" s="473">
        <f>'12-A. Print Sub-Annex'!J70</f>
        <v>0</v>
      </c>
      <c r="J16" s="473">
        <f>'12-A. Print Sub-Annex'!K70</f>
        <v>0</v>
      </c>
      <c r="K16" s="473" t="str">
        <f>'12-A. Print Sub-Annex'!L70</f>
        <v>per  workplan</v>
      </c>
      <c r="L16" s="473">
        <f>'12-A. Print Sub-Annex'!M70</f>
        <v>1.5</v>
      </c>
      <c r="M16" s="388">
        <f>'12-A. Print Sub-Annex'!N70</f>
        <v>1.5E-5</v>
      </c>
      <c r="N16" s="473">
        <f>'12-A. Print Sub-Annex'!O70</f>
        <v>1008000</v>
      </c>
      <c r="O16" s="388">
        <f>'12-A. Print Sub-Annex'!P70</f>
        <v>15.120000000000001</v>
      </c>
      <c r="P16" s="3111" t="str">
        <f>'12-A. Print Sub-Annex'!Q70</f>
        <v>Old activity: The budget is proposed for printing of work plan @ 1 work plan per ASHA per month for 12 months @ Rs.1.50/- per work plan.</v>
      </c>
      <c r="Q16" s="63"/>
      <c r="R16" s="979"/>
    </row>
    <row r="17" spans="1:18">
      <c r="A17" s="4247"/>
      <c r="B17" s="387">
        <f>'12-A. Print Sub-Annex'!C71</f>
        <v>0</v>
      </c>
      <c r="C17" s="387" t="str">
        <f>'12-A. Print Sub-Annex'!D71</f>
        <v>Any other (please specify)</v>
      </c>
      <c r="D17" s="473" t="str">
        <f>'12-A. Print Sub-Annex'!E71</f>
        <v>HSS</v>
      </c>
      <c r="E17" s="473" t="str">
        <f>'12-A. Print Sub-Annex'!F71</f>
        <v>HMIS-MCTS</v>
      </c>
      <c r="F17" s="473">
        <f>'12-A. Print Sub-Annex'!G71</f>
        <v>0</v>
      </c>
      <c r="G17" s="473">
        <f>'12-A. Print Sub-Annex'!H71</f>
        <v>0</v>
      </c>
      <c r="H17" s="473">
        <f>'12-A. Print Sub-Annex'!I71</f>
        <v>0</v>
      </c>
      <c r="I17" s="473">
        <f>'12-A. Print Sub-Annex'!J71</f>
        <v>0</v>
      </c>
      <c r="J17" s="473">
        <f>'12-A. Print Sub-Annex'!K71</f>
        <v>0</v>
      </c>
      <c r="K17" s="473">
        <f>'12-A. Print Sub-Annex'!L71</f>
        <v>0</v>
      </c>
      <c r="L17" s="473">
        <f>'12-A. Print Sub-Annex'!M71</f>
        <v>0</v>
      </c>
      <c r="M17" s="388">
        <f>'12-A. Print Sub-Annex'!N71</f>
        <v>0</v>
      </c>
      <c r="N17" s="473">
        <f>'12-A. Print Sub-Annex'!O71</f>
        <v>0</v>
      </c>
      <c r="O17" s="388">
        <f>'12-A. Print Sub-Annex'!P71</f>
        <v>0</v>
      </c>
      <c r="P17" s="3111">
        <f>'12-A. Print Sub-Annex'!Q71</f>
        <v>0</v>
      </c>
      <c r="Q17" s="63"/>
      <c r="R17" s="979"/>
    </row>
    <row r="18" spans="1:18">
      <c r="A18" s="817">
        <f>'14.Drug warehouse &amp;Logistic Anx'!A7</f>
        <v>14</v>
      </c>
      <c r="B18" s="972"/>
      <c r="C18" s="817" t="str">
        <f>'14.Drug warehouse &amp;Logistic Anx'!C7</f>
        <v>Drug Warehousing and Logistics</v>
      </c>
      <c r="D18" s="818"/>
      <c r="E18" s="818"/>
      <c r="F18" s="334"/>
      <c r="G18" s="334"/>
      <c r="H18" s="971"/>
      <c r="I18" s="334"/>
      <c r="J18" s="240"/>
      <c r="K18" s="334"/>
      <c r="L18" s="334"/>
      <c r="M18" s="240"/>
      <c r="N18" s="962"/>
      <c r="O18" s="969">
        <f>O19</f>
        <v>151.13999999999999</v>
      </c>
      <c r="P18" s="3110"/>
      <c r="Q18" s="977"/>
      <c r="R18" s="978">
        <f>R19</f>
        <v>0</v>
      </c>
    </row>
    <row r="19" spans="1:18" s="499" customFormat="1" ht="255">
      <c r="A19" s="819" t="str">
        <f>'14.Drug warehouse &amp;Logistic Anx'!A18</f>
        <v>14.2.2</v>
      </c>
      <c r="B19" s="819" t="str">
        <f>'14.Drug warehouse &amp;Logistic Anx'!B18</f>
        <v>B15.3.3.1</v>
      </c>
      <c r="C19" s="819" t="str">
        <f>'14.Drug warehouse &amp;Logistic Anx'!C18</f>
        <v xml:space="preserve">Implementation of DVDMS </v>
      </c>
      <c r="D19" s="815" t="str">
        <f>'14.Drug warehouse &amp;Logistic Anx'!D18</f>
        <v>HSS</v>
      </c>
      <c r="E19" s="815" t="str">
        <f>'14.Drug warehouse &amp;Logistic Anx'!E18</f>
        <v>HMIS/ MCTC</v>
      </c>
      <c r="F19" s="815" t="str">
        <f>'14.Drug warehouse &amp;Logistic Anx'!F18</f>
        <v>Roll out of e-Aushadhi (DVDMS) upto PHC level</v>
      </c>
      <c r="G19" s="815" t="str">
        <f>'14.Drug warehouse &amp;Logistic Anx'!G18</f>
        <v>Rolled out at PHC level</v>
      </c>
      <c r="H19" s="815">
        <f>'14.Drug warehouse &amp;Logistic Anx'!H18</f>
        <v>189.09</v>
      </c>
      <c r="I19" s="815">
        <f>'14.Drug warehouse &amp;Logistic Anx'!I18</f>
        <v>162</v>
      </c>
      <c r="J19" s="815">
        <f>'14.Drug warehouse &amp;Logistic Anx'!J18</f>
        <v>0</v>
      </c>
      <c r="K19" s="815" t="str">
        <f>'14.Drug warehouse &amp;Logistic Anx'!K18</f>
        <v xml:space="preserve">Per On-site implementation/management team/software support/IT cell/data hosting </v>
      </c>
      <c r="L19" s="815">
        <f>'14.Drug warehouse &amp;Logistic Anx'!L18</f>
        <v>15114000</v>
      </c>
      <c r="M19" s="973">
        <f>'14.Drug warehouse &amp;Logistic Anx'!M18</f>
        <v>151.13999999999999</v>
      </c>
      <c r="N19" s="815">
        <f>'14.Drug warehouse &amp;Logistic Anx'!N18</f>
        <v>1</v>
      </c>
      <c r="O19" s="973">
        <f>'14.Drug warehouse &amp;Logistic Anx'!O18</f>
        <v>151.13999999999999</v>
      </c>
      <c r="P19" s="3112" t="str">
        <f>'14.Drug warehouse &amp;Logistic Anx'!P18</f>
        <v>Old Activity: Roll-out of e-Aushadhi Software has been under taken in State with effect from 31st March 2017 for the 1st phase till District Hospital level and 2nd phase till PHC level and now in 3rd phase is APHC and HSC level required, so amount of Rs.133.57 lakh has been proposed for payment onsite implementation team , IT Cell of C-DAC, Noida, application software support, application/database hosting  in data centre of C-DAC, Noida. The proposed fund may also be used for establishing and operating monitoring cell for other IT based applications of Govt. of India/Stae Specific.  
B.
Proposal is being submitted for dedicated internet connectivity for drug store to esnure DVDMS usage compliance. Lack of dedicated internet service for drug store has been one of the key challenges. The internet connectivity will be given at District Drug Stores, District hospitals, SDH, RH, BPHCs. 
In the FY 20-21 the budget was proposed &amp; it was approved by the GoI.
Costing
= Total no. of drug stores 732 * Rs 200 per month per drug store * 12 months
= 17.57 Lakhs</v>
      </c>
      <c r="Q19" s="980"/>
      <c r="R19" s="981"/>
    </row>
    <row r="20" spans="1:18">
      <c r="A20" s="817">
        <f>'16.PM Annex'!A7</f>
        <v>16</v>
      </c>
      <c r="B20" s="972"/>
      <c r="C20" s="817" t="str">
        <f>'16.PM Annex'!C7</f>
        <v>Programme Management</v>
      </c>
      <c r="D20" s="818"/>
      <c r="E20" s="818"/>
      <c r="F20" s="334"/>
      <c r="G20" s="334"/>
      <c r="H20" s="971"/>
      <c r="I20" s="334"/>
      <c r="J20" s="240"/>
      <c r="K20" s="334"/>
      <c r="L20" s="334"/>
      <c r="M20" s="240"/>
      <c r="N20" s="962"/>
      <c r="O20" s="969">
        <f>SUM(O21:O25)</f>
        <v>3029.9084000000003</v>
      </c>
      <c r="P20" s="3110"/>
      <c r="Q20" s="977"/>
      <c r="R20" s="978">
        <f>SUM(R21:R25)</f>
        <v>0</v>
      </c>
    </row>
    <row r="21" spans="1:18" ht="409.5">
      <c r="A21" s="224" t="str">
        <f>'16.PM Annex'!A18</f>
        <v>16.3.1</v>
      </c>
      <c r="B21" s="224" t="str">
        <f>'16.PM Annex'!B18</f>
        <v>B15.3.1.1/ B15.3.1.2</v>
      </c>
      <c r="C21" s="224" t="str">
        <f>'16.PM Annex'!C18</f>
        <v>HR Support for HMIS &amp; MCTS</v>
      </c>
      <c r="D21" s="606"/>
      <c r="E21" s="606"/>
      <c r="F21" s="606">
        <f>'16.PM Annex'!E18</f>
        <v>0</v>
      </c>
      <c r="G21" s="606">
        <f>'16.PM Annex'!F18</f>
        <v>0</v>
      </c>
      <c r="H21" s="606">
        <f>'16.PM Annex'!G18</f>
        <v>0</v>
      </c>
      <c r="I21" s="606">
        <f>'16.PM Annex'!H18</f>
        <v>0</v>
      </c>
      <c r="J21" s="606">
        <f>'16.PM Annex'!I18</f>
        <v>0</v>
      </c>
      <c r="K21" s="606" t="str">
        <f>'16.PM Annex'!J18</f>
        <v>per data entry point/data management unit per annum</v>
      </c>
      <c r="L21" s="606">
        <f>'16.PM Annex'!K18</f>
        <v>245412</v>
      </c>
      <c r="M21" s="316">
        <f>'16.PM Annex'!L18</f>
        <v>2.4541200000000001</v>
      </c>
      <c r="N21" s="606">
        <f>'16.PM Annex'!M18</f>
        <v>1070</v>
      </c>
      <c r="O21" s="316">
        <f>'16.PM Annex'!N18</f>
        <v>2625.9084000000003</v>
      </c>
      <c r="P21" s="3113" t="str">
        <f>'16.PM Annex'!O18</f>
        <v>Continue Activities:-
Having team of 15 IT resources with Computer operator,  computer set and internet (On outsourced basis) in State Health Society, Bihar for collecting, compiling, analysing and reporting data based on the information required from division/district/blocks/facilities on regular basis. Ensuring timely and completing reporting of accurate data on HMIS/MCTS (RCH Portal), PFMS, Manav Sampada (HRIS), RBSK, Bio Medical Waste Management, VHSND, NRC (etc) web portals. This cell is also used as control room in case of any emergency/Disaster as like flood earthquake etc. This activities approved by MOHFW, GOI from last more than 11 years.
Calculation- 15 x 20451 x 12=36.81 lakh
2. 3 Data entry/updation unit  with Computer operator,  computer set and internet (On outsourced basis)  at each RPMU @ 20451/- per unit, is responsible for collectiong and timely entry/updation the data on HMIS/MCTS (RCH Portal),  Manav Sampada (HRIS), RBSK, Bio Medical Waste Management, VHSND, NRC (etc) web portals.  Data entry/updation unit also responsible for compiling, analysing and reporting of HMIS/RCH Portal reported data along with different information required on regular basis as well as in case of ergency/disaster etc. 
This activities approved by MOHFW, GOI from last more than 8 years
Calculation-27 (3 unit x 9 RPMU) x 12 month x 20451)=66.26 lakh
3. Data entry/updation unit  with Computer operator,  computer set and internet (On outsourced basis) @20200/- per unit  is responsible for collectiong and timely entry/updation the data on HMIS/MCTS (RCH Portal),  Manav Sampada (HRIS), RBSK, Bio Medical Waste Management, VHSND, NRC (etc) web portals.  Data entry/updation unit also responsible for compiling, analyzing and reporting of HMIS/RCH Portal reported data along with different information required on regular basis as well as in case of emergency/disaster etc. 
This activities approved by MOHFW, GOI from last more than 11 years
Calculation- 
20451x691x12 months=1695.80 lakh for DH to PHC
20451x250x12 months=613.53 lakh for APHCs
20451x87x12 months=213.51 lakh
for MCH and other state level offices &amp; concern cells.
Note- As per notification of labour Dept. GoB the rate fixed for highly skilled person is considered for Computer Operator  salary ( by considering 10% extra  because hike of rate  by Labour Dept., GoB in interval of 6 months). The provision of EPF &amp; ESI has also been considered for Computer Operator. This is outsource model hence 18% GST is also included in the rate Rs. 20451/- per month.</v>
      </c>
      <c r="Q21" s="63"/>
      <c r="R21" s="979"/>
    </row>
    <row r="22" spans="1:18" ht="30">
      <c r="A22" s="224" t="str">
        <f>'16.PM Annex'!A19</f>
        <v>16.3.2</v>
      </c>
      <c r="B22" s="224" t="str">
        <f>'16.PM Annex'!B19</f>
        <v>B15.3.1.5.1/ B15.3.1.5.2</v>
      </c>
      <c r="C22" s="224" t="str">
        <f>'16.PM Annex'!C19</f>
        <v xml:space="preserve">Mobility Support for HMIS &amp; MCTS </v>
      </c>
      <c r="D22" s="606"/>
      <c r="E22" s="606"/>
      <c r="F22" s="606">
        <f>'16.PM Annex'!E19</f>
        <v>0</v>
      </c>
      <c r="G22" s="606">
        <f>'16.PM Annex'!F19</f>
        <v>0</v>
      </c>
      <c r="H22" s="606">
        <f>'16.PM Annex'!G19</f>
        <v>0</v>
      </c>
      <c r="I22" s="606">
        <f>'16.PM Annex'!H19</f>
        <v>0</v>
      </c>
      <c r="J22" s="606">
        <f>'16.PM Annex'!I19</f>
        <v>0</v>
      </c>
      <c r="K22" s="606">
        <f>'16.PM Annex'!J19</f>
        <v>0</v>
      </c>
      <c r="L22" s="606">
        <f>'16.PM Annex'!K19</f>
        <v>0</v>
      </c>
      <c r="M22" s="316">
        <f>'16.PM Annex'!L19</f>
        <v>0</v>
      </c>
      <c r="N22" s="606">
        <f>'16.PM Annex'!M19</f>
        <v>0</v>
      </c>
      <c r="O22" s="316">
        <f>'16.PM Annex'!N19</f>
        <v>0</v>
      </c>
      <c r="P22" s="3113">
        <f>'16.PM Annex'!O19</f>
        <v>0</v>
      </c>
      <c r="Q22" s="63"/>
      <c r="R22" s="979"/>
    </row>
    <row r="23" spans="1:18" ht="210">
      <c r="A23" s="224" t="str">
        <f>'16.PM Annex'!A20</f>
        <v>16.3.3</v>
      </c>
      <c r="B23" s="224" t="str">
        <f>'16.PM Annex'!B20</f>
        <v>B15.3.2.5/ B15.3.2.6/ B15.3.2.9/ B15.3.2.12/ B15.3.2.13</v>
      </c>
      <c r="C23" s="224" t="str">
        <f>'16.PM Annex'!C20</f>
        <v>Operational cost for HMIS &amp; MCTS (incl. Internet connectivity; AMC of Laptop, printers, computers, UPS; Office expenditure; Mobile reimbursement)</v>
      </c>
      <c r="D23" s="606"/>
      <c r="E23" s="606"/>
      <c r="F23" s="606">
        <f>'16.PM Annex'!E20</f>
        <v>0</v>
      </c>
      <c r="G23" s="606">
        <f>'16.PM Annex'!F20</f>
        <v>0</v>
      </c>
      <c r="H23" s="606">
        <f>'16.PM Annex'!G20</f>
        <v>2.82</v>
      </c>
      <c r="I23" s="606">
        <f>'16.PM Annex'!H20</f>
        <v>2.1</v>
      </c>
      <c r="J23" s="606">
        <f>'16.PM Annex'!I20</f>
        <v>0</v>
      </c>
      <c r="K23" s="606" t="str">
        <f>'16.PM Annex'!J20</f>
        <v>Internet Connectivity -Per annum,</v>
      </c>
      <c r="L23" s="606">
        <f>'16.PM Annex'!K20</f>
        <v>355000</v>
      </c>
      <c r="M23" s="316">
        <f>'16.PM Annex'!L20</f>
        <v>3.55</v>
      </c>
      <c r="N23" s="606">
        <f>'16.PM Annex'!M20</f>
        <v>12</v>
      </c>
      <c r="O23" s="316">
        <f>'16.PM Annex'!N20</f>
        <v>42.599999999999994</v>
      </c>
      <c r="P23" s="3113" t="str">
        <f>'16.PM Annex'!O20</f>
        <v xml:space="preserve">Old Activity:
1. Internet Connectivity -The office of State health society is fully WiFi enabled campus and 40 Mbps lease line connection taken from BSNL (Annual Cost is Rs.9,44,000/-) &amp; 100 Mbps lease line connection has been also taken from Railtel (Annual Cost is Rs.15,34,000/-)  Hence, the fund of Rs.24.78 Lakh has been proposed for internet connectivity in the office of State Health Society, Bihar. The fund for Internet Connectivity/Data Card facility to all 9 Regional M&amp;E Officers &amp; all 38 District M&amp;E Officers has also been proposed @ Rs.500/- per month for 12 months (Annual Cost is Rs.282000).  
Total fund proposed: 27.60 Lakh. 
2. Other Office Expenditure- Need basis expenditure (Rs.1.25 Lakh per month for 12 month) for other IT related expenses as like email service, domain charges, Network equipment, IT related training/meeting, IEC etc.
Total fund proposed: 15 Lakh. </v>
      </c>
      <c r="Q23" s="63"/>
      <c r="R23" s="979"/>
    </row>
    <row r="24" spans="1:18" ht="225">
      <c r="A24" s="224" t="str">
        <f>'16.PM Annex'!A21</f>
        <v>16.3.4</v>
      </c>
      <c r="B24" s="224" t="str">
        <f>'16.PM Annex'!B21</f>
        <v>B15.3.2.3/ B15.3.2.4/ B15.3.2.7/ B15.3.2.8</v>
      </c>
      <c r="C24" s="224" t="str">
        <f>'16.PM Annex'!C21</f>
        <v>Procurement of Computer/Printer/UPS/ Laptop/ VSAT</v>
      </c>
      <c r="D24" s="606"/>
      <c r="E24" s="606"/>
      <c r="F24" s="606">
        <f>'16.PM Annex'!E21</f>
        <v>0</v>
      </c>
      <c r="G24" s="606">
        <f>'16.PM Annex'!F21</f>
        <v>0</v>
      </c>
      <c r="H24" s="606">
        <f>'16.PM Annex'!G21</f>
        <v>0</v>
      </c>
      <c r="I24" s="606">
        <f>'16.PM Annex'!H21</f>
        <v>0</v>
      </c>
      <c r="J24" s="606">
        <f>'16.PM Annex'!I21</f>
        <v>0</v>
      </c>
      <c r="K24" s="606">
        <f>'16.PM Annex'!J21</f>
        <v>556</v>
      </c>
      <c r="L24" s="606">
        <f>'16.PM Annex'!K21</f>
        <v>65000</v>
      </c>
      <c r="M24" s="316">
        <f>'16.PM Annex'!L21</f>
        <v>0.65</v>
      </c>
      <c r="N24" s="606">
        <f>'16.PM Annex'!M21</f>
        <v>556</v>
      </c>
      <c r="O24" s="316">
        <f>'16.PM Annex'!N21</f>
        <v>361.40000000000003</v>
      </c>
      <c r="P24" s="3113" t="str">
        <f>'16.PM Annex'!O21</f>
        <v>Continue Activities:- 25% Approval has been given in FY 2020-21 for Purchese of 185 new Computers/ Laptop out of 742  for all accountants/DAMs/RAMs/BAMs/finance personnel at all level. however, still there is requirement of remaining 556 new Computers/ Laptop(new computer/Laptop verson. window genune, i5/i7 Processor computer with UPS 2 KVA &amp; 1 all in printer) for all accountants at all level i.e. Block, FRU etc..@ 65000/- Per Unit for 556 units i.e. 65000*556=361.40 Lakhs). SHSB has inmplemented the ERP Tally Online Web-based system. GoI will implemant N-FAMS(NHM-financial &amp; accounts management system) software for the FY 2021-21 for rendering transparency and efficiency in financial management on a real time basis vide letter no G.27034/258/2020-21/NHM-F dated 20.01.2021. therefore, needs to be replace all old computers. This will bring data security, integrity of financial data, uniformity in reporting and transparency of financial data at every level of State Health Society. All the above activities cannot be performed with the current old version computer systems available with Regions, Districts and Blocks.  Detail as per attached justification note</v>
      </c>
      <c r="Q24" s="63"/>
      <c r="R24" s="979"/>
    </row>
    <row r="25" spans="1:18" ht="30">
      <c r="A25" s="224" t="str">
        <f>'16.PM Annex'!A22</f>
        <v>16.3.5</v>
      </c>
      <c r="B25" s="224" t="str">
        <f>'16.PM Annex'!B22</f>
        <v>B15.3.2.10/ B15.3.2.11</v>
      </c>
      <c r="C25" s="224" t="str">
        <f>'16.PM Annex'!C22</f>
        <v>Call Centre (Capex/ Opex)</v>
      </c>
      <c r="D25" s="606"/>
      <c r="E25" s="606"/>
      <c r="F25" s="606">
        <f>'16.PM Annex'!E22</f>
        <v>0</v>
      </c>
      <c r="G25" s="606">
        <f>'16.PM Annex'!F22</f>
        <v>0</v>
      </c>
      <c r="H25" s="606">
        <f>'16.PM Annex'!G22</f>
        <v>0</v>
      </c>
      <c r="I25" s="606">
        <f>'16.PM Annex'!H22</f>
        <v>0</v>
      </c>
      <c r="J25" s="606">
        <f>'16.PM Annex'!I22</f>
        <v>0</v>
      </c>
      <c r="K25" s="606">
        <f>'16.PM Annex'!J22</f>
        <v>0</v>
      </c>
      <c r="L25" s="606">
        <f>'16.PM Annex'!K22</f>
        <v>0</v>
      </c>
      <c r="M25" s="316">
        <f>'16.PM Annex'!L22</f>
        <v>0</v>
      </c>
      <c r="N25" s="606">
        <f>'16.PM Annex'!M22</f>
        <v>0</v>
      </c>
      <c r="O25" s="316">
        <f>'16.PM Annex'!N22</f>
        <v>0</v>
      </c>
      <c r="P25" s="3113">
        <f>'16.PM Annex'!O22</f>
        <v>0</v>
      </c>
      <c r="Q25" s="63"/>
      <c r="R25" s="979"/>
    </row>
    <row r="26" spans="1:18" ht="30">
      <c r="A26" s="718">
        <f>'17.IT Initiatives_SD'!A7</f>
        <v>17</v>
      </c>
      <c r="B26" s="968"/>
      <c r="C26" s="718" t="str">
        <f>'17.IT Initiatives_SD'!C7</f>
        <v>IT Initiatives for strengthening Service Delivery</v>
      </c>
      <c r="D26" s="693"/>
      <c r="E26" s="693"/>
      <c r="F26" s="334"/>
      <c r="G26" s="334"/>
      <c r="H26" s="971"/>
      <c r="I26" s="334"/>
      <c r="J26" s="240"/>
      <c r="K26" s="334"/>
      <c r="L26" s="334"/>
      <c r="M26" s="240"/>
      <c r="N26" s="962"/>
      <c r="O26" s="969">
        <f>SUM(O27:O28)</f>
        <v>2280.65688</v>
      </c>
      <c r="P26" s="3110"/>
      <c r="Q26" s="977"/>
      <c r="R26" s="978">
        <f>SUM(R27:R28)</f>
        <v>0</v>
      </c>
    </row>
    <row r="27" spans="1:18" ht="75">
      <c r="A27" s="78">
        <f>'17.IT Initiatives_SD'!A12</f>
        <v>17.3</v>
      </c>
      <c r="B27" s="78">
        <f>'17.IT Initiatives_SD'!B12</f>
        <v>0</v>
      </c>
      <c r="C27" s="78" t="str">
        <f>'17.IT Initiatives_SD'!C12</f>
        <v>Implementation of ANMOL (Excel Procurement)</v>
      </c>
      <c r="D27" s="133" t="str">
        <f>'17.IT Initiatives_SD'!D12</f>
        <v>HSS</v>
      </c>
      <c r="E27" s="133" t="str">
        <f>'17.IT Initiatives_SD'!E12</f>
        <v>HMIS/ MCTS</v>
      </c>
      <c r="F27" s="133">
        <f>'17.IT Initiatives_SD'!F12</f>
        <v>17859</v>
      </c>
      <c r="G27" s="133">
        <f>'17.IT Initiatives_SD'!G12</f>
        <v>16599</v>
      </c>
      <c r="H27" s="133">
        <f>'17.IT Initiatives_SD'!H12</f>
        <v>429.33</v>
      </c>
      <c r="I27" s="133">
        <f>'17.IT Initiatives_SD'!I12</f>
        <v>124.82</v>
      </c>
      <c r="J27" s="133">
        <f>'17.IT Initiatives_SD'!J12</f>
        <v>0</v>
      </c>
      <c r="K27" s="133" t="str">
        <f>'17.IT Initiatives_SD'!K12</f>
        <v>Per ANM</v>
      </c>
      <c r="L27" s="133">
        <f>'17.IT Initiatives_SD'!L12</f>
        <v>4214724</v>
      </c>
      <c r="M27" s="136">
        <f>'17.IT Initiatives_SD'!M12</f>
        <v>42.147239999999996</v>
      </c>
      <c r="N27" s="133">
        <f>'17.IT Initiatives_SD'!N12</f>
        <v>12</v>
      </c>
      <c r="O27" s="136">
        <f>'17.IT Initiatives_SD'!O12</f>
        <v>505.76687999999996</v>
      </c>
      <c r="P27" s="3087" t="str">
        <f>'17.IT Initiatives_SD'!P12</f>
        <v xml:space="preserve">Old Activity: Old Activity: For Implementation of ANMOL in all 38 districts, the fund is proposed for 4G CUG SIM with Internet Connectivity (2.5 GB Data per day) for 17859 ANMs @ Rs. 236/- (Including GST) per CUG SIM per Month for 12 Months. Note : All BSNL CUG SIMs of ANM have been upgraded in to 4G along with 2.5 GB data per day. </v>
      </c>
      <c r="Q27" s="63"/>
      <c r="R27" s="979"/>
    </row>
    <row r="28" spans="1:18" ht="150">
      <c r="A28" s="78">
        <f>'17.IT Initiatives_SD'!A17</f>
        <v>17.8</v>
      </c>
      <c r="B28" s="78">
        <f>'17.IT Initiatives_SD'!B17</f>
        <v>0</v>
      </c>
      <c r="C28" s="78" t="str">
        <f>'17.IT Initiatives_SD'!C17</f>
        <v>Other IT Initiatives for Service Delivery (please specify)</v>
      </c>
      <c r="D28" s="133" t="str">
        <f>'17.IT Initiatives_SD'!D17</f>
        <v>HSS</v>
      </c>
      <c r="E28" s="133" t="str">
        <f>'17.IT Initiatives_SD'!E17</f>
        <v>HMIS/ MCTS</v>
      </c>
      <c r="F28" s="133">
        <f>'17.IT Initiatives_SD'!F17</f>
        <v>0</v>
      </c>
      <c r="G28" s="133">
        <f>'17.IT Initiatives_SD'!G17</f>
        <v>0</v>
      </c>
      <c r="H28" s="133">
        <f>'17.IT Initiatives_SD'!H17</f>
        <v>0</v>
      </c>
      <c r="I28" s="133">
        <f>'17.IT Initiatives_SD'!I17</f>
        <v>0</v>
      </c>
      <c r="J28" s="133">
        <f>'17.IT Initiatives_SD'!J17</f>
        <v>0</v>
      </c>
      <c r="K28" s="133" t="str">
        <f>'17.IT Initiatives_SD'!K17</f>
        <v>Internet Lease line</v>
      </c>
      <c r="L28" s="133">
        <f>'17.IT Initiatives_SD'!L17</f>
        <v>14790750</v>
      </c>
      <c r="M28" s="136">
        <f>'17.IT Initiatives_SD'!M17</f>
        <v>147.9075</v>
      </c>
      <c r="N28" s="133">
        <f>'17.IT Initiatives_SD'!N17</f>
        <v>12</v>
      </c>
      <c r="O28" s="136">
        <f>'17.IT Initiatives_SD'!O17</f>
        <v>1774.8899999999999</v>
      </c>
      <c r="P28" s="78" t="str">
        <f>'17.IT Initiatives_SD'!P17</f>
        <v xml:space="preserve">New Activity: 
10 Mbps Internet Leaseline for 533 PHCs- The fund of Rs.1774.89 lakh has been proposed for 10 Mbps 1:1 dedicated internet leaseline at all 533 Block PHCs to provide better internet facility at PHC level for e-Sanjeevani (Telemedicine), Data Entry/Updation/Report generation/Analysis of Data of different applications as like HMIS/RCH Portal/NCD Application, COVID-19 Application, COVID-19 Vaccination Application, Entry/Updation/Report generation thorugh online Tally, PC &amp; PNDT Portal, FPLMIS, DVDMS, RBSK Portal, PFMS, ICHH-Bihar (Thalassemia, Hemophilia, Sicklecell, Disease) etc. Unit Cost Rs. 3,33,000/- per annum for providing 1:1 dedicated internet leaseline for 533 Block PHCs. </v>
      </c>
      <c r="Q28" s="63"/>
      <c r="R28" s="979"/>
    </row>
  </sheetData>
  <sheetProtection sheet="1" formatCells="0" formatColumns="0" formatRows="0" autoFilter="0"/>
  <autoFilter ref="A5:M28"/>
  <mergeCells count="11">
    <mergeCell ref="A9:A12"/>
    <mergeCell ref="A14:A17"/>
    <mergeCell ref="Q4:R4"/>
    <mergeCell ref="E4:E5"/>
    <mergeCell ref="A1:C1"/>
    <mergeCell ref="A4:A5"/>
    <mergeCell ref="B4:B5"/>
    <mergeCell ref="C4:C5"/>
    <mergeCell ref="D4:D5"/>
    <mergeCell ref="F4:J4"/>
    <mergeCell ref="K4:P4"/>
  </mergeCells>
  <pageMargins left="0.25" right="0.16" top="0.28999999999999998" bottom="0.75" header="0.3" footer="0.3"/>
  <pageSetup paperSize="5" scale="75" orientation="landscape" horizontalDpi="0" verticalDpi="0" r:id="rId1"/>
</worksheet>
</file>

<file path=xl/worksheets/sheet39.xml><?xml version="1.0" encoding="utf-8"?>
<worksheet xmlns="http://schemas.openxmlformats.org/spreadsheetml/2006/main" xmlns:r="http://schemas.openxmlformats.org/officeDocument/2006/relationships">
  <sheetPr codeName="Sheet18"/>
  <dimension ref="A1:R32"/>
  <sheetViews>
    <sheetView zoomScale="60" zoomScaleNormal="60" workbookViewId="0">
      <pane xSplit="3" ySplit="5" topLeftCell="G6" activePane="bottomRight" state="frozen"/>
      <selection activeCell="Q172" sqref="A1:BE179"/>
      <selection pane="topRight" activeCell="Q172" sqref="A1:BE179"/>
      <selection pane="bottomLeft" activeCell="Q172" sqref="A1:BE179"/>
      <selection pane="bottomRight" sqref="A1:C1"/>
    </sheetView>
  </sheetViews>
  <sheetFormatPr defaultColWidth="9.140625" defaultRowHeight="15"/>
  <cols>
    <col min="1" max="1" width="10.140625" style="621" bestFit="1" customWidth="1"/>
    <col min="2" max="2" width="19.85546875" style="621" customWidth="1"/>
    <col min="3" max="3" width="67.85546875" style="407" bestFit="1" customWidth="1"/>
    <col min="4" max="4" width="12.85546875" style="407" customWidth="1"/>
    <col min="5" max="5" width="20.42578125" style="407" bestFit="1" customWidth="1"/>
    <col min="6" max="6" width="25.5703125" style="621" customWidth="1"/>
    <col min="7" max="7" width="16.85546875" style="621" bestFit="1" customWidth="1"/>
    <col min="8" max="8" width="18.28515625" style="949" bestFit="1" customWidth="1"/>
    <col min="9" max="9" width="15" style="621" customWidth="1"/>
    <col min="10" max="10" width="12.140625" style="949" bestFit="1" customWidth="1"/>
    <col min="11" max="11" width="22.7109375" style="407" bestFit="1" customWidth="1"/>
    <col min="12" max="12" width="17.28515625" style="407" bestFit="1" customWidth="1"/>
    <col min="13" max="13" width="11" style="949" customWidth="1"/>
    <col min="14" max="14" width="9.140625" style="621"/>
    <col min="15" max="15" width="16" style="621" customWidth="1"/>
    <col min="16" max="16" width="67.140625" style="407" customWidth="1"/>
    <col min="17" max="17" width="47.85546875" style="621" customWidth="1"/>
    <col min="18" max="18" width="14.85546875" style="949" customWidth="1"/>
    <col min="19" max="16384" width="9.140625" style="950"/>
  </cols>
  <sheetData>
    <row r="1" spans="1:18" s="499" customFormat="1">
      <c r="A1" s="4629" t="s">
        <v>2934</v>
      </c>
      <c r="B1" s="4630"/>
      <c r="C1" s="4631"/>
      <c r="D1" s="954"/>
      <c r="E1" s="954"/>
      <c r="F1" s="74" t="s">
        <v>3919</v>
      </c>
      <c r="G1" s="913"/>
      <c r="H1" s="913"/>
      <c r="I1" s="913"/>
      <c r="J1" s="913"/>
      <c r="K1" s="909"/>
      <c r="L1" s="909"/>
      <c r="M1" s="913"/>
      <c r="N1" s="929"/>
      <c r="O1" s="929"/>
      <c r="P1" s="408"/>
      <c r="Q1" s="929"/>
      <c r="R1" s="929"/>
    </row>
    <row r="2" spans="1:18" s="499" customFormat="1">
      <c r="A2" s="916" t="str">
        <f>HYPERLINK("#Index!F3", "Index Pg")</f>
        <v>Index Pg</v>
      </c>
      <c r="B2" s="923"/>
      <c r="C2" s="692" t="str">
        <f>HYPERLINK("#'Budget Summary I'!A1:AL1", "Budget Summary I")</f>
        <v>Budget Summary I</v>
      </c>
      <c r="D2" s="982"/>
      <c r="E2" s="585" t="s">
        <v>4599</v>
      </c>
      <c r="F2" s="983">
        <f>R26+R23+R19+R14+R9+R6+R31+R12+R29</f>
        <v>0</v>
      </c>
      <c r="G2" s="913"/>
      <c r="H2" s="913"/>
      <c r="I2" s="913"/>
      <c r="J2" s="913"/>
      <c r="K2" s="929"/>
      <c r="L2" s="594"/>
      <c r="M2" s="913"/>
      <c r="N2" s="929"/>
      <c r="O2" s="929"/>
      <c r="P2" s="408"/>
      <c r="Q2" s="929"/>
      <c r="R2" s="929"/>
    </row>
    <row r="3" spans="1:18" s="499" customFormat="1">
      <c r="A3" s="922"/>
      <c r="B3" s="923"/>
      <c r="C3" s="692" t="str">
        <f>HYPERLINK("#'Budget Summary II'!A3:B5", "Budget Summary II")</f>
        <v>Budget Summary II</v>
      </c>
      <c r="D3" s="922"/>
      <c r="E3" s="926" t="s">
        <v>4600</v>
      </c>
      <c r="F3" s="983">
        <f>O26+O23+O19+O14+O9+O6+O31+O12+O29</f>
        <v>317.90999999999997</v>
      </c>
      <c r="G3" s="913"/>
      <c r="H3" s="913"/>
      <c r="I3" s="913"/>
      <c r="J3" s="913"/>
      <c r="K3" s="929"/>
      <c r="L3" s="594"/>
      <c r="M3" s="913"/>
      <c r="N3" s="929"/>
      <c r="O3" s="929"/>
      <c r="P3" s="408"/>
      <c r="Q3" s="929"/>
      <c r="R3" s="929"/>
    </row>
    <row r="4" spans="1:18" s="621" customFormat="1" ht="14.25" customHeight="1">
      <c r="A4" s="4323" t="s">
        <v>53</v>
      </c>
      <c r="B4" s="4323" t="s">
        <v>54</v>
      </c>
      <c r="C4" s="4323" t="s">
        <v>55</v>
      </c>
      <c r="D4" s="4323" t="s">
        <v>56</v>
      </c>
      <c r="E4" s="4323" t="s">
        <v>57</v>
      </c>
      <c r="F4" s="4632" t="s">
        <v>4620</v>
      </c>
      <c r="G4" s="4632"/>
      <c r="H4" s="4632"/>
      <c r="I4" s="4632"/>
      <c r="J4" s="4632"/>
      <c r="K4" s="4632" t="s">
        <v>4631</v>
      </c>
      <c r="L4" s="4632"/>
      <c r="M4" s="4632"/>
      <c r="N4" s="4632"/>
      <c r="O4" s="4632"/>
      <c r="P4" s="4632"/>
      <c r="Q4" s="4628" t="s">
        <v>4661</v>
      </c>
      <c r="R4" s="4628"/>
    </row>
    <row r="5" spans="1:18" s="621" customFormat="1" ht="29.1" customHeight="1">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s="499" customFormat="1">
      <c r="A6" s="984">
        <f>'1.SD Facility Based Annex'!A7</f>
        <v>1</v>
      </c>
      <c r="B6" s="984"/>
      <c r="C6" s="985" t="str">
        <f>'1.SD Facility Based Annex'!C7</f>
        <v>Service Delivery - Facility Based</v>
      </c>
      <c r="D6" s="984"/>
      <c r="E6" s="984"/>
      <c r="F6" s="984"/>
      <c r="G6" s="984"/>
      <c r="H6" s="984"/>
      <c r="I6" s="984"/>
      <c r="J6" s="984"/>
      <c r="K6" s="984"/>
      <c r="L6" s="984"/>
      <c r="M6" s="485"/>
      <c r="N6" s="984"/>
      <c r="O6" s="485">
        <f>SUM(O7:O8)</f>
        <v>0</v>
      </c>
      <c r="P6" s="985"/>
      <c r="Q6" s="985"/>
      <c r="R6" s="485">
        <f>SUM(R7:R8)</f>
        <v>0</v>
      </c>
    </row>
    <row r="7" spans="1:18" s="499" customFormat="1" ht="30">
      <c r="A7" s="490" t="str">
        <f>'1.SD Facility Based Annex'!A53</f>
        <v>1.1.7.3</v>
      </c>
      <c r="B7" s="490" t="str">
        <f>'1.SD Facility Based Annex'!B53</f>
        <v>B14.3</v>
      </c>
      <c r="C7" s="986" t="str">
        <f>'1.SD Facility Based Annex'!C53</f>
        <v>Transfusion support to patients with blood disorders  and for prevention programs</v>
      </c>
      <c r="D7" s="490" t="str">
        <f>'1.SD Facility Based Annex'!D53</f>
        <v>HSS</v>
      </c>
      <c r="E7" s="490" t="str">
        <f>'1.SD Facility Based Annex'!E53</f>
        <v>Blood Cell/ HSS</v>
      </c>
      <c r="F7" s="490">
        <f>'1.SD Facility Based Annex'!F53</f>
        <v>0</v>
      </c>
      <c r="G7" s="490">
        <f>'1.SD Facility Based Annex'!G53</f>
        <v>0</v>
      </c>
      <c r="H7" s="490">
        <f>'1.SD Facility Based Annex'!H53</f>
        <v>0</v>
      </c>
      <c r="I7" s="490">
        <f>'1.SD Facility Based Annex'!I53</f>
        <v>0</v>
      </c>
      <c r="J7" s="490">
        <f>'1.SD Facility Based Annex'!J53</f>
        <v>0</v>
      </c>
      <c r="K7" s="490">
        <f>'1.SD Facility Based Annex'!K53</f>
        <v>0</v>
      </c>
      <c r="L7" s="490">
        <f>'1.SD Facility Based Annex'!L53</f>
        <v>0</v>
      </c>
      <c r="M7" s="476">
        <f>'1.SD Facility Based Annex'!M53</f>
        <v>0</v>
      </c>
      <c r="N7" s="490">
        <f>'1.SD Facility Based Annex'!N53</f>
        <v>0</v>
      </c>
      <c r="O7" s="476">
        <f>'1.SD Facility Based Annex'!O53</f>
        <v>0</v>
      </c>
      <c r="P7" s="986">
        <f>'1.SD Facility Based Annex'!P53</f>
        <v>0</v>
      </c>
      <c r="Q7" s="991"/>
      <c r="R7" s="896"/>
    </row>
    <row r="8" spans="1:18" s="499" customFormat="1" ht="30">
      <c r="A8" s="490" t="str">
        <f>'1.SD Facility Based Annex'!A57</f>
        <v>1.1.7.7</v>
      </c>
      <c r="B8" s="490">
        <f>'1.SD Facility Based Annex'!B57</f>
        <v>0</v>
      </c>
      <c r="C8" s="986" t="str">
        <f>'1.SD Facility Based Annex'!C57</f>
        <v>Patient requiring Blood Transfusion: 1) Patients with blood disorders 2) Patients in Trauma 3) Other requiring blood transfusion</v>
      </c>
      <c r="D8" s="490" t="str">
        <f>'1.SD Facility Based Annex'!D57</f>
        <v>HSS</v>
      </c>
      <c r="E8" s="490" t="str">
        <f>'1.SD Facility Based Annex'!E57</f>
        <v>Blood Cell/ HSS</v>
      </c>
      <c r="F8" s="490">
        <f>'1.SD Facility Based Annex'!F57</f>
        <v>0</v>
      </c>
      <c r="G8" s="490">
        <f>'1.SD Facility Based Annex'!G57</f>
        <v>0</v>
      </c>
      <c r="H8" s="490">
        <f>'1.SD Facility Based Annex'!H57</f>
        <v>0</v>
      </c>
      <c r="I8" s="490">
        <f>'1.SD Facility Based Annex'!I57</f>
        <v>0</v>
      </c>
      <c r="J8" s="490">
        <f>'1.SD Facility Based Annex'!J57</f>
        <v>0</v>
      </c>
      <c r="K8" s="490">
        <f>'1.SD Facility Based Annex'!K57</f>
        <v>0</v>
      </c>
      <c r="L8" s="490">
        <f>'1.SD Facility Based Annex'!L57</f>
        <v>0</v>
      </c>
      <c r="M8" s="476">
        <f>'1.SD Facility Based Annex'!M57</f>
        <v>0</v>
      </c>
      <c r="N8" s="490">
        <f>'1.SD Facility Based Annex'!N57</f>
        <v>0</v>
      </c>
      <c r="O8" s="476">
        <f>'1.SD Facility Based Annex'!O57</f>
        <v>0</v>
      </c>
      <c r="P8" s="986">
        <f>'1.SD Facility Based Annex'!P57</f>
        <v>0</v>
      </c>
      <c r="Q8" s="991"/>
      <c r="R8" s="992"/>
    </row>
    <row r="9" spans="1:18">
      <c r="A9" s="334">
        <f>'2.SD Community Based Annex'!A7</f>
        <v>2</v>
      </c>
      <c r="B9" s="334"/>
      <c r="C9" s="333" t="str">
        <f>'2.SD Community Based Annex'!C7</f>
        <v>Service Delivery - Community Based</v>
      </c>
      <c r="D9" s="334"/>
      <c r="E9" s="334"/>
      <c r="F9" s="334"/>
      <c r="G9" s="334"/>
      <c r="H9" s="334"/>
      <c r="I9" s="334"/>
      <c r="J9" s="334"/>
      <c r="K9" s="334"/>
      <c r="L9" s="334"/>
      <c r="M9" s="240"/>
      <c r="N9" s="334"/>
      <c r="O9" s="240">
        <f>SUM(O10:O11)</f>
        <v>0</v>
      </c>
      <c r="P9" s="3558"/>
      <c r="Q9" s="327"/>
      <c r="R9" s="129">
        <f>SUM(R10:R11)</f>
        <v>0</v>
      </c>
    </row>
    <row r="10" spans="1:18" ht="30">
      <c r="A10" s="133" t="str">
        <f>'2.SD Community Based Annex'!A16</f>
        <v>2.1.3.1</v>
      </c>
      <c r="B10" s="133" t="str">
        <f>'2.SD Community Based Annex'!B16</f>
        <v>B11.2.4</v>
      </c>
      <c r="C10" s="78" t="str">
        <f>'2.SD Community Based Annex'!C16</f>
        <v>Blood collection and Transport Vans (including POL and TA /DA of HR of BCTV and other contingency)</v>
      </c>
      <c r="D10" s="133" t="str">
        <f>'2.SD Community Based Annex'!D16</f>
        <v>HSS</v>
      </c>
      <c r="E10" s="133" t="str">
        <f>'2.SD Community Based Annex'!E16</f>
        <v>Blood Services</v>
      </c>
      <c r="F10" s="133">
        <f>'2.SD Community Based Annex'!F16</f>
        <v>0</v>
      </c>
      <c r="G10" s="133">
        <f>'2.SD Community Based Annex'!G16</f>
        <v>0</v>
      </c>
      <c r="H10" s="133">
        <f>'2.SD Community Based Annex'!H16</f>
        <v>0</v>
      </c>
      <c r="I10" s="133">
        <f>'2.SD Community Based Annex'!I16</f>
        <v>0</v>
      </c>
      <c r="J10" s="133">
        <f>'2.SD Community Based Annex'!J16</f>
        <v>0</v>
      </c>
      <c r="K10" s="133">
        <f>'2.SD Community Based Annex'!K16</f>
        <v>0</v>
      </c>
      <c r="L10" s="133">
        <f>'2.SD Community Based Annex'!L16</f>
        <v>0</v>
      </c>
      <c r="M10" s="136">
        <f>'2.SD Community Based Annex'!M16</f>
        <v>0</v>
      </c>
      <c r="N10" s="133">
        <f>'2.SD Community Based Annex'!N16</f>
        <v>0</v>
      </c>
      <c r="O10" s="136">
        <f>'2.SD Community Based Annex'!O16</f>
        <v>0</v>
      </c>
      <c r="P10" s="3559">
        <f>'2.SD Community Based Annex'!P16</f>
        <v>0</v>
      </c>
      <c r="Q10" s="991"/>
      <c r="R10" s="125"/>
    </row>
    <row r="11" spans="1:18" ht="45">
      <c r="A11" s="133" t="str">
        <f>'2.SD Community Based Annex'!A56</f>
        <v>2.3.3.1</v>
      </c>
      <c r="B11" s="133" t="str">
        <f>'2.SD Community Based Annex'!B56</f>
        <v>A.2.10.1</v>
      </c>
      <c r="C11" s="78" t="str">
        <f>'2.SD Community Based Annex'!C56</f>
        <v>One time Screening to Identify the carriers of Sickle cell trait, β Thalassemia, Haemoglobin variants at school especially class 8 students and in newborns</v>
      </c>
      <c r="D11" s="133" t="str">
        <f>'2.SD Community Based Annex'!D56</f>
        <v>RCH</v>
      </c>
      <c r="E11" s="133" t="str">
        <f>'2.SD Community Based Annex'!E56</f>
        <v>CH</v>
      </c>
      <c r="F11" s="133">
        <f>'2.SD Community Based Annex'!F56</f>
        <v>0</v>
      </c>
      <c r="G11" s="133">
        <f>'2.SD Community Based Annex'!G56</f>
        <v>0</v>
      </c>
      <c r="H11" s="133">
        <f>'2.SD Community Based Annex'!H56</f>
        <v>0</v>
      </c>
      <c r="I11" s="133">
        <f>'2.SD Community Based Annex'!I56</f>
        <v>0</v>
      </c>
      <c r="J11" s="133">
        <f>'2.SD Community Based Annex'!J56</f>
        <v>0</v>
      </c>
      <c r="K11" s="133">
        <f>'2.SD Community Based Annex'!K56</f>
        <v>0</v>
      </c>
      <c r="L11" s="133">
        <f>'2.SD Community Based Annex'!L56</f>
        <v>0</v>
      </c>
      <c r="M11" s="136">
        <f>'2.SD Community Based Annex'!M56</f>
        <v>0</v>
      </c>
      <c r="N11" s="133">
        <f>'2.SD Community Based Annex'!N56</f>
        <v>0</v>
      </c>
      <c r="O11" s="136">
        <f>'2.SD Community Based Annex'!O56</f>
        <v>0</v>
      </c>
      <c r="P11" s="3559">
        <f>'2.SD Community Based Annex'!P56</f>
        <v>0</v>
      </c>
      <c r="Q11" s="991"/>
      <c r="R11" s="125"/>
    </row>
    <row r="12" spans="1:18">
      <c r="A12" s="334">
        <f>'5.Infrastructure Annex'!A7</f>
        <v>5</v>
      </c>
      <c r="B12" s="334"/>
      <c r="C12" s="333" t="str">
        <f>'5.Infrastructure Annex'!C7</f>
        <v>Infrastructure</v>
      </c>
      <c r="D12" s="334"/>
      <c r="E12" s="334"/>
      <c r="F12" s="334"/>
      <c r="G12" s="334"/>
      <c r="H12" s="240"/>
      <c r="I12" s="334"/>
      <c r="J12" s="240"/>
      <c r="K12" s="334"/>
      <c r="L12" s="334"/>
      <c r="M12" s="240"/>
      <c r="N12" s="962"/>
      <c r="O12" s="987">
        <f>O13</f>
        <v>50</v>
      </c>
      <c r="P12" s="416"/>
      <c r="Q12" s="993"/>
      <c r="R12" s="994">
        <f>R13</f>
        <v>0</v>
      </c>
    </row>
    <row r="13" spans="1:18" ht="75">
      <c r="A13" s="133" t="str">
        <f>'5.Infrastructure Annex'!A84</f>
        <v>5.3.3</v>
      </c>
      <c r="B13" s="133" t="str">
        <f>'5.Infrastructure Annex'!B84</f>
        <v>B4.1.5.4.1</v>
      </c>
      <c r="C13" s="78" t="str">
        <f>'5.Infrastructure Annex'!C84</f>
        <v>Blood bank/ BCSU/ BSU/ Day care centre for hemoglobinopathies</v>
      </c>
      <c r="D13" s="133" t="str">
        <f>'5.Infrastructure Annex'!D84</f>
        <v>HSS</v>
      </c>
      <c r="E13" s="133" t="str">
        <f>'5.Infrastructure Annex'!E84</f>
        <v>Blood cell/ HSS</v>
      </c>
      <c r="F13" s="133">
        <f>'5.Infrastructure Annex'!F84</f>
        <v>0</v>
      </c>
      <c r="G13" s="133">
        <f>'5.Infrastructure Annex'!G84</f>
        <v>0</v>
      </c>
      <c r="H13" s="133">
        <f>'5.Infrastructure Annex'!H84</f>
        <v>0</v>
      </c>
      <c r="I13" s="133">
        <f>'5.Infrastructure Annex'!I84</f>
        <v>0</v>
      </c>
      <c r="J13" s="133">
        <f>'5.Infrastructure Annex'!J84</f>
        <v>0</v>
      </c>
      <c r="K13" s="133">
        <f>'5.Infrastructure Annex'!K84</f>
        <v>0</v>
      </c>
      <c r="L13" s="133">
        <f>'5.Infrastructure Annex'!L84</f>
        <v>5000000</v>
      </c>
      <c r="M13" s="136">
        <f>'5.Infrastructure Annex'!M84</f>
        <v>50</v>
      </c>
      <c r="N13" s="133">
        <f>'5.Infrastructure Annex'!N84</f>
        <v>1</v>
      </c>
      <c r="O13" s="136">
        <f>'5.Infrastructure Annex'!O84</f>
        <v>50</v>
      </c>
      <c r="P13" s="3559" t="str">
        <f>'5.Infrastructure Annex'!P84</f>
        <v>Renovation of all 26 old blood banks &amp; 10 new blood banks and 4 BCSU is under process as budgut approved in ROP 2020- 2021 . Shortage of fund is reported from  Blood banks namely Araria, Banka, Madhubani, Jehanabad , Samastipur etc. Renovation of newly proposed 1 blood Bank &amp; 2 BCSU.</v>
      </c>
      <c r="Q13" s="63"/>
      <c r="R13" s="125"/>
    </row>
    <row r="14" spans="1:18">
      <c r="A14" s="334">
        <f>'6.Procurement Annex'!A7</f>
        <v>6</v>
      </c>
      <c r="B14" s="334"/>
      <c r="C14" s="333" t="str">
        <f>'6.Procurement Annex'!C7</f>
        <v>Procurement</v>
      </c>
      <c r="D14" s="334"/>
      <c r="E14" s="334"/>
      <c r="F14" s="334"/>
      <c r="G14" s="334"/>
      <c r="H14" s="240"/>
      <c r="I14" s="334"/>
      <c r="J14" s="240"/>
      <c r="K14" s="334"/>
      <c r="L14" s="334"/>
      <c r="M14" s="240"/>
      <c r="N14" s="962"/>
      <c r="O14" s="987">
        <f>SUM(O15:O18)</f>
        <v>186.95</v>
      </c>
      <c r="P14" s="1111"/>
      <c r="Q14" s="977"/>
      <c r="R14" s="994">
        <f>SUM(R15:R18)</f>
        <v>0</v>
      </c>
    </row>
    <row r="15" spans="1:18">
      <c r="A15" s="4246" t="str">
        <f>'6.Procurement Annex'!A20</f>
        <v>6.1.2.3</v>
      </c>
      <c r="B15" s="473">
        <f>'6-A. Proc. Sub-Annex'!C51</f>
        <v>0</v>
      </c>
      <c r="C15" s="387" t="str">
        <f>'6-A. Proc. Sub-Annex'!D51</f>
        <v>Equipment for Blood Banks/BSU/BCSU</v>
      </c>
      <c r="D15" s="473" t="str">
        <f>'6-A. Proc. Sub-Annex'!E51</f>
        <v>HSS</v>
      </c>
      <c r="E15" s="473" t="str">
        <f>'6-A. Proc. Sub-Annex'!F51</f>
        <v>Blood Cell</v>
      </c>
      <c r="F15" s="473">
        <f>'6-A. Proc. Sub-Annex'!G51</f>
        <v>0</v>
      </c>
      <c r="G15" s="473">
        <f>'6-A. Proc. Sub-Annex'!H51</f>
        <v>0</v>
      </c>
      <c r="H15" s="473">
        <f>'6-A. Proc. Sub-Annex'!I51</f>
        <v>0</v>
      </c>
      <c r="I15" s="473">
        <f>'6-A. Proc. Sub-Annex'!J51</f>
        <v>0</v>
      </c>
      <c r="J15" s="473">
        <f>'6-A. Proc. Sub-Annex'!K51</f>
        <v>0</v>
      </c>
      <c r="K15" s="473">
        <f>'6-A. Proc. Sub-Annex'!L51</f>
        <v>0</v>
      </c>
      <c r="L15" s="473">
        <f>'6-A. Proc. Sub-Annex'!M51</f>
        <v>0</v>
      </c>
      <c r="M15" s="945">
        <f>'6-A. Proc. Sub-Annex'!N51</f>
        <v>0</v>
      </c>
      <c r="N15" s="473">
        <f>'6-A. Proc. Sub-Annex'!O51</f>
        <v>0</v>
      </c>
      <c r="O15" s="945">
        <f>'6-A. Proc. Sub-Annex'!P51</f>
        <v>0</v>
      </c>
      <c r="P15" s="3559">
        <f>'6-A. Proc. Sub-Annex'!Q51</f>
        <v>0</v>
      </c>
      <c r="Q15" s="63"/>
      <c r="R15" s="125"/>
    </row>
    <row r="16" spans="1:18">
      <c r="A16" s="4246"/>
      <c r="B16" s="473">
        <f>'6-A. Proc. Sub-Annex'!C52</f>
        <v>0</v>
      </c>
      <c r="C16" s="387" t="str">
        <f>'6-A. Proc. Sub-Annex'!D52</f>
        <v>Equipment for Day Care Centre</v>
      </c>
      <c r="D16" s="473" t="str">
        <f>'6-A. Proc. Sub-Annex'!E52</f>
        <v>HSS</v>
      </c>
      <c r="E16" s="473" t="str">
        <f>'6-A. Proc. Sub-Annex'!F52</f>
        <v>Blood Cell</v>
      </c>
      <c r="F16" s="473">
        <f>'6-A. Proc. Sub-Annex'!G52</f>
        <v>0</v>
      </c>
      <c r="G16" s="473">
        <f>'6-A. Proc. Sub-Annex'!H52</f>
        <v>0</v>
      </c>
      <c r="H16" s="473">
        <f>'6-A. Proc. Sub-Annex'!I52</f>
        <v>0</v>
      </c>
      <c r="I16" s="473">
        <f>'6-A. Proc. Sub-Annex'!J52</f>
        <v>0</v>
      </c>
      <c r="J16" s="473">
        <f>'6-A. Proc. Sub-Annex'!K52</f>
        <v>0</v>
      </c>
      <c r="K16" s="473">
        <f>'6-A. Proc. Sub-Annex'!L52</f>
        <v>0</v>
      </c>
      <c r="L16" s="473">
        <f>'6-A. Proc. Sub-Annex'!M52</f>
        <v>0</v>
      </c>
      <c r="M16" s="945">
        <f>'6-A. Proc. Sub-Annex'!N52</f>
        <v>0</v>
      </c>
      <c r="N16" s="473">
        <f>'6-A. Proc. Sub-Annex'!O52</f>
        <v>0</v>
      </c>
      <c r="O16" s="945">
        <f>'6-A. Proc. Sub-Annex'!P52</f>
        <v>0</v>
      </c>
      <c r="P16" s="3559">
        <f>'6-A. Proc. Sub-Annex'!Q52</f>
        <v>0</v>
      </c>
      <c r="Q16" s="63"/>
      <c r="R16" s="125"/>
    </row>
    <row r="17" spans="1:18" ht="150">
      <c r="A17" s="4246" t="str">
        <f>'6.Procurement Annex'!A65</f>
        <v>6.2.2.2</v>
      </c>
      <c r="B17" s="473" t="str">
        <f>'6-A. Proc. Sub-Annex'!C198</f>
        <v>B.16.2.11.1</v>
      </c>
      <c r="C17" s="387" t="str">
        <f>'6-A. Proc. Sub-Annex'!D198</f>
        <v xml:space="preserve">Drugs and Supplies for blood services </v>
      </c>
      <c r="D17" s="473" t="str">
        <f>'6-A. Proc. Sub-Annex'!E198</f>
        <v>HSS</v>
      </c>
      <c r="E17" s="473" t="str">
        <f>'6-A. Proc. Sub-Annex'!F198</f>
        <v>Blood Cell</v>
      </c>
      <c r="F17" s="473">
        <f>'6-A. Proc. Sub-Annex'!G198</f>
        <v>0</v>
      </c>
      <c r="G17" s="473">
        <f>'6-A. Proc. Sub-Annex'!H198</f>
        <v>0</v>
      </c>
      <c r="H17" s="473">
        <f>'6-A. Proc. Sub-Annex'!I198</f>
        <v>0</v>
      </c>
      <c r="I17" s="473">
        <f>'6-A. Proc. Sub-Annex'!J198</f>
        <v>0</v>
      </c>
      <c r="J17" s="473">
        <f>'6-A. Proc. Sub-Annex'!K198</f>
        <v>0</v>
      </c>
      <c r="K17" s="473">
        <f>'6-A. Proc. Sub-Annex'!L198</f>
        <v>0</v>
      </c>
      <c r="L17" s="473">
        <f>'6-A. Proc. Sub-Annex'!M198</f>
        <v>17695000</v>
      </c>
      <c r="M17" s="945">
        <f>'6-A. Proc. Sub-Annex'!N198</f>
        <v>176.95</v>
      </c>
      <c r="N17" s="473">
        <f>'6-A. Proc. Sub-Annex'!O198</f>
        <v>1</v>
      </c>
      <c r="O17" s="945">
        <f>'6-A. Proc. Sub-Annex'!P198</f>
        <v>176.95</v>
      </c>
      <c r="P17" s="3559" t="str">
        <f>'6-A. Proc. Sub-Annex'!Q198</f>
        <v>As per gap analysis &amp; requirement sent by Blood bank there isrequirement of 24 BBR &amp; 31 Tube sealer in blood bank.
Rs. 26.35 Lac for 31 Table top tube selar @ 85000
Rs. 42.0 Lac for 24 BBR @ Rs 175000
Rs. 7.2 Lac for 72 Hemoglobinometer @ 10000/=
Rs. 30 Lakh for 1 new blood bank in SDH Barh Patna.
2. Rs 15 Lacs for 500 VBD camp @ RS 3000/camp
3. Rs 56.4 lakh for kinds and consumable of 47 blood banks @ Rs 10000/months
Total Rs 176.95 Lacs</v>
      </c>
      <c r="Q17" s="63"/>
      <c r="R17" s="125"/>
    </row>
    <row r="18" spans="1:18" ht="75">
      <c r="A18" s="4246"/>
      <c r="B18" s="473" t="str">
        <f>'6-A. Proc. Sub-Annex'!C199</f>
        <v>B.16.2.11.1</v>
      </c>
      <c r="C18" s="387" t="str">
        <f>'6-A. Proc. Sub-Annex'!D199</f>
        <v xml:space="preserve">Drugs and Supplies for blood related disorders- Haemoglobinopathies &amp; Haemophilia </v>
      </c>
      <c r="D18" s="473" t="str">
        <f>'6-A. Proc. Sub-Annex'!E199</f>
        <v>HSS</v>
      </c>
      <c r="E18" s="473" t="str">
        <f>'6-A. Proc. Sub-Annex'!F199</f>
        <v>Blood Cell</v>
      </c>
      <c r="F18" s="473">
        <f>'6-A. Proc. Sub-Annex'!G199</f>
        <v>0</v>
      </c>
      <c r="G18" s="473">
        <f>'6-A. Proc. Sub-Annex'!H199</f>
        <v>0</v>
      </c>
      <c r="H18" s="473">
        <f>'6-A. Proc. Sub-Annex'!I199</f>
        <v>0</v>
      </c>
      <c r="I18" s="473">
        <f>'6-A. Proc. Sub-Annex'!J199</f>
        <v>0</v>
      </c>
      <c r="J18" s="473">
        <f>'6-A. Proc. Sub-Annex'!K199</f>
        <v>0</v>
      </c>
      <c r="K18" s="473">
        <f>'6-A. Proc. Sub-Annex'!L199</f>
        <v>0</v>
      </c>
      <c r="L18" s="473">
        <f>'6-A. Proc. Sub-Annex'!M199</f>
        <v>1000000</v>
      </c>
      <c r="M18" s="945">
        <f>'6-A. Proc. Sub-Annex'!N199</f>
        <v>10</v>
      </c>
      <c r="N18" s="473">
        <f>'6-A. Proc. Sub-Annex'!O199</f>
        <v>1</v>
      </c>
      <c r="O18" s="945">
        <f>'6-A. Proc. Sub-Annex'!P199</f>
        <v>10</v>
      </c>
      <c r="P18" s="3559" t="str">
        <f>'6-A. Proc. Sub-Annex'!Q199</f>
        <v xml:space="preserve">1. Rs. 2 Lacs for contingency fund for Integrated Day Care Center PMCH Patna &amp; SKMCH Muzaffarpur @ Rs 1 lac per center per year.
2. Rs. 8 Lacs for Leucodepleted blood bags/Bed side filter for Thalassemia patients @Rs. 800 f0r 1000 unit
Total Rs. 10 Lacs </v>
      </c>
      <c r="Q18" s="63"/>
      <c r="R18" s="125"/>
    </row>
    <row r="19" spans="1:18">
      <c r="A19" s="334">
        <f>'9.Training Annex'!A7</f>
        <v>9</v>
      </c>
      <c r="B19" s="334"/>
      <c r="C19" s="333" t="str">
        <f>'9.Training Annex'!C7</f>
        <v>Training and Capacity Building</v>
      </c>
      <c r="D19" s="334"/>
      <c r="E19" s="334"/>
      <c r="F19" s="334"/>
      <c r="G19" s="334"/>
      <c r="H19" s="240"/>
      <c r="I19" s="334"/>
      <c r="J19" s="240"/>
      <c r="K19" s="334"/>
      <c r="L19" s="334"/>
      <c r="M19" s="240"/>
      <c r="N19" s="962"/>
      <c r="O19" s="987">
        <f>SUM(O20:O22)</f>
        <v>47.5</v>
      </c>
      <c r="P19" s="1111"/>
      <c r="Q19" s="977"/>
      <c r="R19" s="994">
        <f>SUM(R20:R22)</f>
        <v>0</v>
      </c>
    </row>
    <row r="20" spans="1:18" ht="120">
      <c r="A20" s="4633" t="str">
        <f>'9.Training Annex'!A30</f>
        <v>9.2.2.1</v>
      </c>
      <c r="B20" s="133" t="str">
        <f>'9-A.Training Sub-Annex'!C147</f>
        <v>A.9.3.8</v>
      </c>
      <c r="C20" s="78" t="str">
        <f>'9-A.Training Sub-Annex'!D147</f>
        <v>Blood Bank/Blood Storage Unit (BSU) Training</v>
      </c>
      <c r="D20" s="133" t="str">
        <f>'9-A.Training Sub-Annex'!E147</f>
        <v>HSS</v>
      </c>
      <c r="E20" s="133" t="str">
        <f>'9-A.Training Sub-Annex'!F147</f>
        <v>Blood Services</v>
      </c>
      <c r="F20" s="133">
        <f>'9-A.Training Sub-Annex'!G147</f>
        <v>0</v>
      </c>
      <c r="G20" s="133">
        <f>'9-A.Training Sub-Annex'!H147</f>
        <v>0</v>
      </c>
      <c r="H20" s="133">
        <f>'9-A.Training Sub-Annex'!I147</f>
        <v>0</v>
      </c>
      <c r="I20" s="133">
        <f>'9-A.Training Sub-Annex'!J147</f>
        <v>0</v>
      </c>
      <c r="J20" s="133">
        <f>'9-A.Training Sub-Annex'!K147</f>
        <v>0</v>
      </c>
      <c r="K20" s="133">
        <f>'9-A.Training Sub-Annex'!L147</f>
        <v>1</v>
      </c>
      <c r="L20" s="133">
        <f>'9-A.Training Sub-Annex'!M147</f>
        <v>4750000</v>
      </c>
      <c r="M20" s="136">
        <f>'9-A.Training Sub-Annex'!N147</f>
        <v>47.5</v>
      </c>
      <c r="N20" s="133">
        <f>'9-A.Training Sub-Annex'!O147</f>
        <v>1</v>
      </c>
      <c r="O20" s="136">
        <f>'9-A.Training Sub-Annex'!P147</f>
        <v>47.5</v>
      </c>
      <c r="P20" s="3559" t="str">
        <f>'9-A.Training Sub-Annex'!Q147</f>
        <v>Rs. 30 Lac for Trainng of MOs and LT Blood Bank &amp; BSU at National  istitute of bilogical Noida/IGMS Patna
Training / Workshop for Hemoglobinopathies 15 Laks
Monitoring and supportive supervision by blood bank expert to improve quality of blood bank services. Six monthly visits to each blood bank and honorarium @2500 per day for 45 blood banks. 
90 x 2500 = 225000
Total- Rs. 47.5 Lakh</v>
      </c>
      <c r="Q20" s="63"/>
      <c r="R20" s="125"/>
    </row>
    <row r="21" spans="1:18">
      <c r="A21" s="4633"/>
      <c r="B21" s="133" t="str">
        <f>'9-A.Training Sub-Annex'!C148</f>
        <v>A.9.3.8</v>
      </c>
      <c r="C21" s="78" t="str">
        <f>'9-A.Training Sub-Annex'!D148</f>
        <v xml:space="preserve">Training for Haemoglobinopathies </v>
      </c>
      <c r="D21" s="133" t="str">
        <f>'9-A.Training Sub-Annex'!E148</f>
        <v>HSS</v>
      </c>
      <c r="E21" s="133" t="str">
        <f>'9-A.Training Sub-Annex'!F148</f>
        <v>Blood Services</v>
      </c>
      <c r="F21" s="133">
        <f>'9-A.Training Sub-Annex'!G148</f>
        <v>0</v>
      </c>
      <c r="G21" s="133">
        <f>'9-A.Training Sub-Annex'!H148</f>
        <v>0</v>
      </c>
      <c r="H21" s="133">
        <f>'9-A.Training Sub-Annex'!I148</f>
        <v>0</v>
      </c>
      <c r="I21" s="133">
        <f>'9-A.Training Sub-Annex'!J148</f>
        <v>0</v>
      </c>
      <c r="J21" s="133">
        <f>'9-A.Training Sub-Annex'!K148</f>
        <v>0</v>
      </c>
      <c r="K21" s="133">
        <f>'9-A.Training Sub-Annex'!L148</f>
        <v>0</v>
      </c>
      <c r="L21" s="133">
        <f>'9-A.Training Sub-Annex'!M148</f>
        <v>0</v>
      </c>
      <c r="M21" s="136">
        <f>'9-A.Training Sub-Annex'!N148</f>
        <v>0</v>
      </c>
      <c r="N21" s="133">
        <f>'9-A.Training Sub-Annex'!O148</f>
        <v>0</v>
      </c>
      <c r="O21" s="136">
        <f>'9-A.Training Sub-Annex'!P148</f>
        <v>0</v>
      </c>
      <c r="P21" s="3559">
        <f>'9-A.Training Sub-Annex'!Q148</f>
        <v>0</v>
      </c>
      <c r="Q21" s="63"/>
      <c r="R21" s="125"/>
    </row>
    <row r="22" spans="1:18">
      <c r="A22" s="4633"/>
      <c r="B22" s="133">
        <f>'9-A.Training Sub-Annex'!C149</f>
        <v>0</v>
      </c>
      <c r="C22" s="78" t="str">
        <f>'9-A.Training Sub-Annex'!D149</f>
        <v>Any other trainings (please specify) related to BB and blood disorders</v>
      </c>
      <c r="D22" s="133" t="str">
        <f>'9-A.Training Sub-Annex'!E149</f>
        <v>HSS</v>
      </c>
      <c r="E22" s="133" t="str">
        <f>'9-A.Training Sub-Annex'!F149</f>
        <v>Blood Services</v>
      </c>
      <c r="F22" s="133">
        <f>'9-A.Training Sub-Annex'!G149</f>
        <v>0</v>
      </c>
      <c r="G22" s="133">
        <f>'9-A.Training Sub-Annex'!H149</f>
        <v>0</v>
      </c>
      <c r="H22" s="133">
        <f>'9-A.Training Sub-Annex'!I149</f>
        <v>0</v>
      </c>
      <c r="I22" s="133">
        <f>'9-A.Training Sub-Annex'!J149</f>
        <v>0</v>
      </c>
      <c r="J22" s="133">
        <f>'9-A.Training Sub-Annex'!K149</f>
        <v>0</v>
      </c>
      <c r="K22" s="133">
        <f>'9-A.Training Sub-Annex'!L149</f>
        <v>0</v>
      </c>
      <c r="L22" s="133">
        <f>'9-A.Training Sub-Annex'!M149</f>
        <v>0</v>
      </c>
      <c r="M22" s="136">
        <f>'9-A.Training Sub-Annex'!N149</f>
        <v>0</v>
      </c>
      <c r="N22" s="133">
        <f>'9-A.Training Sub-Annex'!O149</f>
        <v>0</v>
      </c>
      <c r="O22" s="136">
        <f>'9-A.Training Sub-Annex'!P149</f>
        <v>0</v>
      </c>
      <c r="P22" s="3559">
        <f>'9-A.Training Sub-Annex'!Q149</f>
        <v>0</v>
      </c>
      <c r="Q22" s="63"/>
      <c r="R22" s="125"/>
    </row>
    <row r="23" spans="1:18">
      <c r="A23" s="334">
        <f>'11.IEC-BCC Annex'!A7</f>
        <v>11</v>
      </c>
      <c r="B23" s="334"/>
      <c r="C23" s="333" t="e">
        <f>'11-A. IEC Sub-Annex'!#REF!</f>
        <v>#REF!</v>
      </c>
      <c r="D23" s="334"/>
      <c r="E23" s="334"/>
      <c r="F23" s="334"/>
      <c r="G23" s="334"/>
      <c r="H23" s="240"/>
      <c r="I23" s="334"/>
      <c r="J23" s="240"/>
      <c r="K23" s="334"/>
      <c r="L23" s="334"/>
      <c r="M23" s="240"/>
      <c r="N23" s="962"/>
      <c r="O23" s="240">
        <f>SUM(O24:O25)</f>
        <v>15</v>
      </c>
      <c r="P23" s="1111"/>
      <c r="Q23" s="977"/>
      <c r="R23" s="129">
        <f>SUM(R24:R25)</f>
        <v>0</v>
      </c>
    </row>
    <row r="24" spans="1:18" ht="75">
      <c r="A24" s="4246" t="str">
        <f>'11.IEC-BCC Annex'!A18</f>
        <v>11.2.2</v>
      </c>
      <c r="B24" s="473">
        <f>'11-A. IEC Sub-Annex'!C38</f>
        <v>0</v>
      </c>
      <c r="C24" s="387" t="str">
        <f>'11-A. IEC Sub-Annex'!D38</f>
        <v>IEC/BCC activities under Blood Services</v>
      </c>
      <c r="D24" s="473" t="str">
        <f>'11-A. IEC Sub-Annex'!E38</f>
        <v>HSS</v>
      </c>
      <c r="E24" s="473" t="str">
        <f>'11-A. IEC Sub-Annex'!F38</f>
        <v>Blood Cell</v>
      </c>
      <c r="F24" s="473">
        <f>'11-A. IEC Sub-Annex'!G38</f>
        <v>0</v>
      </c>
      <c r="G24" s="473">
        <f>'11-A. IEC Sub-Annex'!H38</f>
        <v>0</v>
      </c>
      <c r="H24" s="473">
        <f>'11-A. IEC Sub-Annex'!I38</f>
        <v>0</v>
      </c>
      <c r="I24" s="473">
        <f>'11-A. IEC Sub-Annex'!J38</f>
        <v>0</v>
      </c>
      <c r="J24" s="473">
        <f>'11-A. IEC Sub-Annex'!K38</f>
        <v>0</v>
      </c>
      <c r="K24" s="473" t="str">
        <f>'11-A. IEC Sub-Annex'!L38</f>
        <v>Per Unit</v>
      </c>
      <c r="L24" s="473">
        <f>'11-A. IEC Sub-Annex'!M38</f>
        <v>1500000</v>
      </c>
      <c r="M24" s="945">
        <f>'11-A. IEC Sub-Annex'!N38</f>
        <v>15</v>
      </c>
      <c r="N24" s="473">
        <f>'11-A. IEC Sub-Annex'!O38</f>
        <v>1</v>
      </c>
      <c r="O24" s="945">
        <f>'11-A. IEC Sub-Annex'!P38</f>
        <v>15</v>
      </c>
      <c r="P24" s="3559" t="str">
        <f>'11-A. IEC Sub-Annex'!Q38</f>
        <v>1. IEC activity- Rs. 5 Lakh
2. Celebration of World blood donors day, World Thalassemia day, World hemophilia day,  Rewards to blood banks for best performance &amp; other activities - Rs 10 Lakh
Total :- 15 Lakh</v>
      </c>
      <c r="Q24" s="63"/>
      <c r="R24" s="125"/>
    </row>
    <row r="25" spans="1:18">
      <c r="A25" s="4246"/>
      <c r="B25" s="473">
        <f>'11-A. IEC Sub-Annex'!C39</f>
        <v>0</v>
      </c>
      <c r="C25" s="387" t="str">
        <f>'11-A. IEC Sub-Annex'!D39</f>
        <v>IEC/BCC activities under Blood Disorders</v>
      </c>
      <c r="D25" s="473" t="str">
        <f>'11-A. IEC Sub-Annex'!E39</f>
        <v>HSS</v>
      </c>
      <c r="E25" s="473" t="str">
        <f>'11-A. IEC Sub-Annex'!F39</f>
        <v>Blood Cell</v>
      </c>
      <c r="F25" s="473">
        <f>'11-A. IEC Sub-Annex'!G39</f>
        <v>0</v>
      </c>
      <c r="G25" s="473">
        <f>'11-A. IEC Sub-Annex'!H39</f>
        <v>0</v>
      </c>
      <c r="H25" s="473">
        <f>'11-A. IEC Sub-Annex'!I39</f>
        <v>0</v>
      </c>
      <c r="I25" s="473">
        <f>'11-A. IEC Sub-Annex'!J39</f>
        <v>0</v>
      </c>
      <c r="J25" s="473">
        <f>'11-A. IEC Sub-Annex'!K39</f>
        <v>0</v>
      </c>
      <c r="K25" s="473">
        <f>'11-A. IEC Sub-Annex'!L39</f>
        <v>0</v>
      </c>
      <c r="L25" s="473">
        <f>'11-A. IEC Sub-Annex'!M39</f>
        <v>0</v>
      </c>
      <c r="M25" s="945">
        <f>'11-A. IEC Sub-Annex'!N39</f>
        <v>0</v>
      </c>
      <c r="N25" s="473">
        <f>'11-A. IEC Sub-Annex'!O39</f>
        <v>0</v>
      </c>
      <c r="O25" s="945">
        <f>'11-A. IEC Sub-Annex'!P39</f>
        <v>0</v>
      </c>
      <c r="P25" s="3559">
        <f>'11-A. IEC Sub-Annex'!Q39</f>
        <v>0</v>
      </c>
      <c r="Q25" s="63"/>
      <c r="R25" s="125"/>
    </row>
    <row r="26" spans="1:18">
      <c r="A26" s="334">
        <f>'12.Printing Annex'!A7</f>
        <v>12</v>
      </c>
      <c r="B26" s="334"/>
      <c r="C26" s="333" t="str">
        <f>'12.Printing Annex'!C7</f>
        <v>Printing</v>
      </c>
      <c r="D26" s="334"/>
      <c r="E26" s="334"/>
      <c r="F26" s="334"/>
      <c r="G26" s="334"/>
      <c r="H26" s="240"/>
      <c r="I26" s="334"/>
      <c r="J26" s="240"/>
      <c r="K26" s="334"/>
      <c r="L26" s="334"/>
      <c r="M26" s="240"/>
      <c r="N26" s="962"/>
      <c r="O26" s="240">
        <f>SUM(O27:O28)</f>
        <v>6</v>
      </c>
      <c r="P26" s="1111"/>
      <c r="Q26" s="977"/>
      <c r="R26" s="129">
        <f>SUM(R27:R28)</f>
        <v>0</v>
      </c>
    </row>
    <row r="27" spans="1:18" ht="30">
      <c r="A27" s="4246" t="str">
        <f>'12.Printing Annex'!A19</f>
        <v>12.2.3</v>
      </c>
      <c r="B27" s="473" t="str">
        <f>'12-A. Print Sub-Annex'!C65</f>
        <v>B.10.7.4.5</v>
      </c>
      <c r="C27" s="387" t="str">
        <f>'12-A. Print Sub-Annex'!D65</f>
        <v>Printing of  cards for screening of  children for hemoglobinopathies</v>
      </c>
      <c r="D27" s="473" t="str">
        <f>'12-A. Print Sub-Annex'!E65</f>
        <v>HSS</v>
      </c>
      <c r="E27" s="473" t="str">
        <f>'12-A. Print Sub-Annex'!F65</f>
        <v>Blood cell</v>
      </c>
      <c r="F27" s="473">
        <f>'12-A. Print Sub-Annex'!G65</f>
        <v>0</v>
      </c>
      <c r="G27" s="473">
        <f>'12-A. Print Sub-Annex'!H65</f>
        <v>0</v>
      </c>
      <c r="H27" s="473">
        <f>'12-A. Print Sub-Annex'!I65</f>
        <v>0</v>
      </c>
      <c r="I27" s="473">
        <f>'12-A. Print Sub-Annex'!J65</f>
        <v>0</v>
      </c>
      <c r="J27" s="473">
        <f>'12-A. Print Sub-Annex'!K65</f>
        <v>0</v>
      </c>
      <c r="K27" s="473" t="str">
        <f>'12-A. Print Sub-Annex'!L65</f>
        <v>Per Register</v>
      </c>
      <c r="L27" s="473">
        <f>'12-A. Print Sub-Annex'!M65</f>
        <v>600000</v>
      </c>
      <c r="M27" s="945">
        <f>'12-A. Print Sub-Annex'!N65</f>
        <v>6</v>
      </c>
      <c r="N27" s="473">
        <f>'12-A. Print Sub-Annex'!O65</f>
        <v>1</v>
      </c>
      <c r="O27" s="945">
        <f>'12-A. Print Sub-Annex'!P65</f>
        <v>6</v>
      </c>
      <c r="P27" s="3559" t="str">
        <f>'12-A. Print Sub-Annex'!Q65</f>
        <v>Printing of various types registers/formats etc. as required under Blood Services &amp; disorders.</v>
      </c>
      <c r="Q27" s="63"/>
      <c r="R27" s="125"/>
    </row>
    <row r="28" spans="1:18">
      <c r="A28" s="4246"/>
      <c r="B28" s="473">
        <f>'12-A. Print Sub-Annex'!C66</f>
        <v>0</v>
      </c>
      <c r="C28" s="387" t="str">
        <f>'12-A. Print Sub-Annex'!D66</f>
        <v>Any other (please specify)</v>
      </c>
      <c r="D28" s="473" t="str">
        <f>'12-A. Print Sub-Annex'!E66</f>
        <v>HSS</v>
      </c>
      <c r="E28" s="473" t="str">
        <f>'12-A. Print Sub-Annex'!F66</f>
        <v>Blood cell</v>
      </c>
      <c r="F28" s="473">
        <f>'12-A. Print Sub-Annex'!G66</f>
        <v>0</v>
      </c>
      <c r="G28" s="473">
        <f>'12-A. Print Sub-Annex'!H66</f>
        <v>0</v>
      </c>
      <c r="H28" s="473">
        <f>'12-A. Print Sub-Annex'!I66</f>
        <v>0</v>
      </c>
      <c r="I28" s="473">
        <f>'12-A. Print Sub-Annex'!J66</f>
        <v>0</v>
      </c>
      <c r="J28" s="473">
        <f>'12-A. Print Sub-Annex'!K66</f>
        <v>0</v>
      </c>
      <c r="K28" s="473">
        <f>'12-A. Print Sub-Annex'!L66</f>
        <v>0</v>
      </c>
      <c r="L28" s="473">
        <f>'12-A. Print Sub-Annex'!M66</f>
        <v>0</v>
      </c>
      <c r="M28" s="945">
        <f>'12-A. Print Sub-Annex'!N66</f>
        <v>0</v>
      </c>
      <c r="N28" s="473">
        <f>'12-A. Print Sub-Annex'!O66</f>
        <v>0</v>
      </c>
      <c r="O28" s="945">
        <f>'12-A. Print Sub-Annex'!P66</f>
        <v>0</v>
      </c>
      <c r="P28" s="3559">
        <f>'12-A. Print Sub-Annex'!Q66</f>
        <v>0</v>
      </c>
      <c r="Q28" s="63"/>
      <c r="R28" s="125"/>
    </row>
    <row r="29" spans="1:18">
      <c r="A29" s="334">
        <f>'16.PM Annex'!A7</f>
        <v>16</v>
      </c>
      <c r="B29" s="334"/>
      <c r="C29" s="333" t="str">
        <f>'16.PM Annex'!C7</f>
        <v>Programme Management</v>
      </c>
      <c r="D29" s="334"/>
      <c r="E29" s="334"/>
      <c r="F29" s="334"/>
      <c r="G29" s="334"/>
      <c r="H29" s="240"/>
      <c r="I29" s="334"/>
      <c r="J29" s="240"/>
      <c r="K29" s="334"/>
      <c r="L29" s="334"/>
      <c r="M29" s="240"/>
      <c r="N29" s="962"/>
      <c r="O29" s="987">
        <f>O30</f>
        <v>0</v>
      </c>
      <c r="P29" s="1111"/>
      <c r="Q29" s="977"/>
      <c r="R29" s="994">
        <f>R30</f>
        <v>0</v>
      </c>
    </row>
    <row r="30" spans="1:18" ht="30">
      <c r="A30" s="473" t="str">
        <f>'16-A. PM sub Annex'!B149</f>
        <v>16.1.5.1.1</v>
      </c>
      <c r="B30" s="473" t="str">
        <f>'16-A. PM sub Annex'!D149</f>
        <v>B14.2</v>
      </c>
      <c r="C30" s="78" t="str">
        <f>'16-A. PM sub Annex'!E149</f>
        <v xml:space="preserve">PM cost for E-rakt kosh- refer to strengthening of blood services guidelines </v>
      </c>
      <c r="D30" s="473" t="str">
        <f>'16-A. PM sub Annex'!F149</f>
        <v>HSS</v>
      </c>
      <c r="E30" s="473" t="str">
        <f>'16-A. PM sub Annex'!G149</f>
        <v>HRH&amp;HPIP/Blood cell</v>
      </c>
      <c r="F30" s="473">
        <f>'16-A. PM sub Annex'!H149</f>
        <v>0</v>
      </c>
      <c r="G30" s="473">
        <f>'16-A. PM sub Annex'!I149</f>
        <v>0</v>
      </c>
      <c r="H30" s="473">
        <f>'16-A. PM sub Annex'!J149</f>
        <v>0</v>
      </c>
      <c r="I30" s="473">
        <f>'16-A. PM sub Annex'!K149</f>
        <v>0</v>
      </c>
      <c r="J30" s="473">
        <f>'16-A. PM sub Annex'!L149</f>
        <v>0</v>
      </c>
      <c r="K30" s="473">
        <f>'16-A. PM sub Annex'!M149</f>
        <v>0</v>
      </c>
      <c r="L30" s="473">
        <f>'16-A. PM sub Annex'!N149</f>
        <v>0</v>
      </c>
      <c r="M30" s="945">
        <f>'16-A. PM sub Annex'!O149</f>
        <v>0</v>
      </c>
      <c r="N30" s="473">
        <f>'16-A. PM sub Annex'!P149</f>
        <v>0</v>
      </c>
      <c r="O30" s="945">
        <f>'16-A. PM sub Annex'!Q149</f>
        <v>0</v>
      </c>
      <c r="P30" s="3559">
        <f>'16-A. PM sub Annex'!R149</f>
        <v>0</v>
      </c>
      <c r="Q30" s="63"/>
      <c r="R30" s="125"/>
    </row>
    <row r="31" spans="1:18">
      <c r="A31" s="334">
        <f>'17.IT Initiatives_SD'!A7</f>
        <v>17</v>
      </c>
      <c r="B31" s="334"/>
      <c r="C31" s="333" t="str">
        <f>'17.IT Initiatives_SD'!C7</f>
        <v>IT Initiatives for strengthening Service Delivery</v>
      </c>
      <c r="D31" s="334"/>
      <c r="E31" s="334"/>
      <c r="F31" s="334"/>
      <c r="G31" s="334"/>
      <c r="H31" s="240"/>
      <c r="I31" s="334"/>
      <c r="J31" s="240"/>
      <c r="K31" s="334"/>
      <c r="L31" s="334"/>
      <c r="M31" s="240"/>
      <c r="N31" s="962"/>
      <c r="O31" s="987">
        <f>O32</f>
        <v>12.46</v>
      </c>
      <c r="P31" s="1111"/>
      <c r="Q31" s="977"/>
      <c r="R31" s="994">
        <f>R32</f>
        <v>0</v>
      </c>
    </row>
    <row r="32" spans="1:18" ht="45">
      <c r="A32" s="473">
        <f>'17.IT Initiatives_SD'!A13</f>
        <v>17.399999999999999</v>
      </c>
      <c r="B32" s="473" t="str">
        <f>'17.IT Initiatives_SD'!B13</f>
        <v>B14.2</v>
      </c>
      <c r="C32" s="78" t="str">
        <f>'17.IT Initiatives_SD'!C13</f>
        <v xml:space="preserve">E-rakt kosh- refer to strengthening of blood services guidelines &amp; Software for hemoglobinopathies &amp; Haemophilia </v>
      </c>
      <c r="D32" s="133" t="str">
        <f>'17.IT Initiatives_SD'!D13</f>
        <v>HSS</v>
      </c>
      <c r="E32" s="133" t="str">
        <f>'17.IT Initiatives_SD'!E13</f>
        <v>Blood Services</v>
      </c>
      <c r="F32" s="133">
        <f>'17.IT Initiatives_SD'!F13</f>
        <v>0</v>
      </c>
      <c r="G32" s="133">
        <f>'17.IT Initiatives_SD'!G13</f>
        <v>0</v>
      </c>
      <c r="H32" s="133">
        <f>'17.IT Initiatives_SD'!H13</f>
        <v>0</v>
      </c>
      <c r="I32" s="133">
        <f>'17.IT Initiatives_SD'!I13</f>
        <v>0</v>
      </c>
      <c r="J32" s="133">
        <f>'17.IT Initiatives_SD'!J13</f>
        <v>0</v>
      </c>
      <c r="K32" s="133">
        <f>'17.IT Initiatives_SD'!K13</f>
        <v>0</v>
      </c>
      <c r="L32" s="133">
        <f>'17.IT Initiatives_SD'!L13</f>
        <v>1246000</v>
      </c>
      <c r="M32" s="136">
        <f>'17.IT Initiatives_SD'!M13</f>
        <v>12.46</v>
      </c>
      <c r="N32" s="133">
        <f>'17.IT Initiatives_SD'!N13</f>
        <v>1</v>
      </c>
      <c r="O32" s="136">
        <f>'17.IT Initiatives_SD'!O13</f>
        <v>12.46</v>
      </c>
      <c r="P32" s="3559" t="str">
        <f>'17.IT Initiatives_SD'!P13</f>
        <v>RS 8.46 lakh for monthly internet cost for e-rakhkosh @ 1500/month/bllood banks for 47 Blood banks 
Rs 4.lakh for installation of internet in10 new blood banks</v>
      </c>
      <c r="Q32" s="63"/>
      <c r="R32" s="125"/>
    </row>
  </sheetData>
  <sheetProtection sheet="1" formatCells="0" formatColumns="0" formatRows="0" autoFilter="0"/>
  <autoFilter ref="A5:M32"/>
  <mergeCells count="14">
    <mergeCell ref="A17:A18"/>
    <mergeCell ref="A15:A16"/>
    <mergeCell ref="A20:A22"/>
    <mergeCell ref="A24:A25"/>
    <mergeCell ref="A27:A28"/>
    <mergeCell ref="Q4:R4"/>
    <mergeCell ref="E4:E5"/>
    <mergeCell ref="A1:C1"/>
    <mergeCell ref="A4:A5"/>
    <mergeCell ref="B4:B5"/>
    <mergeCell ref="C4:C5"/>
    <mergeCell ref="D4:D5"/>
    <mergeCell ref="F4:J4"/>
    <mergeCell ref="K4:P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tabColor rgb="FF00B0F0"/>
  </sheetPr>
  <dimension ref="A1:H134"/>
  <sheetViews>
    <sheetView zoomScale="70" zoomScaleNormal="70" workbookViewId="0">
      <pane ySplit="2" topLeftCell="A118" activePane="bottomLeft" state="frozen"/>
      <selection activeCell="Q172" sqref="A1:BE179"/>
      <selection pane="bottomLeft" activeCell="Q172" sqref="A1:BE179"/>
    </sheetView>
  </sheetViews>
  <sheetFormatPr defaultColWidth="8.7109375" defaultRowHeight="15"/>
  <cols>
    <col min="1" max="1" width="8.7109375" style="950"/>
    <col min="2" max="2" width="89.7109375" style="950" customWidth="1"/>
    <col min="3" max="3" width="41.28515625" style="950" customWidth="1"/>
    <col min="4" max="4" width="50.42578125" style="950" customWidth="1"/>
    <col min="5" max="5" width="45.85546875" style="950" customWidth="1"/>
    <col min="6" max="6" width="26.28515625" style="950" bestFit="1" customWidth="1"/>
    <col min="7" max="7" width="60.85546875" style="950" bestFit="1" customWidth="1"/>
    <col min="8" max="8" width="29.85546875" style="950" customWidth="1"/>
    <col min="9" max="16384" width="8.7109375" style="950"/>
  </cols>
  <sheetData>
    <row r="1" spans="1:8" s="621" customFormat="1">
      <c r="A1" s="4231" t="s">
        <v>5374</v>
      </c>
      <c r="B1" s="4231"/>
      <c r="C1" s="4232" t="s">
        <v>5375</v>
      </c>
      <c r="D1" s="4232"/>
      <c r="E1" s="4232"/>
      <c r="F1" s="4232"/>
      <c r="G1" s="4232"/>
      <c r="H1" s="4232"/>
    </row>
    <row r="2" spans="1:8" s="621" customFormat="1" ht="30">
      <c r="A2" s="4231"/>
      <c r="B2" s="4231"/>
      <c r="C2" s="1228" t="s">
        <v>5376</v>
      </c>
      <c r="D2" s="1228" t="s">
        <v>5377</v>
      </c>
      <c r="E2" s="1228" t="s">
        <v>5378</v>
      </c>
      <c r="F2" s="1228" t="s">
        <v>5379</v>
      </c>
      <c r="G2" s="1228" t="s">
        <v>5380</v>
      </c>
      <c r="H2" s="1228" t="s">
        <v>5381</v>
      </c>
    </row>
    <row r="3" spans="1:8">
      <c r="A3" s="630" t="s">
        <v>118</v>
      </c>
      <c r="B3" s="4233"/>
      <c r="C3" s="4233"/>
      <c r="D3" s="4233"/>
      <c r="E3" s="4233"/>
      <c r="F3" s="4233"/>
      <c r="G3" s="4233"/>
      <c r="H3" s="4233"/>
    </row>
    <row r="4" spans="1:8">
      <c r="A4" s="630" t="s">
        <v>5623</v>
      </c>
      <c r="B4" s="4229" t="s">
        <v>5712</v>
      </c>
      <c r="C4" s="1229" t="s">
        <v>5382</v>
      </c>
      <c r="D4" s="1229" t="s">
        <v>5383</v>
      </c>
      <c r="E4" s="1243"/>
      <c r="F4" s="1229"/>
      <c r="G4" s="1229" t="s">
        <v>5384</v>
      </c>
      <c r="H4" s="1230"/>
    </row>
    <row r="5" spans="1:8" ht="120">
      <c r="A5" s="630" t="s">
        <v>5624</v>
      </c>
      <c r="B5" s="4230"/>
      <c r="C5" s="1229" t="s">
        <v>5385</v>
      </c>
      <c r="D5" s="1229" t="s">
        <v>5386</v>
      </c>
      <c r="E5" s="1243"/>
      <c r="F5" s="1229"/>
      <c r="G5" s="1229" t="s">
        <v>5387</v>
      </c>
      <c r="H5" s="1230"/>
    </row>
    <row r="6" spans="1:8" ht="90">
      <c r="A6" s="630" t="s">
        <v>5625</v>
      </c>
      <c r="B6" s="4230"/>
      <c r="C6" s="1229" t="s">
        <v>5388</v>
      </c>
      <c r="D6" s="1229" t="s">
        <v>5389</v>
      </c>
      <c r="E6" s="1243"/>
      <c r="F6" s="1229"/>
      <c r="G6" s="1229" t="s">
        <v>5387</v>
      </c>
      <c r="H6" s="1230"/>
    </row>
    <row r="7" spans="1:8" ht="105">
      <c r="A7" s="630" t="s">
        <v>5626</v>
      </c>
      <c r="B7" s="4230"/>
      <c r="C7" s="1229" t="s">
        <v>5390</v>
      </c>
      <c r="D7" s="1229" t="s">
        <v>5391</v>
      </c>
      <c r="E7" s="1243"/>
      <c r="F7" s="1229"/>
      <c r="G7" s="1229" t="s">
        <v>5387</v>
      </c>
      <c r="H7" s="1230"/>
    </row>
    <row r="8" spans="1:8" ht="30">
      <c r="A8" s="630" t="s">
        <v>5627</v>
      </c>
      <c r="B8" s="4230"/>
      <c r="C8" s="1229" t="s">
        <v>5392</v>
      </c>
      <c r="D8" s="1229" t="s">
        <v>5393</v>
      </c>
      <c r="E8" s="1243"/>
      <c r="F8" s="1229"/>
      <c r="G8" s="1229" t="s">
        <v>5394</v>
      </c>
      <c r="H8" s="1230"/>
    </row>
    <row r="9" spans="1:8" ht="105">
      <c r="A9" s="630" t="s">
        <v>5628</v>
      </c>
      <c r="B9" s="4230"/>
      <c r="C9" s="1229" t="s">
        <v>5395</v>
      </c>
      <c r="D9" s="1229" t="s">
        <v>5396</v>
      </c>
      <c r="E9" s="1243"/>
      <c r="F9" s="1229"/>
      <c r="G9" s="1229" t="s">
        <v>5394</v>
      </c>
      <c r="H9" s="1230"/>
    </row>
    <row r="10" spans="1:8">
      <c r="A10" s="630" t="s">
        <v>4674</v>
      </c>
      <c r="B10" s="4233"/>
      <c r="C10" s="4233"/>
      <c r="D10" s="4233"/>
      <c r="E10" s="4233"/>
      <c r="F10" s="4233"/>
      <c r="G10" s="4233"/>
      <c r="H10" s="4233"/>
    </row>
    <row r="11" spans="1:8" ht="261.60000000000002" customHeight="1">
      <c r="A11" s="630" t="s">
        <v>5629</v>
      </c>
      <c r="B11" s="4229" t="s">
        <v>5530</v>
      </c>
      <c r="C11" s="1231" t="s">
        <v>5397</v>
      </c>
      <c r="D11" s="1231"/>
      <c r="E11" s="1244"/>
      <c r="F11" s="1230"/>
      <c r="G11" s="1231" t="s">
        <v>5398</v>
      </c>
      <c r="H11" s="1232" t="s">
        <v>5399</v>
      </c>
    </row>
    <row r="12" spans="1:8">
      <c r="A12" s="630" t="s">
        <v>5630</v>
      </c>
      <c r="B12" s="4229"/>
      <c r="C12" s="1231" t="s">
        <v>5400</v>
      </c>
      <c r="D12" s="1231"/>
      <c r="E12" s="1244"/>
      <c r="F12" s="1230"/>
      <c r="G12" s="1231" t="s">
        <v>5398</v>
      </c>
      <c r="H12" s="1231" t="s">
        <v>5401</v>
      </c>
    </row>
    <row r="13" spans="1:8" ht="45">
      <c r="A13" s="630" t="s">
        <v>5631</v>
      </c>
      <c r="B13" s="4229"/>
      <c r="C13" s="1231" t="s">
        <v>5402</v>
      </c>
      <c r="D13" s="1231"/>
      <c r="E13" s="1244"/>
      <c r="F13" s="1230"/>
      <c r="G13" s="1231" t="s">
        <v>5398</v>
      </c>
      <c r="H13" s="1231" t="s">
        <v>5399</v>
      </c>
    </row>
    <row r="14" spans="1:8" ht="75">
      <c r="A14" s="630" t="s">
        <v>5632</v>
      </c>
      <c r="B14" s="4229"/>
      <c r="C14" s="1231" t="s">
        <v>5403</v>
      </c>
      <c r="D14" s="1231"/>
      <c r="E14" s="1244"/>
      <c r="F14" s="1230"/>
      <c r="G14" s="1231" t="s">
        <v>5404</v>
      </c>
      <c r="H14" s="1231" t="s">
        <v>5405</v>
      </c>
    </row>
    <row r="15" spans="1:8">
      <c r="A15" s="630" t="s">
        <v>114</v>
      </c>
      <c r="B15" s="4233"/>
      <c r="C15" s="4233"/>
      <c r="D15" s="4233"/>
      <c r="E15" s="4233"/>
      <c r="F15" s="4233"/>
      <c r="G15" s="4233"/>
      <c r="H15" s="4233"/>
    </row>
    <row r="16" spans="1:8" ht="30">
      <c r="A16" s="4234" t="s">
        <v>5633</v>
      </c>
      <c r="B16" s="4229" t="s">
        <v>5406</v>
      </c>
      <c r="C16" s="1233" t="s">
        <v>5407</v>
      </c>
      <c r="D16" s="1233" t="s">
        <v>5408</v>
      </c>
      <c r="E16" s="1245" t="s">
        <v>5409</v>
      </c>
      <c r="F16" s="1233" t="s">
        <v>5409</v>
      </c>
      <c r="G16" s="1233" t="s">
        <v>5410</v>
      </c>
      <c r="H16" s="1230"/>
    </row>
    <row r="17" spans="1:8" ht="60">
      <c r="A17" s="4234"/>
      <c r="B17" s="4230"/>
      <c r="C17" s="1233" t="s">
        <v>5411</v>
      </c>
      <c r="D17" s="1233" t="s">
        <v>5412</v>
      </c>
      <c r="E17" s="1245" t="s">
        <v>5409</v>
      </c>
      <c r="F17" s="1233" t="s">
        <v>5409</v>
      </c>
      <c r="G17" s="1233"/>
      <c r="H17" s="1230"/>
    </row>
    <row r="18" spans="1:8" ht="87.6" customHeight="1">
      <c r="A18" s="4234"/>
      <c r="B18" s="4230"/>
      <c r="C18" s="1233" t="s">
        <v>5413</v>
      </c>
      <c r="D18" s="1233" t="s">
        <v>5414</v>
      </c>
      <c r="E18" s="1245" t="s">
        <v>5409</v>
      </c>
      <c r="F18" s="1233" t="s">
        <v>5409</v>
      </c>
      <c r="G18" s="1233"/>
      <c r="H18" s="1230"/>
    </row>
    <row r="19" spans="1:8" ht="74.45" customHeight="1">
      <c r="A19" s="1234" t="s">
        <v>5634</v>
      </c>
      <c r="B19" s="4230"/>
      <c r="C19" s="1233" t="s">
        <v>5415</v>
      </c>
      <c r="D19" s="1233" t="s">
        <v>5416</v>
      </c>
      <c r="E19" s="1243" t="s">
        <v>5409</v>
      </c>
      <c r="F19" s="1229" t="s">
        <v>5409</v>
      </c>
      <c r="G19" s="1233"/>
      <c r="H19" s="1230"/>
    </row>
    <row r="20" spans="1:8" ht="69.95" customHeight="1">
      <c r="A20" s="1234" t="s">
        <v>5635</v>
      </c>
      <c r="B20" s="4230"/>
      <c r="C20" s="1233" t="s">
        <v>5417</v>
      </c>
      <c r="D20" s="1233" t="s">
        <v>5418</v>
      </c>
      <c r="E20" s="1243"/>
      <c r="F20" s="1229"/>
      <c r="G20" s="1233"/>
      <c r="H20" s="1230"/>
    </row>
    <row r="21" spans="1:8">
      <c r="A21" s="630" t="s">
        <v>131</v>
      </c>
      <c r="B21" s="4233"/>
      <c r="C21" s="4233"/>
      <c r="D21" s="4233"/>
      <c r="E21" s="4233"/>
      <c r="F21" s="4233"/>
      <c r="G21" s="4233"/>
      <c r="H21" s="4233"/>
    </row>
    <row r="22" spans="1:8" ht="30">
      <c r="A22" s="4249" t="s">
        <v>5643</v>
      </c>
      <c r="B22" s="4237" t="s">
        <v>5713</v>
      </c>
      <c r="C22" s="4229" t="s">
        <v>5419</v>
      </c>
      <c r="D22" s="1229" t="s">
        <v>5420</v>
      </c>
      <c r="E22" s="4236"/>
      <c r="F22" s="4229"/>
      <c r="G22" s="4229" t="s">
        <v>5421</v>
      </c>
      <c r="H22" s="4229"/>
    </row>
    <row r="23" spans="1:8" ht="30" customHeight="1">
      <c r="A23" s="4249"/>
      <c r="B23" s="4238"/>
      <c r="C23" s="4229"/>
      <c r="D23" s="1235" t="s">
        <v>5422</v>
      </c>
      <c r="E23" s="4236"/>
      <c r="F23" s="4229"/>
      <c r="G23" s="4229"/>
      <c r="H23" s="4229"/>
    </row>
    <row r="24" spans="1:8" ht="30">
      <c r="A24" s="4249"/>
      <c r="B24" s="4238"/>
      <c r="C24" s="4229"/>
      <c r="D24" s="1235" t="s">
        <v>5423</v>
      </c>
      <c r="E24" s="4236"/>
      <c r="F24" s="4229"/>
      <c r="G24" s="4229"/>
      <c r="H24" s="4229"/>
    </row>
    <row r="25" spans="1:8" ht="30">
      <c r="A25" s="4249" t="s">
        <v>5644</v>
      </c>
      <c r="B25" s="4238"/>
      <c r="C25" s="4229" t="s">
        <v>5424</v>
      </c>
      <c r="D25" s="1229" t="s">
        <v>5425</v>
      </c>
      <c r="E25" s="4236"/>
      <c r="F25" s="4229"/>
      <c r="G25" s="4229" t="s">
        <v>5426</v>
      </c>
      <c r="H25" s="4229"/>
    </row>
    <row r="26" spans="1:8" ht="30">
      <c r="A26" s="4249"/>
      <c r="B26" s="4238"/>
      <c r="C26" s="4229"/>
      <c r="D26" s="1235" t="s">
        <v>5427</v>
      </c>
      <c r="E26" s="4236"/>
      <c r="F26" s="4229"/>
      <c r="G26" s="4229"/>
      <c r="H26" s="4229"/>
    </row>
    <row r="27" spans="1:8" ht="30">
      <c r="A27" s="4249"/>
      <c r="B27" s="4238"/>
      <c r="C27" s="4229"/>
      <c r="D27" s="1235" t="s">
        <v>5428</v>
      </c>
      <c r="E27" s="4236"/>
      <c r="F27" s="4229"/>
      <c r="G27" s="4229"/>
      <c r="H27" s="4229"/>
    </row>
    <row r="28" spans="1:8" ht="30">
      <c r="A28" s="4249" t="s">
        <v>5645</v>
      </c>
      <c r="B28" s="4238"/>
      <c r="C28" s="4229" t="s">
        <v>5429</v>
      </c>
      <c r="D28" s="1229" t="s">
        <v>5430</v>
      </c>
      <c r="E28" s="4236"/>
      <c r="F28" s="4229"/>
      <c r="G28" s="4229" t="s">
        <v>5426</v>
      </c>
      <c r="H28" s="4229"/>
    </row>
    <row r="29" spans="1:8" ht="30">
      <c r="A29" s="4249"/>
      <c r="B29" s="4238"/>
      <c r="C29" s="4229"/>
      <c r="D29" s="1235" t="s">
        <v>5431</v>
      </c>
      <c r="E29" s="4236"/>
      <c r="F29" s="4229"/>
      <c r="G29" s="4229"/>
      <c r="H29" s="4229"/>
    </row>
    <row r="30" spans="1:8" ht="30">
      <c r="A30" s="4249"/>
      <c r="B30" s="4238"/>
      <c r="C30" s="4229"/>
      <c r="D30" s="1235" t="s">
        <v>5432</v>
      </c>
      <c r="E30" s="4236"/>
      <c r="F30" s="4229"/>
      <c r="G30" s="4229"/>
      <c r="H30" s="4229"/>
    </row>
    <row r="31" spans="1:8" ht="45">
      <c r="A31" s="4249" t="s">
        <v>5646</v>
      </c>
      <c r="B31" s="4238"/>
      <c r="C31" s="4229" t="s">
        <v>5433</v>
      </c>
      <c r="D31" s="1229" t="s">
        <v>5434</v>
      </c>
      <c r="E31" s="4236"/>
      <c r="F31" s="4229"/>
      <c r="G31" s="4229" t="s">
        <v>5426</v>
      </c>
      <c r="H31" s="4229"/>
    </row>
    <row r="32" spans="1:8" ht="30">
      <c r="A32" s="4249"/>
      <c r="B32" s="4238"/>
      <c r="C32" s="4229"/>
      <c r="D32" s="1235" t="s">
        <v>5435</v>
      </c>
      <c r="E32" s="4236"/>
      <c r="F32" s="4229"/>
      <c r="G32" s="4229"/>
      <c r="H32" s="4229"/>
    </row>
    <row r="33" spans="1:8" ht="30">
      <c r="A33" s="4249"/>
      <c r="B33" s="4238"/>
      <c r="C33" s="4229"/>
      <c r="D33" s="1235" t="s">
        <v>5436</v>
      </c>
      <c r="E33" s="4236"/>
      <c r="F33" s="4229"/>
      <c r="G33" s="4229"/>
      <c r="H33" s="4229"/>
    </row>
    <row r="34" spans="1:8" ht="60">
      <c r="A34" s="4246" t="s">
        <v>5647</v>
      </c>
      <c r="B34" s="4238"/>
      <c r="C34" s="4229" t="s">
        <v>5437</v>
      </c>
      <c r="D34" s="1229" t="s">
        <v>5438</v>
      </c>
      <c r="E34" s="4236"/>
      <c r="F34" s="4229"/>
      <c r="G34" s="4229" t="s">
        <v>5426</v>
      </c>
      <c r="H34" s="4229"/>
    </row>
    <row r="35" spans="1:8" ht="30">
      <c r="A35" s="4246"/>
      <c r="B35" s="4239"/>
      <c r="C35" s="4229"/>
      <c r="D35" s="1235" t="s">
        <v>5439</v>
      </c>
      <c r="E35" s="4236"/>
      <c r="F35" s="4229"/>
      <c r="G35" s="4229"/>
      <c r="H35" s="4229"/>
    </row>
    <row r="36" spans="1:8">
      <c r="A36" s="630" t="s">
        <v>96</v>
      </c>
      <c r="B36" s="4233"/>
      <c r="C36" s="4233"/>
      <c r="D36" s="4233"/>
      <c r="E36" s="4233"/>
      <c r="F36" s="4233"/>
      <c r="G36" s="4233"/>
      <c r="H36" s="4233"/>
    </row>
    <row r="37" spans="1:8" ht="30">
      <c r="A37" s="4246" t="s">
        <v>5636</v>
      </c>
      <c r="B37" s="1229"/>
      <c r="C37" s="4228" t="s">
        <v>5440</v>
      </c>
      <c r="D37" s="1233" t="s">
        <v>5441</v>
      </c>
      <c r="E37" s="4236"/>
      <c r="F37" s="4229"/>
      <c r="G37" s="4229" t="s">
        <v>5426</v>
      </c>
      <c r="H37" s="4229"/>
    </row>
    <row r="38" spans="1:8" ht="30">
      <c r="A38" s="4246"/>
      <c r="B38" s="1229"/>
      <c r="C38" s="4228"/>
      <c r="D38" s="1236" t="s">
        <v>5442</v>
      </c>
      <c r="E38" s="4236"/>
      <c r="F38" s="4229"/>
      <c r="G38" s="4229"/>
      <c r="H38" s="4229"/>
    </row>
    <row r="39" spans="1:8" ht="30">
      <c r="A39" s="4246"/>
      <c r="B39" s="1229"/>
      <c r="C39" s="4228"/>
      <c r="D39" s="1236" t="s">
        <v>5443</v>
      </c>
      <c r="E39" s="4236"/>
      <c r="F39" s="4229"/>
      <c r="G39" s="4229"/>
      <c r="H39" s="4229"/>
    </row>
    <row r="40" spans="1:8" ht="30">
      <c r="A40" s="4246" t="s">
        <v>5641</v>
      </c>
      <c r="B40" s="1229"/>
      <c r="C40" s="4228" t="s">
        <v>5444</v>
      </c>
      <c r="D40" s="1233" t="s">
        <v>5445</v>
      </c>
      <c r="E40" s="4236"/>
      <c r="F40" s="4229"/>
      <c r="G40" s="4229" t="s">
        <v>5426</v>
      </c>
      <c r="H40" s="4229"/>
    </row>
    <row r="41" spans="1:8" ht="45">
      <c r="A41" s="4246"/>
      <c r="B41" s="1229"/>
      <c r="C41" s="4228"/>
      <c r="D41" s="1236" t="s">
        <v>5446</v>
      </c>
      <c r="E41" s="4236"/>
      <c r="F41" s="4229"/>
      <c r="G41" s="4229"/>
      <c r="H41" s="4229"/>
    </row>
    <row r="42" spans="1:8" ht="30">
      <c r="A42" s="4246"/>
      <c r="B42" s="1229"/>
      <c r="C42" s="4228"/>
      <c r="D42" s="1236" t="s">
        <v>5447</v>
      </c>
      <c r="E42" s="4236"/>
      <c r="F42" s="4229"/>
      <c r="G42" s="4229"/>
      <c r="H42" s="4229"/>
    </row>
    <row r="43" spans="1:8" ht="30">
      <c r="A43" s="4246" t="s">
        <v>5642</v>
      </c>
      <c r="B43" s="1229"/>
      <c r="C43" s="4228" t="s">
        <v>5448</v>
      </c>
      <c r="D43" s="1233" t="s">
        <v>5449</v>
      </c>
      <c r="E43" s="4236"/>
      <c r="F43" s="4229"/>
      <c r="G43" s="4229" t="s">
        <v>5426</v>
      </c>
      <c r="H43" s="4229"/>
    </row>
    <row r="44" spans="1:8" ht="45">
      <c r="A44" s="4246"/>
      <c r="B44" s="1229"/>
      <c r="C44" s="4228"/>
      <c r="D44" s="1236" t="s">
        <v>5450</v>
      </c>
      <c r="E44" s="4236"/>
      <c r="F44" s="4229"/>
      <c r="G44" s="4229"/>
      <c r="H44" s="4229"/>
    </row>
    <row r="45" spans="1:8" ht="30">
      <c r="A45" s="4246"/>
      <c r="B45" s="1229"/>
      <c r="C45" s="4228"/>
      <c r="D45" s="1236" t="s">
        <v>5451</v>
      </c>
      <c r="E45" s="4236"/>
      <c r="F45" s="4229"/>
      <c r="G45" s="4229"/>
      <c r="H45" s="4229"/>
    </row>
    <row r="46" spans="1:8">
      <c r="A46" s="630" t="s">
        <v>5637</v>
      </c>
      <c r="B46" s="4233"/>
      <c r="C46" s="4233"/>
      <c r="D46" s="4233"/>
      <c r="E46" s="4233"/>
      <c r="F46" s="4233"/>
      <c r="G46" s="4233"/>
      <c r="H46" s="4233"/>
    </row>
    <row r="47" spans="1:8" ht="30">
      <c r="A47" s="630" t="s">
        <v>5638</v>
      </c>
      <c r="B47" s="1229"/>
      <c r="C47" s="1229" t="s">
        <v>5452</v>
      </c>
      <c r="D47" s="1229" t="s">
        <v>5453</v>
      </c>
      <c r="E47" s="1243"/>
      <c r="F47" s="1229"/>
      <c r="G47" s="1229" t="s">
        <v>5426</v>
      </c>
      <c r="H47" s="1229"/>
    </row>
    <row r="48" spans="1:8" ht="60">
      <c r="A48" s="630" t="s">
        <v>5639</v>
      </c>
      <c r="B48" s="1229"/>
      <c r="C48" s="1229" t="s">
        <v>5454</v>
      </c>
      <c r="D48" s="1229" t="s">
        <v>5455</v>
      </c>
      <c r="E48" s="1243"/>
      <c r="F48" s="1229"/>
      <c r="G48" s="1229" t="s">
        <v>5426</v>
      </c>
      <c r="H48" s="1229"/>
    </row>
    <row r="49" spans="1:8" ht="60">
      <c r="A49" s="630" t="s">
        <v>5640</v>
      </c>
      <c r="B49" s="1229"/>
      <c r="C49" s="1229" t="s">
        <v>5456</v>
      </c>
      <c r="D49" s="1229" t="s">
        <v>5457</v>
      </c>
      <c r="E49" s="1243"/>
      <c r="F49" s="1229" t="s">
        <v>5458</v>
      </c>
      <c r="G49" s="1229" t="s">
        <v>5426</v>
      </c>
      <c r="H49" s="1229"/>
    </row>
    <row r="50" spans="1:8">
      <c r="A50" s="630" t="s">
        <v>312</v>
      </c>
      <c r="B50" s="4235"/>
      <c r="C50" s="4235"/>
      <c r="D50" s="4235"/>
      <c r="E50" s="4235"/>
      <c r="F50" s="4235"/>
      <c r="G50" s="4235"/>
      <c r="H50" s="4235"/>
    </row>
    <row r="51" spans="1:8" ht="30">
      <c r="A51" s="630" t="s">
        <v>5648</v>
      </c>
      <c r="B51" s="1230"/>
      <c r="C51" s="1229" t="s">
        <v>5459</v>
      </c>
      <c r="D51" s="1229" t="s">
        <v>5460</v>
      </c>
      <c r="E51" s="1243"/>
      <c r="F51" s="1229"/>
      <c r="G51" s="1229" t="s">
        <v>5461</v>
      </c>
      <c r="H51" s="1230"/>
    </row>
    <row r="52" spans="1:8">
      <c r="A52" s="630" t="s">
        <v>4724</v>
      </c>
      <c r="B52" s="4235"/>
      <c r="C52" s="4235"/>
      <c r="D52" s="4235"/>
      <c r="E52" s="4235"/>
      <c r="F52" s="4235"/>
      <c r="G52" s="4235"/>
      <c r="H52" s="4235"/>
    </row>
    <row r="53" spans="1:8" ht="45">
      <c r="A53" s="630" t="s">
        <v>5649</v>
      </c>
      <c r="B53" s="4230"/>
      <c r="C53" s="1229" t="s">
        <v>5462</v>
      </c>
      <c r="D53" s="1229" t="s">
        <v>5463</v>
      </c>
      <c r="E53" s="1246"/>
      <c r="F53" s="1230"/>
      <c r="G53" s="1229" t="s">
        <v>5464</v>
      </c>
      <c r="H53" s="1230"/>
    </row>
    <row r="54" spans="1:8" ht="30">
      <c r="A54" s="630" t="s">
        <v>5650</v>
      </c>
      <c r="B54" s="4230"/>
      <c r="C54" s="1229" t="s">
        <v>5465</v>
      </c>
      <c r="D54" s="1229" t="s">
        <v>5466</v>
      </c>
      <c r="E54" s="1246"/>
      <c r="F54" s="1230"/>
      <c r="G54" s="1229" t="s">
        <v>5467</v>
      </c>
      <c r="H54" s="1230"/>
    </row>
    <row r="55" spans="1:8" ht="30">
      <c r="A55" s="630" t="s">
        <v>5651</v>
      </c>
      <c r="B55" s="4230"/>
      <c r="C55" s="1229" t="s">
        <v>5468</v>
      </c>
      <c r="D55" s="1229" t="s">
        <v>5469</v>
      </c>
      <c r="E55" s="1246"/>
      <c r="F55" s="1230"/>
      <c r="G55" s="1229" t="s">
        <v>5467</v>
      </c>
      <c r="H55" s="1230"/>
    </row>
    <row r="56" spans="1:8" ht="30">
      <c r="A56" s="630" t="s">
        <v>5652</v>
      </c>
      <c r="B56" s="4230"/>
      <c r="C56" s="1229" t="s">
        <v>5714</v>
      </c>
      <c r="D56" s="1229" t="s">
        <v>5470</v>
      </c>
      <c r="E56" s="1246"/>
      <c r="F56" s="1230"/>
      <c r="G56" s="1229" t="s">
        <v>5471</v>
      </c>
      <c r="H56" s="1230"/>
    </row>
    <row r="57" spans="1:8">
      <c r="A57" s="630" t="s">
        <v>5653</v>
      </c>
      <c r="B57" s="4235"/>
      <c r="C57" s="4235"/>
      <c r="D57" s="4235"/>
      <c r="E57" s="4235"/>
      <c r="F57" s="4235"/>
      <c r="G57" s="4235"/>
      <c r="H57" s="4235"/>
    </row>
    <row r="58" spans="1:8" ht="150">
      <c r="A58" s="630" t="s">
        <v>5654</v>
      </c>
      <c r="B58" s="4228"/>
      <c r="C58" s="1233" t="s">
        <v>5472</v>
      </c>
      <c r="D58" s="1233" t="s">
        <v>5553</v>
      </c>
      <c r="E58" s="1245"/>
      <c r="F58" s="1233" t="s">
        <v>5473</v>
      </c>
      <c r="G58" s="1233" t="s">
        <v>5474</v>
      </c>
      <c r="H58" s="1230"/>
    </row>
    <row r="59" spans="1:8" ht="120">
      <c r="A59" s="630" t="s">
        <v>5655</v>
      </c>
      <c r="B59" s="4228"/>
      <c r="C59" s="1233" t="s">
        <v>5475</v>
      </c>
      <c r="D59" s="1233" t="s">
        <v>5554</v>
      </c>
      <c r="E59" s="1245"/>
      <c r="F59" s="1233" t="s">
        <v>5476</v>
      </c>
      <c r="G59" s="1233" t="s">
        <v>5474</v>
      </c>
      <c r="H59" s="1230"/>
    </row>
    <row r="60" spans="1:8" ht="135">
      <c r="A60" s="630" t="s">
        <v>5656</v>
      </c>
      <c r="B60" s="4228"/>
      <c r="C60" s="1233" t="s">
        <v>5477</v>
      </c>
      <c r="D60" s="1233" t="s">
        <v>5555</v>
      </c>
      <c r="E60" s="1245"/>
      <c r="F60" s="1233" t="s">
        <v>5478</v>
      </c>
      <c r="G60" s="1233" t="s">
        <v>5474</v>
      </c>
      <c r="H60" s="1230"/>
    </row>
    <row r="61" spans="1:8" ht="75">
      <c r="A61" s="630" t="s">
        <v>5657</v>
      </c>
      <c r="B61" s="4228"/>
      <c r="C61" s="1233" t="s">
        <v>5479</v>
      </c>
      <c r="D61" s="1233" t="s">
        <v>5556</v>
      </c>
      <c r="E61" s="1245"/>
      <c r="F61" s="1233" t="s">
        <v>5480</v>
      </c>
      <c r="G61" s="1233" t="s">
        <v>5481</v>
      </c>
      <c r="H61" s="1230"/>
    </row>
    <row r="62" spans="1:8" ht="165">
      <c r="A62" s="630" t="s">
        <v>5658</v>
      </c>
      <c r="B62" s="4228"/>
      <c r="C62" s="1233" t="s">
        <v>5482</v>
      </c>
      <c r="D62" s="1233" t="s">
        <v>5557</v>
      </c>
      <c r="E62" s="1245"/>
      <c r="F62" s="1233" t="s">
        <v>5483</v>
      </c>
      <c r="G62" s="1233" t="s">
        <v>5474</v>
      </c>
      <c r="H62" s="1230"/>
    </row>
    <row r="63" spans="1:8" ht="135">
      <c r="A63" s="630" t="s">
        <v>5659</v>
      </c>
      <c r="B63" s="4228"/>
      <c r="C63" s="1233" t="s">
        <v>5484</v>
      </c>
      <c r="D63" s="1233" t="s">
        <v>5558</v>
      </c>
      <c r="E63" s="1245"/>
      <c r="F63" s="1233" t="s">
        <v>5485</v>
      </c>
      <c r="G63" s="1233" t="s">
        <v>5474</v>
      </c>
      <c r="H63" s="1230"/>
    </row>
    <row r="64" spans="1:8" ht="180">
      <c r="A64" s="630" t="s">
        <v>5660</v>
      </c>
      <c r="B64" s="4228"/>
      <c r="C64" s="1233" t="s">
        <v>5486</v>
      </c>
      <c r="D64" s="1233" t="s">
        <v>5487</v>
      </c>
      <c r="E64" s="1245"/>
      <c r="F64" s="1233" t="s">
        <v>5488</v>
      </c>
      <c r="G64" s="1233" t="s">
        <v>5426</v>
      </c>
      <c r="H64" s="1230"/>
    </row>
    <row r="65" spans="1:8" ht="360">
      <c r="A65" s="630" t="s">
        <v>5661</v>
      </c>
      <c r="B65" s="4228"/>
      <c r="C65" s="1233" t="s">
        <v>5489</v>
      </c>
      <c r="D65" s="1233" t="s">
        <v>5490</v>
      </c>
      <c r="E65" s="1245"/>
      <c r="F65" s="1233" t="s">
        <v>5491</v>
      </c>
      <c r="G65" s="1233" t="s">
        <v>5492</v>
      </c>
      <c r="H65" s="1230"/>
    </row>
    <row r="66" spans="1:8">
      <c r="A66" s="630"/>
      <c r="B66" s="4240" t="s">
        <v>5493</v>
      </c>
      <c r="C66" s="4240"/>
      <c r="D66" s="4240"/>
      <c r="E66" s="4240"/>
      <c r="F66" s="4240"/>
      <c r="G66" s="4240"/>
      <c r="H66" s="4240"/>
    </row>
    <row r="67" spans="1:8">
      <c r="A67" s="630" t="s">
        <v>146</v>
      </c>
      <c r="B67" s="4235"/>
      <c r="C67" s="4235"/>
      <c r="D67" s="4235"/>
      <c r="E67" s="4235"/>
      <c r="F67" s="4235"/>
      <c r="G67" s="4235"/>
      <c r="H67" s="4235"/>
    </row>
    <row r="68" spans="1:8">
      <c r="A68" s="630" t="s">
        <v>5662</v>
      </c>
      <c r="B68" s="4229" t="s">
        <v>5494</v>
      </c>
      <c r="C68" s="4229" t="s">
        <v>5495</v>
      </c>
      <c r="D68" s="4229"/>
      <c r="E68" s="1243"/>
      <c r="F68" s="1229"/>
      <c r="G68" s="4229" t="s">
        <v>5496</v>
      </c>
      <c r="H68" s="1230"/>
    </row>
    <row r="69" spans="1:8">
      <c r="A69" s="630" t="s">
        <v>5664</v>
      </c>
      <c r="B69" s="4229"/>
      <c r="C69" s="4229" t="s">
        <v>5497</v>
      </c>
      <c r="D69" s="4229"/>
      <c r="E69" s="1243"/>
      <c r="F69" s="1229"/>
      <c r="G69" s="4229"/>
      <c r="H69" s="1230"/>
    </row>
    <row r="70" spans="1:8" ht="30">
      <c r="A70" s="4246" t="s">
        <v>5663</v>
      </c>
      <c r="B70" s="4229"/>
      <c r="C70" s="1229" t="s">
        <v>5498</v>
      </c>
      <c r="D70" s="1229" t="s">
        <v>5499</v>
      </c>
      <c r="E70" s="1243"/>
      <c r="F70" s="1229"/>
      <c r="G70" s="4229"/>
      <c r="H70" s="1230"/>
    </row>
    <row r="71" spans="1:8" ht="30">
      <c r="A71" s="4246"/>
      <c r="B71" s="4229"/>
      <c r="C71" s="1229" t="s">
        <v>5500</v>
      </c>
      <c r="D71" s="1229" t="s">
        <v>5501</v>
      </c>
      <c r="E71" s="1243"/>
      <c r="F71" s="1229"/>
      <c r="G71" s="4229"/>
      <c r="H71" s="1230"/>
    </row>
    <row r="72" spans="1:8" ht="30">
      <c r="A72" s="4246"/>
      <c r="B72" s="4229"/>
      <c r="C72" s="1229" t="s">
        <v>5502</v>
      </c>
      <c r="D72" s="1229" t="s">
        <v>5503</v>
      </c>
      <c r="E72" s="1243"/>
      <c r="F72" s="1229"/>
      <c r="G72" s="4229"/>
      <c r="H72" s="1230"/>
    </row>
    <row r="73" spans="1:8">
      <c r="A73" s="630" t="s">
        <v>5665</v>
      </c>
      <c r="B73" s="4229"/>
      <c r="C73" s="4229" t="s">
        <v>5504</v>
      </c>
      <c r="D73" s="4229"/>
      <c r="E73" s="1243"/>
      <c r="F73" s="1229"/>
      <c r="G73" s="4229"/>
      <c r="H73" s="1230"/>
    </row>
    <row r="74" spans="1:8">
      <c r="A74" s="630" t="s">
        <v>293</v>
      </c>
      <c r="B74" s="4235"/>
      <c r="C74" s="4235"/>
      <c r="D74" s="4235"/>
      <c r="E74" s="4235"/>
      <c r="F74" s="4235"/>
      <c r="G74" s="4235"/>
      <c r="H74" s="4235"/>
    </row>
    <row r="75" spans="1:8">
      <c r="A75" s="630" t="s">
        <v>5666</v>
      </c>
      <c r="B75" s="4230"/>
      <c r="C75" s="1233" t="s">
        <v>5505</v>
      </c>
      <c r="D75" s="1237">
        <v>0.83</v>
      </c>
      <c r="E75" s="1247">
        <v>0.63</v>
      </c>
      <c r="F75" s="1237">
        <v>0.83</v>
      </c>
      <c r="G75" s="1238" t="s">
        <v>5506</v>
      </c>
      <c r="H75" s="1238" t="s">
        <v>5507</v>
      </c>
    </row>
    <row r="76" spans="1:8">
      <c r="A76" s="630" t="s">
        <v>5667</v>
      </c>
      <c r="B76" s="4230"/>
      <c r="C76" s="1233" t="s">
        <v>5508</v>
      </c>
      <c r="D76" s="1237">
        <v>0.91</v>
      </c>
      <c r="E76" s="1247">
        <v>0.65</v>
      </c>
      <c r="F76" s="1237">
        <v>0.91</v>
      </c>
      <c r="G76" s="1238" t="s">
        <v>5506</v>
      </c>
      <c r="H76" s="1238" t="s">
        <v>5507</v>
      </c>
    </row>
    <row r="77" spans="1:8">
      <c r="A77" s="630" t="s">
        <v>5668</v>
      </c>
      <c r="B77" s="4230"/>
      <c r="C77" s="1233" t="s">
        <v>5509</v>
      </c>
      <c r="D77" s="1237">
        <v>0.91</v>
      </c>
      <c r="E77" s="1247">
        <v>0.66</v>
      </c>
      <c r="F77" s="1237">
        <v>0.91</v>
      </c>
      <c r="G77" s="1238" t="s">
        <v>5506</v>
      </c>
      <c r="H77" s="1238" t="s">
        <v>5507</v>
      </c>
    </row>
    <row r="78" spans="1:8" ht="45">
      <c r="A78" s="630" t="s">
        <v>5669</v>
      </c>
      <c r="B78" s="4230"/>
      <c r="C78" s="1233" t="s">
        <v>5510</v>
      </c>
      <c r="D78" s="1237">
        <v>0.83</v>
      </c>
      <c r="E78" s="1247">
        <v>0.8</v>
      </c>
      <c r="F78" s="1237">
        <v>0.83</v>
      </c>
      <c r="G78" s="1238" t="s">
        <v>5506</v>
      </c>
      <c r="H78" s="1238" t="s">
        <v>5507</v>
      </c>
    </row>
    <row r="79" spans="1:8">
      <c r="A79" s="630" t="s">
        <v>3316</v>
      </c>
      <c r="B79" s="4235"/>
      <c r="C79" s="4235"/>
      <c r="D79" s="4235"/>
      <c r="E79" s="4235"/>
      <c r="F79" s="4235"/>
      <c r="G79" s="4235"/>
      <c r="H79" s="4235"/>
    </row>
    <row r="80" spans="1:8" ht="30">
      <c r="A80" s="630" t="s">
        <v>5670</v>
      </c>
      <c r="B80" s="4229"/>
      <c r="C80" s="1229" t="s">
        <v>5511</v>
      </c>
      <c r="D80" s="1229"/>
      <c r="E80" s="1243"/>
      <c r="F80" s="1229"/>
      <c r="G80" s="1229"/>
      <c r="H80" s="1229"/>
    </row>
    <row r="81" spans="1:8" ht="45">
      <c r="A81" s="630" t="s">
        <v>5671</v>
      </c>
      <c r="B81" s="4229"/>
      <c r="C81" s="1229" t="s">
        <v>5512</v>
      </c>
      <c r="D81" s="1229"/>
      <c r="E81" s="1243"/>
      <c r="F81" s="1229"/>
      <c r="G81" s="1229"/>
      <c r="H81" s="1229"/>
    </row>
    <row r="82" spans="1:8" ht="45">
      <c r="A82" s="630" t="s">
        <v>5672</v>
      </c>
      <c r="B82" s="4229"/>
      <c r="C82" s="1229" t="s">
        <v>5513</v>
      </c>
      <c r="D82" s="1229"/>
      <c r="E82" s="1243"/>
      <c r="F82" s="1229"/>
      <c r="G82" s="1229"/>
      <c r="H82" s="1229"/>
    </row>
    <row r="83" spans="1:8" ht="30">
      <c r="A83" s="630" t="s">
        <v>5673</v>
      </c>
      <c r="B83" s="4229"/>
      <c r="C83" s="1229" t="s">
        <v>5514</v>
      </c>
      <c r="D83" s="1229"/>
      <c r="E83" s="1243"/>
      <c r="F83" s="1229"/>
      <c r="G83" s="1229"/>
      <c r="H83" s="1229"/>
    </row>
    <row r="84" spans="1:8">
      <c r="A84" s="630" t="s">
        <v>4357</v>
      </c>
      <c r="B84" s="4235"/>
      <c r="C84" s="4235"/>
      <c r="D84" s="4235"/>
      <c r="E84" s="4235"/>
      <c r="F84" s="4235"/>
      <c r="G84" s="4235"/>
      <c r="H84" s="4235"/>
    </row>
    <row r="85" spans="1:8" ht="32.25">
      <c r="A85" s="630" t="s">
        <v>5674</v>
      </c>
      <c r="B85" s="1233" t="s">
        <v>5715</v>
      </c>
      <c r="C85" s="1233" t="s">
        <v>5559</v>
      </c>
      <c r="D85" s="1229"/>
      <c r="E85" s="1243"/>
      <c r="F85" s="1230"/>
      <c r="G85" s="1233" t="s">
        <v>5515</v>
      </c>
      <c r="H85" s="1230"/>
    </row>
    <row r="86" spans="1:8" ht="30">
      <c r="A86" s="630" t="s">
        <v>5675</v>
      </c>
      <c r="B86" s="1233" t="s">
        <v>5516</v>
      </c>
      <c r="C86" s="1233" t="s">
        <v>5517</v>
      </c>
      <c r="D86" s="1229"/>
      <c r="E86" s="1243"/>
      <c r="F86" s="1230"/>
      <c r="G86" s="1233" t="s">
        <v>5515</v>
      </c>
      <c r="H86" s="1230"/>
    </row>
    <row r="87" spans="1:8" ht="30">
      <c r="A87" s="630" t="s">
        <v>5676</v>
      </c>
      <c r="B87" s="1233" t="s">
        <v>5518</v>
      </c>
      <c r="C87" s="1233" t="s">
        <v>5519</v>
      </c>
      <c r="D87" s="1229"/>
      <c r="E87" s="1243"/>
      <c r="F87" s="1230"/>
      <c r="G87" s="1233" t="s">
        <v>5515</v>
      </c>
      <c r="H87" s="1230"/>
    </row>
    <row r="88" spans="1:8" ht="45">
      <c r="A88" s="630" t="s">
        <v>5677</v>
      </c>
      <c r="B88" s="1233" t="s">
        <v>5520</v>
      </c>
      <c r="C88" s="1233" t="s">
        <v>5521</v>
      </c>
      <c r="D88" s="1229"/>
      <c r="E88" s="1243"/>
      <c r="F88" s="1230"/>
      <c r="G88" s="1233" t="s">
        <v>5522</v>
      </c>
      <c r="H88" s="1230"/>
    </row>
    <row r="89" spans="1:8" ht="62.25">
      <c r="A89" s="4246" t="s">
        <v>5678</v>
      </c>
      <c r="B89" s="4228" t="s">
        <v>5523</v>
      </c>
      <c r="C89" s="1233" t="s">
        <v>5560</v>
      </c>
      <c r="D89" s="4228"/>
      <c r="E89" s="4248"/>
      <c r="F89" s="1230"/>
      <c r="G89" s="4228" t="s">
        <v>5522</v>
      </c>
      <c r="H89" s="1230"/>
    </row>
    <row r="90" spans="1:8" ht="30">
      <c r="A90" s="4246"/>
      <c r="B90" s="4228"/>
      <c r="C90" s="1236" t="s">
        <v>5561</v>
      </c>
      <c r="D90" s="4228"/>
      <c r="E90" s="4248"/>
      <c r="F90" s="1230"/>
      <c r="G90" s="4228"/>
      <c r="H90" s="1230"/>
    </row>
    <row r="91" spans="1:8" ht="47.25">
      <c r="A91" s="4246"/>
      <c r="B91" s="4228"/>
      <c r="C91" s="1236" t="s">
        <v>5562</v>
      </c>
      <c r="D91" s="4228"/>
      <c r="E91" s="4248"/>
      <c r="F91" s="1230"/>
      <c r="G91" s="4228"/>
      <c r="H91" s="1230"/>
    </row>
    <row r="92" spans="1:8" ht="75">
      <c r="A92" s="630" t="s">
        <v>5679</v>
      </c>
      <c r="B92" s="1233"/>
      <c r="C92" s="1233" t="s">
        <v>5524</v>
      </c>
      <c r="D92" s="1233"/>
      <c r="E92" s="1245"/>
      <c r="F92" s="1230"/>
      <c r="G92" s="1233"/>
      <c r="H92" s="1230"/>
    </row>
    <row r="93" spans="1:8">
      <c r="A93" s="630" t="s">
        <v>3888</v>
      </c>
      <c r="B93" s="4235"/>
      <c r="C93" s="4235"/>
      <c r="D93" s="4235"/>
      <c r="E93" s="4235"/>
      <c r="F93" s="4235"/>
      <c r="G93" s="4235"/>
      <c r="H93" s="4235"/>
    </row>
    <row r="94" spans="1:8" ht="60">
      <c r="A94" s="630" t="s">
        <v>5680</v>
      </c>
      <c r="B94" s="1229" t="s">
        <v>5525</v>
      </c>
      <c r="C94" s="1229" t="s">
        <v>5526</v>
      </c>
      <c r="D94" s="1230"/>
      <c r="E94" s="1246"/>
      <c r="F94" s="1239">
        <v>0.75</v>
      </c>
      <c r="G94" s="1229" t="s">
        <v>5527</v>
      </c>
      <c r="H94" s="1230"/>
    </row>
    <row r="95" spans="1:8" ht="30">
      <c r="A95" s="630" t="s">
        <v>5681</v>
      </c>
      <c r="B95" s="1229" t="s">
        <v>5528</v>
      </c>
      <c r="C95" s="1230" t="s">
        <v>5529</v>
      </c>
      <c r="D95" s="1230"/>
      <c r="E95" s="1246"/>
      <c r="F95" s="1239">
        <v>0.8</v>
      </c>
      <c r="G95" s="1229" t="s">
        <v>5527</v>
      </c>
      <c r="H95" s="1230"/>
    </row>
    <row r="96" spans="1:8">
      <c r="A96" s="630" t="s">
        <v>5682</v>
      </c>
      <c r="B96" s="4233"/>
      <c r="C96" s="4233"/>
      <c r="D96" s="4233"/>
      <c r="E96" s="4233"/>
      <c r="F96" s="4233"/>
      <c r="G96" s="4233"/>
      <c r="H96" s="4233"/>
    </row>
    <row r="97" spans="1:8" ht="45">
      <c r="A97" s="630" t="s">
        <v>5683</v>
      </c>
      <c r="B97" s="1233" t="s">
        <v>5531</v>
      </c>
      <c r="C97" s="630"/>
      <c r="D97" s="630"/>
      <c r="E97" s="66"/>
      <c r="F97" s="630"/>
      <c r="G97" s="630"/>
      <c r="H97" s="630"/>
    </row>
    <row r="98" spans="1:8" ht="60">
      <c r="A98" s="630" t="s">
        <v>5684</v>
      </c>
      <c r="B98" s="1233" t="s">
        <v>5532</v>
      </c>
      <c r="C98" s="630"/>
      <c r="D98" s="630"/>
      <c r="E98" s="66"/>
      <c r="F98" s="630"/>
      <c r="G98" s="630"/>
      <c r="H98" s="630"/>
    </row>
    <row r="99" spans="1:8" ht="45">
      <c r="A99" s="630" t="s">
        <v>5685</v>
      </c>
      <c r="B99" s="1233" t="s">
        <v>5533</v>
      </c>
      <c r="C99" s="630"/>
      <c r="D99" s="630"/>
      <c r="E99" s="66"/>
      <c r="F99" s="630"/>
      <c r="G99" s="630"/>
      <c r="H99" s="630"/>
    </row>
    <row r="100" spans="1:8" ht="45">
      <c r="A100" s="630" t="s">
        <v>5686</v>
      </c>
      <c r="B100" s="1233" t="s">
        <v>5534</v>
      </c>
      <c r="C100" s="630"/>
      <c r="D100" s="630"/>
      <c r="E100" s="66"/>
      <c r="F100" s="630"/>
      <c r="G100" s="630"/>
      <c r="H100" s="630"/>
    </row>
    <row r="101" spans="1:8" ht="30">
      <c r="A101" s="630" t="s">
        <v>5687</v>
      </c>
      <c r="B101" s="1233" t="s">
        <v>5535</v>
      </c>
      <c r="C101" s="630"/>
      <c r="D101" s="630"/>
      <c r="E101" s="66"/>
      <c r="F101" s="630"/>
      <c r="G101" s="630"/>
      <c r="H101" s="630"/>
    </row>
    <row r="102" spans="1:8">
      <c r="A102" s="630" t="s">
        <v>5688</v>
      </c>
      <c r="B102" s="1233" t="s">
        <v>5536</v>
      </c>
      <c r="C102" s="630"/>
      <c r="D102" s="630"/>
      <c r="E102" s="66"/>
      <c r="F102" s="630"/>
      <c r="G102" s="630"/>
      <c r="H102" s="630"/>
    </row>
    <row r="103" spans="1:8" ht="45">
      <c r="A103" s="630" t="s">
        <v>5689</v>
      </c>
      <c r="B103" s="1233" t="s">
        <v>5537</v>
      </c>
      <c r="C103" s="630"/>
      <c r="D103" s="630"/>
      <c r="E103" s="66"/>
      <c r="F103" s="630"/>
      <c r="G103" s="630"/>
      <c r="H103" s="630"/>
    </row>
    <row r="104" spans="1:8" ht="60">
      <c r="A104" s="630" t="s">
        <v>5690</v>
      </c>
      <c r="B104" s="1233" t="s">
        <v>5538</v>
      </c>
      <c r="C104" s="630"/>
      <c r="D104" s="630"/>
      <c r="E104" s="66"/>
      <c r="F104" s="630"/>
      <c r="G104" s="630"/>
      <c r="H104" s="630"/>
    </row>
    <row r="105" spans="1:8" ht="45" customHeight="1">
      <c r="A105" s="630" t="s">
        <v>5691</v>
      </c>
      <c r="B105" s="1233" t="s">
        <v>5539</v>
      </c>
      <c r="C105" s="630"/>
      <c r="D105" s="630"/>
      <c r="E105" s="66"/>
      <c r="F105" s="630"/>
      <c r="G105" s="630"/>
      <c r="H105" s="630"/>
    </row>
    <row r="106" spans="1:8" ht="45">
      <c r="A106" s="4247" t="s">
        <v>5692</v>
      </c>
      <c r="B106" s="1233" t="s">
        <v>5540</v>
      </c>
      <c r="C106" s="630"/>
      <c r="D106" s="630"/>
      <c r="E106" s="66"/>
      <c r="F106" s="630"/>
      <c r="G106" s="630"/>
      <c r="H106" s="630"/>
    </row>
    <row r="107" spans="1:8" ht="30">
      <c r="A107" s="4247"/>
      <c r="B107" s="1233" t="s">
        <v>5541</v>
      </c>
      <c r="C107" s="630"/>
      <c r="D107" s="630"/>
      <c r="E107" s="66"/>
      <c r="F107" s="630"/>
      <c r="G107" s="630"/>
      <c r="H107" s="630"/>
    </row>
    <row r="108" spans="1:8" ht="30">
      <c r="A108" s="630" t="s">
        <v>5693</v>
      </c>
      <c r="B108" s="1233" t="s">
        <v>5542</v>
      </c>
      <c r="C108" s="630"/>
      <c r="D108" s="630"/>
      <c r="E108" s="66"/>
      <c r="F108" s="630"/>
      <c r="G108" s="630"/>
      <c r="H108" s="630"/>
    </row>
    <row r="109" spans="1:8" ht="30">
      <c r="A109" s="630" t="s">
        <v>5694</v>
      </c>
      <c r="B109" s="1233" t="s">
        <v>5543</v>
      </c>
      <c r="C109" s="630"/>
      <c r="D109" s="630"/>
      <c r="E109" s="66"/>
      <c r="F109" s="630"/>
      <c r="G109" s="630"/>
      <c r="H109" s="630"/>
    </row>
    <row r="110" spans="1:8" ht="30">
      <c r="A110" s="630" t="s">
        <v>5695</v>
      </c>
      <c r="B110" s="1233" t="s">
        <v>5544</v>
      </c>
      <c r="C110" s="630"/>
      <c r="D110" s="630"/>
      <c r="E110" s="66"/>
      <c r="F110" s="630"/>
      <c r="G110" s="630"/>
      <c r="H110" s="630"/>
    </row>
    <row r="111" spans="1:8">
      <c r="A111" s="4246" t="s">
        <v>5696</v>
      </c>
      <c r="B111" s="4228" t="s">
        <v>5552</v>
      </c>
      <c r="C111" s="1233" t="s">
        <v>5545</v>
      </c>
      <c r="D111" s="630"/>
      <c r="E111" s="66"/>
      <c r="F111" s="630"/>
      <c r="G111" s="630"/>
      <c r="H111" s="630"/>
    </row>
    <row r="112" spans="1:8">
      <c r="A112" s="4246"/>
      <c r="B112" s="4228"/>
      <c r="C112" s="1233" t="s">
        <v>5546</v>
      </c>
      <c r="D112" s="630"/>
      <c r="E112" s="66"/>
      <c r="F112" s="630"/>
      <c r="G112" s="630"/>
      <c r="H112" s="630"/>
    </row>
    <row r="113" spans="1:8">
      <c r="A113" s="4246"/>
      <c r="B113" s="4228"/>
      <c r="C113" s="1233" t="s">
        <v>5547</v>
      </c>
      <c r="D113" s="630"/>
      <c r="E113" s="66"/>
      <c r="F113" s="630"/>
      <c r="G113" s="630"/>
      <c r="H113" s="630"/>
    </row>
    <row r="114" spans="1:8">
      <c r="A114" s="4246"/>
      <c r="B114" s="4228"/>
      <c r="C114" s="1233" t="s">
        <v>5548</v>
      </c>
      <c r="D114" s="630"/>
      <c r="E114" s="66"/>
      <c r="F114" s="630"/>
      <c r="G114" s="630"/>
      <c r="H114" s="630"/>
    </row>
    <row r="115" spans="1:8" ht="30">
      <c r="A115" s="4246" t="s">
        <v>5697</v>
      </c>
      <c r="B115" s="1233" t="s">
        <v>5549</v>
      </c>
      <c r="C115" s="630"/>
      <c r="D115" s="630"/>
      <c r="E115" s="66"/>
      <c r="F115" s="630"/>
      <c r="G115" s="630"/>
      <c r="H115" s="630"/>
    </row>
    <row r="116" spans="1:8">
      <c r="A116" s="4246"/>
      <c r="B116" s="1233" t="s">
        <v>5550</v>
      </c>
      <c r="C116" s="630"/>
      <c r="D116" s="630"/>
      <c r="E116" s="66"/>
      <c r="F116" s="630"/>
      <c r="G116" s="630"/>
      <c r="H116" s="630"/>
    </row>
    <row r="117" spans="1:8" ht="32.25">
      <c r="A117" s="630" t="s">
        <v>5698</v>
      </c>
      <c r="B117" s="1233" t="s">
        <v>5563</v>
      </c>
      <c r="C117" s="630"/>
      <c r="D117" s="630"/>
      <c r="E117" s="66"/>
      <c r="F117" s="630"/>
      <c r="G117" s="630"/>
      <c r="H117" s="630"/>
    </row>
    <row r="118" spans="1:8">
      <c r="A118" s="630" t="s">
        <v>5699</v>
      </c>
      <c r="B118" s="1233" t="s">
        <v>5551</v>
      </c>
      <c r="C118" s="630"/>
      <c r="D118" s="630"/>
      <c r="E118" s="66"/>
      <c r="F118" s="630"/>
      <c r="G118" s="630"/>
      <c r="H118" s="630"/>
    </row>
    <row r="119" spans="1:8" s="1241" customFormat="1">
      <c r="A119" s="1240" t="s">
        <v>152</v>
      </c>
      <c r="B119" s="1240"/>
      <c r="C119" s="1240"/>
      <c r="D119" s="1240"/>
      <c r="E119" s="1240"/>
      <c r="F119" s="1240"/>
      <c r="G119" s="1240"/>
      <c r="H119" s="1240"/>
    </row>
    <row r="120" spans="1:8" ht="30">
      <c r="A120" s="630" t="s">
        <v>5716</v>
      </c>
      <c r="B120" s="630"/>
      <c r="C120" s="630" t="s">
        <v>5717</v>
      </c>
      <c r="D120" s="442" t="s">
        <v>5718</v>
      </c>
      <c r="E120" s="66"/>
      <c r="F120" s="630"/>
      <c r="G120" s="630" t="s">
        <v>5719</v>
      </c>
      <c r="H120" s="630"/>
    </row>
    <row r="121" spans="1:8" ht="45">
      <c r="A121" s="630" t="s">
        <v>5720</v>
      </c>
      <c r="B121" s="630"/>
      <c r="C121" s="630" t="s">
        <v>5721</v>
      </c>
      <c r="D121" s="442" t="s">
        <v>5722</v>
      </c>
      <c r="E121" s="66"/>
      <c r="F121" s="630"/>
      <c r="G121" s="630" t="s">
        <v>5719</v>
      </c>
      <c r="H121" s="630"/>
    </row>
    <row r="122" spans="1:8" s="1241" customFormat="1">
      <c r="A122" s="1240" t="s">
        <v>4720</v>
      </c>
      <c r="B122" s="1240"/>
      <c r="C122" s="1240"/>
      <c r="D122" s="1240"/>
      <c r="E122" s="1240"/>
      <c r="F122" s="1240"/>
      <c r="G122" s="1240"/>
      <c r="H122" s="1240"/>
    </row>
    <row r="123" spans="1:8" ht="30">
      <c r="A123" s="630" t="s">
        <v>5723</v>
      </c>
      <c r="B123" s="630" t="s">
        <v>5724</v>
      </c>
      <c r="C123" s="814" t="s">
        <v>5725</v>
      </c>
      <c r="D123" s="814" t="s">
        <v>5726</v>
      </c>
      <c r="E123" s="66"/>
      <c r="F123" s="630"/>
      <c r="G123" s="630" t="s">
        <v>5727</v>
      </c>
      <c r="H123" s="630"/>
    </row>
    <row r="124" spans="1:8" ht="45">
      <c r="A124" s="630" t="s">
        <v>5728</v>
      </c>
      <c r="B124" s="630" t="s">
        <v>5729</v>
      </c>
      <c r="C124" s="814" t="s">
        <v>5730</v>
      </c>
      <c r="D124" s="814" t="s">
        <v>5731</v>
      </c>
      <c r="E124" s="66"/>
      <c r="F124" s="630"/>
      <c r="G124" s="630"/>
      <c r="H124" s="630"/>
    </row>
    <row r="125" spans="1:8" ht="45">
      <c r="A125" s="630" t="s">
        <v>5732</v>
      </c>
      <c r="B125" s="630" t="s">
        <v>5733</v>
      </c>
      <c r="C125" s="814" t="s">
        <v>5734</v>
      </c>
      <c r="D125" s="814" t="s">
        <v>5735</v>
      </c>
      <c r="E125" s="66"/>
      <c r="F125" s="630"/>
      <c r="G125" s="630"/>
      <c r="H125" s="630"/>
    </row>
    <row r="126" spans="1:8" ht="15.75">
      <c r="A126" s="630"/>
      <c r="B126" s="630"/>
      <c r="C126" s="1242"/>
      <c r="D126" s="1242"/>
      <c r="E126" s="66"/>
      <c r="F126" s="630"/>
      <c r="G126" s="630"/>
      <c r="H126" s="630"/>
    </row>
    <row r="127" spans="1:8" s="1241" customFormat="1">
      <c r="A127" s="1240" t="s">
        <v>4598</v>
      </c>
      <c r="B127" s="1240"/>
      <c r="C127" s="1240"/>
      <c r="D127" s="1240"/>
      <c r="E127" s="1240"/>
      <c r="F127" s="1240"/>
      <c r="G127" s="1240"/>
      <c r="H127" s="1240"/>
    </row>
    <row r="128" spans="1:8" ht="30">
      <c r="A128" s="630" t="s">
        <v>5736</v>
      </c>
      <c r="B128" s="4241" t="s">
        <v>5737</v>
      </c>
      <c r="C128" s="814" t="s">
        <v>5738</v>
      </c>
      <c r="D128" s="814" t="s">
        <v>5739</v>
      </c>
      <c r="E128" s="66"/>
      <c r="F128" s="630"/>
      <c r="G128" s="630" t="s">
        <v>5727</v>
      </c>
      <c r="H128" s="630"/>
    </row>
    <row r="129" spans="1:8" ht="30">
      <c r="A129" s="630" t="s">
        <v>5740</v>
      </c>
      <c r="B129" s="4241"/>
      <c r="C129" s="814" t="s">
        <v>5741</v>
      </c>
      <c r="D129" s="814" t="s">
        <v>5742</v>
      </c>
      <c r="E129" s="66"/>
      <c r="F129" s="630"/>
      <c r="G129" s="630"/>
      <c r="H129" s="630"/>
    </row>
    <row r="130" spans="1:8" ht="30">
      <c r="A130" s="630" t="s">
        <v>5743</v>
      </c>
      <c r="B130" s="4241"/>
      <c r="C130" s="814" t="s">
        <v>5744</v>
      </c>
      <c r="D130" s="814" t="s">
        <v>5745</v>
      </c>
      <c r="E130" s="66"/>
      <c r="F130" s="630"/>
      <c r="G130" s="630"/>
      <c r="H130" s="630"/>
    </row>
    <row r="131" spans="1:8" ht="30">
      <c r="A131" s="630" t="s">
        <v>5746</v>
      </c>
      <c r="B131" s="4241"/>
      <c r="C131" s="814" t="s">
        <v>5747</v>
      </c>
      <c r="D131" s="814" t="s">
        <v>5748</v>
      </c>
      <c r="E131" s="66"/>
      <c r="F131" s="630"/>
      <c r="G131" s="630"/>
      <c r="H131" s="630"/>
    </row>
    <row r="132" spans="1:8" s="1241" customFormat="1">
      <c r="A132" s="1240" t="s">
        <v>5749</v>
      </c>
      <c r="B132" s="1240"/>
      <c r="C132" s="1240"/>
      <c r="D132" s="1240"/>
      <c r="E132" s="1240"/>
      <c r="F132" s="1240"/>
      <c r="G132" s="1240"/>
      <c r="H132" s="1240"/>
    </row>
    <row r="133" spans="1:8">
      <c r="A133" s="630" t="s">
        <v>5750</v>
      </c>
      <c r="B133" s="4242" t="s">
        <v>5751</v>
      </c>
      <c r="C133" s="4244" t="s">
        <v>5752</v>
      </c>
      <c r="D133" s="814" t="s">
        <v>5753</v>
      </c>
      <c r="E133" s="66"/>
      <c r="F133" s="630"/>
      <c r="G133" s="630" t="s">
        <v>5387</v>
      </c>
      <c r="H133" s="630"/>
    </row>
    <row r="134" spans="1:8">
      <c r="A134" s="630" t="s">
        <v>5754</v>
      </c>
      <c r="B134" s="4243"/>
      <c r="C134" s="4245"/>
      <c r="D134" s="814" t="s">
        <v>5755</v>
      </c>
      <c r="E134" s="66"/>
      <c r="F134" s="630"/>
      <c r="G134" s="630" t="s">
        <v>5387</v>
      </c>
      <c r="H134" s="630"/>
    </row>
  </sheetData>
  <sheetProtection sheet="1" objects="1" scenarios="1"/>
  <mergeCells count="94">
    <mergeCell ref="B46:H46"/>
    <mergeCell ref="A22:A24"/>
    <mergeCell ref="A25:A27"/>
    <mergeCell ref="A28:A30"/>
    <mergeCell ref="A31:A33"/>
    <mergeCell ref="A34:A35"/>
    <mergeCell ref="A37:A39"/>
    <mergeCell ref="A40:A42"/>
    <mergeCell ref="A43:A45"/>
    <mergeCell ref="F37:F39"/>
    <mergeCell ref="G37:G39"/>
    <mergeCell ref="C34:C35"/>
    <mergeCell ref="E34:E35"/>
    <mergeCell ref="F34:F35"/>
    <mergeCell ref="G34:G35"/>
    <mergeCell ref="B36:H36"/>
    <mergeCell ref="B128:B131"/>
    <mergeCell ref="B133:B134"/>
    <mergeCell ref="C133:C134"/>
    <mergeCell ref="A70:A72"/>
    <mergeCell ref="A89:A91"/>
    <mergeCell ref="A106:A107"/>
    <mergeCell ref="A111:A114"/>
    <mergeCell ref="A115:A116"/>
    <mergeCell ref="B96:H96"/>
    <mergeCell ref="B111:B114"/>
    <mergeCell ref="B79:H79"/>
    <mergeCell ref="B84:H84"/>
    <mergeCell ref="B93:H93"/>
    <mergeCell ref="B89:B91"/>
    <mergeCell ref="D89:D91"/>
    <mergeCell ref="E89:E91"/>
    <mergeCell ref="B22:B35"/>
    <mergeCell ref="B53:B56"/>
    <mergeCell ref="B58:B65"/>
    <mergeCell ref="B75:B78"/>
    <mergeCell ref="B80:B83"/>
    <mergeCell ref="B74:H74"/>
    <mergeCell ref="B57:H57"/>
    <mergeCell ref="C68:D68"/>
    <mergeCell ref="G68:G73"/>
    <mergeCell ref="C69:D69"/>
    <mergeCell ref="C73:D73"/>
    <mergeCell ref="B67:H67"/>
    <mergeCell ref="B68:B73"/>
    <mergeCell ref="B66:H66"/>
    <mergeCell ref="B52:H52"/>
    <mergeCell ref="H31:H33"/>
    <mergeCell ref="H34:H35"/>
    <mergeCell ref="H37:H39"/>
    <mergeCell ref="H40:H42"/>
    <mergeCell ref="H43:H45"/>
    <mergeCell ref="C43:C45"/>
    <mergeCell ref="E43:E45"/>
    <mergeCell ref="F43:F45"/>
    <mergeCell ref="G43:G45"/>
    <mergeCell ref="C40:C42"/>
    <mergeCell ref="E40:E42"/>
    <mergeCell ref="F40:F42"/>
    <mergeCell ref="G40:G42"/>
    <mergeCell ref="C37:C39"/>
    <mergeCell ref="E37:E39"/>
    <mergeCell ref="C22:C24"/>
    <mergeCell ref="E22:E24"/>
    <mergeCell ref="F22:F24"/>
    <mergeCell ref="G22:G24"/>
    <mergeCell ref="C31:C33"/>
    <mergeCell ref="E31:E33"/>
    <mergeCell ref="F31:F33"/>
    <mergeCell ref="G31:G33"/>
    <mergeCell ref="C28:C30"/>
    <mergeCell ref="E28:E30"/>
    <mergeCell ref="F28:F30"/>
    <mergeCell ref="G28:G30"/>
    <mergeCell ref="C25:C27"/>
    <mergeCell ref="E25:E27"/>
    <mergeCell ref="F25:F27"/>
    <mergeCell ref="G25:G27"/>
    <mergeCell ref="G89:G91"/>
    <mergeCell ref="B16:B20"/>
    <mergeCell ref="A1:A2"/>
    <mergeCell ref="C1:H1"/>
    <mergeCell ref="B4:B9"/>
    <mergeCell ref="B10:H10"/>
    <mergeCell ref="B3:H3"/>
    <mergeCell ref="B15:H15"/>
    <mergeCell ref="B11:B14"/>
    <mergeCell ref="B1:B2"/>
    <mergeCell ref="A16:A18"/>
    <mergeCell ref="B21:H21"/>
    <mergeCell ref="H22:H24"/>
    <mergeCell ref="H25:H27"/>
    <mergeCell ref="H28:H30"/>
    <mergeCell ref="B50:H50"/>
  </mergeCells>
  <phoneticPr fontId="27"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21"/>
  <dimension ref="A1:R36"/>
  <sheetViews>
    <sheetView zoomScale="50" zoomScaleNormal="50" workbookViewId="0">
      <pane xSplit="3" ySplit="5" topLeftCell="D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7109375" defaultRowHeight="15"/>
  <cols>
    <col min="1" max="1" width="10.85546875" style="820" bestFit="1" customWidth="1"/>
    <col min="2" max="2" width="19" style="820" customWidth="1"/>
    <col min="3" max="3" width="56" style="820" customWidth="1"/>
    <col min="4" max="4" width="4.5703125" style="621" bestFit="1" customWidth="1"/>
    <col min="5" max="5" width="19.5703125" style="621" bestFit="1" customWidth="1"/>
    <col min="6" max="6" width="33.42578125" style="621" customWidth="1"/>
    <col min="7" max="7" width="17.28515625" style="621" bestFit="1" customWidth="1"/>
    <col min="8" max="8" width="15.85546875" style="949" bestFit="1" customWidth="1"/>
    <col min="9" max="9" width="15.140625" style="621" bestFit="1" customWidth="1"/>
    <col min="10" max="10" width="12" style="949" customWidth="1"/>
    <col min="11" max="11" width="17.140625" style="453" customWidth="1"/>
    <col min="12" max="12" width="15.85546875" style="453" customWidth="1"/>
    <col min="13" max="13" width="14" style="949" customWidth="1"/>
    <col min="14" max="14" width="8.7109375" style="950"/>
    <col min="15" max="15" width="8.7109375" style="974"/>
    <col min="16" max="16" width="52.140625" style="950" customWidth="1"/>
    <col min="17" max="17" width="31.85546875" style="950" customWidth="1"/>
    <col min="18" max="18" width="12" style="950" customWidth="1"/>
    <col min="19" max="16384" width="8.7109375" style="950"/>
  </cols>
  <sheetData>
    <row r="1" spans="1:18" ht="30">
      <c r="A1" s="4634" t="s">
        <v>3951</v>
      </c>
      <c r="B1" s="4634"/>
      <c r="C1" s="4634"/>
      <c r="D1" s="909"/>
      <c r="E1" s="954"/>
      <c r="F1" s="74" t="s">
        <v>3952</v>
      </c>
      <c r="G1" s="598"/>
      <c r="H1" s="598"/>
      <c r="J1" s="913"/>
      <c r="K1" s="995"/>
      <c r="L1" s="995"/>
      <c r="M1" s="913"/>
    </row>
    <row r="2" spans="1:18" s="621" customFormat="1">
      <c r="A2" s="868" t="str">
        <f>HYPERLINK("#Index!F3", "Index Pg")</f>
        <v>Index Pg</v>
      </c>
      <c r="B2" s="873"/>
      <c r="C2" s="403" t="str">
        <f>HYPERLINK("#'Budget Summary I'!A1:AL1", "Budget Summary I")</f>
        <v>Budget Summary I</v>
      </c>
      <c r="D2" s="917"/>
      <c r="E2" s="816" t="s">
        <v>4599</v>
      </c>
      <c r="F2" s="983">
        <f>R6+R8+R13+R17+R22+R28+R30+R32+R34</f>
        <v>0</v>
      </c>
      <c r="G2" s="921"/>
      <c r="H2" s="921"/>
      <c r="J2" s="913"/>
      <c r="K2" s="996"/>
      <c r="L2" s="996"/>
      <c r="M2" s="913"/>
      <c r="O2" s="949"/>
    </row>
    <row r="3" spans="1:18" s="929" customFormat="1">
      <c r="A3" s="872"/>
      <c r="B3" s="873"/>
      <c r="C3" s="924" t="str">
        <f>HYPERLINK("#'Budget Summary II'!A3:B5", "Budget Summary II")</f>
        <v>Budget Summary II</v>
      </c>
      <c r="D3" s="917"/>
      <c r="E3" s="997" t="s">
        <v>4600</v>
      </c>
      <c r="F3" s="998">
        <f>O6+O8+O13+O17+O22+O28+O30+O32+O34</f>
        <v>58498.91204000001</v>
      </c>
      <c r="G3" s="921"/>
      <c r="H3" s="921"/>
      <c r="J3" s="930"/>
      <c r="K3" s="996"/>
      <c r="L3" s="996"/>
      <c r="M3" s="913"/>
      <c r="O3" s="930"/>
    </row>
    <row r="4" spans="1:18" s="621" customFormat="1" ht="14.45" customHeigh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621" customFormat="1"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985">
        <f>'1.SD Facility Based Annex'!A7</f>
        <v>1</v>
      </c>
      <c r="B6" s="985">
        <f>'1.SD Facility Based Annex'!B7</f>
        <v>0</v>
      </c>
      <c r="C6" s="985" t="str">
        <f>'1.SD Facility Based Annex'!C7</f>
        <v>Service Delivery - Facility Based</v>
      </c>
      <c r="D6" s="985"/>
      <c r="E6" s="985"/>
      <c r="F6" s="985"/>
      <c r="G6" s="985"/>
      <c r="H6" s="985"/>
      <c r="I6" s="985"/>
      <c r="J6" s="985"/>
      <c r="K6" s="985"/>
      <c r="L6" s="985"/>
      <c r="M6" s="601"/>
      <c r="N6" s="985"/>
      <c r="O6" s="601">
        <f>O7</f>
        <v>0</v>
      </c>
      <c r="P6" s="985"/>
      <c r="Q6" s="985"/>
      <c r="R6" s="601">
        <f>R7</f>
        <v>0</v>
      </c>
    </row>
    <row r="7" spans="1:18">
      <c r="A7" s="387" t="str">
        <f>'1.SD Facility Based Annex'!A55</f>
        <v>1.1.7.5</v>
      </c>
      <c r="B7" s="387">
        <f>'1.SD Facility Based Annex'!B55</f>
        <v>0</v>
      </c>
      <c r="C7" s="387" t="str">
        <f>'1.SD Facility Based Annex'!C55</f>
        <v>ICT for HWC- Internet connection</v>
      </c>
      <c r="D7" s="387" t="str">
        <f>'1.SD Facility Based Annex'!D55</f>
        <v>HSS</v>
      </c>
      <c r="E7" s="387" t="str">
        <f>'1.SD Facility Based Annex'!E55</f>
        <v>CPHC</v>
      </c>
      <c r="F7" s="387">
        <f>'1.SD Facility Based Annex'!F55</f>
        <v>0</v>
      </c>
      <c r="G7" s="387">
        <f>'1.SD Facility Based Annex'!G55</f>
        <v>0</v>
      </c>
      <c r="H7" s="387">
        <f>'1.SD Facility Based Annex'!H55</f>
        <v>0</v>
      </c>
      <c r="I7" s="387">
        <f>'1.SD Facility Based Annex'!I55</f>
        <v>0</v>
      </c>
      <c r="J7" s="387">
        <f>'1.SD Facility Based Annex'!J55</f>
        <v>0</v>
      </c>
      <c r="K7" s="387">
        <f>'1.SD Facility Based Annex'!K55</f>
        <v>0</v>
      </c>
      <c r="L7" s="387">
        <f>'1.SD Facility Based Annex'!L55</f>
        <v>0</v>
      </c>
      <c r="M7" s="388">
        <f>'1.SD Facility Based Annex'!M55</f>
        <v>0</v>
      </c>
      <c r="N7" s="387">
        <f>'1.SD Facility Based Annex'!N55</f>
        <v>0</v>
      </c>
      <c r="O7" s="388">
        <f>'1.SD Facility Based Annex'!O55</f>
        <v>0</v>
      </c>
      <c r="P7" s="387">
        <f>'1.SD Facility Based Annex'!P55</f>
        <v>0</v>
      </c>
      <c r="Q7" s="63"/>
      <c r="R7" s="821"/>
    </row>
    <row r="8" spans="1:18">
      <c r="A8" s="985">
        <f>'5.Infrastructure Annex'!A7</f>
        <v>5</v>
      </c>
      <c r="B8" s="985"/>
      <c r="C8" s="985" t="str">
        <f>'5.Infrastructure Annex'!C7</f>
        <v>Infrastructure</v>
      </c>
      <c r="D8" s="984"/>
      <c r="E8" s="984"/>
      <c r="F8" s="984"/>
      <c r="G8" s="984"/>
      <c r="H8" s="485"/>
      <c r="I8" s="984"/>
      <c r="J8" s="485"/>
      <c r="K8" s="985"/>
      <c r="L8" s="985"/>
      <c r="M8" s="485"/>
      <c r="N8" s="999"/>
      <c r="O8" s="1000">
        <f>SUM(O9:O12)</f>
        <v>29418</v>
      </c>
      <c r="P8" s="999"/>
      <c r="Q8" s="1005"/>
      <c r="R8" s="1006">
        <f>SUM(R9:R12)</f>
        <v>0</v>
      </c>
    </row>
    <row r="9" spans="1:18">
      <c r="A9" s="387" t="str">
        <f>'5.Infrastructure Annex'!A28</f>
        <v>5.1.1.2.7</v>
      </c>
      <c r="B9" s="387" t="str">
        <f>'5.Infrastructure Annex'!B28</f>
        <v>B4.1.4.2</v>
      </c>
      <c r="C9" s="387" t="str">
        <f>'5.Infrastructure Annex'!C28</f>
        <v>Upgradation/ Renovation of HWC-HSCs</v>
      </c>
      <c r="D9" s="387" t="str">
        <f>'5.Infrastructure Annex'!D28</f>
        <v>HSS</v>
      </c>
      <c r="E9" s="387" t="str">
        <f>'5.Infrastructure Annex'!E28</f>
        <v>CPHC</v>
      </c>
      <c r="F9" s="387">
        <f>'5.Infrastructure Annex'!F28</f>
        <v>0</v>
      </c>
      <c r="G9" s="387">
        <f>'5.Infrastructure Annex'!G28</f>
        <v>0</v>
      </c>
      <c r="H9" s="387">
        <f>'5.Infrastructure Annex'!H28</f>
        <v>0</v>
      </c>
      <c r="I9" s="387">
        <f>'5.Infrastructure Annex'!I28</f>
        <v>0</v>
      </c>
      <c r="J9" s="387">
        <f>'5.Infrastructure Annex'!J28</f>
        <v>0</v>
      </c>
      <c r="K9" s="387">
        <f>'5.Infrastructure Annex'!K28</f>
        <v>0</v>
      </c>
      <c r="L9" s="387">
        <f>'5.Infrastructure Annex'!L28</f>
        <v>0</v>
      </c>
      <c r="M9" s="388">
        <f>'5.Infrastructure Annex'!M28</f>
        <v>0</v>
      </c>
      <c r="N9" s="387">
        <f>'5.Infrastructure Annex'!N28</f>
        <v>0</v>
      </c>
      <c r="O9" s="388">
        <f>'5.Infrastructure Annex'!O28</f>
        <v>0</v>
      </c>
      <c r="P9" s="387">
        <f>'5.Infrastructure Annex'!P28</f>
        <v>0</v>
      </c>
      <c r="Q9" s="66"/>
      <c r="R9" s="821"/>
    </row>
    <row r="10" spans="1:18">
      <c r="A10" s="387" t="str">
        <f>'5.Infrastructure Annex'!A29</f>
        <v>5.1.1.2.8</v>
      </c>
      <c r="B10" s="387" t="str">
        <f>'5.Infrastructure Annex'!B29</f>
        <v>B18.3</v>
      </c>
      <c r="C10" s="387" t="str">
        <f>'5.Infrastructure Annex'!C29</f>
        <v>Infrastructure strengthening of SC  to H&amp;WC</v>
      </c>
      <c r="D10" s="387" t="str">
        <f>'5.Infrastructure Annex'!D29</f>
        <v>HSS</v>
      </c>
      <c r="E10" s="387" t="str">
        <f>'5.Infrastructure Annex'!E29</f>
        <v>CPHC</v>
      </c>
      <c r="F10" s="387">
        <f>'5.Infrastructure Annex'!F29</f>
        <v>0</v>
      </c>
      <c r="G10" s="387">
        <f>'5.Infrastructure Annex'!G29</f>
        <v>0</v>
      </c>
      <c r="H10" s="387">
        <f>'5.Infrastructure Annex'!H29</f>
        <v>0</v>
      </c>
      <c r="I10" s="387">
        <f>'5.Infrastructure Annex'!I29</f>
        <v>0</v>
      </c>
      <c r="J10" s="387">
        <f>'5.Infrastructure Annex'!J29</f>
        <v>0</v>
      </c>
      <c r="K10" s="387" t="str">
        <f>'5.Infrastructure Annex'!K29</f>
        <v>No of HSCs</v>
      </c>
      <c r="L10" s="387">
        <f>'5.Infrastructure Annex'!L29</f>
        <v>700000</v>
      </c>
      <c r="M10" s="388">
        <f>'5.Infrastructure Annex'!M29</f>
        <v>7</v>
      </c>
      <c r="N10" s="387">
        <f>'5.Infrastructure Annex'!N29</f>
        <v>2874</v>
      </c>
      <c r="O10" s="388">
        <f>'5.Infrastructure Annex'!O29</f>
        <v>20118</v>
      </c>
      <c r="P10" s="387" t="str">
        <f>'5.Infrastructure Annex'!P29</f>
        <v xml:space="preserve">Continued activity- 
Proposed for Infrastructure strengthening of 2874 HSCs into HWCs @7 lakh per HSC
Total amount is Rs 2011800000/-                    </v>
      </c>
      <c r="Q10" s="66"/>
      <c r="R10" s="821"/>
    </row>
    <row r="11" spans="1:18">
      <c r="A11" s="387" t="str">
        <f>'5.Infrastructure Annex'!A30</f>
        <v>5.1.1.2.9</v>
      </c>
      <c r="B11" s="387">
        <f>'5.Infrastructure Annex'!B30</f>
        <v>0</v>
      </c>
      <c r="C11" s="387" t="str">
        <f>'5.Infrastructure Annex'!C30</f>
        <v>Infrastructure strengthening of PHC  to H&amp;WC</v>
      </c>
      <c r="D11" s="387" t="str">
        <f>'5.Infrastructure Annex'!D30</f>
        <v>HSS</v>
      </c>
      <c r="E11" s="387" t="str">
        <f>'5.Infrastructure Annex'!E30</f>
        <v>CPHC</v>
      </c>
      <c r="F11" s="387">
        <f>'5.Infrastructure Annex'!F30</f>
        <v>0</v>
      </c>
      <c r="G11" s="387">
        <f>'5.Infrastructure Annex'!G30</f>
        <v>0</v>
      </c>
      <c r="H11" s="387">
        <f>'5.Infrastructure Annex'!H30</f>
        <v>0</v>
      </c>
      <c r="I11" s="387">
        <f>'5.Infrastructure Annex'!I30</f>
        <v>0</v>
      </c>
      <c r="J11" s="387">
        <f>'5.Infrastructure Annex'!J30</f>
        <v>0</v>
      </c>
      <c r="K11" s="387">
        <f>'5.Infrastructure Annex'!K30</f>
        <v>0</v>
      </c>
      <c r="L11" s="387">
        <f>'5.Infrastructure Annex'!L30</f>
        <v>0</v>
      </c>
      <c r="M11" s="388">
        <f>'5.Infrastructure Annex'!M30</f>
        <v>0</v>
      </c>
      <c r="N11" s="387">
        <f>'5.Infrastructure Annex'!N30</f>
        <v>0</v>
      </c>
      <c r="O11" s="388">
        <f>'5.Infrastructure Annex'!O30</f>
        <v>0</v>
      </c>
      <c r="P11" s="387">
        <f>'5.Infrastructure Annex'!P30</f>
        <v>0</v>
      </c>
      <c r="Q11" s="66"/>
      <c r="R11" s="821"/>
    </row>
    <row r="12" spans="1:18">
      <c r="A12" s="387" t="str">
        <f>'5.Infrastructure Annex'!A41</f>
        <v>5.1.1.3.5</v>
      </c>
      <c r="B12" s="387" t="str">
        <f>'5.Infrastructure Annex'!B41</f>
        <v>B4.1.4.3</v>
      </c>
      <c r="C12" s="387" t="str">
        <f>'5.Infrastructure Annex'!C41</f>
        <v>Spill over of Ongoing Upgradation Works - HWC-HSCs</v>
      </c>
      <c r="D12" s="387" t="str">
        <f>'5.Infrastructure Annex'!D41</f>
        <v>HSS</v>
      </c>
      <c r="E12" s="387" t="str">
        <f>'5.Infrastructure Annex'!E41</f>
        <v>CPHC</v>
      </c>
      <c r="F12" s="387">
        <f>'5.Infrastructure Annex'!F41</f>
        <v>0</v>
      </c>
      <c r="G12" s="387">
        <f>'5.Infrastructure Annex'!G41</f>
        <v>0</v>
      </c>
      <c r="H12" s="387">
        <f>'5.Infrastructure Annex'!H41</f>
        <v>0</v>
      </c>
      <c r="I12" s="387">
        <f>'5.Infrastructure Annex'!I41</f>
        <v>0</v>
      </c>
      <c r="J12" s="387">
        <f>'5.Infrastructure Annex'!J41</f>
        <v>0</v>
      </c>
      <c r="K12" s="387" t="str">
        <f>'5.Infrastructure Annex'!K41</f>
        <v>(a) For 236 HWC
(b) for 260 HWC</v>
      </c>
      <c r="L12" s="387">
        <f>'5.Infrastructure Annex'!L41</f>
        <v>930000000</v>
      </c>
      <c r="M12" s="388">
        <f>'5.Infrastructure Annex'!M41</f>
        <v>9300</v>
      </c>
      <c r="N12" s="387">
        <f>'5.Infrastructure Annex'!N41</f>
        <v>1</v>
      </c>
      <c r="O12" s="388">
        <f>'5.Infrastructure Annex'!O41</f>
        <v>9300</v>
      </c>
      <c r="P12" s="387" t="str">
        <f>'5.Infrastructure Annex'!P41</f>
        <v>Continued Activity
(A) For construction of 236 HWC
*GOI approved in ROP 2019-20
* GOI approved total cost of Rs. 9440 Lakhs @ Rs 40 Lakh per unit.
GOI approved in ROP 2019-20 Amount of Rs. 2360.00 Lacs of 25% of total project cost. 
GOI approved in ROP 2020-21 Amount of Rs. 2360.00 Lakhs. 
GOI approved in the year 2020-21 revised estimated price of Rs 75 lakh per unit. 
So Total cost for 236 HWC 236x7500000=1770000000/-
Now this FY 2021-22 required amount is Rs. 442500000/- 25% of  1770000000/-. 
(B) For construction of 260 HWC
GOI approved in ROP 2020-21 @ 7500000/-
GOI approved Rs. 4875.00 Lacs of 25% of total project cost. (Total Project Cost is 195 Crore)
Now thi FY 2021-22 is required 4875 Lakh.
Total Amount required 4425+4875=9300 Lacs.</v>
      </c>
      <c r="Q12" s="66"/>
      <c r="R12" s="821"/>
    </row>
    <row r="13" spans="1:18">
      <c r="A13" s="985">
        <f>'6.Procurement Annex'!A7</f>
        <v>6</v>
      </c>
      <c r="B13" s="985"/>
      <c r="C13" s="985" t="str">
        <f>'6.Procurement Annex'!C7</f>
        <v>Procurement</v>
      </c>
      <c r="D13" s="984"/>
      <c r="E13" s="984"/>
      <c r="F13" s="984"/>
      <c r="G13" s="984"/>
      <c r="H13" s="485"/>
      <c r="I13" s="984"/>
      <c r="J13" s="485"/>
      <c r="K13" s="985"/>
      <c r="L13" s="985"/>
      <c r="M13" s="485"/>
      <c r="N13" s="999"/>
      <c r="O13" s="1000">
        <f>SUM(O14:O16)</f>
        <v>439.34999999999997</v>
      </c>
      <c r="P13" s="999"/>
      <c r="Q13" s="1005"/>
      <c r="R13" s="1006">
        <f>SUM(R14:R16)</f>
        <v>0</v>
      </c>
    </row>
    <row r="14" spans="1:18">
      <c r="A14" s="387" t="str">
        <f>'6.Procurement Annex'!A23</f>
        <v>6.1.2.6</v>
      </c>
      <c r="B14" s="387">
        <f>'6-A. Proc. Sub-Annex'!C60</f>
        <v>0</v>
      </c>
      <c r="C14" s="387" t="str">
        <f>'6-A. Proc. Sub-Annex'!D60</f>
        <v xml:space="preserve">IT equipment for HWCs (PHC and SHCS) </v>
      </c>
      <c r="D14" s="387" t="str">
        <f>'6-A. Proc. Sub-Annex'!E60</f>
        <v>HSS</v>
      </c>
      <c r="E14" s="387" t="str">
        <f>'6-A. Proc. Sub-Annex'!F60</f>
        <v>CPHC</v>
      </c>
      <c r="F14" s="387">
        <f>'6-A. Proc. Sub-Annex'!G60</f>
        <v>0</v>
      </c>
      <c r="G14" s="387">
        <f>'6-A. Proc. Sub-Annex'!H60</f>
        <v>0</v>
      </c>
      <c r="H14" s="387">
        <f>'6-A. Proc. Sub-Annex'!I60</f>
        <v>0</v>
      </c>
      <c r="I14" s="387">
        <f>'6-A. Proc. Sub-Annex'!J60</f>
        <v>0</v>
      </c>
      <c r="J14" s="387">
        <f>'6-A. Proc. Sub-Annex'!K60</f>
        <v>0</v>
      </c>
      <c r="K14" s="387" t="str">
        <f>'6-A. Proc. Sub-Annex'!L60</f>
        <v>No of CHOs</v>
      </c>
      <c r="L14" s="387">
        <f>'6-A. Proc. Sub-Annex'!M60</f>
        <v>15000</v>
      </c>
      <c r="M14" s="388">
        <f>'6-A. Proc. Sub-Annex'!N60</f>
        <v>0.15</v>
      </c>
      <c r="N14" s="387">
        <f>'6-A. Proc. Sub-Annex'!O60</f>
        <v>2929</v>
      </c>
      <c r="O14" s="388">
        <f>'6-A. Proc. Sub-Annex'!P60</f>
        <v>439.34999999999997</v>
      </c>
      <c r="P14" s="387" t="str">
        <f>'6-A. Proc. Sub-Annex'!Q60</f>
        <v>Continued activity- 
Proposed cost of one android tablet for 50 percent of total expected CHOs i.e. 2929 (5857/2) @ Rs 15000/- per Tablet. 
Total amount is 439350000. 
5857 (1230 + 2014 + 1527 + 1086) CHO expected to be posted . Half of the Number is 2929.</v>
      </c>
      <c r="Q14" s="66"/>
      <c r="R14" s="821"/>
    </row>
    <row r="15" spans="1:18">
      <c r="A15" s="4247" t="str">
        <f>'6.Procurement Annex'!A69</f>
        <v>6.2.2.6</v>
      </c>
      <c r="B15" s="387">
        <f>'6-A. Proc. Sub-Annex'!C209</f>
        <v>0</v>
      </c>
      <c r="C15" s="387" t="str">
        <f>'6-A. Proc. Sub-Annex'!D209</f>
        <v xml:space="preserve">Lab strengthening for SHC - HWC </v>
      </c>
      <c r="D15" s="387" t="str">
        <f>'6-A. Proc. Sub-Annex'!E209</f>
        <v>HSS</v>
      </c>
      <c r="E15" s="387" t="str">
        <f>'6-A. Proc. Sub-Annex'!F209</f>
        <v>CPHC</v>
      </c>
      <c r="F15" s="387">
        <f>'6-A. Proc. Sub-Annex'!G209</f>
        <v>0</v>
      </c>
      <c r="G15" s="387">
        <f>'6-A. Proc. Sub-Annex'!H209</f>
        <v>0</v>
      </c>
      <c r="H15" s="387">
        <f>'6-A. Proc. Sub-Annex'!I209</f>
        <v>0</v>
      </c>
      <c r="I15" s="387">
        <f>'6-A. Proc. Sub-Annex'!J209</f>
        <v>0</v>
      </c>
      <c r="J15" s="387">
        <f>'6-A. Proc. Sub-Annex'!K209</f>
        <v>0</v>
      </c>
      <c r="K15" s="387">
        <f>'6-A. Proc. Sub-Annex'!L209</f>
        <v>0</v>
      </c>
      <c r="L15" s="387">
        <f>'6-A. Proc. Sub-Annex'!M209</f>
        <v>0</v>
      </c>
      <c r="M15" s="388">
        <f>'6-A. Proc. Sub-Annex'!N209</f>
        <v>0</v>
      </c>
      <c r="N15" s="387">
        <f>'6-A. Proc. Sub-Annex'!O209</f>
        <v>0</v>
      </c>
      <c r="O15" s="388">
        <f>'6-A. Proc. Sub-Annex'!P209</f>
        <v>0</v>
      </c>
      <c r="P15" s="387">
        <f>'6-A. Proc. Sub-Annex'!Q209</f>
        <v>0</v>
      </c>
      <c r="Q15" s="66"/>
      <c r="R15" s="821"/>
    </row>
    <row r="16" spans="1:18">
      <c r="A16" s="4247"/>
      <c r="B16" s="387">
        <f>'6-A. Proc. Sub-Annex'!C210</f>
        <v>0</v>
      </c>
      <c r="C16" s="387" t="str">
        <f>'6-A. Proc. Sub-Annex'!D210</f>
        <v xml:space="preserve">Lab strengthening for PHC - HWC </v>
      </c>
      <c r="D16" s="387" t="str">
        <f>'6-A. Proc. Sub-Annex'!E210</f>
        <v>HSS</v>
      </c>
      <c r="E16" s="387" t="str">
        <f>'6-A. Proc. Sub-Annex'!F210</f>
        <v>CPHC</v>
      </c>
      <c r="F16" s="387">
        <f>'6-A. Proc. Sub-Annex'!G210</f>
        <v>0</v>
      </c>
      <c r="G16" s="387">
        <f>'6-A. Proc. Sub-Annex'!H210</f>
        <v>0</v>
      </c>
      <c r="H16" s="387">
        <f>'6-A. Proc. Sub-Annex'!I210</f>
        <v>0</v>
      </c>
      <c r="I16" s="387">
        <f>'6-A. Proc. Sub-Annex'!J210</f>
        <v>0</v>
      </c>
      <c r="J16" s="387">
        <f>'6-A. Proc. Sub-Annex'!K210</f>
        <v>0</v>
      </c>
      <c r="K16" s="387">
        <f>'6-A. Proc. Sub-Annex'!L210</f>
        <v>0</v>
      </c>
      <c r="L16" s="387">
        <f>'6-A. Proc. Sub-Annex'!M210</f>
        <v>0</v>
      </c>
      <c r="M16" s="388">
        <f>'6-A. Proc. Sub-Annex'!N210</f>
        <v>0</v>
      </c>
      <c r="N16" s="387">
        <f>'6-A. Proc. Sub-Annex'!O210</f>
        <v>0</v>
      </c>
      <c r="O16" s="388">
        <f>'6-A. Proc. Sub-Annex'!P210</f>
        <v>0</v>
      </c>
      <c r="P16" s="387">
        <f>'6-A. Proc. Sub-Annex'!Q210</f>
        <v>0</v>
      </c>
      <c r="Q16" s="66"/>
      <c r="R16" s="821"/>
    </row>
    <row r="17" spans="1:18">
      <c r="A17" s="985">
        <f>'8.Human Resources (SD) Annex'!A7</f>
        <v>8</v>
      </c>
      <c r="B17" s="985"/>
      <c r="C17" s="985" t="str">
        <f>'8.Human Resources (SD) Annex'!C7</f>
        <v>Human Resources</v>
      </c>
      <c r="D17" s="984"/>
      <c r="E17" s="984"/>
      <c r="F17" s="984"/>
      <c r="G17" s="984"/>
      <c r="H17" s="485"/>
      <c r="I17" s="984"/>
      <c r="J17" s="485"/>
      <c r="K17" s="985"/>
      <c r="L17" s="985"/>
      <c r="M17" s="485"/>
      <c r="N17" s="999"/>
      <c r="O17" s="1000">
        <f>SUM(O18:O21)</f>
        <v>18239.7</v>
      </c>
      <c r="P17" s="999"/>
      <c r="Q17" s="1005"/>
      <c r="R17" s="1006">
        <f>SUM(R18:R21)</f>
        <v>0</v>
      </c>
    </row>
    <row r="18" spans="1:18" s="499" customFormat="1" ht="225">
      <c r="A18" s="986" t="str">
        <f>'8.Human Resources (SD) Annex'!A106</f>
        <v>8.1.12.1</v>
      </c>
      <c r="B18" s="986"/>
      <c r="C18" s="986" t="str">
        <f>'8.Human Resources (SD) Annex'!C106</f>
        <v>Mid-level Service Provider</v>
      </c>
      <c r="D18" s="986" t="str">
        <f>'8.Human Resources (SD) Annex'!D106</f>
        <v>HSS</v>
      </c>
      <c r="E18" s="986" t="str">
        <f>'8.Human Resources (SD) Annex'!E106</f>
        <v>CPHC</v>
      </c>
      <c r="F18" s="986">
        <f>'8.Human Resources (SD) Annex'!F106</f>
        <v>0</v>
      </c>
      <c r="G18" s="986">
        <f>'8.Human Resources (SD) Annex'!G106</f>
        <v>0</v>
      </c>
      <c r="H18" s="986">
        <f>'8.Human Resources (SD) Annex'!H106</f>
        <v>0</v>
      </c>
      <c r="I18" s="986">
        <f>'8.Human Resources (SD) Annex'!I106</f>
        <v>0</v>
      </c>
      <c r="J18" s="986">
        <f>'8.Human Resources (SD) Annex'!J106</f>
        <v>0</v>
      </c>
      <c r="K18" s="986" t="str">
        <f>'8.Human Resources (SD) Annex'!L106</f>
        <v>CHO</v>
      </c>
      <c r="L18" s="986">
        <f>'8.Human Resources (SD) Annex'!M106</f>
        <v>25000</v>
      </c>
      <c r="M18" s="287">
        <f>'8.Human Resources (SD) Annex'!N106</f>
        <v>0.25</v>
      </c>
      <c r="N18" s="986">
        <f>'8.Human Resources (SD) Annex'!O106</f>
        <v>48276</v>
      </c>
      <c r="O18" s="287">
        <f>'8.Human Resources (SD) Annex'!P106</f>
        <v>12069</v>
      </c>
      <c r="P18" s="986" t="str">
        <f>'8.Human Resources (SD) Annex'!Q106</f>
        <v xml:space="preserve">Continued activity-      REMUNERATION OF CHOSs @ 25000 pm                                                                                             
1) Proposed remuneration for CHO ,1230 for 12 months - Rs. 369000000/- 
2)Proposed remuneration for  CHO ,2014 for 12 months - Rs. 604200000/-  
3)Proposed remuneration for new CHO 687 (80% of 859- Jan-Jun’21 batch) for 8 months - Rs. 137400000/-  
4) Proposed remuneration for new CHO 840(80% of 1050- Jul-Dec'21 batch) for 2 months - Rs. 42000000/- 
5) Proposed remuneration for CHO 1086 (BSc integrated) for 2 months - 54300000   
Total amount is Rs. 1206900000
</v>
      </c>
      <c r="Q18" s="1007"/>
      <c r="R18" s="317"/>
    </row>
    <row r="19" spans="1:18" s="499" customFormat="1" ht="210">
      <c r="A19" s="986" t="str">
        <f>'8.Human Resources (SD) Annex'!A107</f>
        <v>8.1.12.2</v>
      </c>
      <c r="B19" s="986"/>
      <c r="C19" s="986" t="str">
        <f>'8.Human Resources (SD) Annex'!C107</f>
        <v>Performance incentive for Mid-level service providers</v>
      </c>
      <c r="D19" s="986" t="str">
        <f>'8.Human Resources (SD) Annex'!D107</f>
        <v>HSS</v>
      </c>
      <c r="E19" s="986" t="str">
        <f>'8.Human Resources (SD) Annex'!E107</f>
        <v>CPHC</v>
      </c>
      <c r="F19" s="986">
        <f>'8.Human Resources (SD) Annex'!F107</f>
        <v>0</v>
      </c>
      <c r="G19" s="986">
        <f>'8.Human Resources (SD) Annex'!G107</f>
        <v>0</v>
      </c>
      <c r="H19" s="986">
        <f>'8.Human Resources (SD) Annex'!H107</f>
        <v>0</v>
      </c>
      <c r="I19" s="986">
        <f>'8.Human Resources (SD) Annex'!I107</f>
        <v>0</v>
      </c>
      <c r="J19" s="986">
        <f>'8.Human Resources (SD) Annex'!J107</f>
        <v>0</v>
      </c>
      <c r="K19" s="986" t="str">
        <f>'8.Human Resources (SD) Annex'!L107</f>
        <v>CHO</v>
      </c>
      <c r="L19" s="986">
        <f>'8.Human Resources (SD) Annex'!M107</f>
        <v>15000</v>
      </c>
      <c r="M19" s="287">
        <f>'8.Human Resources (SD) Annex'!N107</f>
        <v>0.15</v>
      </c>
      <c r="N19" s="986">
        <f>'8.Human Resources (SD) Annex'!O107</f>
        <v>24138</v>
      </c>
      <c r="O19" s="287">
        <f>'8.Human Resources (SD) Annex'!P107</f>
        <v>3620.7</v>
      </c>
      <c r="P19" s="986" t="str">
        <f>'8.Human Resources (SD) Annex'!Q107</f>
        <v>Continued activity-      Incentive OF CHOs @ Rs.15000 pm   (maximum)                                                                                        
1) Proposed incentive for CHO ,1230 for 12 months - Rs. 221400000/- 
2)Proposed incentive for CHO ,2014 for 12 months - Rs. 362520000/-  
3)Proposed incentive for CH0 687 (80% of 859- Jan-Jun’20 batch) for 8 months - Rs. 82440000/-  
4) Proposed incentive for CHO 840 for 2 months - Rs. 25200000/- 
5) Proposed incentive for CHO 1086 for 2 months - Rs. 32580000  
Total amount is Rs. 724140000/-50% of the same is proposed .</v>
      </c>
      <c r="Q19" s="1007"/>
      <c r="R19" s="317"/>
    </row>
    <row r="20" spans="1:18" ht="180">
      <c r="A20" s="387" t="str">
        <f>'8.Human Resources (SD) Annex'!A173</f>
        <v>8.4.10</v>
      </c>
      <c r="B20" s="387"/>
      <c r="C20" s="78" t="str">
        <f>'8.Human Resources (SD) Annex'!C172</f>
        <v>Team based incentives for Health &amp; Wellness Centres (H&amp;WC - Sub Centre)</v>
      </c>
      <c r="D20" s="78" t="str">
        <f>'8.Human Resources (SD) Annex'!D172</f>
        <v>HSS</v>
      </c>
      <c r="E20" s="78" t="str">
        <f>'8.Human Resources (SD) Annex'!E172</f>
        <v>CPHC</v>
      </c>
      <c r="F20" s="78">
        <f>'8.Human Resources (SD) Annex'!F172</f>
        <v>0</v>
      </c>
      <c r="G20" s="78">
        <f>'8.Human Resources (SD) Annex'!G172</f>
        <v>0</v>
      </c>
      <c r="H20" s="78">
        <f>'8.Human Resources (SD) Annex'!H172</f>
        <v>0</v>
      </c>
      <c r="I20" s="78">
        <f>'8.Human Resources (SD) Annex'!I172</f>
        <v>0</v>
      </c>
      <c r="J20" s="78">
        <f>'8.Human Resources (SD) Annex'!J172</f>
        <v>0</v>
      </c>
      <c r="K20" s="78" t="str">
        <f>'8.Human Resources (SD) Annex'!L172</f>
        <v>No.of HSCs-HWCs</v>
      </c>
      <c r="L20" s="78">
        <f>'8.Human Resources (SD) Annex'!M172</f>
        <v>186050000</v>
      </c>
      <c r="M20" s="316">
        <f>'8.Human Resources (SD) Annex'!N172</f>
        <v>1860.5</v>
      </c>
      <c r="N20" s="78">
        <f>'8.Human Resources (SD) Annex'!O172</f>
        <v>1</v>
      </c>
      <c r="O20" s="316">
        <f>'8.Human Resources (SD) Annex'!P172</f>
        <v>1860.5</v>
      </c>
      <c r="P20" s="78" t="str">
        <f>'8.Human Resources (SD) Annex'!Q172</f>
        <v>Continued activity- 
Proposed Team based Incentives (For MPW &amp; ASHA) for already proposed 3721 (facilities HSCs approved in 2020-21)
3721* 100000 =Rs. 372100000/-
 Rs. 96000/- per facility allowed annually. rounded off to 100000/- per facility being demanded.
Admin Approval is sought for the total amount ie. Rs. 372100000/-, out of which 50%, ie. Rs. 186050000 is proposed in SPIP 2021-22 and remaining if required shall be sought in supplementary PIPs.
Total amount required is 186050000/-</v>
      </c>
      <c r="Q20" s="66"/>
      <c r="R20" s="698"/>
    </row>
    <row r="21" spans="1:18" ht="165">
      <c r="A21" s="387" t="str">
        <f>'8.Human Resources (SD) Annex'!A174</f>
        <v>8.4.11</v>
      </c>
      <c r="B21" s="387"/>
      <c r="C21" s="78" t="str">
        <f>'8.Human Resources (SD) Annex'!C173</f>
        <v>Team based incentives for Health &amp; Wellness Centres (H&amp;WC - PHC)</v>
      </c>
      <c r="D21" s="78" t="str">
        <f>'8.Human Resources (SD) Annex'!D173</f>
        <v>HSS</v>
      </c>
      <c r="E21" s="78" t="str">
        <f>'8.Human Resources (SD) Annex'!E173</f>
        <v>CPHC</v>
      </c>
      <c r="F21" s="78">
        <f>'8.Human Resources (SD) Annex'!F173</f>
        <v>0</v>
      </c>
      <c r="G21" s="78">
        <f>'8.Human Resources (SD) Annex'!G173</f>
        <v>0</v>
      </c>
      <c r="H21" s="78">
        <f>'8.Human Resources (SD) Annex'!H173</f>
        <v>0</v>
      </c>
      <c r="I21" s="78">
        <f>'8.Human Resources (SD) Annex'!I173</f>
        <v>0</v>
      </c>
      <c r="J21" s="78">
        <f>'8.Human Resources (SD) Annex'!J173</f>
        <v>0</v>
      </c>
      <c r="K21" s="78" t="str">
        <f>'8.Human Resources (SD) Annex'!L173</f>
        <v>No.of APHCs-HWCs</v>
      </c>
      <c r="L21" s="78">
        <f>'8.Human Resources (SD) Annex'!M173</f>
        <v>68950000</v>
      </c>
      <c r="M21" s="316">
        <f>'8.Human Resources (SD) Annex'!N173</f>
        <v>689.5</v>
      </c>
      <c r="N21" s="78">
        <f>'8.Human Resources (SD) Annex'!O173</f>
        <v>1</v>
      </c>
      <c r="O21" s="316">
        <f>'8.Human Resources (SD) Annex'!P173</f>
        <v>689.5</v>
      </c>
      <c r="P21" s="78" t="str">
        <f>'8.Human Resources (SD) Annex'!Q173</f>
        <v>Continued activity- 
Proposed Team based Incentives (For MPW &amp; ASHA) for 1379 APHC-HWCs
1379*100000 =Rs. 137900000/-
 Rs. 96000/- per facility allowed annually, rounded off to Rs. 100000/- per facility being demanded
Admin Approval is sought for the total amount ie. Rs. 137900000/-, out of which 50%, ie. Rs. 68950000 is proposed in SPIP 2021-22 and remaining if required shall be sought in supplementary PIPs.
Total amount required is 68950000/-</v>
      </c>
      <c r="Q21" s="66"/>
      <c r="R21" s="698"/>
    </row>
    <row r="22" spans="1:18">
      <c r="A22" s="985">
        <f>'9.Training Annex'!A7</f>
        <v>9</v>
      </c>
      <c r="B22" s="985"/>
      <c r="C22" s="985" t="str">
        <f>'9.Training Annex'!C7</f>
        <v>Training and Capacity Building</v>
      </c>
      <c r="D22" s="984"/>
      <c r="E22" s="984"/>
      <c r="F22" s="984"/>
      <c r="G22" s="984"/>
      <c r="H22" s="485"/>
      <c r="I22" s="984"/>
      <c r="J22" s="485"/>
      <c r="K22" s="985"/>
      <c r="L22" s="985"/>
      <c r="M22" s="485"/>
      <c r="N22" s="999"/>
      <c r="O22" s="1000">
        <f>SUM(O23:O27)</f>
        <v>3980.3190000000004</v>
      </c>
      <c r="P22" s="999"/>
      <c r="Q22" s="1005"/>
      <c r="R22" s="1006">
        <f>SUM(R23:R27)</f>
        <v>0</v>
      </c>
    </row>
    <row r="23" spans="1:18" ht="240">
      <c r="A23" s="4633" t="str">
        <f>'9.Training Annex'!A37</f>
        <v>9.2.2.8</v>
      </c>
      <c r="B23" s="78" t="str">
        <f>'9-A.Training Sub-Annex'!C190</f>
        <v>B18.3</v>
      </c>
      <c r="C23" s="78" t="str">
        <f>'9-A.Training Sub-Annex'!D190</f>
        <v xml:space="preserve">Training on CPCH for CHOs </v>
      </c>
      <c r="D23" s="78" t="str">
        <f>'9-A.Training Sub-Annex'!E190</f>
        <v>HSS</v>
      </c>
      <c r="E23" s="78" t="str">
        <f>'9-A.Training Sub-Annex'!F190</f>
        <v>CPHC</v>
      </c>
      <c r="F23" s="78">
        <f>'9-A.Training Sub-Annex'!G190</f>
        <v>0</v>
      </c>
      <c r="G23" s="78">
        <f>'9-A.Training Sub-Annex'!H190</f>
        <v>0</v>
      </c>
      <c r="H23" s="78">
        <f>'9-A.Training Sub-Annex'!I190</f>
        <v>0</v>
      </c>
      <c r="I23" s="78">
        <f>'9-A.Training Sub-Annex'!J190</f>
        <v>0</v>
      </c>
      <c r="J23" s="78">
        <f>'9-A.Training Sub-Annex'!K190</f>
        <v>0</v>
      </c>
      <c r="K23" s="78" t="str">
        <f>'9-A.Training Sub-Annex'!L190</f>
        <v>No. of students</v>
      </c>
      <c r="L23" s="78">
        <f>'9-A.Training Sub-Annex'!M190</f>
        <v>103400</v>
      </c>
      <c r="M23" s="316">
        <f>'9-A.Training Sub-Annex'!N190</f>
        <v>1.034</v>
      </c>
      <c r="N23" s="78">
        <f>'9-A.Training Sub-Annex'!O190</f>
        <v>2100</v>
      </c>
      <c r="O23" s="316">
        <f>'9-A.Training Sub-Annex'!P190</f>
        <v>2171.4</v>
      </c>
      <c r="P23" s="78" t="str">
        <f>'9-A.Training Sub-Annex'!Q190</f>
        <v xml:space="preserve">Continued Activity :
Detailed Financial Calculation (Attached Anx-1)
Examination Fees for selection of candidates - Rs.1000 per candidate.
Boarding;loadging and honorium/sustenance for candidate= 10000 per month ,so for 6 month=10000*6=60,000 per candidate.
IGNOU fees (including registration, training materials, contact sessions &amp; training, external assesment/evaluation etc. = Rs. 15,000 per candidate
Transport for practicum - 3000 x 6 = 18000 per candidate
TOTAL - 94000
Miscellaneous - 94000 x 10% - 9400
TOTAL - 1000+60000+15000+18000+9400 = 103400
Grand Total = 103400 x 2100 = 217140000
</v>
      </c>
      <c r="Q23" s="66"/>
      <c r="R23" s="698"/>
    </row>
    <row r="24" spans="1:18" ht="165">
      <c r="A24" s="4633"/>
      <c r="B24" s="78" t="str">
        <f>'9-A.Training Sub-Annex'!C191</f>
        <v>B18.3</v>
      </c>
      <c r="C24" s="78" t="str">
        <f>'9-A.Training Sub-Annex'!D191</f>
        <v xml:space="preserve">Multiskilling of MPW and ASHAs at HWCs (SHC and PHC) </v>
      </c>
      <c r="D24" s="78" t="str">
        <f>'9-A.Training Sub-Annex'!E191</f>
        <v>HSS</v>
      </c>
      <c r="E24" s="78" t="str">
        <f>'9-A.Training Sub-Annex'!F191</f>
        <v>CPHC</v>
      </c>
      <c r="F24" s="78">
        <f>'9-A.Training Sub-Annex'!G191</f>
        <v>0</v>
      </c>
      <c r="G24" s="78">
        <f>'9-A.Training Sub-Annex'!H191</f>
        <v>0</v>
      </c>
      <c r="H24" s="78">
        <f>'9-A.Training Sub-Annex'!I191</f>
        <v>0</v>
      </c>
      <c r="I24" s="78">
        <f>'9-A.Training Sub-Annex'!J191</f>
        <v>0</v>
      </c>
      <c r="J24" s="78">
        <f>'9-A.Training Sub-Annex'!K191</f>
        <v>0</v>
      </c>
      <c r="K24" s="78" t="str">
        <f>'9-A.Training Sub-Annex'!L191</f>
        <v>No.of HWCs</v>
      </c>
      <c r="L24" s="78">
        <f>'9-A.Training Sub-Annex'!M191</f>
        <v>79740000</v>
      </c>
      <c r="M24" s="316">
        <f>'9-A.Training Sub-Annex'!N191</f>
        <v>797.4</v>
      </c>
      <c r="N24" s="78">
        <f>'9-A.Training Sub-Annex'!O191</f>
        <v>1</v>
      </c>
      <c r="O24" s="316">
        <f>'9-A.Training Sub-Annex'!P191</f>
        <v>797.4</v>
      </c>
      <c r="P24" s="78" t="str">
        <f>'9-A.Training Sub-Annex'!Q191</f>
        <v>Continued Activity:
For 7974 HWCs @ Rs.20000/- per HWC for multi skilling of ASHA, ANMs and MPWs ie. Rs.159480000.
Administrative Approval is sought for the total amount ie. Rs. 159480000/-, out of which 50% ie. Rs. 79740000 funds are proposed for approval in SPIP 2021-22 and remaining if required shall be sought in supplementary PIPs.
Total amount required is 79740000/-</v>
      </c>
      <c r="Q24" s="66"/>
      <c r="R24" s="698"/>
    </row>
    <row r="25" spans="1:18" ht="405">
      <c r="A25" s="4633"/>
      <c r="B25" s="78" t="str">
        <f>'9-A.Training Sub-Annex'!C192</f>
        <v>B3.4</v>
      </c>
      <c r="C25" s="78" t="str">
        <f>'9-A.Training Sub-Annex'!D192</f>
        <v xml:space="preserve">Additional Training of CHOs </v>
      </c>
      <c r="D25" s="78" t="str">
        <f>'9-A.Training Sub-Annex'!E192</f>
        <v>HSS</v>
      </c>
      <c r="E25" s="78" t="str">
        <f>'9-A.Training Sub-Annex'!F192</f>
        <v>CPHC</v>
      </c>
      <c r="F25" s="78">
        <f>'9-A.Training Sub-Annex'!G192</f>
        <v>0</v>
      </c>
      <c r="G25" s="78">
        <f>'9-A.Training Sub-Annex'!H192</f>
        <v>0</v>
      </c>
      <c r="H25" s="78">
        <f>'9-A.Training Sub-Annex'!I192</f>
        <v>0</v>
      </c>
      <c r="I25" s="78">
        <f>'9-A.Training Sub-Annex'!J192</f>
        <v>0</v>
      </c>
      <c r="J25" s="78">
        <f>'9-A.Training Sub-Annex'!K192</f>
        <v>0</v>
      </c>
      <c r="K25" s="78" t="str">
        <f>'9-A.Training Sub-Annex'!L192</f>
        <v>No of CHOs.</v>
      </c>
      <c r="L25" s="78">
        <f>'9-A.Training Sub-Annex'!M192</f>
        <v>35211900</v>
      </c>
      <c r="M25" s="316">
        <f>'9-A.Training Sub-Annex'!N192</f>
        <v>352.11900000000003</v>
      </c>
      <c r="N25" s="78">
        <f>'9-A.Training Sub-Annex'!O192</f>
        <v>1</v>
      </c>
      <c r="O25" s="316">
        <f>'9-A.Training Sub-Annex'!P192</f>
        <v>352.11900000000003</v>
      </c>
      <c r="P25" s="78" t="str">
        <f>'9-A.Training Sub-Annex'!Q192</f>
        <v>New Activity: 
1) Administrative Approval is sought for the Total amount ie - 43927500/- out of which 50 % of funds is Proposed for approval in SPIP and remaining funds, if required, shall be proposed in supplementary PIP.
Proposed for CHO induction training @ Rs. 7500/- per CHO for 2929 CHOs - ( 50 % of 5857 CHOs expected by March 2022). 
Total Rs.21967500/-
2) Administrative Approval is sought for the Total amount i.e. - 26356500/- out of which 25 %  of funds Proposed for approval in SPIP and remaining, if required, shall be proposed in supplementary PIP.
Proposed for Training on Elderly and Palliative Care  for CHO @Rs 4500/- per CHO for 1464 CHOs (25 % of 5857 CHOs expected by March 2022) . Total Rs 6588000/-
3) Administrative Approval is sought for the Total amount ie - 26356500/- out of which 25 % of funds is Proposed for approval in SPIP and remaining, if required, shall be proposed in supplementary PIP.
Proposed for Training on MNS and Substance use Disorder for CHO @Rs 4500/- per CHO for 1464 CHOs (25 % of 5857 CHOs expected by March 2022) . 
Total Rs 6588000/-
4) TOT of  District master Trainers on Elderly and Palliative Care  for CHO - Rs 4500/- per Tariner . Total for 76 Trainers is Rs. 34200/-
5) TOT of  District master Trainers on MNS and Substance use Disorders  for CHO - Rs 4500/- per Tariner . Total for 76 Trainers is Rs. 34200/-
Total amount required is Rs - 35211900</v>
      </c>
      <c r="Q25" s="66"/>
      <c r="R25" s="698"/>
    </row>
    <row r="26" spans="1:18" ht="90">
      <c r="A26" s="4633"/>
      <c r="B26" s="78">
        <f>'9-A.Training Sub-Annex'!C193</f>
        <v>0</v>
      </c>
      <c r="C26" s="78" t="str">
        <f>'9-A.Training Sub-Annex'!D193</f>
        <v>Training of MO and Staff nurses</v>
      </c>
      <c r="D26" s="78" t="str">
        <f>'9-A.Training Sub-Annex'!E193</f>
        <v>HSS</v>
      </c>
      <c r="E26" s="78" t="str">
        <f>'9-A.Training Sub-Annex'!F193</f>
        <v>CPHC</v>
      </c>
      <c r="F26" s="78">
        <f>'9-A.Training Sub-Annex'!G193</f>
        <v>0</v>
      </c>
      <c r="G26" s="78">
        <f>'9-A.Training Sub-Annex'!H193</f>
        <v>0</v>
      </c>
      <c r="H26" s="78">
        <f>'9-A.Training Sub-Annex'!I193</f>
        <v>0</v>
      </c>
      <c r="I26" s="78">
        <f>'9-A.Training Sub-Annex'!J193</f>
        <v>0</v>
      </c>
      <c r="J26" s="78">
        <f>'9-A.Training Sub-Annex'!K193</f>
        <v>0</v>
      </c>
      <c r="K26" s="78" t="str">
        <f>'9-A.Training Sub-Annex'!L193</f>
        <v>No of MOs.</v>
      </c>
      <c r="L26" s="78">
        <f>'9-A.Training Sub-Annex'!M193</f>
        <v>10000</v>
      </c>
      <c r="M26" s="316">
        <f>'9-A.Training Sub-Annex'!N193</f>
        <v>0.1</v>
      </c>
      <c r="N26" s="78">
        <f>'9-A.Training Sub-Annex'!O193</f>
        <v>690</v>
      </c>
      <c r="O26" s="316">
        <f>'9-A.Training Sub-Annex'!P193</f>
        <v>69</v>
      </c>
      <c r="P26" s="78" t="str">
        <f>'9-A.Training Sub-Annex'!Q193</f>
        <v xml:space="preserve">Continued Activity:
Training for MO @Rs.10000 per MO for 690 MOs-( 50% of 1379)  
Total amount required Rs.6900000/-
</v>
      </c>
      <c r="Q26" s="66"/>
      <c r="R26" s="698"/>
    </row>
    <row r="27" spans="1:18" ht="195">
      <c r="A27" s="4633"/>
      <c r="B27" s="78">
        <f>'9-A.Training Sub-Annex'!C194</f>
        <v>0</v>
      </c>
      <c r="C27" s="78" t="str">
        <f>'9-A.Training Sub-Annex'!D194</f>
        <v>Any other (please specify)</v>
      </c>
      <c r="D27" s="78" t="str">
        <f>'9-A.Training Sub-Annex'!E194</f>
        <v>HSS</v>
      </c>
      <c r="E27" s="78" t="str">
        <f>'9-A.Training Sub-Annex'!F194</f>
        <v>CPHC</v>
      </c>
      <c r="F27" s="78">
        <f>'9-A.Training Sub-Annex'!G194</f>
        <v>0</v>
      </c>
      <c r="G27" s="78">
        <f>'9-A.Training Sub-Annex'!H194</f>
        <v>0</v>
      </c>
      <c r="H27" s="78">
        <f>'9-A.Training Sub-Annex'!I194</f>
        <v>0</v>
      </c>
      <c r="I27" s="78">
        <f>'9-A.Training Sub-Annex'!J194</f>
        <v>0</v>
      </c>
      <c r="J27" s="78">
        <f>'9-A.Training Sub-Annex'!K194</f>
        <v>0</v>
      </c>
      <c r="K27" s="78" t="str">
        <f>'9-A.Training Sub-Annex'!L194</f>
        <v>Miss.</v>
      </c>
      <c r="L27" s="78">
        <f>'9-A.Training Sub-Annex'!M194</f>
        <v>59040000</v>
      </c>
      <c r="M27" s="316">
        <f>'9-A.Training Sub-Annex'!N194</f>
        <v>590.4</v>
      </c>
      <c r="N27" s="78">
        <f>'9-A.Training Sub-Annex'!O194</f>
        <v>1</v>
      </c>
      <c r="O27" s="316">
        <f>'9-A.Training Sub-Annex'!P194</f>
        <v>590.4</v>
      </c>
      <c r="P27" s="78" t="str">
        <f>'9-A.Training Sub-Annex'!Q194</f>
        <v xml:space="preserve">Continued Activity -  Approved in thsi FMR Code in ROP (2020-21)                                                                                                            1). Proposed honoraium for Yoga instructors @ Rs. 250/session  for 10 sessions for 3936 HWCs ( expected to be operational by March 2021) for 06 months.
Total amount required is for  months is Rs 59040000/-                                                                                                                                                          
</v>
      </c>
      <c r="Q27" s="66"/>
      <c r="R27" s="698"/>
    </row>
    <row r="28" spans="1:18">
      <c r="A28" s="985">
        <f>'11.IEC-BCC Annex'!A7</f>
        <v>11</v>
      </c>
      <c r="B28" s="985"/>
      <c r="C28" s="985" t="str">
        <f>'11.IEC-BCC Annex'!C7</f>
        <v>IEC/BCC</v>
      </c>
      <c r="D28" s="984"/>
      <c r="E28" s="984"/>
      <c r="F28" s="984"/>
      <c r="G28" s="984"/>
      <c r="H28" s="485"/>
      <c r="I28" s="984"/>
      <c r="J28" s="485"/>
      <c r="K28" s="985"/>
      <c r="L28" s="985"/>
      <c r="M28" s="485"/>
      <c r="N28" s="999"/>
      <c r="O28" s="1000">
        <f>O29</f>
        <v>637.91999999999996</v>
      </c>
      <c r="P28" s="999"/>
      <c r="Q28" s="1005"/>
      <c r="R28" s="1006">
        <f>R29</f>
        <v>0</v>
      </c>
    </row>
    <row r="29" spans="1:18" ht="135">
      <c r="A29" s="1001" t="str">
        <f>'11.IEC-BCC Annex'!A20</f>
        <v>11.2.4</v>
      </c>
      <c r="B29" s="1001" t="str">
        <f>'11-A. IEC Sub-Annex'!C43</f>
        <v>B18.3</v>
      </c>
      <c r="C29" s="1002" t="str">
        <f>'11-A. IEC Sub-Annex'!D43</f>
        <v>IEC activities for Ayushman Bharat Health &amp; Wellness centre (H&amp;WC)</v>
      </c>
      <c r="D29" s="1002" t="str">
        <f>'11-A. IEC Sub-Annex'!E43</f>
        <v>HSS</v>
      </c>
      <c r="E29" s="1002" t="str">
        <f>'11-A. IEC Sub-Annex'!F43</f>
        <v>CPHC</v>
      </c>
      <c r="F29" s="1003">
        <f>'11-A. IEC Sub-Annex'!G43</f>
        <v>0</v>
      </c>
      <c r="G29" s="1003">
        <f>'11-A. IEC Sub-Annex'!H43</f>
        <v>0</v>
      </c>
      <c r="H29" s="1003">
        <f>'11-A. IEC Sub-Annex'!I43</f>
        <v>0</v>
      </c>
      <c r="I29" s="1003">
        <f>'11-A. IEC Sub-Annex'!J43</f>
        <v>0</v>
      </c>
      <c r="J29" s="1003">
        <f>'11-A. IEC Sub-Annex'!K43</f>
        <v>0</v>
      </c>
      <c r="K29" s="1003" t="str">
        <f>'11-A. IEC Sub-Annex'!L43</f>
        <v>Per HWC</v>
      </c>
      <c r="L29" s="1003">
        <f>'11-A. IEC Sub-Annex'!M43</f>
        <v>8000</v>
      </c>
      <c r="M29" s="316">
        <f>'11-A. IEC Sub-Annex'!N43</f>
        <v>0.08</v>
      </c>
      <c r="N29" s="1003">
        <f>'11-A. IEC Sub-Annex'!O43</f>
        <v>7974</v>
      </c>
      <c r="O29" s="316">
        <f>'11-A. IEC Sub-Annex'!P43</f>
        <v>637.91999999999996</v>
      </c>
      <c r="P29" s="1003" t="str">
        <f>'11-A. IEC Sub-Annex'!Q43</f>
        <v>Continued activity- 
Proposed IEC activities for printing of pamphlets , Wall writing &amp; Hoardings, Radio Jingles, Voice messages, Voice SMS, announcement through PA System, cable TV and other network, display of Hypertension &amp; Diabetes treatment protocols at HWCs for                   
 7974 HWCs(5100 + 2874 HWCs in FY 2021-2022) @ Rs. 8,000/ HWCs. 
Total amount is Rs. 63792000/-</v>
      </c>
      <c r="Q29" s="66"/>
      <c r="R29" s="698"/>
    </row>
    <row r="30" spans="1:18">
      <c r="A30" s="893">
        <f>'12.Printing Annex'!A7</f>
        <v>12</v>
      </c>
      <c r="B30" s="893"/>
      <c r="C30" s="893" t="str">
        <f>'12.Printing Annex'!C7</f>
        <v>Printing</v>
      </c>
      <c r="D30" s="894"/>
      <c r="E30" s="894"/>
      <c r="F30" s="894"/>
      <c r="G30" s="894"/>
      <c r="H30" s="485"/>
      <c r="I30" s="894"/>
      <c r="J30" s="485"/>
      <c r="K30" s="893"/>
      <c r="L30" s="893"/>
      <c r="M30" s="485"/>
      <c r="N30" s="999"/>
      <c r="O30" s="1000">
        <f>SUM(O31:O31)</f>
        <v>159.47999999999999</v>
      </c>
      <c r="P30" s="999"/>
      <c r="Q30" s="1005"/>
      <c r="R30" s="1006">
        <f>SUM(R31:R31)</f>
        <v>0</v>
      </c>
    </row>
    <row r="31" spans="1:18">
      <c r="A31" s="1001" t="str">
        <f>'12.Printing Annex'!A21</f>
        <v>12.2.5</v>
      </c>
      <c r="B31" s="1001">
        <f>'12-A. Print Sub-Annex'!C72</f>
        <v>0</v>
      </c>
      <c r="C31" s="1001" t="str">
        <f>'12-A. Print Sub-Annex'!D72</f>
        <v>Printing activities for Ayushman Bharat H&amp;WC</v>
      </c>
      <c r="D31" s="1001" t="str">
        <f>'12-A. Print Sub-Annex'!E72</f>
        <v>HSS</v>
      </c>
      <c r="E31" s="1001" t="str">
        <f>'12-A. Print Sub-Annex'!F72</f>
        <v>CPHC</v>
      </c>
      <c r="F31" s="1004">
        <f>'12-A. Print Sub-Annex'!G72</f>
        <v>0</v>
      </c>
      <c r="G31" s="1004">
        <f>'12-A. Print Sub-Annex'!H72</f>
        <v>0</v>
      </c>
      <c r="H31" s="1004">
        <f>'12-A. Print Sub-Annex'!I72</f>
        <v>0</v>
      </c>
      <c r="I31" s="1004">
        <f>'12-A. Print Sub-Annex'!J72</f>
        <v>0</v>
      </c>
      <c r="J31" s="1004">
        <f>'12-A. Print Sub-Annex'!K72</f>
        <v>0</v>
      </c>
      <c r="K31" s="1004">
        <f>'12-A. Print Sub-Annex'!L72</f>
        <v>0</v>
      </c>
      <c r="L31" s="1004">
        <f>'12-A. Print Sub-Annex'!M72</f>
        <v>4000</v>
      </c>
      <c r="M31" s="388">
        <f>'12-A. Print Sub-Annex'!N72</f>
        <v>0.04</v>
      </c>
      <c r="N31" s="1004">
        <f>'12-A. Print Sub-Annex'!O72</f>
        <v>3987</v>
      </c>
      <c r="O31" s="388">
        <f>'12-A. Print Sub-Annex'!P72</f>
        <v>159.47999999999999</v>
      </c>
      <c r="P31" s="1004" t="str">
        <f>'12-A. Print Sub-Annex'!Q72</f>
        <v>Continued Activity-         Proposed for printing of registers, operational guidelines, training materials for 3987(50% of 7974 HWCs 5100 + 2874 HWCs in FY 2021-2022) @ Rs. 4000/- per HWCs 
So the total amount needed Rs. 15948000.00/-</v>
      </c>
      <c r="Q31" s="66"/>
      <c r="R31" s="821"/>
    </row>
    <row r="32" spans="1:18">
      <c r="A32" s="985">
        <f>'15.PPP Annex'!A7</f>
        <v>15</v>
      </c>
      <c r="B32" s="985"/>
      <c r="C32" s="985" t="str">
        <f>'15.PPP Annex'!C7</f>
        <v>PPP</v>
      </c>
      <c r="D32" s="984"/>
      <c r="E32" s="984"/>
      <c r="F32" s="984"/>
      <c r="G32" s="984"/>
      <c r="H32" s="485"/>
      <c r="I32" s="984"/>
      <c r="J32" s="485"/>
      <c r="K32" s="985"/>
      <c r="L32" s="985"/>
      <c r="M32" s="485"/>
      <c r="N32" s="999"/>
      <c r="O32" s="1000">
        <f>O33</f>
        <v>3671.4</v>
      </c>
      <c r="P32" s="999"/>
      <c r="Q32" s="1005"/>
      <c r="R32" s="1006">
        <f>R33</f>
        <v>0</v>
      </c>
    </row>
    <row r="33" spans="1:18">
      <c r="A33" s="387" t="str">
        <f>'15.PPP Annex'!A17</f>
        <v>15.2.5</v>
      </c>
      <c r="B33" s="387" t="str">
        <f>'15.PPP Annex'!B17</f>
        <v>15.9.6/ B18.3</v>
      </c>
      <c r="C33" s="387" t="str">
        <f>'15.PPP Annex'!C17</f>
        <v>Strengthening of diagnostic services of Ayushman Bharat H&amp;WC through PPP</v>
      </c>
      <c r="D33" s="387" t="str">
        <f>'15.PPP Annex'!D17</f>
        <v>HSS</v>
      </c>
      <c r="E33" s="387" t="str">
        <f>'15.PPP Annex'!E17</f>
        <v>CPHC</v>
      </c>
      <c r="F33" s="387">
        <f>'15.PPP Annex'!F17</f>
        <v>0</v>
      </c>
      <c r="G33" s="387">
        <f>'15.PPP Annex'!G17</f>
        <v>0</v>
      </c>
      <c r="H33" s="387">
        <f>'15.PPP Annex'!H17</f>
        <v>0</v>
      </c>
      <c r="I33" s="387">
        <f>'15.PPP Annex'!I17</f>
        <v>0</v>
      </c>
      <c r="J33" s="387">
        <f>'15.PPP Annex'!J17</f>
        <v>0</v>
      </c>
      <c r="K33" s="387" t="str">
        <f>'15.PPP Annex'!K17</f>
        <v>No.of HWCs</v>
      </c>
      <c r="L33" s="387">
        <f>'15.PPP Annex'!L17</f>
        <v>367140000</v>
      </c>
      <c r="M33" s="388">
        <f>'15.PPP Annex'!M17</f>
        <v>3671.4</v>
      </c>
      <c r="N33" s="387">
        <f>'15.PPP Annex'!N17</f>
        <v>1</v>
      </c>
      <c r="O33" s="388">
        <f>'15.PPP Annex'!O17</f>
        <v>3671.4</v>
      </c>
      <c r="P33" s="387" t="str">
        <f>'15.PPP Annex'!P17</f>
        <v>Continued activity- 
Proposed for strengthening of diagnostic services of HWC 
1)  Recurring cost for 7974 HWCs (5100 + 2874 proposed for 2021-2022 ) @ Rs. 10,000/ HWCs - Rs. 79740000/-                                                                                                                                                                                                                                                                                                                                                                                                                                                      2)  Rs 1, 00,000 /- (Non-recurring) per HWC for 2874 HWC (2874 HWCs targetted for FY 2021-2022) 
2874* 100000/-  Rs. 287400000/-
So the total amount required is Rs.367140000/-</v>
      </c>
      <c r="Q33" s="66"/>
      <c r="R33" s="821"/>
    </row>
    <row r="34" spans="1:18">
      <c r="A34" s="985">
        <f>'17.IT Initiatives_SD'!A7</f>
        <v>17</v>
      </c>
      <c r="B34" s="985"/>
      <c r="C34" s="985" t="str">
        <f>'17.IT Initiatives_SD'!C7</f>
        <v>IT Initiatives for strengthening Service Delivery</v>
      </c>
      <c r="D34" s="984"/>
      <c r="E34" s="984"/>
      <c r="F34" s="984"/>
      <c r="G34" s="984"/>
      <c r="H34" s="485"/>
      <c r="I34" s="984"/>
      <c r="J34" s="485"/>
      <c r="K34" s="985"/>
      <c r="L34" s="985"/>
      <c r="M34" s="485"/>
      <c r="N34" s="999"/>
      <c r="O34" s="1000">
        <f>SUM(O35:O36)</f>
        <v>1952.7430400000001</v>
      </c>
      <c r="P34" s="999"/>
      <c r="Q34" s="1005"/>
      <c r="R34" s="1006">
        <f>SUM(R35:R36)</f>
        <v>0</v>
      </c>
    </row>
    <row r="35" spans="1:18" ht="409.5">
      <c r="A35" s="387" t="str">
        <f>'17.IT Initiatives_SD'!A10</f>
        <v>17.2.1</v>
      </c>
      <c r="B35" s="387"/>
      <c r="C35" s="78" t="str">
        <f>'17.IT Initiatives_SD'!C10</f>
        <v>Telemedicine/ teleconsultation facility under Ayushman Bharat H&amp;WC</v>
      </c>
      <c r="D35" s="133" t="str">
        <f>'17.IT Initiatives_SD'!D10</f>
        <v>HSS</v>
      </c>
      <c r="E35" s="78" t="str">
        <f>'17.IT Initiatives_SD'!E10</f>
        <v>CPHC</v>
      </c>
      <c r="F35" s="78">
        <f>'17.IT Initiatives_SD'!F10</f>
        <v>0</v>
      </c>
      <c r="G35" s="78">
        <f>'17.IT Initiatives_SD'!G10</f>
        <v>0</v>
      </c>
      <c r="H35" s="78">
        <f>'17.IT Initiatives_SD'!H10</f>
        <v>0</v>
      </c>
      <c r="I35" s="78">
        <f>'17.IT Initiatives_SD'!I10</f>
        <v>0</v>
      </c>
      <c r="J35" s="78">
        <f>'17.IT Initiatives_SD'!J10</f>
        <v>0</v>
      </c>
      <c r="K35" s="78" t="str">
        <f>'17.IT Initiatives_SD'!K10</f>
        <v>Hubs&amp; Spokes</v>
      </c>
      <c r="L35" s="78">
        <f>'17.IT Initiatives_SD'!L10</f>
        <v>195274304</v>
      </c>
      <c r="M35" s="316">
        <f>'17.IT Initiatives_SD'!M10</f>
        <v>1952.7430400000001</v>
      </c>
      <c r="N35" s="78">
        <f>'17.IT Initiatives_SD'!N10</f>
        <v>1</v>
      </c>
      <c r="O35" s="316">
        <f>'17.IT Initiatives_SD'!O10</f>
        <v>1952.7430400000001</v>
      </c>
      <c r="P35" s="78" t="str">
        <f>'17.IT Initiatives_SD'!P10</f>
        <v>Continiued activity                                                                                    
a) Costing for AIIMS Hub:                                                                             
Remuneration of 3 specialist doctors @ Rs.135994 per month per specialist - Total Cost for one month - Rs.4,07,982/-, 
Total cost for 12 months - Rs.48,95,784/- (AIIMS)
b) Costing for other 6 Medical college Hubs:
Continued Activity - 52 Telemedicine sessions by specialist Doctor per month per medical college @  Rs.2000 per session.
Total Monthly Cost of one Medical college Rs. 1,04,000/-. and for 12 months -   Rs.1248000/-  , Total Annual Cost for 6 Medical college - Rs.74,88,000/-
c) Internet Cost - BSNL lease line 8 mbps - Rs 96345 per HUB per Year . Total cost for 241 HUB is Rs- 23219145/-
d) Miscellaneous - Rs-5000/- per HUB per Year . For 241 HUB ( 7 Medical College , 158 PHC , 76 DH).  Total is Rs - 1205000/-
e) Internet Cost for 2750 Spokes ( 1050 APHC-HWC , 1700 HSC) @ 250 per month. For 12 months Total is Rs 8250000/-
f) Miscellaneous for 2750 Spokes ( 1050 APHC-HWC , 1700 HSC)@ 1000 per Spoke per year. Total is Rs-2750000/-
g) POS Printer @ Rs -5000/-, For 1700 spokes (HSC) units, Total is 8500000/-.
New Activity -
HUB - 375 PHC 
a) Desktop,UPS,All in one Printer ,Web Camera, HeadPhone with Mic @ 80000/- per HUB for 375 units is 30000000/-
b) Internet Cost - BSNL 8 mbps lease line @ Rs-96345/- per year per HUB. For 375 units is 36129375/-
c) Miscellanous for 375 units @ 5000 per unit per year. Total is 1875000/-
Spokes - 8578 (329 APHC , 8249 HSC)
a) POS Printer @ Rs -5000/-. For 8578 units Total is 42890000/-.
b) Miscellanous for 8578 units @ 1000 per unit per year. Total is 8578000/-.
c) Internet for 8578 units @ 250 per month. For 12 months ,Total is 25734000/-.
So total amount for all above activities being proposed is Rs - 195274304/-</v>
      </c>
      <c r="Q35" s="66"/>
      <c r="R35" s="698"/>
    </row>
    <row r="36" spans="1:18">
      <c r="A36" s="387" t="str">
        <f>'17.IT Initiatives_SD'!A11</f>
        <v>17.2.2</v>
      </c>
      <c r="B36" s="387"/>
      <c r="C36" s="78" t="str">
        <f>'17.IT Initiatives_SD'!C11</f>
        <v>Other IT Initiatives (please specify)</v>
      </c>
      <c r="D36" s="133" t="str">
        <f>'17.IT Initiatives_SD'!D11</f>
        <v>HSS</v>
      </c>
      <c r="E36" s="78" t="str">
        <f>'17.IT Initiatives_SD'!E11</f>
        <v>CPHC</v>
      </c>
      <c r="F36" s="78">
        <f>'17.IT Initiatives_SD'!F11</f>
        <v>0</v>
      </c>
      <c r="G36" s="78">
        <f>'17.IT Initiatives_SD'!G11</f>
        <v>0</v>
      </c>
      <c r="H36" s="78">
        <f>'17.IT Initiatives_SD'!H11</f>
        <v>0</v>
      </c>
      <c r="I36" s="78">
        <f>'17.IT Initiatives_SD'!I11</f>
        <v>0</v>
      </c>
      <c r="J36" s="78">
        <f>'17.IT Initiatives_SD'!J11</f>
        <v>0</v>
      </c>
      <c r="K36" s="78">
        <f>'17.IT Initiatives_SD'!K11</f>
        <v>0</v>
      </c>
      <c r="L36" s="78">
        <f>'17.IT Initiatives_SD'!L11</f>
        <v>0</v>
      </c>
      <c r="M36" s="316">
        <f>'17.IT Initiatives_SD'!M11</f>
        <v>0</v>
      </c>
      <c r="N36" s="78">
        <f>'17.IT Initiatives_SD'!N11</f>
        <v>0</v>
      </c>
      <c r="O36" s="316">
        <f>'17.IT Initiatives_SD'!O11</f>
        <v>0</v>
      </c>
      <c r="P36" s="78">
        <f>'17.IT Initiatives_SD'!P11</f>
        <v>0</v>
      </c>
      <c r="Q36" s="66"/>
      <c r="R36" s="698"/>
    </row>
  </sheetData>
  <sheetProtection sheet="1" formatCells="0" formatColumns="0" formatRows="0" autoFilter="0"/>
  <autoFilter ref="A5:R36"/>
  <mergeCells count="11">
    <mergeCell ref="A15:A16"/>
    <mergeCell ref="A23:A27"/>
    <mergeCell ref="Q4:R4"/>
    <mergeCell ref="E4:E5"/>
    <mergeCell ref="A1:C1"/>
    <mergeCell ref="A4:A5"/>
    <mergeCell ref="B4:B5"/>
    <mergeCell ref="C4:C5"/>
    <mergeCell ref="D4:D5"/>
    <mergeCell ref="F4:J4"/>
    <mergeCell ref="K4:P4"/>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5"/>
  <dimension ref="A1:R14"/>
  <sheetViews>
    <sheetView zoomScale="70" zoomScaleNormal="70" workbookViewId="0">
      <pane xSplit="3" ySplit="5" topLeftCell="I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10.5703125" defaultRowHeight="15"/>
  <cols>
    <col min="1" max="1" width="10.5703125" style="820"/>
    <col min="2" max="2" width="16.5703125" style="820" customWidth="1"/>
    <col min="3" max="3" width="37.5703125" style="820" bestFit="1" customWidth="1"/>
    <col min="4" max="4" width="5.5703125" style="621" bestFit="1" customWidth="1"/>
    <col min="5" max="5" width="14.140625" style="621" bestFit="1" customWidth="1"/>
    <col min="6" max="6" width="20.5703125" style="621" bestFit="1" customWidth="1"/>
    <col min="7" max="7" width="16.85546875" style="621" bestFit="1" customWidth="1"/>
    <col min="8" max="8" width="16.85546875" style="949" bestFit="1" customWidth="1"/>
    <col min="9" max="9" width="16.140625" style="621" bestFit="1" customWidth="1"/>
    <col min="10" max="10" width="14.85546875" style="949" bestFit="1" customWidth="1"/>
    <col min="11" max="11" width="9.28515625" style="820" customWidth="1"/>
    <col min="12" max="12" width="5.7109375" style="820" customWidth="1"/>
    <col min="13" max="13" width="14.85546875" style="949" bestFit="1" customWidth="1"/>
    <col min="14" max="14" width="10.5703125" style="950"/>
    <col min="15" max="15" width="10.5703125" style="974"/>
    <col min="16" max="16" width="32.7109375" style="950" customWidth="1"/>
    <col min="17" max="17" width="29.140625" style="950" customWidth="1"/>
    <col min="18" max="16384" width="10.5703125" style="950"/>
  </cols>
  <sheetData>
    <row r="1" spans="1:18">
      <c r="A1" s="4634" t="s">
        <v>2127</v>
      </c>
      <c r="B1" s="4634"/>
      <c r="C1" s="4634"/>
      <c r="D1" s="909"/>
      <c r="E1" s="909"/>
      <c r="F1" s="74" t="s">
        <v>3954</v>
      </c>
      <c r="G1" s="913"/>
      <c r="H1" s="913"/>
      <c r="I1" s="909"/>
      <c r="J1" s="913"/>
      <c r="K1" s="995"/>
      <c r="L1" s="995"/>
      <c r="M1" s="913"/>
    </row>
    <row r="2" spans="1:18">
      <c r="A2" s="868" t="str">
        <f>HYPERLINK("#Index!F3", "Index Pg")</f>
        <v>Index Pg</v>
      </c>
      <c r="B2" s="873"/>
      <c r="C2" s="403" t="str">
        <f>HYPERLINK("#'Budget Summary I'!A1:AL1", "Budget Summary I")</f>
        <v>Budget Summary I</v>
      </c>
      <c r="D2" s="917"/>
      <c r="E2" s="816" t="s">
        <v>4599</v>
      </c>
      <c r="F2" s="135">
        <f>R6+R11</f>
        <v>0</v>
      </c>
      <c r="G2" s="913"/>
      <c r="H2" s="913"/>
      <c r="I2" s="958"/>
      <c r="J2" s="913"/>
      <c r="K2" s="1008"/>
      <c r="L2" s="1008"/>
      <c r="M2" s="913"/>
    </row>
    <row r="3" spans="1:18" s="499" customFormat="1">
      <c r="A3" s="872"/>
      <c r="B3" s="873"/>
      <c r="C3" s="924" t="str">
        <f>HYPERLINK("#'Budget Summary II'!A3:B5", "Budget Summary II")</f>
        <v>Budget Summary II</v>
      </c>
      <c r="D3" s="917"/>
      <c r="E3" s="997" t="s">
        <v>4600</v>
      </c>
      <c r="F3" s="335">
        <f>O6+O11</f>
        <v>0</v>
      </c>
      <c r="G3" s="913"/>
      <c r="H3" s="913"/>
      <c r="I3" s="958"/>
      <c r="J3" s="913"/>
      <c r="K3" s="1008"/>
      <c r="L3" s="1008"/>
      <c r="M3" s="913"/>
      <c r="O3" s="955"/>
    </row>
    <row r="4" spans="1:18" s="621"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621" customFormat="1"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333">
        <f>'6.Procurement Annex'!A7</f>
        <v>6</v>
      </c>
      <c r="B6" s="333"/>
      <c r="C6" s="333" t="str">
        <f>'6.Procurement Annex'!C7</f>
        <v>Procurement</v>
      </c>
      <c r="D6" s="334"/>
      <c r="E6" s="334"/>
      <c r="F6" s="1009"/>
      <c r="G6" s="1009"/>
      <c r="H6" s="1010"/>
      <c r="I6" s="1009"/>
      <c r="J6" s="240"/>
      <c r="K6" s="1011"/>
      <c r="L6" s="1011"/>
      <c r="M6" s="240"/>
      <c r="N6" s="1012"/>
      <c r="O6" s="969">
        <f>SUM(O7:O10)</f>
        <v>0</v>
      </c>
      <c r="P6" s="1013"/>
      <c r="Q6" s="1013"/>
      <c r="R6" s="969">
        <f>SUM(R7:R10)</f>
        <v>0</v>
      </c>
    </row>
    <row r="7" spans="1:18" ht="30">
      <c r="A7" s="4246" t="str">
        <f>'6.Procurement Annex'!A19</f>
        <v>6.1.2.2</v>
      </c>
      <c r="B7" s="387"/>
      <c r="C7" s="78" t="str">
        <f>'6-A. Proc. Sub-Annex'!D48</f>
        <v>Procurement of bio-medical and other equipment: AYUSH</v>
      </c>
      <c r="D7" s="133" t="str">
        <f>'6-A. Proc. Sub-Annex'!E48</f>
        <v>HSS</v>
      </c>
      <c r="E7" s="133" t="str">
        <f>'6-A. Proc. Sub-Annex'!F48</f>
        <v>HSS/ AYUSH</v>
      </c>
      <c r="F7" s="133">
        <f>'6-A. Proc. Sub-Annex'!G48</f>
        <v>0</v>
      </c>
      <c r="G7" s="133">
        <f>'6-A. Proc. Sub-Annex'!H48</f>
        <v>0</v>
      </c>
      <c r="H7" s="133">
        <f>'6-A. Proc. Sub-Annex'!I48</f>
        <v>0</v>
      </c>
      <c r="I7" s="133">
        <f>'6-A. Proc. Sub-Annex'!J48</f>
        <v>0</v>
      </c>
      <c r="J7" s="133">
        <f>'6-A. Proc. Sub-Annex'!K48</f>
        <v>0</v>
      </c>
      <c r="K7" s="133">
        <f>'6-A. Proc. Sub-Annex'!L48</f>
        <v>0</v>
      </c>
      <c r="L7" s="133">
        <f>'6-A. Proc. Sub-Annex'!M48</f>
        <v>0</v>
      </c>
      <c r="M7" s="136">
        <f>'6-A. Proc. Sub-Annex'!N48</f>
        <v>0</v>
      </c>
      <c r="N7" s="133">
        <f>'6-A. Proc. Sub-Annex'!O48</f>
        <v>0</v>
      </c>
      <c r="O7" s="136">
        <f>'6-A. Proc. Sub-Annex'!P48</f>
        <v>0</v>
      </c>
      <c r="P7" s="78">
        <f>'6-A. Proc. Sub-Annex'!Q48</f>
        <v>0</v>
      </c>
      <c r="Q7" s="63"/>
      <c r="R7" s="979"/>
    </row>
    <row r="8" spans="1:18">
      <c r="A8" s="4246"/>
      <c r="B8" s="387"/>
      <c r="C8" s="78" t="str">
        <f>'6-A. Proc. Sub-Annex'!D49</f>
        <v>Any other</v>
      </c>
      <c r="D8" s="133" t="str">
        <f>'6-A. Proc. Sub-Annex'!E49</f>
        <v>HSS</v>
      </c>
      <c r="E8" s="133" t="str">
        <f>'6-A. Proc. Sub-Annex'!F49</f>
        <v>HSS/ AYUSH</v>
      </c>
      <c r="F8" s="133">
        <f>'6-A. Proc. Sub-Annex'!G49</f>
        <v>0</v>
      </c>
      <c r="G8" s="133">
        <f>'6-A. Proc. Sub-Annex'!H49</f>
        <v>0</v>
      </c>
      <c r="H8" s="133">
        <f>'6-A. Proc. Sub-Annex'!I49</f>
        <v>0</v>
      </c>
      <c r="I8" s="133">
        <f>'6-A. Proc. Sub-Annex'!J49</f>
        <v>0</v>
      </c>
      <c r="J8" s="133">
        <f>'6-A. Proc. Sub-Annex'!K49</f>
        <v>0</v>
      </c>
      <c r="K8" s="133">
        <f>'6-A. Proc. Sub-Annex'!L49</f>
        <v>0</v>
      </c>
      <c r="L8" s="133">
        <f>'6-A. Proc. Sub-Annex'!M49</f>
        <v>0</v>
      </c>
      <c r="M8" s="136">
        <f>'6-A. Proc. Sub-Annex'!N49</f>
        <v>0</v>
      </c>
      <c r="N8" s="133">
        <f>'6-A. Proc. Sub-Annex'!O49</f>
        <v>0</v>
      </c>
      <c r="O8" s="136">
        <f>'6-A. Proc. Sub-Annex'!P49</f>
        <v>0</v>
      </c>
      <c r="P8" s="78">
        <f>'6-A. Proc. Sub-Annex'!Q49</f>
        <v>0</v>
      </c>
      <c r="Q8" s="63"/>
      <c r="R8" s="979"/>
    </row>
    <row r="9" spans="1:18">
      <c r="A9" s="4246" t="str">
        <f>'6.Procurement Annex'!A67</f>
        <v>6.2.2.4</v>
      </c>
      <c r="B9" s="387"/>
      <c r="C9" s="78" t="str">
        <f>'6-A. Proc. Sub-Annex'!D203</f>
        <v>Drugs &amp; supplies for AYUSH</v>
      </c>
      <c r="D9" s="133" t="str">
        <f>'6-A. Proc. Sub-Annex'!E203</f>
        <v>HSS</v>
      </c>
      <c r="E9" s="133" t="str">
        <f>'6-A. Proc. Sub-Annex'!F203</f>
        <v>HSS/ AYUSH</v>
      </c>
      <c r="F9" s="133">
        <f>'6-A. Proc. Sub-Annex'!G203</f>
        <v>0</v>
      </c>
      <c r="G9" s="133">
        <f>'6-A. Proc. Sub-Annex'!H203</f>
        <v>0</v>
      </c>
      <c r="H9" s="133">
        <f>'6-A. Proc. Sub-Annex'!I203</f>
        <v>0</v>
      </c>
      <c r="I9" s="133">
        <f>'6-A. Proc. Sub-Annex'!J203</f>
        <v>0</v>
      </c>
      <c r="J9" s="133">
        <f>'6-A. Proc. Sub-Annex'!K203</f>
        <v>0</v>
      </c>
      <c r="K9" s="133">
        <f>'6-A. Proc. Sub-Annex'!L203</f>
        <v>0</v>
      </c>
      <c r="L9" s="133">
        <f>'6-A. Proc. Sub-Annex'!M203</f>
        <v>0</v>
      </c>
      <c r="M9" s="136">
        <f>'6-A. Proc. Sub-Annex'!N203</f>
        <v>0</v>
      </c>
      <c r="N9" s="133">
        <f>'6-A. Proc. Sub-Annex'!O203</f>
        <v>0</v>
      </c>
      <c r="O9" s="136">
        <f>'6-A. Proc. Sub-Annex'!P203</f>
        <v>0</v>
      </c>
      <c r="P9" s="78">
        <f>'6-A. Proc. Sub-Annex'!Q203</f>
        <v>0</v>
      </c>
      <c r="Q9" s="63"/>
      <c r="R9" s="979"/>
    </row>
    <row r="10" spans="1:18">
      <c r="A10" s="4246"/>
      <c r="B10" s="387"/>
      <c r="C10" s="78" t="str">
        <f>'6-A. Proc. Sub-Annex'!D204</f>
        <v>Any other</v>
      </c>
      <c r="D10" s="133" t="str">
        <f>'6-A. Proc. Sub-Annex'!E204</f>
        <v>HSS</v>
      </c>
      <c r="E10" s="133" t="str">
        <f>'6-A. Proc. Sub-Annex'!F204</f>
        <v>HSS/ AYUSH</v>
      </c>
      <c r="F10" s="133">
        <f>'6-A. Proc. Sub-Annex'!G204</f>
        <v>0</v>
      </c>
      <c r="G10" s="133">
        <f>'6-A. Proc. Sub-Annex'!H204</f>
        <v>0</v>
      </c>
      <c r="H10" s="133">
        <f>'6-A. Proc. Sub-Annex'!I204</f>
        <v>0</v>
      </c>
      <c r="I10" s="133">
        <f>'6-A. Proc. Sub-Annex'!J204</f>
        <v>0</v>
      </c>
      <c r="J10" s="133">
        <f>'6-A. Proc. Sub-Annex'!K204</f>
        <v>0</v>
      </c>
      <c r="K10" s="133">
        <f>'6-A. Proc. Sub-Annex'!L204</f>
        <v>0</v>
      </c>
      <c r="L10" s="133">
        <f>'6-A. Proc. Sub-Annex'!M204</f>
        <v>0</v>
      </c>
      <c r="M10" s="136">
        <f>'6-A. Proc. Sub-Annex'!N204</f>
        <v>0</v>
      </c>
      <c r="N10" s="133">
        <f>'6-A. Proc. Sub-Annex'!O204</f>
        <v>0</v>
      </c>
      <c r="O10" s="136">
        <f>'6-A. Proc. Sub-Annex'!P204</f>
        <v>0</v>
      </c>
      <c r="P10" s="78">
        <f>'6-A. Proc. Sub-Annex'!Q204</f>
        <v>0</v>
      </c>
      <c r="Q10" s="63"/>
      <c r="R10" s="979"/>
    </row>
    <row r="11" spans="1:18">
      <c r="A11" s="333">
        <f>'9.Training Annex'!A7</f>
        <v>9</v>
      </c>
      <c r="B11" s="333"/>
      <c r="C11" s="333" t="str">
        <f>'9.Training Annex'!C7</f>
        <v>Training and Capacity Building</v>
      </c>
      <c r="D11" s="334"/>
      <c r="E11" s="334"/>
      <c r="F11" s="1009"/>
      <c r="G11" s="1009"/>
      <c r="H11" s="1010"/>
      <c r="I11" s="1009"/>
      <c r="J11" s="240"/>
      <c r="K11" s="1011"/>
      <c r="L11" s="1011"/>
      <c r="M11" s="240"/>
      <c r="N11" s="1012"/>
      <c r="O11" s="969">
        <f>SUM(O12:O13)</f>
        <v>0</v>
      </c>
      <c r="P11" s="1013"/>
      <c r="Q11" s="1014"/>
      <c r="R11" s="978">
        <f>SUM(R12:R13)</f>
        <v>0</v>
      </c>
    </row>
    <row r="12" spans="1:18">
      <c r="A12" s="4246" t="str">
        <f>'9.Training Annex'!A34</f>
        <v>9.2.2.5</v>
      </c>
      <c r="B12" s="387" t="str">
        <f>'9-A.Training Sub-Annex'!C175</f>
        <v>B9.2</v>
      </c>
      <c r="C12" s="78" t="str">
        <f>'9-A.Training Sub-Annex'!D175</f>
        <v>Training under AYUSH</v>
      </c>
      <c r="D12" s="133" t="str">
        <f>'9-A.Training Sub-Annex'!E175</f>
        <v>HSS</v>
      </c>
      <c r="E12" s="133" t="str">
        <f>'9-A.Training Sub-Annex'!F175</f>
        <v>HSS/AYUSH</v>
      </c>
      <c r="F12" s="133">
        <f>'9-A.Training Sub-Annex'!G175</f>
        <v>0</v>
      </c>
      <c r="G12" s="133">
        <f>'9-A.Training Sub-Annex'!H175</f>
        <v>0</v>
      </c>
      <c r="H12" s="133">
        <f>'9-A.Training Sub-Annex'!I175</f>
        <v>0</v>
      </c>
      <c r="I12" s="133">
        <f>'9-A.Training Sub-Annex'!J175</f>
        <v>0</v>
      </c>
      <c r="J12" s="133">
        <f>'9-A.Training Sub-Annex'!K175</f>
        <v>0</v>
      </c>
      <c r="K12" s="133">
        <f>'9-A.Training Sub-Annex'!L175</f>
        <v>0</v>
      </c>
      <c r="L12" s="133">
        <f>'9-A.Training Sub-Annex'!M175</f>
        <v>0</v>
      </c>
      <c r="M12" s="136">
        <f>'9-A.Training Sub-Annex'!N175</f>
        <v>0</v>
      </c>
      <c r="N12" s="133">
        <f>'9-A.Training Sub-Annex'!O175</f>
        <v>0</v>
      </c>
      <c r="O12" s="136">
        <f>'9-A.Training Sub-Annex'!P175</f>
        <v>0</v>
      </c>
      <c r="P12" s="78">
        <f>'9-A.Training Sub-Annex'!Q175</f>
        <v>0</v>
      </c>
      <c r="Q12" s="63"/>
      <c r="R12" s="979"/>
    </row>
    <row r="13" spans="1:18">
      <c r="A13" s="4246"/>
      <c r="B13" s="387"/>
      <c r="C13" s="78" t="str">
        <f>'9-A.Training Sub-Annex'!D176</f>
        <v>Any other (please specify)</v>
      </c>
      <c r="D13" s="133" t="str">
        <f>'9-A.Training Sub-Annex'!E176</f>
        <v>HSS</v>
      </c>
      <c r="E13" s="133" t="str">
        <f>'9-A.Training Sub-Annex'!F176</f>
        <v>HSS/AYUSH</v>
      </c>
      <c r="F13" s="133">
        <f>'9-A.Training Sub-Annex'!G176</f>
        <v>0</v>
      </c>
      <c r="G13" s="133">
        <f>'9-A.Training Sub-Annex'!H176</f>
        <v>0</v>
      </c>
      <c r="H13" s="133">
        <f>'9-A.Training Sub-Annex'!I176</f>
        <v>0</v>
      </c>
      <c r="I13" s="133">
        <f>'9-A.Training Sub-Annex'!J176</f>
        <v>0</v>
      </c>
      <c r="J13" s="133">
        <f>'9-A.Training Sub-Annex'!K176</f>
        <v>0</v>
      </c>
      <c r="K13" s="133">
        <f>'9-A.Training Sub-Annex'!L176</f>
        <v>0</v>
      </c>
      <c r="L13" s="133">
        <f>'9-A.Training Sub-Annex'!M176</f>
        <v>0</v>
      </c>
      <c r="M13" s="136">
        <f>'9-A.Training Sub-Annex'!N176</f>
        <v>0</v>
      </c>
      <c r="N13" s="133">
        <f>'9-A.Training Sub-Annex'!O176</f>
        <v>0</v>
      </c>
      <c r="O13" s="136">
        <f>'9-A.Training Sub-Annex'!P176</f>
        <v>0</v>
      </c>
      <c r="P13" s="78">
        <f>'9-A.Training Sub-Annex'!Q176</f>
        <v>0</v>
      </c>
      <c r="Q13" s="63"/>
      <c r="R13" s="979"/>
    </row>
    <row r="14" spans="1:18">
      <c r="P14" s="820"/>
      <c r="Q14" s="820"/>
      <c r="R14" s="974"/>
    </row>
  </sheetData>
  <sheetProtection sheet="1" formatCells="0" formatColumns="0" formatRows="0" autoFilter="0"/>
  <autoFilter ref="A5:M13"/>
  <mergeCells count="12">
    <mergeCell ref="A9:A10"/>
    <mergeCell ref="A7:A8"/>
    <mergeCell ref="A12:A13"/>
    <mergeCell ref="Q4:R4"/>
    <mergeCell ref="E4:E5"/>
    <mergeCell ref="F4:J4"/>
    <mergeCell ref="K4:P4"/>
    <mergeCell ref="A1:C1"/>
    <mergeCell ref="A4:A5"/>
    <mergeCell ref="B4:B5"/>
    <mergeCell ref="C4:C5"/>
    <mergeCell ref="D4:D5"/>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31">
    <tabColor theme="5" tint="0.79998168889431442"/>
  </sheetPr>
  <dimension ref="A1:R40"/>
  <sheetViews>
    <sheetView zoomScale="60" zoomScaleNormal="60" workbookViewId="0">
      <pane xSplit="3" ySplit="5" topLeftCell="F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9.140625" defaultRowHeight="15"/>
  <cols>
    <col min="1" max="1" width="11" style="820" bestFit="1" customWidth="1"/>
    <col min="2" max="2" width="16.28515625" style="820" customWidth="1"/>
    <col min="3" max="3" width="56.42578125" style="453" bestFit="1" customWidth="1"/>
    <col min="4" max="4" width="5.5703125" style="407" bestFit="1" customWidth="1"/>
    <col min="5" max="5" width="14.28515625" style="407" customWidth="1"/>
    <col min="6" max="6" width="17.85546875" style="621" customWidth="1"/>
    <col min="7" max="7" width="16.140625" style="621" bestFit="1" customWidth="1"/>
    <col min="8" max="8" width="9.140625" style="949" bestFit="1" customWidth="1"/>
    <col min="9" max="9" width="8.7109375" style="621" customWidth="1"/>
    <col min="10" max="10" width="11" style="949" customWidth="1"/>
    <col min="11" max="11" width="11.140625" style="820" customWidth="1"/>
    <col min="12" max="12" width="11.28515625" style="820" customWidth="1"/>
    <col min="13" max="13" width="11.42578125" style="949" customWidth="1"/>
    <col min="14" max="14" width="9.140625" style="950"/>
    <col min="15" max="15" width="16.7109375" style="974" customWidth="1"/>
    <col min="16" max="16" width="29.85546875" style="820" customWidth="1"/>
    <col min="17" max="17" width="32.5703125" style="820" customWidth="1"/>
    <col min="18" max="18" width="9.140625" style="974"/>
    <col min="19" max="16384" width="9.140625" style="950"/>
  </cols>
  <sheetData>
    <row r="1" spans="1:18">
      <c r="A1" s="4634" t="s">
        <v>2129</v>
      </c>
      <c r="B1" s="4634"/>
      <c r="C1" s="4634"/>
      <c r="D1" s="909"/>
      <c r="E1" s="954"/>
      <c r="F1" s="1015" t="s">
        <v>3961</v>
      </c>
      <c r="G1" s="913"/>
      <c r="H1" s="913"/>
      <c r="I1" s="909"/>
      <c r="J1" s="913"/>
      <c r="K1" s="995"/>
      <c r="L1" s="995"/>
      <c r="M1" s="913"/>
      <c r="N1" s="1016"/>
      <c r="O1" s="1017"/>
      <c r="P1" s="915"/>
      <c r="Q1" s="915"/>
    </row>
    <row r="2" spans="1:18">
      <c r="A2" s="868" t="str">
        <f>HYPERLINK("#Index!F3", "Index Pg")</f>
        <v>Index Pg</v>
      </c>
      <c r="B2" s="873"/>
      <c r="C2" s="403" t="str">
        <f>HYPERLINK("#'Budget Summary I'!A1:AL1", "Budget Summary I")</f>
        <v>Budget Summary I</v>
      </c>
      <c r="D2" s="917"/>
      <c r="E2" s="816" t="s">
        <v>4599</v>
      </c>
      <c r="F2" s="135">
        <f>R6+R8+R12+R22+R29+R27</f>
        <v>0</v>
      </c>
      <c r="G2" s="913"/>
      <c r="H2" s="913"/>
      <c r="I2" s="958"/>
      <c r="J2" s="913"/>
      <c r="K2" s="1008"/>
      <c r="L2" s="1008"/>
      <c r="M2" s="913"/>
      <c r="N2" s="1016"/>
      <c r="O2" s="1017"/>
      <c r="P2" s="915"/>
      <c r="Q2" s="915"/>
    </row>
    <row r="3" spans="1:18" s="499" customFormat="1">
      <c r="A3" s="872"/>
      <c r="B3" s="873"/>
      <c r="C3" s="924" t="str">
        <f>HYPERLINK("#'Budget Summary II'!A3:B5", "Budget Summary II")</f>
        <v>Budget Summary II</v>
      </c>
      <c r="D3" s="917"/>
      <c r="E3" s="997" t="s">
        <v>4600</v>
      </c>
      <c r="F3" s="335">
        <f>O6+O8+O12+O22+O29+O27</f>
        <v>117.13799999999999</v>
      </c>
      <c r="G3" s="913"/>
      <c r="H3" s="913"/>
      <c r="I3" s="958"/>
      <c r="J3" s="913"/>
      <c r="L3" s="1008"/>
      <c r="M3" s="913"/>
      <c r="N3" s="1016"/>
      <c r="O3" s="1017"/>
      <c r="P3" s="915"/>
      <c r="Q3" s="915"/>
      <c r="R3" s="955"/>
    </row>
    <row r="4" spans="1:18" s="621"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621" customFormat="1"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932" t="s">
        <v>63</v>
      </c>
      <c r="Q5" s="933" t="s">
        <v>2536</v>
      </c>
      <c r="R5" s="468" t="s">
        <v>4662</v>
      </c>
    </row>
    <row r="6" spans="1:18">
      <c r="A6" s="333">
        <f>'3.Community Intervention Annexn'!A7</f>
        <v>3</v>
      </c>
      <c r="B6" s="333"/>
      <c r="C6" s="333" t="str">
        <f>'3.Community Intervention Annexn'!C7</f>
        <v>Community Interventions</v>
      </c>
      <c r="D6" s="334"/>
      <c r="E6" s="334"/>
      <c r="F6" s="334"/>
      <c r="G6" s="334"/>
      <c r="H6" s="240"/>
      <c r="I6" s="334"/>
      <c r="J6" s="240"/>
      <c r="K6" s="333"/>
      <c r="L6" s="333"/>
      <c r="M6" s="240"/>
      <c r="N6" s="1012"/>
      <c r="O6" s="969">
        <f>O7</f>
        <v>0</v>
      </c>
      <c r="P6" s="964"/>
      <c r="Q6" s="964"/>
      <c r="R6" s="969">
        <f>R7</f>
        <v>0</v>
      </c>
    </row>
    <row r="7" spans="1:18">
      <c r="A7" s="387" t="str">
        <f>'3.Community Intervention Annexn'!A53</f>
        <v>3.3.3.1</v>
      </c>
      <c r="B7" s="387" t="str">
        <f>'3.Community Intervention Annexn'!B53</f>
        <v>E.2.9</v>
      </c>
      <c r="C7" s="387" t="str">
        <f>'3.Community Intervention Annexn'!C53</f>
        <v>One day sensitization for PRIs</v>
      </c>
      <c r="D7" s="387" t="str">
        <f>'3.Community Intervention Annexn'!D53</f>
        <v>NDCP</v>
      </c>
      <c r="E7" s="387" t="str">
        <f>'3.Community Intervention Annexn'!E53</f>
        <v>IDSP</v>
      </c>
      <c r="F7" s="387">
        <f>'3.Community Intervention Annexn'!F53</f>
        <v>0</v>
      </c>
      <c r="G7" s="387">
        <f>'3.Community Intervention Annexn'!G53</f>
        <v>0</v>
      </c>
      <c r="H7" s="387">
        <f>'3.Community Intervention Annexn'!H53</f>
        <v>0</v>
      </c>
      <c r="I7" s="387">
        <f>'3.Community Intervention Annexn'!I53</f>
        <v>0</v>
      </c>
      <c r="J7" s="387">
        <f>'3.Community Intervention Annexn'!J53</f>
        <v>0</v>
      </c>
      <c r="K7" s="387">
        <f>'3.Community Intervention Annexn'!K53</f>
        <v>0</v>
      </c>
      <c r="L7" s="387">
        <f>'3.Community Intervention Annexn'!L53</f>
        <v>0</v>
      </c>
      <c r="M7" s="388">
        <f>'3.Community Intervention Annexn'!M53</f>
        <v>0</v>
      </c>
      <c r="N7" s="387">
        <f>'3.Community Intervention Annexn'!N53</f>
        <v>0</v>
      </c>
      <c r="O7" s="388">
        <f>'3.Community Intervention Annexn'!O53</f>
        <v>0</v>
      </c>
      <c r="P7" s="387">
        <f>'3.Community Intervention Annexn'!P53</f>
        <v>0</v>
      </c>
      <c r="Q7" s="63"/>
      <c r="R7" s="979"/>
    </row>
    <row r="8" spans="1:18">
      <c r="A8" s="333">
        <f>'6.Procurement Annex'!A7</f>
        <v>6</v>
      </c>
      <c r="B8" s="333"/>
      <c r="C8" s="333" t="str">
        <f>'6.Procurement Annex'!C7</f>
        <v>Procurement</v>
      </c>
      <c r="D8" s="334"/>
      <c r="E8" s="334"/>
      <c r="F8" s="334"/>
      <c r="G8" s="334"/>
      <c r="H8" s="240"/>
      <c r="I8" s="334"/>
      <c r="J8" s="240"/>
      <c r="K8" s="333"/>
      <c r="L8" s="333"/>
      <c r="M8" s="240"/>
      <c r="N8" s="1012"/>
      <c r="O8" s="969">
        <f>SUM(O9:O11)</f>
        <v>0</v>
      </c>
      <c r="P8" s="964"/>
      <c r="Q8" s="977"/>
      <c r="R8" s="978">
        <f>SUM(R9:R11)</f>
        <v>0</v>
      </c>
    </row>
    <row r="9" spans="1:18" ht="30">
      <c r="A9" s="4247" t="str">
        <f>'6.Procurement Annex'!A30</f>
        <v>6.1.4.1</v>
      </c>
      <c r="B9" s="387" t="str">
        <f>'6-A. Proc. Sub-Annex'!C74</f>
        <v>E.3.1</v>
      </c>
      <c r="C9" s="78" t="str">
        <f>'6-A. Proc. Sub-Annex'!D74</f>
        <v xml:space="preserve">Non-recurring costs on account of equipment for District Public Health Labs requiring strengthening. </v>
      </c>
      <c r="D9" s="133" t="str">
        <f>'6-A. Proc. Sub-Annex'!E74</f>
        <v>NDCP</v>
      </c>
      <c r="E9" s="133" t="str">
        <f>'6-A. Proc. Sub-Annex'!F74</f>
        <v>IDSP</v>
      </c>
      <c r="F9" s="133">
        <f>'6-A. Proc. Sub-Annex'!G74</f>
        <v>0</v>
      </c>
      <c r="G9" s="133">
        <f>'6-A. Proc. Sub-Annex'!H74</f>
        <v>0</v>
      </c>
      <c r="H9" s="133">
        <f>'6-A. Proc. Sub-Annex'!I74</f>
        <v>0</v>
      </c>
      <c r="I9" s="133">
        <f>'6-A. Proc. Sub-Annex'!J74</f>
        <v>0</v>
      </c>
      <c r="J9" s="133">
        <f>'6-A. Proc. Sub-Annex'!K74</f>
        <v>0</v>
      </c>
      <c r="K9" s="133">
        <f>'6-A. Proc. Sub-Annex'!L74</f>
        <v>0</v>
      </c>
      <c r="L9" s="133">
        <f>'6-A. Proc. Sub-Annex'!M74</f>
        <v>0</v>
      </c>
      <c r="M9" s="136">
        <f>'6-A. Proc. Sub-Annex'!N74</f>
        <v>0</v>
      </c>
      <c r="N9" s="133">
        <f>'6-A. Proc. Sub-Annex'!O74</f>
        <v>0</v>
      </c>
      <c r="O9" s="136">
        <f>'6-A. Proc. Sub-Annex'!P74</f>
        <v>0</v>
      </c>
      <c r="P9" s="78">
        <f>'6-A. Proc. Sub-Annex'!Q74</f>
        <v>0</v>
      </c>
      <c r="Q9" s="63"/>
      <c r="R9" s="979"/>
    </row>
    <row r="10" spans="1:18" ht="30">
      <c r="A10" s="4247"/>
      <c r="B10" s="387"/>
      <c r="C10" s="78" t="str">
        <f>'6-A. Proc. Sub-Annex'!D75</f>
        <v>Any other equipment (please specify)</v>
      </c>
      <c r="D10" s="133" t="str">
        <f>'6-A. Proc. Sub-Annex'!E75</f>
        <v>NDCP</v>
      </c>
      <c r="E10" s="133" t="str">
        <f>'6-A. Proc. Sub-Annex'!F75</f>
        <v>IDSP</v>
      </c>
      <c r="F10" s="133">
        <f>'6-A. Proc. Sub-Annex'!G75</f>
        <v>0</v>
      </c>
      <c r="G10" s="133">
        <f>'6-A. Proc. Sub-Annex'!H75</f>
        <v>0</v>
      </c>
      <c r="H10" s="133">
        <f>'6-A. Proc. Sub-Annex'!I75</f>
        <v>0</v>
      </c>
      <c r="I10" s="133">
        <f>'6-A. Proc. Sub-Annex'!J75</f>
        <v>0</v>
      </c>
      <c r="J10" s="133">
        <f>'6-A. Proc. Sub-Annex'!K75</f>
        <v>0</v>
      </c>
      <c r="K10" s="133">
        <f>'6-A. Proc. Sub-Annex'!L75</f>
        <v>0</v>
      </c>
      <c r="L10" s="133">
        <f>'6-A. Proc. Sub-Annex'!M75</f>
        <v>0</v>
      </c>
      <c r="M10" s="136">
        <f>'6-A. Proc. Sub-Annex'!N75</f>
        <v>0</v>
      </c>
      <c r="N10" s="133">
        <f>'6-A. Proc. Sub-Annex'!O75</f>
        <v>0</v>
      </c>
      <c r="O10" s="136">
        <f>'6-A. Proc. Sub-Annex'!P75</f>
        <v>0</v>
      </c>
      <c r="P10" s="78">
        <f>'6-A. Proc. Sub-Annex'!Q75</f>
        <v>0</v>
      </c>
      <c r="Q10" s="63"/>
      <c r="R10" s="979"/>
    </row>
    <row r="11" spans="1:18" ht="30">
      <c r="A11" s="387" t="str">
        <f>'6.Procurement Annex'!A48</f>
        <v>6.1.6.2</v>
      </c>
      <c r="B11" s="387" t="str">
        <f>'6-A. Proc. Sub-Annex'!C138</f>
        <v>E.3.3</v>
      </c>
      <c r="C11" s="78" t="str">
        <f>'6-A. Proc. Sub-Annex'!D138</f>
        <v>Equipment AMC cost (DPHL)</v>
      </c>
      <c r="D11" s="133" t="str">
        <f>'6-A. Proc. Sub-Annex'!E138</f>
        <v>NDCP</v>
      </c>
      <c r="E11" s="133" t="str">
        <f>'6-A. Proc. Sub-Annex'!F138</f>
        <v>IDSP</v>
      </c>
      <c r="F11" s="133">
        <f>'6-A. Proc. Sub-Annex'!G138</f>
        <v>0</v>
      </c>
      <c r="G11" s="133">
        <f>'6-A. Proc. Sub-Annex'!H138</f>
        <v>0</v>
      </c>
      <c r="H11" s="133">
        <f>'6-A. Proc. Sub-Annex'!I138</f>
        <v>0</v>
      </c>
      <c r="I11" s="133">
        <f>'6-A. Proc. Sub-Annex'!J138</f>
        <v>0</v>
      </c>
      <c r="J11" s="133">
        <f>'6-A. Proc. Sub-Annex'!K138</f>
        <v>0</v>
      </c>
      <c r="K11" s="133">
        <f>'6-A. Proc. Sub-Annex'!L138</f>
        <v>0</v>
      </c>
      <c r="L11" s="133">
        <f>'6-A. Proc. Sub-Annex'!M138</f>
        <v>0</v>
      </c>
      <c r="M11" s="136">
        <f>'6-A. Proc. Sub-Annex'!N138</f>
        <v>0</v>
      </c>
      <c r="N11" s="133">
        <f>'6-A. Proc. Sub-Annex'!O138</f>
        <v>0</v>
      </c>
      <c r="O11" s="136">
        <f>'6-A. Proc. Sub-Annex'!P138</f>
        <v>0</v>
      </c>
      <c r="P11" s="78">
        <f>'6-A. Proc. Sub-Annex'!Q138</f>
        <v>0</v>
      </c>
      <c r="Q11" s="63"/>
      <c r="R11" s="979"/>
    </row>
    <row r="12" spans="1:18">
      <c r="A12" s="333">
        <f>'9.Training Annex'!A7</f>
        <v>9</v>
      </c>
      <c r="B12" s="333"/>
      <c r="C12" s="333" t="str">
        <f>'9.Training Annex'!C7</f>
        <v>Training and Capacity Building</v>
      </c>
      <c r="D12" s="334"/>
      <c r="E12" s="334"/>
      <c r="F12" s="334"/>
      <c r="G12" s="334"/>
      <c r="H12" s="240"/>
      <c r="I12" s="334"/>
      <c r="J12" s="240"/>
      <c r="K12" s="333"/>
      <c r="L12" s="333"/>
      <c r="M12" s="240"/>
      <c r="N12" s="1012"/>
      <c r="O12" s="969">
        <f>SUM(O13:O21)</f>
        <v>20.808</v>
      </c>
      <c r="P12" s="964"/>
      <c r="Q12" s="977"/>
      <c r="R12" s="978">
        <f>SUM(R13:R21)</f>
        <v>0</v>
      </c>
    </row>
    <row r="13" spans="1:18" ht="30">
      <c r="A13" s="4246" t="str">
        <f>'9.Training Annex'!A47</f>
        <v>9.2.3.1</v>
      </c>
      <c r="B13" s="387" t="str">
        <f>'9-A.Training Sub-Annex'!C210</f>
        <v>E.2.1</v>
      </c>
      <c r="C13" s="78" t="str">
        <f>'9-A.Training Sub-Annex'!D210</f>
        <v>Medical Officers (1 day)</v>
      </c>
      <c r="D13" s="133" t="str">
        <f>'9-A.Training Sub-Annex'!E210</f>
        <v>NDCP</v>
      </c>
      <c r="E13" s="133" t="str">
        <f>'9-A.Training Sub-Annex'!F210</f>
        <v>IDSP</v>
      </c>
      <c r="F13" s="133">
        <f>'9-A.Training Sub-Annex'!G210</f>
        <v>0</v>
      </c>
      <c r="G13" s="133">
        <f>'9-A.Training Sub-Annex'!H210</f>
        <v>0</v>
      </c>
      <c r="H13" s="133">
        <f>'9-A.Training Sub-Annex'!I210</f>
        <v>0</v>
      </c>
      <c r="I13" s="133">
        <f>'9-A.Training Sub-Annex'!J210</f>
        <v>0</v>
      </c>
      <c r="J13" s="133">
        <f>'9-A.Training Sub-Annex'!K210</f>
        <v>0</v>
      </c>
      <c r="K13" s="133" t="str">
        <f>'9-A.Training Sub-Annex'!L210</f>
        <v>Per Batch Per District</v>
      </c>
      <c r="L13" s="133">
        <f>'9-A.Training Sub-Annex'!M210</f>
        <v>600</v>
      </c>
      <c r="M13" s="136">
        <f>'9-A.Training Sub-Annex'!N210</f>
        <v>6.0000000000000001E-3</v>
      </c>
      <c r="N13" s="133">
        <f>'9-A.Training Sub-Annex'!O210</f>
        <v>534</v>
      </c>
      <c r="O13" s="136">
        <f>'9-A.Training Sub-Annex'!P210</f>
        <v>3.2040000000000002</v>
      </c>
      <c r="P13" s="78" t="str">
        <f>'9-A.Training Sub-Annex'!Q210</f>
        <v>Training would be organized at District level for each block MO</v>
      </c>
      <c r="Q13" s="63"/>
      <c r="R13" s="979"/>
    </row>
    <row r="14" spans="1:18" ht="45">
      <c r="A14" s="4246"/>
      <c r="B14" s="387" t="str">
        <f>'9-A.Training Sub-Annex'!C211</f>
        <v>E.2.2</v>
      </c>
      <c r="C14" s="78" t="str">
        <f>'9-A.Training Sub-Annex'!D211</f>
        <v>Medical College Doctors (1 day)</v>
      </c>
      <c r="D14" s="133" t="str">
        <f>'9-A.Training Sub-Annex'!E211</f>
        <v>NDCP</v>
      </c>
      <c r="E14" s="133" t="str">
        <f>'9-A.Training Sub-Annex'!F211</f>
        <v>IDSP</v>
      </c>
      <c r="F14" s="133">
        <f>'9-A.Training Sub-Annex'!G211</f>
        <v>0</v>
      </c>
      <c r="G14" s="133">
        <f>'9-A.Training Sub-Annex'!H211</f>
        <v>0</v>
      </c>
      <c r="H14" s="133">
        <f>'9-A.Training Sub-Annex'!I211</f>
        <v>0</v>
      </c>
      <c r="I14" s="133">
        <f>'9-A.Training Sub-Annex'!J211</f>
        <v>0</v>
      </c>
      <c r="J14" s="133">
        <f>'9-A.Training Sub-Annex'!K211</f>
        <v>0</v>
      </c>
      <c r="K14" s="133" t="str">
        <f>'9-A.Training Sub-Annex'!L211</f>
        <v xml:space="preserve">Per MCH </v>
      </c>
      <c r="L14" s="133">
        <f>'9-A.Training Sub-Annex'!M211</f>
        <v>5800</v>
      </c>
      <c r="M14" s="136">
        <f>'9-A.Training Sub-Annex'!N211</f>
        <v>5.8000000000000003E-2</v>
      </c>
      <c r="N14" s="133">
        <f>'9-A.Training Sub-Annex'!O211</f>
        <v>6</v>
      </c>
      <c r="O14" s="136">
        <f>'9-A.Training Sub-Annex'!P211</f>
        <v>0.34800000000000003</v>
      </c>
      <c r="P14" s="78" t="str">
        <f>'9-A.Training Sub-Annex'!Q211</f>
        <v>Training would be organized at MCH level for wider coverage &amp; output.</v>
      </c>
      <c r="Q14" s="63"/>
      <c r="R14" s="979"/>
    </row>
    <row r="15" spans="1:18" ht="45">
      <c r="A15" s="4246"/>
      <c r="B15" s="387" t="str">
        <f>'9-A.Training Sub-Annex'!C212</f>
        <v>E.2.3</v>
      </c>
      <c r="C15" s="78" t="str">
        <f>'9-A.Training Sub-Annex'!D212</f>
        <v>Hospital Pharmacists/Nurses Training (1 day)</v>
      </c>
      <c r="D15" s="133" t="str">
        <f>'9-A.Training Sub-Annex'!E212</f>
        <v>NDCP</v>
      </c>
      <c r="E15" s="133" t="str">
        <f>'9-A.Training Sub-Annex'!F212</f>
        <v>IDSP</v>
      </c>
      <c r="F15" s="133">
        <f>'9-A.Training Sub-Annex'!G212</f>
        <v>0</v>
      </c>
      <c r="G15" s="133">
        <f>'9-A.Training Sub-Annex'!H212</f>
        <v>0</v>
      </c>
      <c r="H15" s="133">
        <f>'9-A.Training Sub-Annex'!I212</f>
        <v>0</v>
      </c>
      <c r="I15" s="133">
        <f>'9-A.Training Sub-Annex'!J212</f>
        <v>0</v>
      </c>
      <c r="J15" s="133">
        <f>'9-A.Training Sub-Annex'!K212</f>
        <v>0</v>
      </c>
      <c r="K15" s="133" t="str">
        <f>'9-A.Training Sub-Annex'!L212</f>
        <v>Per Batch Per District</v>
      </c>
      <c r="L15" s="133">
        <f>'9-A.Training Sub-Annex'!M212</f>
        <v>450</v>
      </c>
      <c r="M15" s="136">
        <f>'9-A.Training Sub-Annex'!N212</f>
        <v>4.4999999999999997E-3</v>
      </c>
      <c r="N15" s="133">
        <f>'9-A.Training Sub-Annex'!O212</f>
        <v>534</v>
      </c>
      <c r="O15" s="136">
        <f>'9-A.Training Sub-Annex'!P212</f>
        <v>2.403</v>
      </c>
      <c r="P15" s="78" t="str">
        <f>'9-A.Training Sub-Annex'!Q212</f>
        <v>Training would be organized at District level for each block for wider coverage &amp; output.</v>
      </c>
      <c r="Q15" s="63"/>
      <c r="R15" s="979"/>
    </row>
    <row r="16" spans="1:18" ht="45">
      <c r="A16" s="4246"/>
      <c r="B16" s="387" t="str">
        <f>'9-A.Training Sub-Annex'!C213</f>
        <v>E.2.4</v>
      </c>
      <c r="C16" s="78" t="str">
        <f>'9-A.Training Sub-Annex'!D213</f>
        <v>Lab. Technician (3 days)</v>
      </c>
      <c r="D16" s="133" t="str">
        <f>'9-A.Training Sub-Annex'!E213</f>
        <v>NDCP</v>
      </c>
      <c r="E16" s="133" t="str">
        <f>'9-A.Training Sub-Annex'!F213</f>
        <v>IDSP</v>
      </c>
      <c r="F16" s="133">
        <f>'9-A.Training Sub-Annex'!G213</f>
        <v>0</v>
      </c>
      <c r="G16" s="133">
        <f>'9-A.Training Sub-Annex'!H213</f>
        <v>0</v>
      </c>
      <c r="H16" s="133">
        <f>'9-A.Training Sub-Annex'!I213</f>
        <v>0</v>
      </c>
      <c r="I16" s="133">
        <f>'9-A.Training Sub-Annex'!J213</f>
        <v>0</v>
      </c>
      <c r="J16" s="133">
        <f>'9-A.Training Sub-Annex'!K213</f>
        <v>0</v>
      </c>
      <c r="K16" s="133" t="str">
        <f>'9-A.Training Sub-Annex'!L213</f>
        <v xml:space="preserve">Per MCH </v>
      </c>
      <c r="L16" s="133">
        <f>'9-A.Training Sub-Annex'!M213</f>
        <v>22000</v>
      </c>
      <c r="M16" s="136">
        <f>'9-A.Training Sub-Annex'!N213</f>
        <v>0.22</v>
      </c>
      <c r="N16" s="133">
        <f>'9-A.Training Sub-Annex'!O213</f>
        <v>6</v>
      </c>
      <c r="O16" s="136">
        <f>'9-A.Training Sub-Annex'!P213</f>
        <v>1.32</v>
      </c>
      <c r="P16" s="78" t="str">
        <f>'9-A.Training Sub-Annex'!Q213</f>
        <v>Training would be organized at MCH level for wider coverage &amp; output.</v>
      </c>
      <c r="Q16" s="63"/>
      <c r="R16" s="979"/>
    </row>
    <row r="17" spans="1:18" ht="30">
      <c r="A17" s="4246"/>
      <c r="B17" s="387" t="str">
        <f>'9-A.Training Sub-Annex'!C214</f>
        <v>E.2.5</v>
      </c>
      <c r="C17" s="78" t="str">
        <f>'9-A.Training Sub-Annex'!D214</f>
        <v>Data Managers (2days)</v>
      </c>
      <c r="D17" s="133" t="str">
        <f>'9-A.Training Sub-Annex'!E214</f>
        <v>NDCP</v>
      </c>
      <c r="E17" s="133" t="str">
        <f>'9-A.Training Sub-Annex'!F214</f>
        <v>IDSP</v>
      </c>
      <c r="F17" s="133">
        <f>'9-A.Training Sub-Annex'!G214</f>
        <v>0</v>
      </c>
      <c r="G17" s="133">
        <f>'9-A.Training Sub-Annex'!H214</f>
        <v>0</v>
      </c>
      <c r="H17" s="133">
        <f>'9-A.Training Sub-Annex'!I214</f>
        <v>0</v>
      </c>
      <c r="I17" s="133">
        <f>'9-A.Training Sub-Annex'!J214</f>
        <v>0</v>
      </c>
      <c r="J17" s="133">
        <f>'9-A.Training Sub-Annex'!K214</f>
        <v>0</v>
      </c>
      <c r="K17" s="133" t="str">
        <f>'9-A.Training Sub-Annex'!L214</f>
        <v xml:space="preserve">For State Training </v>
      </c>
      <c r="L17" s="133">
        <f>'9-A.Training Sub-Annex'!M214</f>
        <v>30000</v>
      </c>
      <c r="M17" s="136">
        <f>'9-A.Training Sub-Annex'!N214</f>
        <v>0.3</v>
      </c>
      <c r="N17" s="133">
        <f>'9-A.Training Sub-Annex'!O214</f>
        <v>1</v>
      </c>
      <c r="O17" s="136">
        <f>'9-A.Training Sub-Annex'!P214</f>
        <v>0.3</v>
      </c>
      <c r="P17" s="78" t="str">
        <f>'9-A.Training Sub-Annex'!Q214</f>
        <v>Training would be organized at State  level for desired output.</v>
      </c>
      <c r="Q17" s="63"/>
      <c r="R17" s="979"/>
    </row>
    <row r="18" spans="1:18" ht="30">
      <c r="A18" s="4246"/>
      <c r="B18" s="387" t="str">
        <f>'9-A.Training Sub-Annex'!C215</f>
        <v>E.2.6</v>
      </c>
      <c r="C18" s="78" t="str">
        <f>'9-A.Training Sub-Annex'!D215</f>
        <v>Date Entry Operators cum Accountant (2 days)</v>
      </c>
      <c r="D18" s="133" t="str">
        <f>'9-A.Training Sub-Annex'!E215</f>
        <v>NDCP</v>
      </c>
      <c r="E18" s="133" t="str">
        <f>'9-A.Training Sub-Annex'!F215</f>
        <v>IDSP</v>
      </c>
      <c r="F18" s="133">
        <f>'9-A.Training Sub-Annex'!G215</f>
        <v>0</v>
      </c>
      <c r="G18" s="133">
        <f>'9-A.Training Sub-Annex'!H215</f>
        <v>0</v>
      </c>
      <c r="H18" s="133">
        <f>'9-A.Training Sub-Annex'!I215</f>
        <v>0</v>
      </c>
      <c r="I18" s="133">
        <f>'9-A.Training Sub-Annex'!J215</f>
        <v>0</v>
      </c>
      <c r="J18" s="133">
        <f>'9-A.Training Sub-Annex'!K215</f>
        <v>0</v>
      </c>
      <c r="K18" s="133" t="str">
        <f>'9-A.Training Sub-Annex'!L215</f>
        <v xml:space="preserve">For State Training </v>
      </c>
      <c r="L18" s="133">
        <f>'9-A.Training Sub-Annex'!M215</f>
        <v>30000</v>
      </c>
      <c r="M18" s="136">
        <f>'9-A.Training Sub-Annex'!N215</f>
        <v>0.3</v>
      </c>
      <c r="N18" s="133">
        <f>'9-A.Training Sub-Annex'!O215</f>
        <v>1</v>
      </c>
      <c r="O18" s="136">
        <f>'9-A.Training Sub-Annex'!P215</f>
        <v>0.3</v>
      </c>
      <c r="P18" s="78" t="str">
        <f>'9-A.Training Sub-Annex'!Q215</f>
        <v>Training would be organized at State  level for desired output.</v>
      </c>
      <c r="Q18" s="63"/>
      <c r="R18" s="979"/>
    </row>
    <row r="19" spans="1:18" ht="60">
      <c r="A19" s="4246"/>
      <c r="B19" s="387" t="str">
        <f>'9-A.Training Sub-Annex'!C216</f>
        <v>E.2.7</v>
      </c>
      <c r="C19" s="78" t="str">
        <f>'9-A.Training Sub-Annex'!D216</f>
        <v>ASHA &amp; MPWs, AWW &amp; Community volunteers (1 day)</v>
      </c>
      <c r="D19" s="133" t="str">
        <f>'9-A.Training Sub-Annex'!E216</f>
        <v>NDCP</v>
      </c>
      <c r="E19" s="133" t="str">
        <f>'9-A.Training Sub-Annex'!F216</f>
        <v>IDSP</v>
      </c>
      <c r="F19" s="133">
        <f>'9-A.Training Sub-Annex'!G216</f>
        <v>0</v>
      </c>
      <c r="G19" s="133">
        <f>'9-A.Training Sub-Annex'!H216</f>
        <v>0</v>
      </c>
      <c r="H19" s="133">
        <f>'9-A.Training Sub-Annex'!I216</f>
        <v>0</v>
      </c>
      <c r="I19" s="133">
        <f>'9-A.Training Sub-Annex'!J216</f>
        <v>0</v>
      </c>
      <c r="J19" s="133">
        <f>'9-A.Training Sub-Annex'!K216</f>
        <v>0</v>
      </c>
      <c r="K19" s="133" t="str">
        <f>'9-A.Training Sub-Annex'!L216</f>
        <v>Per Batch Per District</v>
      </c>
      <c r="L19" s="133">
        <f>'9-A.Training Sub-Annex'!M216</f>
        <v>250</v>
      </c>
      <c r="M19" s="136">
        <f>'9-A.Training Sub-Annex'!N216</f>
        <v>2.5000000000000001E-3</v>
      </c>
      <c r="N19" s="133">
        <f>'9-A.Training Sub-Annex'!O216</f>
        <v>4172</v>
      </c>
      <c r="O19" s="136">
        <f>'9-A.Training Sub-Annex'!P216</f>
        <v>10.43</v>
      </c>
      <c r="P19" s="78" t="str">
        <f>'9-A.Training Sub-Annex'!Q216</f>
        <v>Training would be organized at District level for wider coverage &amp; output.ASHA Facilitators would be trained this year</v>
      </c>
      <c r="Q19" s="63"/>
      <c r="R19" s="979"/>
    </row>
    <row r="20" spans="1:18" ht="90">
      <c r="A20" s="4246"/>
      <c r="B20" s="387" t="str">
        <f>'9-A.Training Sub-Annex'!C217</f>
        <v>E.2.8</v>
      </c>
      <c r="C20" s="78" t="str">
        <f>'9-A.Training Sub-Annex'!D217</f>
        <v>One day training for Data entry and analysis for Block Health Team (including Block Programme Manager)</v>
      </c>
      <c r="D20" s="133" t="str">
        <f>'9-A.Training Sub-Annex'!E217</f>
        <v>NDCP</v>
      </c>
      <c r="E20" s="133" t="str">
        <f>'9-A.Training Sub-Annex'!F217</f>
        <v>IDSP</v>
      </c>
      <c r="F20" s="133">
        <f>'9-A.Training Sub-Annex'!G217</f>
        <v>0</v>
      </c>
      <c r="G20" s="133">
        <f>'9-A.Training Sub-Annex'!H217</f>
        <v>0</v>
      </c>
      <c r="H20" s="133">
        <f>'9-A.Training Sub-Annex'!I217</f>
        <v>0</v>
      </c>
      <c r="I20" s="133">
        <f>'9-A.Training Sub-Annex'!J217</f>
        <v>0</v>
      </c>
      <c r="J20" s="133">
        <f>'9-A.Training Sub-Annex'!K217</f>
        <v>0</v>
      </c>
      <c r="K20" s="133" t="str">
        <f>'9-A.Training Sub-Annex'!L217</f>
        <v>Per Batch Per District</v>
      </c>
      <c r="L20" s="133">
        <f>'9-A.Training Sub-Annex'!M217</f>
        <v>450</v>
      </c>
      <c r="M20" s="136">
        <f>'9-A.Training Sub-Annex'!N217</f>
        <v>4.4999999999999997E-3</v>
      </c>
      <c r="N20" s="133">
        <f>'9-A.Training Sub-Annex'!O217</f>
        <v>534</v>
      </c>
      <c r="O20" s="136">
        <f>'9-A.Training Sub-Annex'!P217</f>
        <v>2.403</v>
      </c>
      <c r="P20" s="78" t="str">
        <f>'9-A.Training Sub-Annex'!Q217</f>
        <v>Training would be organized at District level for Block level staff. ANM and LTs can be given refresher training on IHIP.  At @ of rs 450 *534 fund can be proposed.</v>
      </c>
      <c r="Q20" s="63"/>
      <c r="R20" s="979"/>
    </row>
    <row r="21" spans="1:18" ht="75">
      <c r="A21" s="4246"/>
      <c r="B21" s="387" t="str">
        <f>'9-A.Training Sub-Annex'!C218</f>
        <v>E.2.10</v>
      </c>
      <c r="C21" s="78" t="str">
        <f>'9-A.Training Sub-Annex'!D218</f>
        <v>Any other (please specify)</v>
      </c>
      <c r="D21" s="133" t="str">
        <f>'9-A.Training Sub-Annex'!E218</f>
        <v>NDCP</v>
      </c>
      <c r="E21" s="133" t="str">
        <f>'9-A.Training Sub-Annex'!F218</f>
        <v>IDSP</v>
      </c>
      <c r="F21" s="133">
        <f>'9-A.Training Sub-Annex'!G218</f>
        <v>0</v>
      </c>
      <c r="G21" s="133">
        <f>'9-A.Training Sub-Annex'!H218</f>
        <v>0</v>
      </c>
      <c r="H21" s="133">
        <f>'9-A.Training Sub-Annex'!I218</f>
        <v>0</v>
      </c>
      <c r="I21" s="133">
        <f>'9-A.Training Sub-Annex'!J218</f>
        <v>0</v>
      </c>
      <c r="J21" s="133">
        <f>'9-A.Training Sub-Annex'!K218</f>
        <v>0</v>
      </c>
      <c r="K21" s="133" t="str">
        <f>'9-A.Training Sub-Annex'!L218</f>
        <v xml:space="preserve">For State Training </v>
      </c>
      <c r="L21" s="133">
        <f>'9-A.Training Sub-Annex'!M218</f>
        <v>10000</v>
      </c>
      <c r="M21" s="136">
        <f>'9-A.Training Sub-Annex'!N218</f>
        <v>0.1</v>
      </c>
      <c r="N21" s="133">
        <f>'9-A.Training Sub-Annex'!O218</f>
        <v>1</v>
      </c>
      <c r="O21" s="136">
        <f>'9-A.Training Sub-Annex'!P218</f>
        <v>0.1</v>
      </c>
      <c r="P21" s="78" t="str">
        <f>'9-A.Training Sub-Annex'!Q218</f>
        <v>Training on emerging &amp; reemerging diseases like Ebola, H1N1, CCHF etc.  would be organized at State  level for desired output.</v>
      </c>
      <c r="Q21" s="63"/>
      <c r="R21" s="979"/>
    </row>
    <row r="22" spans="1:18">
      <c r="A22" s="333">
        <f>'10.Review Research &amp; Surveillen'!A7</f>
        <v>10</v>
      </c>
      <c r="B22" s="333"/>
      <c r="C22" s="333" t="str">
        <f>'10.Review Research &amp; Surveillen'!C7</f>
        <v>Reviews, Research, Surveys and Surveillance</v>
      </c>
      <c r="D22" s="334"/>
      <c r="E22" s="334"/>
      <c r="F22" s="334"/>
      <c r="G22" s="334"/>
      <c r="H22" s="240"/>
      <c r="I22" s="334"/>
      <c r="J22" s="240"/>
      <c r="K22" s="333"/>
      <c r="L22" s="333"/>
      <c r="M22" s="240"/>
      <c r="N22" s="1012"/>
      <c r="O22" s="969">
        <f>SUM(O23:O26)</f>
        <v>21.5</v>
      </c>
      <c r="P22" s="964"/>
      <c r="Q22" s="977"/>
      <c r="R22" s="978">
        <f>SUM(R23:R26)</f>
        <v>0</v>
      </c>
    </row>
    <row r="23" spans="1:18" ht="60">
      <c r="A23" s="387" t="str">
        <f>'10.Review Research &amp; Surveillen'!A49</f>
        <v>10.4.2</v>
      </c>
      <c r="B23" s="387" t="str">
        <f>'10.Review Research &amp; Surveillen'!B49</f>
        <v>E.3.2</v>
      </c>
      <c r="C23" s="78" t="str">
        <f>'10.Review Research &amp; Surveillen'!C49</f>
        <v>Recurring costs on account of Consumables, kits, communication, misc. expenses etc. at each  district public health lab (applicable only for functional labs having requisite manpower)</v>
      </c>
      <c r="D23" s="133" t="str">
        <f>'10.Review Research &amp; Surveillen'!D49</f>
        <v>NDCP</v>
      </c>
      <c r="E23" s="133" t="str">
        <f>'10.Review Research &amp; Surveillen'!E49</f>
        <v>IDSP</v>
      </c>
      <c r="F23" s="133">
        <f>'10.Review Research &amp; Surveillen'!F49</f>
        <v>0</v>
      </c>
      <c r="G23" s="133">
        <f>'10.Review Research &amp; Surveillen'!G49</f>
        <v>0</v>
      </c>
      <c r="H23" s="133">
        <f>'10.Review Research &amp; Surveillen'!H49</f>
        <v>0</v>
      </c>
      <c r="I23" s="133">
        <f>'10.Review Research &amp; Surveillen'!I49</f>
        <v>0</v>
      </c>
      <c r="J23" s="133">
        <f>'10.Review Research &amp; Surveillen'!J49</f>
        <v>0</v>
      </c>
      <c r="K23" s="133" t="str">
        <f>'10.Review Research &amp; Surveillen'!K49</f>
        <v xml:space="preserve">Per DPHL </v>
      </c>
      <c r="L23" s="133">
        <f>'10.Review Research &amp; Surveillen'!L49</f>
        <v>400000</v>
      </c>
      <c r="M23" s="136">
        <f>'10.Review Research &amp; Surveillen'!M49</f>
        <v>4</v>
      </c>
      <c r="N23" s="133">
        <f>'10.Review Research &amp; Surveillen'!N49</f>
        <v>1</v>
      </c>
      <c r="O23" s="136">
        <f>'10.Review Research &amp; Surveillen'!O49</f>
        <v>4</v>
      </c>
      <c r="P23" s="78" t="str">
        <f>'10.Review Research &amp; Surveillen'!P49</f>
        <v>Rate Contract of lab equipments for 1 DPL PMCH ,Patna @4 Lakh for existing DPHL.</v>
      </c>
      <c r="Q23" s="63"/>
      <c r="R23" s="979"/>
    </row>
    <row r="24" spans="1:18" ht="60">
      <c r="A24" s="387" t="str">
        <f>'10.Review Research &amp; Surveillen'!A50</f>
        <v>10.4.3</v>
      </c>
      <c r="B24" s="387" t="str">
        <f>'10.Review Research &amp; Surveillen'!B50</f>
        <v>E.3.4</v>
      </c>
      <c r="C24" s="78" t="str">
        <f>'10.Review Research &amp; Surveillen'!C50</f>
        <v>Referral Network of laboratories (Govt. Medical College labs) Reimbursement based payment for laboratory tests (to be calculated for already approved labs in previous PIPs of States for corresponding next years)</v>
      </c>
      <c r="D24" s="133" t="str">
        <f>'10.Review Research &amp; Surveillen'!D50</f>
        <v>NDCP</v>
      </c>
      <c r="E24" s="133" t="str">
        <f>'10.Review Research &amp; Surveillen'!E50</f>
        <v>IDSP</v>
      </c>
      <c r="F24" s="133">
        <f>'10.Review Research &amp; Surveillen'!F50</f>
        <v>0</v>
      </c>
      <c r="G24" s="133">
        <f>'10.Review Research &amp; Surveillen'!G50</f>
        <v>0</v>
      </c>
      <c r="H24" s="133">
        <f>'10.Review Research &amp; Surveillen'!H50</f>
        <v>0</v>
      </c>
      <c r="I24" s="133">
        <f>'10.Review Research &amp; Surveillen'!I50</f>
        <v>0</v>
      </c>
      <c r="J24" s="133">
        <f>'10.Review Research &amp; Surveillen'!J50</f>
        <v>0</v>
      </c>
      <c r="K24" s="133" t="str">
        <f>'10.Review Research &amp; Surveillen'!K50</f>
        <v xml:space="preserve">Per Refferal Lab </v>
      </c>
      <c r="L24" s="133">
        <f>'10.Review Research &amp; Surveillen'!L50</f>
        <v>150000</v>
      </c>
      <c r="M24" s="136">
        <f>'10.Review Research &amp; Surveillen'!M50</f>
        <v>1.5</v>
      </c>
      <c r="N24" s="133">
        <f>'10.Review Research &amp; Surveillen'!N50</f>
        <v>5</v>
      </c>
      <c r="O24" s="136">
        <f>'10.Review Research &amp; Surveillen'!O50</f>
        <v>7.5</v>
      </c>
      <c r="P24" s="78" t="str">
        <f>'10.Review Research &amp; Surveillen'!P50</f>
        <v>For Refferal Labs ongoing activities. Fund proposed @ 2 Lakh  for 5 refferal lab.</v>
      </c>
      <c r="Q24" s="63"/>
      <c r="R24" s="979"/>
    </row>
    <row r="25" spans="1:18" ht="45">
      <c r="A25" s="387" t="str">
        <f>'10.Review Research &amp; Surveillen'!A51</f>
        <v>10.4.4</v>
      </c>
      <c r="B25" s="387" t="str">
        <f>'10.Review Research &amp; Surveillen'!B51</f>
        <v>E.3.5</v>
      </c>
      <c r="C25" s="78" t="str">
        <f>'10.Review Research &amp; Surveillen'!C51</f>
        <v xml:space="preserve">Expenses on account of consumables, operating expenses, office expenses, transport of samples, miscellaneous etc.    </v>
      </c>
      <c r="D25" s="133" t="str">
        <f>'10.Review Research &amp; Surveillen'!D51</f>
        <v>NDCP</v>
      </c>
      <c r="E25" s="133" t="str">
        <f>'10.Review Research &amp; Surveillen'!E51</f>
        <v>IDSP</v>
      </c>
      <c r="F25" s="133">
        <f>'10.Review Research &amp; Surveillen'!F51</f>
        <v>0</v>
      </c>
      <c r="G25" s="133">
        <f>'10.Review Research &amp; Surveillen'!G51</f>
        <v>0</v>
      </c>
      <c r="H25" s="133">
        <f>'10.Review Research &amp; Surveillen'!H51</f>
        <v>0</v>
      </c>
      <c r="I25" s="133">
        <f>'10.Review Research &amp; Surveillen'!I51</f>
        <v>0</v>
      </c>
      <c r="J25" s="133">
        <f>'10.Review Research &amp; Surveillen'!J51</f>
        <v>0</v>
      </c>
      <c r="K25" s="133" t="str">
        <f>'10.Review Research &amp; Surveillen'!K51</f>
        <v xml:space="preserve">Per Refferal Lab </v>
      </c>
      <c r="L25" s="133">
        <f>'10.Review Research &amp; Surveillen'!L51</f>
        <v>200000</v>
      </c>
      <c r="M25" s="136">
        <f>'10.Review Research &amp; Surveillen'!M51</f>
        <v>2</v>
      </c>
      <c r="N25" s="133">
        <f>'10.Review Research &amp; Surveillen'!N51</f>
        <v>5</v>
      </c>
      <c r="O25" s="136">
        <f>'10.Review Research &amp; Surveillen'!O51</f>
        <v>10</v>
      </c>
      <c r="P25" s="78" t="str">
        <f>'10.Review Research &amp; Surveillen'!P51</f>
        <v>Fund proposed @ 2 Lakh  for 5 Referral labs</v>
      </c>
      <c r="Q25" s="63"/>
      <c r="R25" s="979"/>
    </row>
    <row r="26" spans="1:18" ht="30">
      <c r="A26" s="387" t="str">
        <f>'10.Review Research &amp; Surveillen'!A52</f>
        <v>10.4.5</v>
      </c>
      <c r="B26" s="387" t="str">
        <f>'10.Review Research &amp; Surveillen'!B52</f>
        <v>E.5.1</v>
      </c>
      <c r="C26" s="78" t="str">
        <f>'10.Review Research &amp; Surveillen'!C52</f>
        <v>Costs on Account of newly formed districts</v>
      </c>
      <c r="D26" s="133" t="str">
        <f>'10.Review Research &amp; Surveillen'!D52</f>
        <v>NDCP</v>
      </c>
      <c r="E26" s="133" t="str">
        <f>'10.Review Research &amp; Surveillen'!E52</f>
        <v>IDSP</v>
      </c>
      <c r="F26" s="133">
        <f>'10.Review Research &amp; Surveillen'!F52</f>
        <v>0</v>
      </c>
      <c r="G26" s="133">
        <f>'10.Review Research &amp; Surveillen'!G52</f>
        <v>0</v>
      </c>
      <c r="H26" s="133">
        <f>'10.Review Research &amp; Surveillen'!H52</f>
        <v>0</v>
      </c>
      <c r="I26" s="133">
        <f>'10.Review Research &amp; Surveillen'!I52</f>
        <v>0</v>
      </c>
      <c r="J26" s="133">
        <f>'10.Review Research &amp; Surveillen'!J52</f>
        <v>0</v>
      </c>
      <c r="K26" s="133">
        <f>'10.Review Research &amp; Surveillen'!K52</f>
        <v>0</v>
      </c>
      <c r="L26" s="133">
        <f>'10.Review Research &amp; Surveillen'!L52</f>
        <v>0</v>
      </c>
      <c r="M26" s="136">
        <f>'10.Review Research &amp; Surveillen'!M52</f>
        <v>0</v>
      </c>
      <c r="N26" s="133">
        <f>'10.Review Research &amp; Surveillen'!N52</f>
        <v>0</v>
      </c>
      <c r="O26" s="136">
        <f>'10.Review Research &amp; Surveillen'!O52</f>
        <v>0</v>
      </c>
      <c r="P26" s="78">
        <f>'10.Review Research &amp; Surveillen'!P52</f>
        <v>0</v>
      </c>
      <c r="Q26" s="63"/>
      <c r="R26" s="979"/>
    </row>
    <row r="27" spans="1:18">
      <c r="A27" s="333">
        <f>'12.Printing Annex'!A7</f>
        <v>12</v>
      </c>
      <c r="B27" s="333"/>
      <c r="C27" s="333" t="str">
        <f>'12.Printing Annex'!C7</f>
        <v>Printing</v>
      </c>
      <c r="D27" s="334"/>
      <c r="E27" s="334"/>
      <c r="F27" s="334"/>
      <c r="G27" s="334"/>
      <c r="H27" s="240"/>
      <c r="I27" s="334"/>
      <c r="J27" s="240"/>
      <c r="K27" s="333"/>
      <c r="L27" s="333"/>
      <c r="M27" s="240"/>
      <c r="N27" s="1012"/>
      <c r="O27" s="969">
        <f>O28</f>
        <v>3.8000000000000003</v>
      </c>
      <c r="P27" s="964"/>
      <c r="Q27" s="977"/>
      <c r="R27" s="978">
        <f>R28</f>
        <v>0</v>
      </c>
    </row>
    <row r="28" spans="1:18" ht="14.45" customHeight="1">
      <c r="A28" s="387" t="str">
        <f>'12.Printing Annex'!A30</f>
        <v>12.3.5</v>
      </c>
      <c r="B28" s="387">
        <f>'12-A. Print Sub-Annex'!C88</f>
        <v>0</v>
      </c>
      <c r="C28" s="387" t="str">
        <f>'12-A. Print Sub-Annex'!D88</f>
        <v>Printing activities under IDSP</v>
      </c>
      <c r="D28" s="473" t="str">
        <f>'12-A. Print Sub-Annex'!E88</f>
        <v>NDCP</v>
      </c>
      <c r="E28" s="473" t="str">
        <f>'12-A. Print Sub-Annex'!F88</f>
        <v>IDSP</v>
      </c>
      <c r="F28" s="473">
        <f>'12-A. Print Sub-Annex'!G88</f>
        <v>0</v>
      </c>
      <c r="G28" s="473">
        <f>'12-A. Print Sub-Annex'!H88</f>
        <v>0</v>
      </c>
      <c r="H28" s="473">
        <f>'12-A. Print Sub-Annex'!I88</f>
        <v>0</v>
      </c>
      <c r="I28" s="473">
        <f>'12-A. Print Sub-Annex'!J88</f>
        <v>0</v>
      </c>
      <c r="J28" s="473">
        <f>'12-A. Print Sub-Annex'!K88</f>
        <v>0</v>
      </c>
      <c r="K28" s="473" t="str">
        <f>'12-A. Print Sub-Annex'!L88</f>
        <v>Per Unit</v>
      </c>
      <c r="L28" s="473">
        <f>'12-A. Print Sub-Annex'!M88</f>
        <v>38</v>
      </c>
      <c r="M28" s="945">
        <f>'12-A. Print Sub-Annex'!N88</f>
        <v>3.8000000000000002E-4</v>
      </c>
      <c r="N28" s="473">
        <f>'12-A. Print Sub-Annex'!O88</f>
        <v>10000</v>
      </c>
      <c r="O28" s="945">
        <f>'12-A. Print Sub-Annex'!P88</f>
        <v>3.8000000000000003</v>
      </c>
      <c r="P28" s="387" t="str">
        <f>'12-A. Print Sub-Annex'!Q88</f>
        <v>Printing of Various items under IDSP.</v>
      </c>
      <c r="Q28" s="63"/>
      <c r="R28" s="979"/>
    </row>
    <row r="29" spans="1:18" s="1021" customFormat="1">
      <c r="A29" s="988">
        <f>'16.PM Annex'!A7</f>
        <v>16</v>
      </c>
      <c r="B29" s="988"/>
      <c r="C29" s="988" t="str">
        <f>'16.PM Annex'!C7</f>
        <v>Programme Management</v>
      </c>
      <c r="D29" s="417"/>
      <c r="E29" s="417"/>
      <c r="F29" s="1018"/>
      <c r="G29" s="1018"/>
      <c r="H29" s="987"/>
      <c r="I29" s="1018"/>
      <c r="J29" s="987"/>
      <c r="K29" s="988"/>
      <c r="L29" s="988"/>
      <c r="M29" s="987"/>
      <c r="N29" s="1019"/>
      <c r="O29" s="1020">
        <f>SUM(O30:O35)</f>
        <v>71.029999999999987</v>
      </c>
      <c r="P29" s="988"/>
      <c r="Q29" s="993"/>
      <c r="R29" s="1023">
        <f>SUM(R30:R35)</f>
        <v>0</v>
      </c>
    </row>
    <row r="30" spans="1:18" ht="135">
      <c r="A30" s="387" t="str">
        <f>'16-A. PM sub Annex'!B36</f>
        <v>16.1.2.1.16</v>
      </c>
      <c r="B30" s="78" t="str">
        <f>'16-A. PM sub Annex'!D36</f>
        <v>E.4.2</v>
      </c>
      <c r="C30" s="78" t="str">
        <f>'16-A. PM sub Annex'!E36</f>
        <v xml:space="preserve">IDSP Meetings </v>
      </c>
      <c r="D30" s="133" t="str">
        <f>'16-A. PM sub Annex'!F36</f>
        <v>NDCP</v>
      </c>
      <c r="E30" s="133" t="str">
        <f>'16-A. PM sub Annex'!G36</f>
        <v>HRH&amp;HPIP/IDSP</v>
      </c>
      <c r="F30" s="133">
        <f>'16-A. PM sub Annex'!H36</f>
        <v>0</v>
      </c>
      <c r="G30" s="133">
        <f>'16-A. PM sub Annex'!I36</f>
        <v>0</v>
      </c>
      <c r="H30" s="133">
        <f>'16-A. PM sub Annex'!J36</f>
        <v>0</v>
      </c>
      <c r="I30" s="133">
        <f>'16-A. PM sub Annex'!K36</f>
        <v>0</v>
      </c>
      <c r="J30" s="133">
        <f>'16-A. PM sub Annex'!L36</f>
        <v>0</v>
      </c>
      <c r="K30" s="133" t="str">
        <f>'16-A. PM sub Annex'!M36</f>
        <v xml:space="preserve">Per Meeting </v>
      </c>
      <c r="L30" s="133">
        <f>'16-A. PM sub Annex'!N36</f>
        <v>15000</v>
      </c>
      <c r="M30" s="136">
        <f>'16-A. PM sub Annex'!O36</f>
        <v>0.15</v>
      </c>
      <c r="N30" s="133">
        <f>'16-A. PM sub Annex'!P36</f>
        <v>40</v>
      </c>
      <c r="O30" s="136">
        <f>'16-A. PM sub Annex'!Q36</f>
        <v>6</v>
      </c>
      <c r="P30" s="78" t="str">
        <f>'16-A. PM sub Annex'!R36</f>
        <v xml:space="preserve">30000 for SSU and 15000 for each 38 DSUs. At State level 30000 is required as we need to organise atleast yearly review meeting with District Epidemiologists. There is no other FMR code where we can spend money on training them.
</v>
      </c>
      <c r="Q30" s="63"/>
      <c r="R30" s="979"/>
    </row>
    <row r="31" spans="1:18" ht="45">
      <c r="A31" s="387" t="str">
        <f>'16-A. PM sub Annex'!B75</f>
        <v>16.1.3.1.7</v>
      </c>
      <c r="B31" s="78" t="str">
        <f>'16-A. PM sub Annex'!D75</f>
        <v>E.4.1</v>
      </c>
      <c r="C31" s="78" t="str">
        <f>'16-A. PM sub Annex'!E75</f>
        <v xml:space="preserve">MOBILITY: Travel Cost, POL, etc. during outbreak investigations and field visits for monitoring programme activities at SSU on need basis </v>
      </c>
      <c r="D31" s="133" t="str">
        <f>'16-A. PM sub Annex'!F75</f>
        <v>NDCP</v>
      </c>
      <c r="E31" s="133" t="str">
        <f>'16-A. PM sub Annex'!G75</f>
        <v>HRH&amp;HPIP/IDSP</v>
      </c>
      <c r="F31" s="133">
        <f>'16-A. PM sub Annex'!H75</f>
        <v>0</v>
      </c>
      <c r="G31" s="133">
        <f>'16-A. PM sub Annex'!I75</f>
        <v>0</v>
      </c>
      <c r="H31" s="133">
        <f>'16-A. PM sub Annex'!J75</f>
        <v>0</v>
      </c>
      <c r="I31" s="133">
        <f>'16-A. PM sub Annex'!K75</f>
        <v>0</v>
      </c>
      <c r="J31" s="133">
        <f>'16-A. PM sub Annex'!L75</f>
        <v>0</v>
      </c>
      <c r="K31" s="133" t="str">
        <f>'16-A. PM sub Annex'!M75</f>
        <v>Mobility at State</v>
      </c>
      <c r="L31" s="133">
        <f>'16-A. PM sub Annex'!N75</f>
        <v>57000</v>
      </c>
      <c r="M31" s="136">
        <f>'16-A. PM sub Annex'!O75</f>
        <v>0.56999999999999995</v>
      </c>
      <c r="N31" s="133">
        <f>'16-A. PM sub Annex'!P75</f>
        <v>1</v>
      </c>
      <c r="O31" s="136">
        <f>'16-A. PM sub Annex'!Q75</f>
        <v>0.56999999999999995</v>
      </c>
      <c r="P31" s="78" t="str">
        <f>'16-A. PM sub Annex'!R75</f>
        <v>Fund proposed for hiring vehicle at SHSB rate for monitoring of IDSP Programme</v>
      </c>
      <c r="Q31" s="63"/>
      <c r="R31" s="979"/>
    </row>
    <row r="32" spans="1:18" ht="45">
      <c r="A32" s="387" t="str">
        <f>'16-A. PM sub Annex'!B101</f>
        <v>16.1.3.3.8</v>
      </c>
      <c r="B32" s="78" t="str">
        <f>'16-A. PM sub Annex'!D101</f>
        <v>E.4.1</v>
      </c>
      <c r="C32" s="78" t="str">
        <f>'16-A. PM sub Annex'!E101</f>
        <v xml:space="preserve">MOBILITY: Travel Cost, POL, etc. during outbreak investigations and field visits for monitoring programme activities at DSU on need basis </v>
      </c>
      <c r="D32" s="133" t="str">
        <f>'16-A. PM sub Annex'!F101</f>
        <v>NDCP</v>
      </c>
      <c r="E32" s="133" t="str">
        <f>'16-A. PM sub Annex'!G101</f>
        <v>HRH&amp;HPIP/IDSP</v>
      </c>
      <c r="F32" s="133">
        <f>'16-A. PM sub Annex'!H101</f>
        <v>0</v>
      </c>
      <c r="G32" s="133">
        <f>'16-A. PM sub Annex'!I101</f>
        <v>0</v>
      </c>
      <c r="H32" s="133">
        <f>'16-A. PM sub Annex'!J101</f>
        <v>0</v>
      </c>
      <c r="I32" s="133">
        <f>'16-A. PM sub Annex'!K101</f>
        <v>0</v>
      </c>
      <c r="J32" s="133">
        <f>'16-A. PM sub Annex'!L101</f>
        <v>0</v>
      </c>
      <c r="K32" s="133" t="str">
        <f>'16-A. PM sub Annex'!M101</f>
        <v>Mobility at district</v>
      </c>
      <c r="L32" s="133">
        <f>'16-A. PM sub Annex'!N101</f>
        <v>57000</v>
      </c>
      <c r="M32" s="136">
        <f>'16-A. PM sub Annex'!O101</f>
        <v>0.56999999999999995</v>
      </c>
      <c r="N32" s="133">
        <f>'16-A. PM sub Annex'!P101</f>
        <v>38</v>
      </c>
      <c r="O32" s="136">
        <f>'16-A. PM sub Annex'!Q101</f>
        <v>21.659999999999997</v>
      </c>
      <c r="P32" s="78" t="str">
        <f>'16-A. PM sub Annex'!R101</f>
        <v>Fund proposed for 12 months for 38 districts for IDSP monitoring &amp; outbreaks</v>
      </c>
      <c r="Q32" s="63"/>
      <c r="R32" s="979"/>
    </row>
    <row r="33" spans="1:18" ht="30">
      <c r="A33" s="387" t="str">
        <f>'16-A. PM sub Annex'!B121</f>
        <v>16.1.4.1.2</v>
      </c>
      <c r="B33" s="78" t="str">
        <f>'16-A. PM sub Annex'!D121</f>
        <v>B.10.6.8</v>
      </c>
      <c r="C33" s="78" t="str">
        <f>'16-A. PM sub Annex'!E121</f>
        <v>Information, Communication and Technology under IDSP</v>
      </c>
      <c r="D33" s="133" t="str">
        <f>'16-A. PM sub Annex'!F121</f>
        <v>NDCP</v>
      </c>
      <c r="E33" s="133" t="str">
        <f>'16-A. PM sub Annex'!G121</f>
        <v>HRH&amp;HPIP/IDSP</v>
      </c>
      <c r="F33" s="133">
        <f>'16-A. PM sub Annex'!H121</f>
        <v>0</v>
      </c>
      <c r="G33" s="133">
        <f>'16-A. PM sub Annex'!I121</f>
        <v>0</v>
      </c>
      <c r="H33" s="133">
        <f>'16-A. PM sub Annex'!J121</f>
        <v>0</v>
      </c>
      <c r="I33" s="133">
        <f>'16-A. PM sub Annex'!K121</f>
        <v>0</v>
      </c>
      <c r="J33" s="133">
        <f>'16-A. PM sub Annex'!L121</f>
        <v>0</v>
      </c>
      <c r="K33" s="133">
        <f>'16-A. PM sub Annex'!M121</f>
        <v>0</v>
      </c>
      <c r="L33" s="133">
        <f>'16-A. PM sub Annex'!N121</f>
        <v>0</v>
      </c>
      <c r="M33" s="136">
        <f>'16-A. PM sub Annex'!O121</f>
        <v>0</v>
      </c>
      <c r="N33" s="133">
        <f>'16-A. PM sub Annex'!P121</f>
        <v>0</v>
      </c>
      <c r="O33" s="136">
        <f>'16-A. PM sub Annex'!Q121</f>
        <v>0</v>
      </c>
      <c r="P33" s="78">
        <f>'16-A. PM sub Annex'!R121</f>
        <v>0</v>
      </c>
      <c r="Q33" s="63"/>
      <c r="R33" s="979"/>
    </row>
    <row r="34" spans="1:18" ht="30">
      <c r="A34" s="387" t="str">
        <f>'16-A. PM sub Annex'!B124</f>
        <v>16.1.4.1.5</v>
      </c>
      <c r="B34" s="78" t="str">
        <f>'16-A. PM sub Annex'!D124</f>
        <v>E.4.2</v>
      </c>
      <c r="C34" s="78" t="str">
        <f>'16-A. PM sub Annex'!E124</f>
        <v>Office expenses on telephone, fax, Broadband Expenses &amp; Other Miscellaneous Expenditures</v>
      </c>
      <c r="D34" s="133" t="str">
        <f>'16-A. PM sub Annex'!F124</f>
        <v>NDCP</v>
      </c>
      <c r="E34" s="133" t="str">
        <f>'16-A. PM sub Annex'!G124</f>
        <v>HRH&amp;HPIP/IDSP</v>
      </c>
      <c r="F34" s="133">
        <f>'16-A. PM sub Annex'!H124</f>
        <v>0</v>
      </c>
      <c r="G34" s="133">
        <f>'16-A. PM sub Annex'!I124</f>
        <v>0</v>
      </c>
      <c r="H34" s="133">
        <f>'16-A. PM sub Annex'!J124</f>
        <v>0</v>
      </c>
      <c r="I34" s="133">
        <f>'16-A. PM sub Annex'!K124</f>
        <v>0</v>
      </c>
      <c r="J34" s="133">
        <f>'16-A. PM sub Annex'!L124</f>
        <v>0</v>
      </c>
      <c r="K34" s="133" t="str">
        <f>'16-A. PM sub Annex'!M124</f>
        <v>Miscellaneous</v>
      </c>
      <c r="L34" s="133">
        <f>'16-A. PM sub Annex'!N124</f>
        <v>100000</v>
      </c>
      <c r="M34" s="136">
        <f>'16-A. PM sub Annex'!O124</f>
        <v>1</v>
      </c>
      <c r="N34" s="133">
        <f>'16-A. PM sub Annex'!P124</f>
        <v>39</v>
      </c>
      <c r="O34" s="136">
        <f>'16-A. PM sub Annex'!Q124</f>
        <v>39</v>
      </c>
      <c r="P34" s="78" t="str">
        <f>'16-A. PM sub Annex'!R124</f>
        <v>Fund proposed for 38 districts and 1 SSU</v>
      </c>
      <c r="Q34" s="63"/>
      <c r="R34" s="979"/>
    </row>
    <row r="35" spans="1:18" ht="30">
      <c r="A35" s="387" t="str">
        <f>'16-A. PM sub Annex'!B153</f>
        <v>16.1.5.2.1</v>
      </c>
      <c r="B35" s="78" t="str">
        <f>'16-A. PM sub Annex'!D153</f>
        <v>E.4.2</v>
      </c>
      <c r="C35" s="78" t="str">
        <f>'16-A. PM sub Annex'!E153</f>
        <v>Minor repairs and AMC of IT/office equipment supplied under IDSP</v>
      </c>
      <c r="D35" s="133" t="str">
        <f>'16-A. PM sub Annex'!F153</f>
        <v>NDCP</v>
      </c>
      <c r="E35" s="133" t="str">
        <f>'16-A. PM sub Annex'!G153</f>
        <v>HRH&amp;HPIP/IDSP</v>
      </c>
      <c r="F35" s="133">
        <f>'16-A. PM sub Annex'!H153</f>
        <v>0</v>
      </c>
      <c r="G35" s="133">
        <f>'16-A. PM sub Annex'!I153</f>
        <v>0</v>
      </c>
      <c r="H35" s="133">
        <f>'16-A. PM sub Annex'!J153</f>
        <v>0</v>
      </c>
      <c r="I35" s="133">
        <f>'16-A. PM sub Annex'!K153</f>
        <v>0</v>
      </c>
      <c r="J35" s="133">
        <f>'16-A. PM sub Annex'!L153</f>
        <v>0</v>
      </c>
      <c r="K35" s="133" t="str">
        <f>'16-A. PM sub Annex'!M153</f>
        <v>Miscellaneous</v>
      </c>
      <c r="L35" s="133">
        <f>'16-A. PM sub Annex'!N153</f>
        <v>10000</v>
      </c>
      <c r="M35" s="136">
        <f>'16-A. PM sub Annex'!O153</f>
        <v>0.1</v>
      </c>
      <c r="N35" s="133">
        <f>'16-A. PM sub Annex'!P153</f>
        <v>38</v>
      </c>
      <c r="O35" s="136">
        <f>'16-A. PM sub Annex'!Q153</f>
        <v>3.8000000000000003</v>
      </c>
      <c r="P35" s="78" t="str">
        <f>'16-A. PM sub Annex'!R153</f>
        <v>Fund proposed for 38 districts</v>
      </c>
      <c r="Q35" s="63"/>
      <c r="R35" s="979"/>
    </row>
    <row r="36" spans="1:18">
      <c r="Q36" s="1024"/>
      <c r="R36" s="1025"/>
    </row>
    <row r="37" spans="1:18">
      <c r="A37" s="4635" t="s">
        <v>5704</v>
      </c>
      <c r="B37" s="4635"/>
      <c r="C37" s="4635"/>
      <c r="D37" s="334"/>
      <c r="E37" s="334"/>
      <c r="F37" s="334"/>
      <c r="G37" s="334"/>
      <c r="H37" s="240"/>
      <c r="I37" s="334"/>
      <c r="J37" s="240"/>
      <c r="K37" s="333"/>
      <c r="L37" s="333"/>
      <c r="M37" s="240"/>
      <c r="N37" s="1012"/>
      <c r="O37" s="969"/>
      <c r="P37" s="964"/>
      <c r="Q37" s="977"/>
      <c r="R37" s="978"/>
    </row>
    <row r="38" spans="1:18">
      <c r="A38" s="387" t="str">
        <f>'NUHM-Non Metro Abst'!A11</f>
        <v>U.1.1.1.1</v>
      </c>
      <c r="B38" s="387">
        <f>'NUHM-Non Metro Abst'!B11</f>
        <v>0</v>
      </c>
      <c r="C38" s="387" t="str">
        <f>'NUHM-Non Metro Abst'!C11</f>
        <v>Support for implementation of IDSP</v>
      </c>
      <c r="D38" s="133"/>
      <c r="E38" s="387" t="str">
        <f>'NUHM-Non Metro Abst'!D11</f>
        <v>IDSP</v>
      </c>
      <c r="F38" s="387">
        <f>'NUHM-Non Metro Abst'!E11</f>
        <v>0</v>
      </c>
      <c r="G38" s="387">
        <f>'NUHM-Non Metro Abst'!F11</f>
        <v>0</v>
      </c>
      <c r="H38" s="387">
        <f>'NUHM-Non Metro Abst'!G11</f>
        <v>0</v>
      </c>
      <c r="I38" s="387">
        <f>'NUHM-Non Metro Abst'!H11</f>
        <v>0</v>
      </c>
      <c r="J38" s="387">
        <f>'NUHM-Non Metro Abst'!I11</f>
        <v>0</v>
      </c>
      <c r="K38" s="387">
        <f>'NUHM-Non Metro Abst'!J11</f>
        <v>0</v>
      </c>
      <c r="L38" s="387">
        <f>'NUHM-Non Metro Abst'!K11</f>
        <v>0</v>
      </c>
      <c r="M38" s="387">
        <f>'NUHM-Non Metro Abst'!L11</f>
        <v>0</v>
      </c>
      <c r="N38" s="387">
        <f>'NUHM-Non Metro Abst'!M11</f>
        <v>0</v>
      </c>
      <c r="O38" s="387">
        <f>'NUHM-Non Metro Abst'!N11</f>
        <v>0</v>
      </c>
      <c r="P38" s="387">
        <f>'NUHM-Non Metro Abst'!O11</f>
        <v>0</v>
      </c>
      <c r="Q38" s="63"/>
      <c r="R38" s="979"/>
    </row>
    <row r="39" spans="1:18">
      <c r="A39" s="4635" t="s">
        <v>5703</v>
      </c>
      <c r="B39" s="4635"/>
      <c r="C39" s="4635"/>
      <c r="D39" s="334"/>
      <c r="E39" s="334"/>
      <c r="F39" s="334"/>
      <c r="G39" s="334"/>
      <c r="H39" s="240"/>
      <c r="I39" s="334"/>
      <c r="J39" s="240"/>
      <c r="K39" s="333"/>
      <c r="L39" s="333"/>
      <c r="M39" s="240"/>
      <c r="N39" s="1012"/>
      <c r="O39" s="969"/>
      <c r="P39" s="964"/>
      <c r="Q39" s="977"/>
      <c r="R39" s="978"/>
    </row>
    <row r="40" spans="1:18">
      <c r="A40" s="387" t="str">
        <f>'NUHM Metro Abst'!A11</f>
        <v>U.1.1.1.1</v>
      </c>
      <c r="B40" s="387">
        <f>'NUHM Metro Abst'!B11</f>
        <v>0</v>
      </c>
      <c r="C40" s="387" t="str">
        <f>'NUHM Metro Abst'!C11</f>
        <v>Support for implementation of IDSP</v>
      </c>
      <c r="D40" s="133"/>
      <c r="E40" s="387" t="str">
        <f>'NUHM Metro Abst'!D11</f>
        <v>IDSP</v>
      </c>
      <c r="F40" s="387">
        <f>'NUHM Metro Abst'!E11</f>
        <v>0</v>
      </c>
      <c r="G40" s="387">
        <f>'NUHM Metro Abst'!F11</f>
        <v>0</v>
      </c>
      <c r="H40" s="387">
        <f>'NUHM Metro Abst'!G11</f>
        <v>0</v>
      </c>
      <c r="I40" s="387">
        <f>'NUHM Metro Abst'!H11</f>
        <v>0</v>
      </c>
      <c r="J40" s="387">
        <f>'NUHM Metro Abst'!I11</f>
        <v>0</v>
      </c>
      <c r="K40" s="387">
        <f>'NUHM Metro Abst'!J11</f>
        <v>0</v>
      </c>
      <c r="L40" s="387">
        <f>'NUHM Metro Abst'!K11</f>
        <v>0</v>
      </c>
      <c r="M40" s="387">
        <f>'NUHM Metro Abst'!L11</f>
        <v>0</v>
      </c>
      <c r="N40" s="387">
        <f>'NUHM Metro Abst'!M11</f>
        <v>0</v>
      </c>
      <c r="O40" s="387">
        <f>'NUHM Metro Abst'!N11</f>
        <v>0</v>
      </c>
      <c r="P40" s="387">
        <f>'NUHM Metro Abst'!O11</f>
        <v>0</v>
      </c>
      <c r="Q40" s="63"/>
      <c r="R40" s="63"/>
    </row>
  </sheetData>
  <sheetProtection sheet="1" formatCells="0" formatColumns="0" formatRows="0" autoFilter="0"/>
  <autoFilter ref="A5:M35"/>
  <mergeCells count="13">
    <mergeCell ref="A1:C1"/>
    <mergeCell ref="A4:A5"/>
    <mergeCell ref="B4:B5"/>
    <mergeCell ref="C4:C5"/>
    <mergeCell ref="D4:D5"/>
    <mergeCell ref="A37:C37"/>
    <mergeCell ref="A39:C39"/>
    <mergeCell ref="A9:A10"/>
    <mergeCell ref="A13:A21"/>
    <mergeCell ref="Q4:R4"/>
    <mergeCell ref="E4:E5"/>
    <mergeCell ref="F4:J4"/>
    <mergeCell ref="K4:P4"/>
  </mergeCell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32">
    <tabColor theme="5" tint="0.79998168889431442"/>
  </sheetPr>
  <dimension ref="A1:R140"/>
  <sheetViews>
    <sheetView zoomScale="80" zoomScaleNormal="80" workbookViewId="0">
      <pane xSplit="3" ySplit="5" topLeftCell="K90" activePane="bottomRight" state="frozen"/>
      <selection activeCell="Q172" sqref="A1:BE179"/>
      <selection pane="topRight" activeCell="Q172" sqref="A1:BE179"/>
      <selection pane="bottomLeft" activeCell="Q172" sqref="A1:BE179"/>
      <selection pane="bottomRight" activeCell="P92" sqref="P92"/>
    </sheetView>
  </sheetViews>
  <sheetFormatPr defaultColWidth="10.85546875" defaultRowHeight="15"/>
  <cols>
    <col min="1" max="1" width="10.5703125" style="453" bestFit="1" customWidth="1"/>
    <col min="2" max="2" width="17.5703125" style="453" customWidth="1"/>
    <col min="3" max="3" width="60.5703125" style="453" bestFit="1" customWidth="1"/>
    <col min="4" max="4" width="5.42578125" style="407" bestFit="1" customWidth="1"/>
    <col min="5" max="5" width="29.42578125" style="407" bestFit="1" customWidth="1"/>
    <col min="6" max="6" width="21.85546875" style="407" customWidth="1"/>
    <col min="7" max="7" width="19.42578125" style="407" customWidth="1"/>
    <col min="8" max="8" width="16.85546875" style="479" hidden="1" customWidth="1"/>
    <col min="9" max="9" width="0" style="407" hidden="1" customWidth="1"/>
    <col min="10" max="10" width="0" style="479" hidden="1" customWidth="1"/>
    <col min="11" max="11" width="21.7109375" style="407" customWidth="1"/>
    <col min="12" max="12" width="11.42578125" style="407" customWidth="1"/>
    <col min="13" max="13" width="13.85546875" style="479" customWidth="1"/>
    <col min="14" max="14" width="10.85546875" style="407"/>
    <col min="15" max="15" width="16.5703125" style="479" customWidth="1"/>
    <col min="16" max="16" width="73.140625" style="453" customWidth="1"/>
    <col min="17" max="17" width="36.5703125" style="453" hidden="1" customWidth="1"/>
    <col min="18" max="18" width="15.5703125" style="614" hidden="1" customWidth="1"/>
    <col min="19" max="16384" width="10.85546875" style="398"/>
  </cols>
  <sheetData>
    <row r="1" spans="1:18">
      <c r="A1" s="4636" t="s">
        <v>2101</v>
      </c>
      <c r="B1" s="4636"/>
      <c r="C1" s="4636"/>
      <c r="D1" s="909"/>
      <c r="E1" s="1026"/>
      <c r="F1" s="74" t="s">
        <v>3962</v>
      </c>
      <c r="G1" s="909"/>
      <c r="H1" s="909"/>
      <c r="I1" s="909"/>
      <c r="J1" s="909"/>
      <c r="K1" s="909"/>
      <c r="L1" s="909"/>
      <c r="M1" s="913"/>
    </row>
    <row r="2" spans="1:18">
      <c r="A2" s="868" t="str">
        <f>HYPERLINK("#Index!F3", "Index Pg")</f>
        <v>Index Pg</v>
      </c>
      <c r="B2" s="873"/>
      <c r="C2" s="403" t="str">
        <f>HYPERLINK("#'Budget Summary I'!A1:AL1", "Budget Summary I")</f>
        <v>Budget Summary I</v>
      </c>
      <c r="D2" s="917"/>
      <c r="E2" s="816" t="s">
        <v>4599</v>
      </c>
      <c r="F2" s="135">
        <f>R6+R11+R14+R32+R36+R61+R70+R89+R98+R103+R105+R108</f>
        <v>0</v>
      </c>
      <c r="G2" s="913"/>
      <c r="H2" s="913"/>
      <c r="I2" s="913"/>
      <c r="J2" s="913"/>
      <c r="K2" s="958"/>
      <c r="L2" s="958"/>
      <c r="M2" s="913"/>
    </row>
    <row r="3" spans="1:18" s="400" customFormat="1">
      <c r="A3" s="872"/>
      <c r="B3" s="873"/>
      <c r="C3" s="924" t="str">
        <f>HYPERLINK("#'Budget Summary II'!A3:B5", "Budget Summary II")</f>
        <v>Budget Summary II</v>
      </c>
      <c r="D3" s="917"/>
      <c r="E3" s="997" t="s">
        <v>4600</v>
      </c>
      <c r="F3" s="335">
        <f>O6+O11+O14+O32+O36+O61+O70+O89+O98+O103+O105+O108</f>
        <v>9426.1630540000024</v>
      </c>
      <c r="G3" s="408"/>
      <c r="H3" s="408"/>
      <c r="I3" s="408"/>
      <c r="J3" s="408"/>
      <c r="K3" s="408"/>
      <c r="L3" s="958"/>
      <c r="M3" s="913"/>
      <c r="N3" s="408"/>
      <c r="O3" s="1027"/>
      <c r="P3" s="1028"/>
      <c r="Q3" s="1028"/>
      <c r="R3" s="615"/>
    </row>
    <row r="4" spans="1:18" s="407"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621" customFormat="1"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985">
        <f>'1.SD Facility Based Annex'!A7</f>
        <v>1</v>
      </c>
      <c r="B6" s="985"/>
      <c r="C6" s="985" t="str">
        <f>'1.SD Facility Based Annex'!C7</f>
        <v>Service Delivery - Facility Based</v>
      </c>
      <c r="D6" s="984"/>
      <c r="E6" s="984"/>
      <c r="F6" s="1029"/>
      <c r="G6" s="1029"/>
      <c r="H6" s="891"/>
      <c r="I6" s="1029"/>
      <c r="J6" s="485"/>
      <c r="K6" s="1029"/>
      <c r="L6" s="1029"/>
      <c r="M6" s="485"/>
      <c r="N6" s="890"/>
      <c r="O6" s="891">
        <f>SUM(O7:O10)</f>
        <v>268.83404000000002</v>
      </c>
      <c r="P6" s="892"/>
      <c r="Q6" s="892"/>
      <c r="R6" s="891">
        <f>SUM(R7:R10)</f>
        <v>0</v>
      </c>
    </row>
    <row r="7" spans="1:18" ht="45">
      <c r="A7" s="78" t="str">
        <f>'1.SD Facility Based Annex'!A33</f>
        <v>1.1.5.1</v>
      </c>
      <c r="B7" s="78" t="str">
        <f>'1.SD Facility Based Annex'!B33</f>
        <v>F.1.2.e</v>
      </c>
      <c r="C7" s="78" t="str">
        <f>'1.SD Facility Based Annex'!C33</f>
        <v>Dengue &amp; Chikungunya: Case management</v>
      </c>
      <c r="D7" s="78" t="str">
        <f>'1.SD Facility Based Annex'!D33</f>
        <v>NDCP</v>
      </c>
      <c r="E7" s="990" t="str">
        <f>'1.SD Facility Based Annex'!E33</f>
        <v>NVBDCP-Dengue &amp; Chikungunya</v>
      </c>
      <c r="F7" s="990">
        <f>'1.SD Facility Based Annex'!F33</f>
        <v>0</v>
      </c>
      <c r="G7" s="990">
        <f>'1.SD Facility Based Annex'!G33</f>
        <v>0</v>
      </c>
      <c r="H7" s="990">
        <f>'1.SD Facility Based Annex'!H33</f>
        <v>0</v>
      </c>
      <c r="I7" s="990">
        <f>'1.SD Facility Based Annex'!I33</f>
        <v>0</v>
      </c>
      <c r="J7" s="990">
        <f>'1.SD Facility Based Annex'!J33</f>
        <v>0</v>
      </c>
      <c r="K7" s="990" t="str">
        <f>'1.SD Facility Based Annex'!K33</f>
        <v>Dist</v>
      </c>
      <c r="L7" s="990">
        <f>'1.SD Facility Based Annex'!L33</f>
        <v>20658</v>
      </c>
      <c r="M7" s="136">
        <f>'1.SD Facility Based Annex'!M33</f>
        <v>0.20658000000000001</v>
      </c>
      <c r="N7" s="990">
        <f>'1.SD Facility Based Annex'!N33</f>
        <v>38</v>
      </c>
      <c r="O7" s="136">
        <f>'1.SD Facility Based Annex'!O33</f>
        <v>7.8500400000000008</v>
      </c>
      <c r="P7" s="3087" t="str">
        <f>'1.SD Facility Based Annex'!P33</f>
        <v>Fund proposed as per district demand for strengthening of district Hospitals for Dengue and Chikunguniya case management includes mosquito proofing of wards/bed,side lab facility</v>
      </c>
      <c r="Q7" s="62"/>
      <c r="R7" s="318"/>
    </row>
    <row r="8" spans="1:18" ht="30">
      <c r="A8" s="78" t="str">
        <f>'1.SD Facility Based Annex'!A34</f>
        <v>1.1.5.2</v>
      </c>
      <c r="B8" s="78" t="str">
        <f>'1.SD Facility Based Annex'!B34</f>
        <v>F.1.3.i</v>
      </c>
      <c r="C8" s="78" t="str">
        <f>'1.SD Facility Based Annex'!C34</f>
        <v>Acute Encephalitis Syndrome (AES)/ Japanese Encephalitis (JE): Rehabilitation Setup for selected endemic districts</v>
      </c>
      <c r="D8" s="78" t="str">
        <f>'1.SD Facility Based Annex'!D34</f>
        <v>NDCP</v>
      </c>
      <c r="E8" s="990" t="str">
        <f>'1.SD Facility Based Annex'!E34</f>
        <v>NVBDCP-AES/JE</v>
      </c>
      <c r="F8" s="990">
        <f>'1.SD Facility Based Annex'!F34</f>
        <v>0</v>
      </c>
      <c r="G8" s="990">
        <f>'1.SD Facility Based Annex'!G34</f>
        <v>0</v>
      </c>
      <c r="H8" s="990">
        <f>'1.SD Facility Based Annex'!H34</f>
        <v>0</v>
      </c>
      <c r="I8" s="990">
        <f>'1.SD Facility Based Annex'!I34</f>
        <v>0</v>
      </c>
      <c r="J8" s="990">
        <f>'1.SD Facility Based Annex'!J34</f>
        <v>0</v>
      </c>
      <c r="K8" s="990">
        <f>'1.SD Facility Based Annex'!K34</f>
        <v>0</v>
      </c>
      <c r="L8" s="990">
        <f>'1.SD Facility Based Annex'!L34</f>
        <v>0</v>
      </c>
      <c r="M8" s="136">
        <f>'1.SD Facility Based Annex'!M34</f>
        <v>0</v>
      </c>
      <c r="N8" s="990">
        <f>'1.SD Facility Based Annex'!N34</f>
        <v>0</v>
      </c>
      <c r="O8" s="136">
        <f>'1.SD Facility Based Annex'!O34</f>
        <v>0</v>
      </c>
      <c r="P8" s="78">
        <f>'1.SD Facility Based Annex'!P34</f>
        <v>0</v>
      </c>
      <c r="Q8" s="62"/>
      <c r="R8" s="318"/>
    </row>
    <row r="9" spans="1:18" ht="45">
      <c r="A9" s="78" t="str">
        <f>'1.SD Facility Based Annex'!A35</f>
        <v>1.1.5.3</v>
      </c>
      <c r="B9" s="78" t="str">
        <f>'1.SD Facility Based Annex'!B35</f>
        <v>F.1.4.a</v>
      </c>
      <c r="C9" s="78" t="str">
        <f>'1.SD Facility Based Annex'!C35</f>
        <v>Lymphatic Filariasis: Morbidity Management</v>
      </c>
      <c r="D9" s="78" t="str">
        <f>'1.SD Facility Based Annex'!D35</f>
        <v>NDCP</v>
      </c>
      <c r="E9" s="990" t="str">
        <f>'1.SD Facility Based Annex'!E35</f>
        <v>NVBDCP-Lymphatic Filariasis</v>
      </c>
      <c r="F9" s="990">
        <f>'1.SD Facility Based Annex'!F35</f>
        <v>0</v>
      </c>
      <c r="G9" s="990">
        <f>'1.SD Facility Based Annex'!G35</f>
        <v>0</v>
      </c>
      <c r="H9" s="990">
        <f>'1.SD Facility Based Annex'!H35</f>
        <v>0</v>
      </c>
      <c r="I9" s="990">
        <f>'1.SD Facility Based Annex'!I35</f>
        <v>0</v>
      </c>
      <c r="J9" s="990">
        <f>'1.SD Facility Based Annex'!J35</f>
        <v>0</v>
      </c>
      <c r="K9" s="990" t="str">
        <f>'1.SD Facility Based Annex'!K35</f>
        <v>Lymphatic Filariasis: Morbidity Management</v>
      </c>
      <c r="L9" s="990">
        <f>'1.SD Facility Based Annex'!L35</f>
        <v>23750000</v>
      </c>
      <c r="M9" s="136">
        <f>'1.SD Facility Based Annex'!M35</f>
        <v>237.5</v>
      </c>
      <c r="N9" s="990">
        <f>'1.SD Facility Based Annex'!N35</f>
        <v>1</v>
      </c>
      <c r="O9" s="136">
        <f>'1.SD Facility Based Annex'!O35</f>
        <v>237.5</v>
      </c>
      <c r="P9" s="3087" t="str">
        <f>'1.SD Facility Based Annex'!P35</f>
        <v>Morbidity management. (Per district 500 Hydrocele operation @750 and 500 self care @500)</v>
      </c>
      <c r="Q9" s="62"/>
      <c r="R9" s="318"/>
    </row>
    <row r="10" spans="1:18" ht="30">
      <c r="A10" s="78" t="str">
        <f>'1.SD Facility Based Annex'!A80</f>
        <v>1.2.3.3</v>
      </c>
      <c r="B10" s="78">
        <f>'1.SD Facility Based Annex'!B80</f>
        <v>0</v>
      </c>
      <c r="C10" s="78" t="str">
        <f>'1.SD Facility Based Annex'!C80</f>
        <v>Patient wage loss for VL and PKDL</v>
      </c>
      <c r="D10" s="78" t="str">
        <f>'1.SD Facility Based Annex'!D80</f>
        <v>NDCP</v>
      </c>
      <c r="E10" s="990" t="str">
        <f>'1.SD Facility Based Annex'!E80</f>
        <v>NVBDCP- Kala-azar</v>
      </c>
      <c r="F10" s="990">
        <f>'1.SD Facility Based Annex'!F80</f>
        <v>0</v>
      </c>
      <c r="G10" s="990">
        <f>'1.SD Facility Based Annex'!G80</f>
        <v>0</v>
      </c>
      <c r="H10" s="990">
        <f>'1.SD Facility Based Annex'!H80</f>
        <v>0</v>
      </c>
      <c r="I10" s="990">
        <f>'1.SD Facility Based Annex'!I80</f>
        <v>0</v>
      </c>
      <c r="J10" s="990">
        <f>'1.SD Facility Based Annex'!J80</f>
        <v>0</v>
      </c>
      <c r="K10" s="990" t="str">
        <f>'1.SD Facility Based Annex'!K80</f>
        <v>KA patients</v>
      </c>
      <c r="L10" s="990">
        <f>'1.SD Facility Based Annex'!L80</f>
        <v>1236</v>
      </c>
      <c r="M10" s="136">
        <f>'1.SD Facility Based Annex'!M80</f>
        <v>1.2359999999999999E-2</v>
      </c>
      <c r="N10" s="990">
        <f>'1.SD Facility Based Annex'!N80</f>
        <v>1900</v>
      </c>
      <c r="O10" s="136">
        <f>'1.SD Facility Based Annex'!O80</f>
        <v>23.483999999999998</v>
      </c>
      <c r="P10" s="3087" t="str">
        <f>'1.SD Facility Based Annex'!P80</f>
        <v>Loss of wages (@500/- per VL/HIV - VL patient &amp; @4000/- per PKDL patient)</v>
      </c>
      <c r="Q10" s="62"/>
      <c r="R10" s="318"/>
    </row>
    <row r="11" spans="1:18">
      <c r="A11" s="985">
        <f>'2.SD Community Based Annex'!A7</f>
        <v>2</v>
      </c>
      <c r="B11" s="985"/>
      <c r="C11" s="985" t="str">
        <f>'2.SD Community Based Annex'!C7</f>
        <v>Service Delivery - Community Based</v>
      </c>
      <c r="D11" s="984"/>
      <c r="E11" s="984"/>
      <c r="F11" s="1029"/>
      <c r="G11" s="1029"/>
      <c r="H11" s="891"/>
      <c r="I11" s="1029"/>
      <c r="J11" s="485"/>
      <c r="K11" s="1029"/>
      <c r="L11" s="1029"/>
      <c r="M11" s="485"/>
      <c r="N11" s="890"/>
      <c r="O11" s="891">
        <f>SUM(O12:O13)</f>
        <v>77.601599999999991</v>
      </c>
      <c r="P11" s="892"/>
      <c r="Q11" s="897"/>
      <c r="R11" s="898">
        <f>SUM(R12:R13)</f>
        <v>0</v>
      </c>
    </row>
    <row r="12" spans="1:18" ht="95.25" customHeight="1">
      <c r="A12" s="78" t="str">
        <f>'2.SD Community Based Annex'!A29</f>
        <v>2.2.10</v>
      </c>
      <c r="B12" s="78" t="str">
        <f>'2.SD Community Based Annex'!B29</f>
        <v>F.1.5.c</v>
      </c>
      <c r="C12" s="78" t="str">
        <f>'2.SD Community Based Annex'!C29</f>
        <v>Kala-azar Case search/ Camp Approach: Mobility/POL/supervision</v>
      </c>
      <c r="D12" s="990" t="str">
        <f>'2.SD Community Based Annex'!D29</f>
        <v>NDCP</v>
      </c>
      <c r="E12" s="990" t="str">
        <f>'2.SD Community Based Annex'!E29</f>
        <v>NVBDCP- Kala-azar</v>
      </c>
      <c r="F12" s="990">
        <f>'2.SD Community Based Annex'!F29</f>
        <v>0</v>
      </c>
      <c r="G12" s="990">
        <f>'2.SD Community Based Annex'!G29</f>
        <v>0</v>
      </c>
      <c r="H12" s="990">
        <f>'2.SD Community Based Annex'!H29</f>
        <v>0</v>
      </c>
      <c r="I12" s="990">
        <f>'2.SD Community Based Annex'!I29</f>
        <v>0</v>
      </c>
      <c r="J12" s="990">
        <f>'2.SD Community Based Annex'!J29</f>
        <v>0</v>
      </c>
      <c r="K12" s="990" t="str">
        <f>'2.SD Community Based Annex'!K29</f>
        <v xml:space="preserve"> KA Affected Village</v>
      </c>
      <c r="L12" s="990">
        <f>'2.SD Community Based Annex'!L29</f>
        <v>2720</v>
      </c>
      <c r="M12" s="136">
        <f>'2.SD Community Based Annex'!M29</f>
        <v>2.7199999999999998E-2</v>
      </c>
      <c r="N12" s="990">
        <f>'2.SD Community Based Annex'!N29</f>
        <v>2853</v>
      </c>
      <c r="O12" s="136">
        <f>'2.SD Community Based Annex'!O29</f>
        <v>77.601599999999991</v>
      </c>
      <c r="P12" s="3087" t="str">
        <f>'2.SD Community Based Annex'!P29</f>
        <v>Honorarium to 2853 members including facilitator ( ASHA Rs. 200/- for 250 houses or 1000 population &amp; Rs.300/- for facilitator  ) &amp;IEC/BCC &amp;Micking (@Rs.700/Days) and referal card Rs.5/card, One register for each ASHA Rs.50/Register.</v>
      </c>
      <c r="Q12" s="1034"/>
      <c r="R12" s="318"/>
    </row>
    <row r="13" spans="1:18" ht="45">
      <c r="A13" s="78" t="str">
        <f>'2.SD Community Based Annex'!A53</f>
        <v>2.3.2.7</v>
      </c>
      <c r="B13" s="78">
        <f>'2.SD Community Based Annex'!B53</f>
        <v>0</v>
      </c>
      <c r="C13" s="78" t="str">
        <f>'2.SD Community Based Annex'!C53</f>
        <v>Special anti-malarial interventions for high risk groups, for tribal population, for hard to reach areas to control and prevent resurgence of Malaria cases</v>
      </c>
      <c r="D13" s="990" t="str">
        <f>'2.SD Community Based Annex'!D53</f>
        <v>NDCP</v>
      </c>
      <c r="E13" s="990" t="str">
        <f>'2.SD Community Based Annex'!E53</f>
        <v>NVBDCP-Malaria</v>
      </c>
      <c r="F13" s="990">
        <f>'2.SD Community Based Annex'!F53</f>
        <v>0</v>
      </c>
      <c r="G13" s="990">
        <f>'2.SD Community Based Annex'!G53</f>
        <v>0</v>
      </c>
      <c r="H13" s="990">
        <f>'2.SD Community Based Annex'!H53</f>
        <v>0</v>
      </c>
      <c r="I13" s="990">
        <f>'2.SD Community Based Annex'!I53</f>
        <v>0</v>
      </c>
      <c r="J13" s="990">
        <f>'2.SD Community Based Annex'!J53</f>
        <v>0</v>
      </c>
      <c r="K13" s="990">
        <f>'2.SD Community Based Annex'!K53</f>
        <v>0</v>
      </c>
      <c r="L13" s="990">
        <f>'2.SD Community Based Annex'!L53</f>
        <v>0</v>
      </c>
      <c r="M13" s="136">
        <f>'2.SD Community Based Annex'!M53</f>
        <v>0</v>
      </c>
      <c r="N13" s="990">
        <f>'2.SD Community Based Annex'!N53</f>
        <v>0</v>
      </c>
      <c r="O13" s="136">
        <f>'2.SD Community Based Annex'!O53</f>
        <v>0</v>
      </c>
      <c r="P13" s="78">
        <f>'2.SD Community Based Annex'!P53</f>
        <v>0</v>
      </c>
      <c r="Q13" s="1034"/>
      <c r="R13" s="318"/>
    </row>
    <row r="14" spans="1:18">
      <c r="A14" s="985">
        <f>'3.Community Intervention Annexn'!A7</f>
        <v>3</v>
      </c>
      <c r="B14" s="985"/>
      <c r="C14" s="985" t="str">
        <f>'3.Community Intervention Annexn'!C7</f>
        <v>Community Interventions</v>
      </c>
      <c r="D14" s="984"/>
      <c r="E14" s="984"/>
      <c r="F14" s="1029"/>
      <c r="G14" s="1029"/>
      <c r="H14" s="891"/>
      <c r="I14" s="1029"/>
      <c r="J14" s="485"/>
      <c r="K14" s="1029"/>
      <c r="L14" s="1029"/>
      <c r="M14" s="485"/>
      <c r="N14" s="890"/>
      <c r="O14" s="891">
        <f>SUM(O15:O31)</f>
        <v>6903.1045400000012</v>
      </c>
      <c r="P14" s="892"/>
      <c r="Q14" s="897"/>
      <c r="R14" s="898">
        <f>SUM(R15:R31)</f>
        <v>0</v>
      </c>
    </row>
    <row r="15" spans="1:18" ht="60">
      <c r="A15" s="4638" t="str">
        <f>'3.Community Intervention Annexn'!A19</f>
        <v>3.1.1.3.1</v>
      </c>
      <c r="B15" s="157" t="str">
        <f>'3-A. CI Sub-Annex'!C40</f>
        <v>F.1.1.b</v>
      </c>
      <c r="C15" s="157" t="str">
        <f>'3-A. CI Sub-Annex'!D40</f>
        <v>ASHA Incentive/ Honorarium for Malaria and LLIN distribution</v>
      </c>
      <c r="D15" s="491" t="str">
        <f>'3-A. CI Sub-Annex'!E40</f>
        <v>NDCP</v>
      </c>
      <c r="E15" s="491" t="str">
        <f>'3-A. CI Sub-Annex'!F40</f>
        <v>NVBDCP-Malaria</v>
      </c>
      <c r="F15" s="491">
        <f>'3-A. CI Sub-Annex'!G40</f>
        <v>0</v>
      </c>
      <c r="G15" s="491">
        <f>'3-A. CI Sub-Annex'!H40</f>
        <v>0</v>
      </c>
      <c r="H15" s="491">
        <f>'3-A. CI Sub-Annex'!I40</f>
        <v>0</v>
      </c>
      <c r="I15" s="491">
        <f>'3-A. CI Sub-Annex'!J40</f>
        <v>0</v>
      </c>
      <c r="J15" s="491">
        <f>'3-A. CI Sub-Annex'!K40</f>
        <v>0</v>
      </c>
      <c r="K15" s="491" t="str">
        <f>'3-A. CI Sub-Annex'!L40</f>
        <v>ASHA</v>
      </c>
      <c r="L15" s="491">
        <f>'3-A. CI Sub-Annex'!M40</f>
        <v>200000</v>
      </c>
      <c r="M15" s="476">
        <f>'3-A. CI Sub-Annex'!N40</f>
        <v>2</v>
      </c>
      <c r="N15" s="491">
        <f>'3-A. CI Sub-Annex'!O40</f>
        <v>38</v>
      </c>
      <c r="O15" s="476">
        <f>'3-A. CI Sub-Annex'!P40</f>
        <v>76</v>
      </c>
      <c r="P15" s="3186" t="str">
        <f>'3-A. CI Sub-Annex'!Q40</f>
        <v>Incentive to ASHA for collecting 3.5 lacs blood smear for MP Test @ Rs. 15/slide or RDT kit. Incentive to ASHA for help in treatment of expected 3000 malaria positive cases @ Rs 75/-each. Incentive to ASHA @ Rs. 10 for distribution of 1,43,000 LLIN.</v>
      </c>
      <c r="Q15" s="62"/>
      <c r="R15" s="318"/>
    </row>
    <row r="16" spans="1:18" ht="30">
      <c r="A16" s="4638"/>
      <c r="B16" s="157" t="str">
        <f>'3-A. CI Sub-Annex'!C41</f>
        <v>F.1.2.i</v>
      </c>
      <c r="C16" s="157" t="str">
        <f>'3-A. CI Sub-Annex'!D41</f>
        <v>ASHA Incentive for Dengue and Chikungunya</v>
      </c>
      <c r="D16" s="491" t="str">
        <f>'3-A. CI Sub-Annex'!E41</f>
        <v>NDCP</v>
      </c>
      <c r="E16" s="491" t="str">
        <f>'3-A. CI Sub-Annex'!F41</f>
        <v>NVBDCP-Dengue &amp; Chikungunya</v>
      </c>
      <c r="F16" s="491">
        <f>'3-A. CI Sub-Annex'!G41</f>
        <v>0</v>
      </c>
      <c r="G16" s="491">
        <f>'3-A. CI Sub-Annex'!H41</f>
        <v>0</v>
      </c>
      <c r="H16" s="491">
        <f>'3-A. CI Sub-Annex'!I41</f>
        <v>0</v>
      </c>
      <c r="I16" s="491">
        <f>'3-A. CI Sub-Annex'!J41</f>
        <v>0</v>
      </c>
      <c r="J16" s="491">
        <f>'3-A. CI Sub-Annex'!K41</f>
        <v>0</v>
      </c>
      <c r="K16" s="491">
        <f>'3-A. CI Sub-Annex'!L41</f>
        <v>0</v>
      </c>
      <c r="L16" s="491">
        <f>'3-A. CI Sub-Annex'!M41</f>
        <v>0</v>
      </c>
      <c r="M16" s="476">
        <f>'3-A. CI Sub-Annex'!N41</f>
        <v>0</v>
      </c>
      <c r="N16" s="491">
        <f>'3-A. CI Sub-Annex'!O41</f>
        <v>0</v>
      </c>
      <c r="O16" s="476">
        <f>'3-A. CI Sub-Annex'!P41</f>
        <v>0</v>
      </c>
      <c r="P16" s="157">
        <f>'3-A. CI Sub-Annex'!Q41</f>
        <v>0</v>
      </c>
      <c r="Q16" s="62"/>
      <c r="R16" s="318"/>
    </row>
    <row r="17" spans="1:18" ht="30">
      <c r="A17" s="4638"/>
      <c r="B17" s="157" t="str">
        <f>'3-A. CI Sub-Annex'!C42</f>
        <v>F.1.3.k</v>
      </c>
      <c r="C17" s="157" t="str">
        <f>'3-A. CI Sub-Annex'!D42</f>
        <v xml:space="preserve">ASHA Incentivization for sensitizing community for AES/JE </v>
      </c>
      <c r="D17" s="491" t="str">
        <f>'3-A. CI Sub-Annex'!E42</f>
        <v>NDCP</v>
      </c>
      <c r="E17" s="491" t="str">
        <f>'3-A. CI Sub-Annex'!F42</f>
        <v>NVBDCP-AES/JE</v>
      </c>
      <c r="F17" s="491">
        <f>'3-A. CI Sub-Annex'!G42</f>
        <v>0</v>
      </c>
      <c r="G17" s="491">
        <f>'3-A. CI Sub-Annex'!H42</f>
        <v>0</v>
      </c>
      <c r="H17" s="491">
        <f>'3-A. CI Sub-Annex'!I42</f>
        <v>0</v>
      </c>
      <c r="I17" s="491">
        <f>'3-A. CI Sub-Annex'!J42</f>
        <v>0</v>
      </c>
      <c r="J17" s="491">
        <f>'3-A. CI Sub-Annex'!K42</f>
        <v>0</v>
      </c>
      <c r="K17" s="491">
        <f>'3-A. CI Sub-Annex'!L42</f>
        <v>0</v>
      </c>
      <c r="L17" s="491">
        <f>'3-A. CI Sub-Annex'!M42</f>
        <v>0</v>
      </c>
      <c r="M17" s="476">
        <f>'3-A. CI Sub-Annex'!N42</f>
        <v>0</v>
      </c>
      <c r="N17" s="491">
        <f>'3-A. CI Sub-Annex'!O42</f>
        <v>0</v>
      </c>
      <c r="O17" s="476">
        <f>'3-A. CI Sub-Annex'!P42</f>
        <v>0</v>
      </c>
      <c r="P17" s="157">
        <f>'3-A. CI Sub-Annex'!Q42</f>
        <v>0</v>
      </c>
      <c r="Q17" s="62"/>
      <c r="R17" s="318"/>
    </row>
    <row r="18" spans="1:18" ht="30">
      <c r="A18" s="4638"/>
      <c r="B18" s="157" t="str">
        <f>'3-A. CI Sub-Annex'!C43</f>
        <v>F.1.3.m</v>
      </c>
      <c r="C18" s="157" t="str">
        <f>'3-A. CI Sub-Annex'!D43</f>
        <v>ASHA incentive for referral of AES/JE cases to the nearest CHC/DH/Medical College</v>
      </c>
      <c r="D18" s="491" t="str">
        <f>'3-A. CI Sub-Annex'!E43</f>
        <v>NDCP</v>
      </c>
      <c r="E18" s="491" t="str">
        <f>'3-A. CI Sub-Annex'!F43</f>
        <v>NVBDCP-AES/JE</v>
      </c>
      <c r="F18" s="491">
        <f>'3-A. CI Sub-Annex'!G43</f>
        <v>0</v>
      </c>
      <c r="G18" s="491">
        <f>'3-A. CI Sub-Annex'!H43</f>
        <v>0</v>
      </c>
      <c r="H18" s="491">
        <f>'3-A. CI Sub-Annex'!I43</f>
        <v>0</v>
      </c>
      <c r="I18" s="491">
        <f>'3-A. CI Sub-Annex'!J43</f>
        <v>0</v>
      </c>
      <c r="J18" s="491">
        <f>'3-A. CI Sub-Annex'!K43</f>
        <v>0</v>
      </c>
      <c r="K18" s="491" t="str">
        <f>'3-A. CI Sub-Annex'!L43</f>
        <v>Per Case</v>
      </c>
      <c r="L18" s="491">
        <f>'3-A. CI Sub-Annex'!M43</f>
        <v>54300</v>
      </c>
      <c r="M18" s="476">
        <f>'3-A. CI Sub-Annex'!N43</f>
        <v>0.54300000000000004</v>
      </c>
      <c r="N18" s="491">
        <f>'3-A. CI Sub-Annex'!O43</f>
        <v>1</v>
      </c>
      <c r="O18" s="476">
        <f>'3-A. CI Sub-Annex'!P43</f>
        <v>0.54300000000000004</v>
      </c>
      <c r="P18" s="3186" t="str">
        <f>'3-A. CI Sub-Annex'!Q43</f>
        <v>Incentive of ASHA for 50% of  AES unknown + JE confirmed cases since last three years.</v>
      </c>
      <c r="Q18" s="62"/>
      <c r="R18" s="318"/>
    </row>
    <row r="19" spans="1:18" ht="60">
      <c r="A19" s="4638"/>
      <c r="B19" s="157" t="str">
        <f>'3-A. CI Sub-Annex'!C44</f>
        <v>F.1.4.e</v>
      </c>
      <c r="C19" s="157" t="str">
        <f>'3-A. CI Sub-Annex'!D44</f>
        <v>Honorarium  for Drug Distribution including ASHAs and supervisors involved in MDA</v>
      </c>
      <c r="D19" s="491" t="str">
        <f>'3-A. CI Sub-Annex'!E44</f>
        <v>NDCP</v>
      </c>
      <c r="E19" s="491" t="str">
        <f>'3-A. CI Sub-Annex'!F44</f>
        <v>NVBDCP-Lymphatic Filariasis</v>
      </c>
      <c r="F19" s="491">
        <f>'3-A. CI Sub-Annex'!G44</f>
        <v>0</v>
      </c>
      <c r="G19" s="491">
        <f>'3-A. CI Sub-Annex'!H44</f>
        <v>0</v>
      </c>
      <c r="H19" s="491">
        <f>'3-A. CI Sub-Annex'!I44</f>
        <v>0</v>
      </c>
      <c r="I19" s="491">
        <f>'3-A. CI Sub-Annex'!J44</f>
        <v>0</v>
      </c>
      <c r="J19" s="491">
        <f>'3-A. CI Sub-Annex'!K44</f>
        <v>0</v>
      </c>
      <c r="K19" s="491" t="str">
        <f>'3-A. CI Sub-Annex'!L44</f>
        <v>Honorarium  for Drug Distribution including ASHAs and supervisors involved in MDA</v>
      </c>
      <c r="L19" s="491">
        <f>'3-A. CI Sub-Annex'!M44</f>
        <v>333904800</v>
      </c>
      <c r="M19" s="476">
        <f>'3-A. CI Sub-Annex'!N44</f>
        <v>3339.0479999999998</v>
      </c>
      <c r="N19" s="491">
        <f>'3-A. CI Sub-Annex'!O44</f>
        <v>1</v>
      </c>
      <c r="O19" s="476">
        <f>'3-A. CI Sub-Annex'!P44</f>
        <v>3339.0479999999998</v>
      </c>
      <c r="P19" s="3186" t="str">
        <f>'3-A. CI Sub-Annex'!Q44</f>
        <v>Honorarium  for Drug Distribution including ASHAs and supervisors involved in MDA (Asha incentive @600 per 50 houses) and supervisor incentive @175 per day for 14 days)</v>
      </c>
      <c r="Q19" s="62"/>
      <c r="R19" s="318"/>
    </row>
    <row r="20" spans="1:18" ht="30">
      <c r="A20" s="4638"/>
      <c r="B20" s="157" t="str">
        <f>'3-A. CI Sub-Annex'!C45</f>
        <v>F.1.4.i</v>
      </c>
      <c r="C20" s="157" t="str">
        <f>'3-A. CI Sub-Annex'!D45</f>
        <v>ASHA incentive for one time line listing of Lymphoedema and Hydrocele cases in non-endemic dist.</v>
      </c>
      <c r="D20" s="491" t="str">
        <f>'3-A. CI Sub-Annex'!E45</f>
        <v>NDCP</v>
      </c>
      <c r="E20" s="491" t="str">
        <f>'3-A. CI Sub-Annex'!F45</f>
        <v>NVBDCP-Lymphatic Filariasis</v>
      </c>
      <c r="F20" s="491">
        <f>'3-A. CI Sub-Annex'!G45</f>
        <v>0</v>
      </c>
      <c r="G20" s="491">
        <f>'3-A. CI Sub-Annex'!H45</f>
        <v>0</v>
      </c>
      <c r="H20" s="491">
        <f>'3-A. CI Sub-Annex'!I45</f>
        <v>0</v>
      </c>
      <c r="I20" s="491">
        <f>'3-A. CI Sub-Annex'!J45</f>
        <v>0</v>
      </c>
      <c r="J20" s="491">
        <f>'3-A. CI Sub-Annex'!K45</f>
        <v>0</v>
      </c>
      <c r="K20" s="491">
        <f>'3-A. CI Sub-Annex'!L45</f>
        <v>0</v>
      </c>
      <c r="L20" s="491">
        <f>'3-A. CI Sub-Annex'!M45</f>
        <v>0</v>
      </c>
      <c r="M20" s="476">
        <f>'3-A. CI Sub-Annex'!N45</f>
        <v>0</v>
      </c>
      <c r="N20" s="491">
        <f>'3-A. CI Sub-Annex'!O45</f>
        <v>0</v>
      </c>
      <c r="O20" s="476">
        <f>'3-A. CI Sub-Annex'!P45</f>
        <v>0</v>
      </c>
      <c r="P20" s="3186">
        <f>'3-A. CI Sub-Annex'!Q45</f>
        <v>0</v>
      </c>
      <c r="Q20" s="62"/>
      <c r="R20" s="318"/>
    </row>
    <row r="21" spans="1:18" ht="30">
      <c r="A21" s="4638"/>
      <c r="B21" s="157">
        <f>'3-A. CI Sub-Annex'!C46</f>
        <v>0</v>
      </c>
      <c r="C21" s="157" t="str">
        <f>'3-A. CI Sub-Annex'!D46</f>
        <v>ASHA incentive for supporting IRS / sensitizing community to accept IRS and Referral / Ensuring treatment for Kala-azar cases</v>
      </c>
      <c r="D21" s="491" t="str">
        <f>'3-A. CI Sub-Annex'!E46</f>
        <v>NDCP</v>
      </c>
      <c r="E21" s="491" t="str">
        <f>'3-A. CI Sub-Annex'!F46</f>
        <v>NVBDCP- Kala-azar</v>
      </c>
      <c r="F21" s="491">
        <f>'3-A. CI Sub-Annex'!G46</f>
        <v>0</v>
      </c>
      <c r="G21" s="491">
        <f>'3-A. CI Sub-Annex'!H46</f>
        <v>0</v>
      </c>
      <c r="H21" s="491">
        <f>'3-A. CI Sub-Annex'!I46</f>
        <v>0</v>
      </c>
      <c r="I21" s="491">
        <f>'3-A. CI Sub-Annex'!J46</f>
        <v>0</v>
      </c>
      <c r="J21" s="491">
        <f>'3-A. CI Sub-Annex'!K46</f>
        <v>0</v>
      </c>
      <c r="K21" s="491" t="str">
        <f>'3-A. CI Sub-Annex'!L46</f>
        <v>Asha</v>
      </c>
      <c r="L21" s="491">
        <f>'3-A. CI Sub-Annex'!M46</f>
        <v>402</v>
      </c>
      <c r="M21" s="476">
        <f>'3-A. CI Sub-Annex'!N46</f>
        <v>4.0200000000000001E-3</v>
      </c>
      <c r="N21" s="491">
        <f>'3-A. CI Sub-Annex'!O46</f>
        <v>22025</v>
      </c>
      <c r="O21" s="476">
        <f>'3-A. CI Sub-Annex'!P46</f>
        <v>88.540500000000009</v>
      </c>
      <c r="P21" s="3186" t="str">
        <f>'3-A. CI Sub-Annex'!Q46</f>
        <v xml:space="preserve"> Rs. 200/- per  IRS round/Asha,Rs 500/ASHA for KA search,tratment and follow up,</v>
      </c>
      <c r="Q21" s="62"/>
      <c r="R21" s="318"/>
    </row>
    <row r="22" spans="1:18" ht="30">
      <c r="A22" s="4639" t="str">
        <f>'3.Community Intervention Annexn'!A38</f>
        <v>3.2.2.1</v>
      </c>
      <c r="B22" s="1030" t="str">
        <f>'3-A. CI Sub-Annex'!C95</f>
        <v>F.1.1.c.i</v>
      </c>
      <c r="C22" s="1030" t="str">
        <f>'3-A. CI Sub-Annex'!D95</f>
        <v xml:space="preserve">Operational cost for Spray Wages </v>
      </c>
      <c r="D22" s="487" t="str">
        <f>'3-A. CI Sub-Annex'!E95</f>
        <v>NDCP</v>
      </c>
      <c r="E22" s="487" t="str">
        <f>'3-A. CI Sub-Annex'!F95</f>
        <v>NVBDCP- Malaria</v>
      </c>
      <c r="F22" s="487">
        <f>'3-A. CI Sub-Annex'!G95</f>
        <v>0</v>
      </c>
      <c r="G22" s="487">
        <f>'3-A. CI Sub-Annex'!H95</f>
        <v>0</v>
      </c>
      <c r="H22" s="487">
        <f>'3-A. CI Sub-Annex'!I95</f>
        <v>0</v>
      </c>
      <c r="I22" s="487">
        <f>'3-A. CI Sub-Annex'!J95</f>
        <v>0</v>
      </c>
      <c r="J22" s="487">
        <f>'3-A. CI Sub-Annex'!K95</f>
        <v>0</v>
      </c>
      <c r="K22" s="487">
        <f>'3-A. CI Sub-Annex'!L95</f>
        <v>0</v>
      </c>
      <c r="L22" s="487">
        <f>'3-A. CI Sub-Annex'!M95</f>
        <v>0</v>
      </c>
      <c r="M22" s="136">
        <f>'3-A. CI Sub-Annex'!N95</f>
        <v>0</v>
      </c>
      <c r="N22" s="487">
        <f>'3-A. CI Sub-Annex'!O95</f>
        <v>0</v>
      </c>
      <c r="O22" s="136">
        <f>'3-A. CI Sub-Annex'!P95</f>
        <v>0</v>
      </c>
      <c r="P22" s="1030">
        <f>'3-A. CI Sub-Annex'!Q95</f>
        <v>0</v>
      </c>
      <c r="Q22" s="62"/>
      <c r="R22" s="318"/>
    </row>
    <row r="23" spans="1:18" ht="30">
      <c r="A23" s="4639"/>
      <c r="B23" s="1030" t="str">
        <f>'3-A. CI Sub-Annex'!C96</f>
        <v>F.1.1.c.ii</v>
      </c>
      <c r="C23" s="1030" t="str">
        <f>'3-A. CI Sub-Annex'!D96</f>
        <v>Operational cost for IRS</v>
      </c>
      <c r="D23" s="487" t="str">
        <f>'3-A. CI Sub-Annex'!E96</f>
        <v>NDCP</v>
      </c>
      <c r="E23" s="487" t="str">
        <f>'3-A. CI Sub-Annex'!F96</f>
        <v>NVBDCP- Malaria</v>
      </c>
      <c r="F23" s="487">
        <f>'3-A. CI Sub-Annex'!G96</f>
        <v>0</v>
      </c>
      <c r="G23" s="487">
        <f>'3-A. CI Sub-Annex'!H96</f>
        <v>0</v>
      </c>
      <c r="H23" s="487">
        <f>'3-A. CI Sub-Annex'!I96</f>
        <v>0</v>
      </c>
      <c r="I23" s="487">
        <f>'3-A. CI Sub-Annex'!J96</f>
        <v>0</v>
      </c>
      <c r="J23" s="487">
        <f>'3-A. CI Sub-Annex'!K96</f>
        <v>0</v>
      </c>
      <c r="K23" s="487">
        <f>'3-A. CI Sub-Annex'!L96</f>
        <v>0</v>
      </c>
      <c r="L23" s="487">
        <f>'3-A. CI Sub-Annex'!M96</f>
        <v>0</v>
      </c>
      <c r="M23" s="136">
        <f>'3-A. CI Sub-Annex'!N96</f>
        <v>0</v>
      </c>
      <c r="N23" s="487">
        <f>'3-A. CI Sub-Annex'!O96</f>
        <v>0</v>
      </c>
      <c r="O23" s="136">
        <f>'3-A. CI Sub-Annex'!P96</f>
        <v>0</v>
      </c>
      <c r="P23" s="1030">
        <f>'3-A. CI Sub-Annex'!Q96</f>
        <v>0</v>
      </c>
      <c r="Q23" s="62"/>
      <c r="R23" s="318"/>
    </row>
    <row r="24" spans="1:18" ht="30">
      <c r="A24" s="4639"/>
      <c r="B24" s="1030" t="str">
        <f>'3-A. CI Sub-Annex'!C97</f>
        <v>F.1.1.c.iii</v>
      </c>
      <c r="C24" s="1030" t="str">
        <f>'3-A. CI Sub-Annex'!D97</f>
        <v>Operational cost for Impregnation  of Bed nets-  for NE states</v>
      </c>
      <c r="D24" s="487" t="str">
        <f>'3-A. CI Sub-Annex'!E97</f>
        <v>NDCP</v>
      </c>
      <c r="E24" s="487" t="str">
        <f>'3-A. CI Sub-Annex'!F97</f>
        <v>NVBDCP- Malaria</v>
      </c>
      <c r="F24" s="487">
        <f>'3-A. CI Sub-Annex'!G97</f>
        <v>0</v>
      </c>
      <c r="G24" s="487">
        <f>'3-A. CI Sub-Annex'!H97</f>
        <v>0</v>
      </c>
      <c r="H24" s="487">
        <f>'3-A. CI Sub-Annex'!I97</f>
        <v>0</v>
      </c>
      <c r="I24" s="487">
        <f>'3-A. CI Sub-Annex'!J97</f>
        <v>0</v>
      </c>
      <c r="J24" s="487">
        <f>'3-A. CI Sub-Annex'!K97</f>
        <v>0</v>
      </c>
      <c r="K24" s="487">
        <f>'3-A. CI Sub-Annex'!L97</f>
        <v>0</v>
      </c>
      <c r="L24" s="487">
        <f>'3-A. CI Sub-Annex'!M97</f>
        <v>0</v>
      </c>
      <c r="M24" s="136">
        <f>'3-A. CI Sub-Annex'!N97</f>
        <v>0</v>
      </c>
      <c r="N24" s="487">
        <f>'3-A. CI Sub-Annex'!O97</f>
        <v>0</v>
      </c>
      <c r="O24" s="136">
        <f>'3-A. CI Sub-Annex'!P97</f>
        <v>0</v>
      </c>
      <c r="P24" s="1030">
        <f>'3-A. CI Sub-Annex'!Q97</f>
        <v>0</v>
      </c>
      <c r="Q24" s="62"/>
      <c r="R24" s="318"/>
    </row>
    <row r="25" spans="1:18" ht="30">
      <c r="A25" s="4639"/>
      <c r="B25" s="1030" t="str">
        <f>'3-A. CI Sub-Annex'!C98</f>
        <v>F.1.1.h</v>
      </c>
      <c r="C25" s="1030" t="str">
        <f>'3-A. CI Sub-Annex'!D98</f>
        <v>Biological and Environmental Management through VHSC</v>
      </c>
      <c r="D25" s="487" t="str">
        <f>'3-A. CI Sub-Annex'!E98</f>
        <v>NDCP</v>
      </c>
      <c r="E25" s="487" t="str">
        <f>'3-A. CI Sub-Annex'!F98</f>
        <v>NVBDCP- Malaria</v>
      </c>
      <c r="F25" s="487">
        <f>'3-A. CI Sub-Annex'!G98</f>
        <v>0</v>
      </c>
      <c r="G25" s="487">
        <f>'3-A. CI Sub-Annex'!H98</f>
        <v>0</v>
      </c>
      <c r="H25" s="487">
        <f>'3-A. CI Sub-Annex'!I98</f>
        <v>0</v>
      </c>
      <c r="I25" s="487">
        <f>'3-A. CI Sub-Annex'!J98</f>
        <v>0</v>
      </c>
      <c r="J25" s="487">
        <f>'3-A. CI Sub-Annex'!K98</f>
        <v>0</v>
      </c>
      <c r="K25" s="487">
        <f>'3-A. CI Sub-Annex'!L98</f>
        <v>0</v>
      </c>
      <c r="L25" s="487">
        <f>'3-A. CI Sub-Annex'!M98</f>
        <v>0</v>
      </c>
      <c r="M25" s="136">
        <f>'3-A. CI Sub-Annex'!N98</f>
        <v>0</v>
      </c>
      <c r="N25" s="487">
        <f>'3-A. CI Sub-Annex'!O98</f>
        <v>0</v>
      </c>
      <c r="O25" s="136">
        <f>'3-A. CI Sub-Annex'!P98</f>
        <v>0</v>
      </c>
      <c r="P25" s="1030">
        <f>'3-A. CI Sub-Annex'!Q98</f>
        <v>0</v>
      </c>
      <c r="Q25" s="62"/>
      <c r="R25" s="318"/>
    </row>
    <row r="26" spans="1:18" ht="30">
      <c r="A26" s="4639"/>
      <c r="B26" s="1030" t="str">
        <f>'3-A. CI Sub-Annex'!C99</f>
        <v>F.1.1.i</v>
      </c>
      <c r="C26" s="1030" t="str">
        <f>'3-A. CI Sub-Annex'!D99</f>
        <v>Larvivorous Fish support</v>
      </c>
      <c r="D26" s="487" t="str">
        <f>'3-A. CI Sub-Annex'!E99</f>
        <v>NDCP</v>
      </c>
      <c r="E26" s="487" t="str">
        <f>'3-A. CI Sub-Annex'!F99</f>
        <v>NVBDCP- Malaria</v>
      </c>
      <c r="F26" s="487">
        <f>'3-A. CI Sub-Annex'!G99</f>
        <v>0</v>
      </c>
      <c r="G26" s="487">
        <f>'3-A. CI Sub-Annex'!H99</f>
        <v>0</v>
      </c>
      <c r="H26" s="487">
        <f>'3-A. CI Sub-Annex'!I99</f>
        <v>0</v>
      </c>
      <c r="I26" s="487">
        <f>'3-A. CI Sub-Annex'!J99</f>
        <v>0</v>
      </c>
      <c r="J26" s="487">
        <f>'3-A. CI Sub-Annex'!K99</f>
        <v>0</v>
      </c>
      <c r="K26" s="487">
        <f>'3-A. CI Sub-Annex'!L99</f>
        <v>0</v>
      </c>
      <c r="L26" s="487">
        <f>'3-A. CI Sub-Annex'!M99</f>
        <v>0</v>
      </c>
      <c r="M26" s="136">
        <f>'3-A. CI Sub-Annex'!N99</f>
        <v>0</v>
      </c>
      <c r="N26" s="487">
        <f>'3-A. CI Sub-Annex'!O99</f>
        <v>0</v>
      </c>
      <c r="O26" s="136">
        <f>'3-A. CI Sub-Annex'!P99</f>
        <v>0</v>
      </c>
      <c r="P26" s="1030">
        <f>'3-A. CI Sub-Annex'!Q99</f>
        <v>0</v>
      </c>
      <c r="Q26" s="62"/>
      <c r="R26" s="318"/>
    </row>
    <row r="27" spans="1:18" ht="30">
      <c r="A27" s="4639"/>
      <c r="B27" s="1030">
        <f>'3-A. CI Sub-Annex'!C100</f>
        <v>0</v>
      </c>
      <c r="C27" s="1030" t="str">
        <f>'3-A. CI Sub-Annex'!D100</f>
        <v>Community Health Volunteers (CHVs) for inaccessible villages</v>
      </c>
      <c r="D27" s="487" t="str">
        <f>'3-A. CI Sub-Annex'!E100</f>
        <v>NDCP</v>
      </c>
      <c r="E27" s="487" t="str">
        <f>'3-A. CI Sub-Annex'!F100</f>
        <v>NVBDCP- Malaria</v>
      </c>
      <c r="F27" s="487">
        <f>'3-A. CI Sub-Annex'!G100</f>
        <v>0</v>
      </c>
      <c r="G27" s="487">
        <f>'3-A. CI Sub-Annex'!H100</f>
        <v>0</v>
      </c>
      <c r="H27" s="487">
        <f>'3-A. CI Sub-Annex'!I100</f>
        <v>0</v>
      </c>
      <c r="I27" s="487">
        <f>'3-A. CI Sub-Annex'!J100</f>
        <v>0</v>
      </c>
      <c r="J27" s="487">
        <f>'3-A. CI Sub-Annex'!K100</f>
        <v>0</v>
      </c>
      <c r="K27" s="487">
        <f>'3-A. CI Sub-Annex'!L100</f>
        <v>0</v>
      </c>
      <c r="L27" s="487">
        <f>'3-A. CI Sub-Annex'!M100</f>
        <v>0</v>
      </c>
      <c r="M27" s="136">
        <f>'3-A. CI Sub-Annex'!N100</f>
        <v>0</v>
      </c>
      <c r="N27" s="487">
        <f>'3-A. CI Sub-Annex'!O100</f>
        <v>0</v>
      </c>
      <c r="O27" s="136">
        <f>'3-A. CI Sub-Annex'!P100</f>
        <v>0</v>
      </c>
      <c r="P27" s="1030">
        <f>'3-A. CI Sub-Annex'!Q100</f>
        <v>0</v>
      </c>
      <c r="Q27" s="62"/>
      <c r="R27" s="318"/>
    </row>
    <row r="28" spans="1:18" ht="135">
      <c r="A28" s="4639"/>
      <c r="B28" s="1030" t="str">
        <f>'3-A. CI Sub-Annex'!C102</f>
        <v>F.1.2.f</v>
      </c>
      <c r="C28" s="1030" t="str">
        <f>'3-A. CI Sub-Annex'!D102</f>
        <v>Dengue &amp; Chikungunya: Vector Control,  environmental management &amp; fogging machine</v>
      </c>
      <c r="D28" s="487" t="str">
        <f>'3-A. CI Sub-Annex'!E102</f>
        <v>NDCP</v>
      </c>
      <c r="E28" s="487" t="str">
        <f>'3-A. CI Sub-Annex'!F102</f>
        <v>NVBDCP-Dengue &amp; Chikungunya</v>
      </c>
      <c r="F28" s="487">
        <f>'3-A. CI Sub-Annex'!G102</f>
        <v>0</v>
      </c>
      <c r="G28" s="487">
        <f>'3-A. CI Sub-Annex'!H102</f>
        <v>0</v>
      </c>
      <c r="H28" s="487">
        <f>'3-A. CI Sub-Annex'!I102</f>
        <v>0</v>
      </c>
      <c r="I28" s="487">
        <f>'3-A. CI Sub-Annex'!J102</f>
        <v>0</v>
      </c>
      <c r="J28" s="487">
        <f>'3-A. CI Sub-Annex'!K102</f>
        <v>0</v>
      </c>
      <c r="K28" s="487" t="str">
        <f>'3-A. CI Sub-Annex'!L102</f>
        <v>Dist</v>
      </c>
      <c r="L28" s="487">
        <f>'3-A. CI Sub-Annex'!M102</f>
        <v>103158</v>
      </c>
      <c r="M28" s="136">
        <f>'3-A. CI Sub-Annex'!N102</f>
        <v>1.0315799999999999</v>
      </c>
      <c r="N28" s="487">
        <f>'3-A. CI Sub-Annex'!O102</f>
        <v>38</v>
      </c>
      <c r="O28" s="136">
        <f>'3-A. CI Sub-Annex'!P102</f>
        <v>39.200040000000001</v>
      </c>
      <c r="P28" s="1030" t="str">
        <f>'3-A. CI Sub-Annex'!Q102</f>
        <v>Actually, the proposed amount is to kill the infected Aedes mosquitoes (Vector of Dengue &amp; Chikungunya) by Outdoor Malathion fogging 500 meters around the residence of each of Dengue/ Chikungunya postive case. The proposed amount is based on expected 4000 to 5000 Dengue &amp; Chikungunya case in 2021 (average of last three years cases). In 2020, the low Dengue &amp; Chikungunya cases in the state was due to COVID-19 pandemic. The outdoor Malathion fogging cost includes the cost of Diesel, petrol, wages of hired labour for fogging work and mobility support for fogging work. The average fogging cost per Dengue/Chikungunya case is around Rs 1000/-</v>
      </c>
      <c r="Q28" s="62"/>
      <c r="R28" s="318"/>
    </row>
    <row r="29" spans="1:18" ht="70.5" customHeight="1">
      <c r="A29" s="4639"/>
      <c r="B29" s="1030" t="str">
        <f>'3-A. CI Sub-Annex'!C103</f>
        <v>F.1.3.g</v>
      </c>
      <c r="C29" s="1030" t="str">
        <f>'3-A. CI Sub-Annex'!D103</f>
        <v>Acute Encephalitis Syndrome (AES)/ Japanese Encephalitis (JE): Operational costs for malathion  fogging</v>
      </c>
      <c r="D29" s="487" t="str">
        <f>'3-A. CI Sub-Annex'!E103</f>
        <v>NDCP</v>
      </c>
      <c r="E29" s="487" t="str">
        <f>'3-A. CI Sub-Annex'!F103</f>
        <v>NVBDCP-AES/JE</v>
      </c>
      <c r="F29" s="487">
        <f>'3-A. CI Sub-Annex'!G103</f>
        <v>0</v>
      </c>
      <c r="G29" s="487">
        <f>'3-A. CI Sub-Annex'!H103</f>
        <v>0</v>
      </c>
      <c r="H29" s="487">
        <f>'3-A. CI Sub-Annex'!I103</f>
        <v>0</v>
      </c>
      <c r="I29" s="487">
        <f>'3-A. CI Sub-Annex'!J103</f>
        <v>0</v>
      </c>
      <c r="J29" s="487">
        <f>'3-A. CI Sub-Annex'!K103</f>
        <v>0</v>
      </c>
      <c r="K29" s="487" t="str">
        <f>'3-A. CI Sub-Annex'!L103</f>
        <v>Per Case</v>
      </c>
      <c r="L29" s="487">
        <f>'3-A. CI Sub-Annex'!M103</f>
        <v>115500</v>
      </c>
      <c r="M29" s="136">
        <f>'3-A. CI Sub-Annex'!N103</f>
        <v>1.155</v>
      </c>
      <c r="N29" s="487">
        <f>'3-A. CI Sub-Annex'!O103</f>
        <v>1</v>
      </c>
      <c r="O29" s="136">
        <f>'3-A. CI Sub-Annex'!P103</f>
        <v>1.155</v>
      </c>
      <c r="P29" s="1030" t="str">
        <f>'3-A. CI Sub-Annex'!Q103</f>
        <v>Technical Malathion fogging for average JE confirmed cases since last three years.</v>
      </c>
      <c r="Q29" s="62"/>
      <c r="R29" s="318"/>
    </row>
    <row r="30" spans="1:18" ht="105">
      <c r="A30" s="4639"/>
      <c r="B30" s="1030" t="str">
        <f>'3-A. CI Sub-Annex'!C104</f>
        <v>F.1.5.b</v>
      </c>
      <c r="C30" s="1030" t="str">
        <f>'3-A. CI Sub-Annex'!D104</f>
        <v>Kala-azar: Operational cost for spray including spray wages</v>
      </c>
      <c r="D30" s="487" t="str">
        <f>'3-A. CI Sub-Annex'!E104</f>
        <v>NDCP</v>
      </c>
      <c r="E30" s="487" t="str">
        <f>'3-A. CI Sub-Annex'!F104</f>
        <v>NVBDCP- Kala-azar</v>
      </c>
      <c r="F30" s="487">
        <f>'3-A. CI Sub-Annex'!G104</f>
        <v>0</v>
      </c>
      <c r="G30" s="487">
        <f>'3-A. CI Sub-Annex'!H104</f>
        <v>0</v>
      </c>
      <c r="H30" s="487">
        <f>'3-A. CI Sub-Annex'!I104</f>
        <v>0</v>
      </c>
      <c r="I30" s="487">
        <f>'3-A. CI Sub-Annex'!J104</f>
        <v>0</v>
      </c>
      <c r="J30" s="487">
        <f>'3-A. CI Sub-Annex'!K104</f>
        <v>0</v>
      </c>
      <c r="K30" s="487" t="str">
        <f>'3-A. CI Sub-Annex'!L104</f>
        <v>Squad</v>
      </c>
      <c r="L30" s="487">
        <f>'3-A. CI Sub-Annex'!M104</f>
        <v>290200</v>
      </c>
      <c r="M30" s="136">
        <f>'3-A. CI Sub-Annex'!N104</f>
        <v>2.9020000000000001</v>
      </c>
      <c r="N30" s="487">
        <f>'3-A. CI Sub-Annex'!O104</f>
        <v>1151</v>
      </c>
      <c r="O30" s="136">
        <f>'3-A. CI Sub-Annex'!P104</f>
        <v>3340.2020000000002</v>
      </c>
      <c r="P30" s="1030" t="str">
        <f>'3-A. CI Sub-Annex'!Q104</f>
        <v>Rs.5000/month for 32 district and Rs. 6000/month for saran and Rs. 5 lakh for state level storage of sub standard SP,Transpotation of SP during IRS from District to PHCS and PHCs to Villages.&amp; Rs. 250000 for inter district  SP transpotation,SFW (@458/- per SFW/round)for 1151 squads in each round, FW(@378/- per SFW/round) for 1151 squads in each round( Each round 60 Days) for two round , One mask for spray worker for each round. 800 extra squad for Focal spray against 260 new affected village.</v>
      </c>
      <c r="Q30" s="62"/>
      <c r="R30" s="318"/>
    </row>
    <row r="31" spans="1:18" ht="30">
      <c r="A31" s="4639"/>
      <c r="B31" s="1030" t="str">
        <f>'3-A. CI Sub-Annex'!C105</f>
        <v>F.1.5.e</v>
      </c>
      <c r="C31" s="1030" t="str">
        <f>'3-A. CI Sub-Annex'!D105</f>
        <v>Kala-azar: Training for spraying</v>
      </c>
      <c r="D31" s="487" t="str">
        <f>'3-A. CI Sub-Annex'!E105</f>
        <v>NDCP</v>
      </c>
      <c r="E31" s="487" t="str">
        <f>'3-A. CI Sub-Annex'!F105</f>
        <v>NVBDCP- Kala-azar</v>
      </c>
      <c r="F31" s="487">
        <f>'3-A. CI Sub-Annex'!G105</f>
        <v>0</v>
      </c>
      <c r="G31" s="487">
        <f>'3-A. CI Sub-Annex'!H105</f>
        <v>0</v>
      </c>
      <c r="H31" s="487">
        <f>'3-A. CI Sub-Annex'!I105</f>
        <v>0</v>
      </c>
      <c r="I31" s="487">
        <f>'3-A. CI Sub-Annex'!J105</f>
        <v>0</v>
      </c>
      <c r="J31" s="487">
        <f>'3-A. CI Sub-Annex'!K105</f>
        <v>0</v>
      </c>
      <c r="K31" s="487" t="str">
        <f>'3-A. CI Sub-Annex'!L105</f>
        <v>Squad</v>
      </c>
      <c r="L31" s="487">
        <f>'3-A. CI Sub-Annex'!M105</f>
        <v>1600</v>
      </c>
      <c r="M31" s="136">
        <f>'3-A. CI Sub-Annex'!N105</f>
        <v>1.6E-2</v>
      </c>
      <c r="N31" s="487">
        <f>'3-A. CI Sub-Annex'!O105</f>
        <v>1151</v>
      </c>
      <c r="O31" s="136">
        <f>'3-A. CI Sub-Annex'!P105</f>
        <v>18.416</v>
      </c>
      <c r="P31" s="1030" t="str">
        <f>'3-A. CI Sub-Annex'!Q105</f>
        <v xml:space="preserve">Honorarium of SFW@ Rs. 200/- for two days &amp; FW @ Rs. 100/- for one day + Rs. 100/Squad for stationary and checklist. </v>
      </c>
      <c r="Q31" s="62"/>
      <c r="R31" s="318"/>
    </row>
    <row r="32" spans="1:18">
      <c r="A32" s="985">
        <f>'5.Infrastructure Annex'!A7</f>
        <v>5</v>
      </c>
      <c r="B32" s="985"/>
      <c r="C32" s="985" t="str">
        <f>'5.Infrastructure Annex'!C7</f>
        <v>Infrastructure</v>
      </c>
      <c r="D32" s="984"/>
      <c r="E32" s="984"/>
      <c r="F32" s="984"/>
      <c r="G32" s="984"/>
      <c r="H32" s="984"/>
      <c r="I32" s="984"/>
      <c r="J32" s="984"/>
      <c r="K32" s="984"/>
      <c r="L32" s="984"/>
      <c r="M32" s="485"/>
      <c r="N32" s="984"/>
      <c r="O32" s="485">
        <f>SUM(O33:O35)</f>
        <v>75</v>
      </c>
      <c r="P32" s="985"/>
      <c r="Q32" s="897"/>
      <c r="R32" s="99">
        <f>SUM(R33:R35)</f>
        <v>0</v>
      </c>
    </row>
    <row r="33" spans="1:18" ht="30">
      <c r="A33" s="78" t="str">
        <f>'5.Infrastructure Annex'!A91</f>
        <v>5.3.11</v>
      </c>
      <c r="B33" s="78" t="str">
        <f>'5.Infrastructure Annex'!B91</f>
        <v>F.1.1.j</v>
      </c>
      <c r="C33" s="78" t="str">
        <f>'5.Infrastructure Annex'!C91</f>
        <v>Construction and maintenance of Hatcheries</v>
      </c>
      <c r="D33" s="990" t="str">
        <f>'5.Infrastructure Annex'!D91</f>
        <v>NDCP</v>
      </c>
      <c r="E33" s="990" t="str">
        <f>'5.Infrastructure Annex'!E91</f>
        <v>NVBDCP- Malaria</v>
      </c>
      <c r="F33" s="990">
        <f>'5.Infrastructure Annex'!F91</f>
        <v>0</v>
      </c>
      <c r="G33" s="990">
        <f>'5.Infrastructure Annex'!G91</f>
        <v>0</v>
      </c>
      <c r="H33" s="990">
        <f>'5.Infrastructure Annex'!H91</f>
        <v>0</v>
      </c>
      <c r="I33" s="990">
        <f>'5.Infrastructure Annex'!I91</f>
        <v>0</v>
      </c>
      <c r="J33" s="990">
        <f>'5.Infrastructure Annex'!J91</f>
        <v>0</v>
      </c>
      <c r="K33" s="990">
        <f>'5.Infrastructure Annex'!K91</f>
        <v>0</v>
      </c>
      <c r="L33" s="990">
        <f>'5.Infrastructure Annex'!L91</f>
        <v>0</v>
      </c>
      <c r="M33" s="136">
        <f>'5.Infrastructure Annex'!M91</f>
        <v>0</v>
      </c>
      <c r="N33" s="990">
        <f>'5.Infrastructure Annex'!N91</f>
        <v>0</v>
      </c>
      <c r="O33" s="136">
        <f>'5.Infrastructure Annex'!O91</f>
        <v>0</v>
      </c>
      <c r="P33" s="78">
        <f>'5.Infrastructure Annex'!P91</f>
        <v>0</v>
      </c>
      <c r="Q33" s="62"/>
      <c r="R33" s="318"/>
    </row>
    <row r="34" spans="1:18" ht="30">
      <c r="A34" s="78" t="str">
        <f>'5.Infrastructure Annex'!A92</f>
        <v>5.3.12</v>
      </c>
      <c r="B34" s="78" t="str">
        <f>'5.Infrastructure Annex'!B92</f>
        <v>F.2.1.e</v>
      </c>
      <c r="C34" s="78" t="str">
        <f>'5.Infrastructure Annex'!C92</f>
        <v>Infrastructure (INF)</v>
      </c>
      <c r="D34" s="990" t="str">
        <f>'5.Infrastructure Annex'!D92</f>
        <v>NDCP</v>
      </c>
      <c r="E34" s="990" t="str">
        <f>'5.Infrastructure Annex'!E92</f>
        <v>NVBDCP - GFATM</v>
      </c>
      <c r="F34" s="990">
        <f>'5.Infrastructure Annex'!F92</f>
        <v>0</v>
      </c>
      <c r="G34" s="990">
        <f>'5.Infrastructure Annex'!G92</f>
        <v>0</v>
      </c>
      <c r="H34" s="990">
        <f>'5.Infrastructure Annex'!H92</f>
        <v>0</v>
      </c>
      <c r="I34" s="990">
        <f>'5.Infrastructure Annex'!I92</f>
        <v>0</v>
      </c>
      <c r="J34" s="990">
        <f>'5.Infrastructure Annex'!J92</f>
        <v>0</v>
      </c>
      <c r="K34" s="990">
        <f>'5.Infrastructure Annex'!K92</f>
        <v>0</v>
      </c>
      <c r="L34" s="990">
        <f>'5.Infrastructure Annex'!L92</f>
        <v>0</v>
      </c>
      <c r="M34" s="136">
        <f>'5.Infrastructure Annex'!M92</f>
        <v>0</v>
      </c>
      <c r="N34" s="990">
        <f>'5.Infrastructure Annex'!N92</f>
        <v>0</v>
      </c>
      <c r="O34" s="136">
        <f>'5.Infrastructure Annex'!O92</f>
        <v>0</v>
      </c>
      <c r="P34" s="78">
        <f>'5.Infrastructure Annex'!P92</f>
        <v>0</v>
      </c>
      <c r="Q34" s="62"/>
      <c r="R34" s="318"/>
    </row>
    <row r="35" spans="1:18" ht="90">
      <c r="A35" s="78" t="str">
        <f>'5.Infrastructure Annex'!A93</f>
        <v>5.3.13</v>
      </c>
      <c r="B35" s="78" t="str">
        <f>'5.Infrastructure Annex'!B93</f>
        <v>F.1.3.j</v>
      </c>
      <c r="C35" s="78" t="str">
        <f>'5.Infrastructure Annex'!C93</f>
        <v>ICU Establishment in Endemic District</v>
      </c>
      <c r="D35" s="990" t="str">
        <f>'5.Infrastructure Annex'!D93</f>
        <v>NDCP</v>
      </c>
      <c r="E35" s="990" t="str">
        <f>'5.Infrastructure Annex'!E93</f>
        <v>NVBDCP-AES/JE</v>
      </c>
      <c r="F35" s="990">
        <f>'5.Infrastructure Annex'!F93</f>
        <v>0</v>
      </c>
      <c r="G35" s="990">
        <f>'5.Infrastructure Annex'!G93</f>
        <v>0</v>
      </c>
      <c r="H35" s="990">
        <f>'5.Infrastructure Annex'!H93</f>
        <v>0</v>
      </c>
      <c r="I35" s="990">
        <f>'5.Infrastructure Annex'!I93</f>
        <v>0</v>
      </c>
      <c r="J35" s="990">
        <f>'5.Infrastructure Annex'!J93</f>
        <v>0</v>
      </c>
      <c r="K35" s="990" t="str">
        <f>'5.Infrastructure Annex'!K93</f>
        <v>Per PICU</v>
      </c>
      <c r="L35" s="990">
        <f>'5.Infrastructure Annex'!L93</f>
        <v>7500000</v>
      </c>
      <c r="M35" s="136">
        <f>'5.Infrastructure Annex'!M93</f>
        <v>75</v>
      </c>
      <c r="N35" s="990">
        <f>'5.Infrastructure Annex'!N93</f>
        <v>1</v>
      </c>
      <c r="O35" s="136">
        <f>'5.Infrastructure Annex'!O93</f>
        <v>75</v>
      </c>
      <c r="P35" s="78" t="str">
        <f>'5.Infrastructure Annex'!P93</f>
        <v xml:space="preserve">Annex.I-List of PICU equipments as per GoI norms,attached. Annex.II- Unit cost of PICU equipments by BMSICL, Patna as per list  decided by GoI attached. Annex.III- Complition of 15 PICU &amp; UC details  by BMSICL,Patna  as per list  decided by GoI attached. Annex.IV- Demand of additional PICU equipments one time as per Revised SOP-2021 attached  for 15 GoM districts @ Rs. 5.00 Lakh each,total Rs. 75.00 Lakh in.   </v>
      </c>
      <c r="Q35" s="62"/>
      <c r="R35" s="318"/>
    </row>
    <row r="36" spans="1:18">
      <c r="A36" s="985">
        <f>'6.Procurement Annex'!A7</f>
        <v>6</v>
      </c>
      <c r="B36" s="985"/>
      <c r="C36" s="985" t="str">
        <f>'6.Procurement Annex'!C7</f>
        <v>Procurement</v>
      </c>
      <c r="D36" s="984"/>
      <c r="E36" s="984"/>
      <c r="F36" s="984"/>
      <c r="G36" s="984"/>
      <c r="H36" s="984"/>
      <c r="I36" s="984"/>
      <c r="J36" s="984"/>
      <c r="K36" s="984"/>
      <c r="L36" s="984"/>
      <c r="M36" s="485"/>
      <c r="N36" s="984"/>
      <c r="O36" s="485">
        <f>SUM(O37:O60)</f>
        <v>145.10816399999999</v>
      </c>
      <c r="P36" s="985"/>
      <c r="Q36" s="897"/>
      <c r="R36" s="99">
        <f>SUM(R37:R60)</f>
        <v>0</v>
      </c>
    </row>
    <row r="37" spans="1:18" ht="30">
      <c r="A37" s="4633" t="str">
        <f>'6.Procurement Annex'!A31</f>
        <v>6.1.4.2</v>
      </c>
      <c r="B37" s="78" t="str">
        <f>'6-A. Proc. Sub-Annex'!C77</f>
        <v>F.2.1.c</v>
      </c>
      <c r="C37" s="78" t="str">
        <f>'6-A. Proc. Sub-Annex'!D77</f>
        <v>Health Products- Equipment (HPE) - GFATM</v>
      </c>
      <c r="D37" s="990" t="str">
        <f>'6-A. Proc. Sub-Annex'!E77</f>
        <v>NDCP</v>
      </c>
      <c r="E37" s="990" t="str">
        <f>'6-A. Proc. Sub-Annex'!F77</f>
        <v>NVBDCP - GFATM</v>
      </c>
      <c r="F37" s="990">
        <f>'6-A. Proc. Sub-Annex'!G77</f>
        <v>0</v>
      </c>
      <c r="G37" s="990">
        <f>'6-A. Proc. Sub-Annex'!H77</f>
        <v>0</v>
      </c>
      <c r="H37" s="990">
        <f>'6-A. Proc. Sub-Annex'!I77</f>
        <v>0</v>
      </c>
      <c r="I37" s="990">
        <f>'6-A. Proc. Sub-Annex'!J77</f>
        <v>0</v>
      </c>
      <c r="J37" s="990">
        <f>'6-A. Proc. Sub-Annex'!K77</f>
        <v>0</v>
      </c>
      <c r="K37" s="990">
        <f>'6-A. Proc. Sub-Annex'!L77</f>
        <v>0</v>
      </c>
      <c r="L37" s="990">
        <f>'6-A. Proc. Sub-Annex'!M77</f>
        <v>0</v>
      </c>
      <c r="M37" s="136">
        <f>'6-A. Proc. Sub-Annex'!N77</f>
        <v>0</v>
      </c>
      <c r="N37" s="990">
        <f>'6-A. Proc. Sub-Annex'!O77</f>
        <v>0</v>
      </c>
      <c r="O37" s="136">
        <f>'6-A. Proc. Sub-Annex'!P77</f>
        <v>0</v>
      </c>
      <c r="P37" s="78">
        <f>'6-A. Proc. Sub-Annex'!Q77</f>
        <v>0</v>
      </c>
      <c r="Q37" s="62"/>
      <c r="R37" s="318"/>
    </row>
    <row r="38" spans="1:18" ht="30">
      <c r="A38" s="4633"/>
      <c r="B38" s="78" t="str">
        <f>'6-A. Proc. Sub-Annex'!C78</f>
        <v>F.1.3.f</v>
      </c>
      <c r="C38" s="78" t="str">
        <f>'6-A. Proc. Sub-Annex'!D78</f>
        <v>Fogging Machine</v>
      </c>
      <c r="D38" s="990" t="str">
        <f>'6-A. Proc. Sub-Annex'!E78</f>
        <v>NDCP</v>
      </c>
      <c r="E38" s="990" t="str">
        <f>'6-A. Proc. Sub-Annex'!F78</f>
        <v>NVBDCP - AES/JE</v>
      </c>
      <c r="F38" s="990">
        <f>'6-A. Proc. Sub-Annex'!G78</f>
        <v>0</v>
      </c>
      <c r="G38" s="990">
        <f>'6-A. Proc. Sub-Annex'!H78</f>
        <v>0</v>
      </c>
      <c r="H38" s="990">
        <f>'6-A. Proc. Sub-Annex'!I78</f>
        <v>0</v>
      </c>
      <c r="I38" s="990">
        <f>'6-A. Proc. Sub-Annex'!J78</f>
        <v>0</v>
      </c>
      <c r="J38" s="990">
        <f>'6-A. Proc. Sub-Annex'!K78</f>
        <v>0</v>
      </c>
      <c r="K38" s="990">
        <f>'6-A. Proc. Sub-Annex'!L78</f>
        <v>0</v>
      </c>
      <c r="L38" s="990">
        <f>'6-A. Proc. Sub-Annex'!M78</f>
        <v>0</v>
      </c>
      <c r="M38" s="136">
        <f>'6-A. Proc. Sub-Annex'!N78</f>
        <v>0</v>
      </c>
      <c r="N38" s="990">
        <f>'6-A. Proc. Sub-Annex'!O78</f>
        <v>0</v>
      </c>
      <c r="O38" s="136">
        <f>'6-A. Proc. Sub-Annex'!P78</f>
        <v>0</v>
      </c>
      <c r="P38" s="78">
        <f>'6-A. Proc. Sub-Annex'!Q78</f>
        <v>0</v>
      </c>
      <c r="Q38" s="62"/>
      <c r="R38" s="318"/>
    </row>
    <row r="39" spans="1:18" ht="30">
      <c r="A39" s="4633"/>
      <c r="B39" s="78" t="str">
        <f>'6-A. Proc. Sub-Annex'!C79</f>
        <v>F.1.5.a</v>
      </c>
      <c r="C39" s="78" t="str">
        <f>'6-A. Proc. Sub-Annex'!D79</f>
        <v>Spray Pumps &amp; accessories</v>
      </c>
      <c r="D39" s="990" t="str">
        <f>'6-A. Proc. Sub-Annex'!E79</f>
        <v>NDCP</v>
      </c>
      <c r="E39" s="990" t="str">
        <f>'6-A. Proc. Sub-Annex'!F79</f>
        <v>NVBDCP - KalaAzar</v>
      </c>
      <c r="F39" s="990">
        <f>'6-A. Proc. Sub-Annex'!G79</f>
        <v>0</v>
      </c>
      <c r="G39" s="990">
        <f>'6-A. Proc. Sub-Annex'!H79</f>
        <v>0</v>
      </c>
      <c r="H39" s="990">
        <f>'6-A. Proc. Sub-Annex'!I79</f>
        <v>0</v>
      </c>
      <c r="I39" s="990">
        <f>'6-A. Proc. Sub-Annex'!J79</f>
        <v>0</v>
      </c>
      <c r="J39" s="990">
        <f>'6-A. Proc. Sub-Annex'!K79</f>
        <v>0</v>
      </c>
      <c r="K39" s="990" t="str">
        <f>'6-A. Proc. Sub-Annex'!L79</f>
        <v>Squad</v>
      </c>
      <c r="L39" s="990">
        <f>'6-A. Proc. Sub-Annex'!M79</f>
        <v>1234.4000000000001</v>
      </c>
      <c r="M39" s="136">
        <f>'6-A. Proc. Sub-Annex'!N79</f>
        <v>1.2344000000000001E-2</v>
      </c>
      <c r="N39" s="990">
        <f>'6-A. Proc. Sub-Annex'!O79</f>
        <v>1151</v>
      </c>
      <c r="O39" s="136">
        <f>'6-A. Proc. Sub-Annex'!P79</f>
        <v>14.207944000000001</v>
      </c>
      <c r="P39" s="78" t="str">
        <f>'6-A. Proc. Sub-Annex'!Q79</f>
        <v xml:space="preserve"> Rs.400/Squad/round for 1151 squad for two round &amp; 5 lac for purchase  bucket</v>
      </c>
      <c r="Q39" s="62"/>
      <c r="R39" s="318"/>
    </row>
    <row r="40" spans="1:18" ht="30">
      <c r="A40" s="4633"/>
      <c r="B40" s="78" t="str">
        <f>'6-A. Proc. Sub-Annex'!C80</f>
        <v>F.2.1.f</v>
      </c>
      <c r="C40" s="78" t="str">
        <f>'6-A. Proc. Sub-Annex'!D80</f>
        <v>Non-Health Equipment (NHP) - GFATM</v>
      </c>
      <c r="D40" s="990" t="str">
        <f>'6-A. Proc. Sub-Annex'!E80</f>
        <v>NDCP</v>
      </c>
      <c r="E40" s="990" t="str">
        <f>'6-A. Proc. Sub-Annex'!F80</f>
        <v>NVBDCP - GFATM</v>
      </c>
      <c r="F40" s="990">
        <f>'6-A. Proc. Sub-Annex'!G80</f>
        <v>0</v>
      </c>
      <c r="G40" s="990">
        <f>'6-A. Proc. Sub-Annex'!H80</f>
        <v>0</v>
      </c>
      <c r="H40" s="990">
        <f>'6-A. Proc. Sub-Annex'!I80</f>
        <v>0</v>
      </c>
      <c r="I40" s="990">
        <f>'6-A. Proc. Sub-Annex'!J80</f>
        <v>0</v>
      </c>
      <c r="J40" s="990">
        <f>'6-A. Proc. Sub-Annex'!K80</f>
        <v>0</v>
      </c>
      <c r="K40" s="990">
        <f>'6-A. Proc. Sub-Annex'!L80</f>
        <v>0</v>
      </c>
      <c r="L40" s="990">
        <f>'6-A. Proc. Sub-Annex'!M80</f>
        <v>0</v>
      </c>
      <c r="M40" s="136">
        <f>'6-A. Proc. Sub-Annex'!N80</f>
        <v>0</v>
      </c>
      <c r="N40" s="990">
        <f>'6-A. Proc. Sub-Annex'!O80</f>
        <v>0</v>
      </c>
      <c r="O40" s="136">
        <f>'6-A. Proc. Sub-Annex'!P80</f>
        <v>0</v>
      </c>
      <c r="P40" s="78">
        <f>'6-A. Proc. Sub-Annex'!Q80</f>
        <v>0</v>
      </c>
      <c r="Q40" s="62"/>
      <c r="R40" s="318"/>
    </row>
    <row r="41" spans="1:18" ht="30">
      <c r="A41" s="4633"/>
      <c r="B41" s="78"/>
      <c r="C41" s="78" t="str">
        <f>'6-A. Proc. Sub-Annex'!D81</f>
        <v>Logistic for Entomological Lab Strengthening and others under MVCR</v>
      </c>
      <c r="D41" s="990" t="str">
        <f>'6-A. Proc. Sub-Annex'!E81</f>
        <v>NDCP</v>
      </c>
      <c r="E41" s="990" t="str">
        <f>'6-A. Proc. Sub-Annex'!F81</f>
        <v>NVBDCP - Malaria</v>
      </c>
      <c r="F41" s="990">
        <f>'6-A. Proc. Sub-Annex'!G81</f>
        <v>0</v>
      </c>
      <c r="G41" s="990">
        <f>'6-A. Proc. Sub-Annex'!H81</f>
        <v>0</v>
      </c>
      <c r="H41" s="990">
        <f>'6-A. Proc. Sub-Annex'!I81</f>
        <v>0</v>
      </c>
      <c r="I41" s="990">
        <f>'6-A. Proc. Sub-Annex'!J81</f>
        <v>0</v>
      </c>
      <c r="J41" s="990">
        <f>'6-A. Proc. Sub-Annex'!K81</f>
        <v>0</v>
      </c>
      <c r="K41" s="990">
        <f>'6-A. Proc. Sub-Annex'!L81</f>
        <v>0</v>
      </c>
      <c r="L41" s="990">
        <f>'6-A. Proc. Sub-Annex'!M81</f>
        <v>0</v>
      </c>
      <c r="M41" s="136">
        <f>'6-A. Proc. Sub-Annex'!N81</f>
        <v>0</v>
      </c>
      <c r="N41" s="990">
        <f>'6-A. Proc. Sub-Annex'!O81</f>
        <v>0</v>
      </c>
      <c r="O41" s="136">
        <f>'6-A. Proc. Sub-Annex'!P81</f>
        <v>0</v>
      </c>
      <c r="P41" s="78">
        <f>'6-A. Proc. Sub-Annex'!Q81</f>
        <v>0</v>
      </c>
      <c r="Q41" s="62"/>
      <c r="R41" s="318"/>
    </row>
    <row r="42" spans="1:18" ht="30">
      <c r="A42" s="4633"/>
      <c r="B42" s="78"/>
      <c r="C42" s="78" t="str">
        <f>'6-A. Proc. Sub-Annex'!D82</f>
        <v>Any other equipment (please specify)</v>
      </c>
      <c r="D42" s="990" t="str">
        <f>'6-A. Proc. Sub-Annex'!E82</f>
        <v>NDCP</v>
      </c>
      <c r="E42" s="990" t="str">
        <f>'6-A. Proc. Sub-Annex'!F82</f>
        <v>NVBDCP</v>
      </c>
      <c r="F42" s="990">
        <f>'6-A. Proc. Sub-Annex'!G82</f>
        <v>0</v>
      </c>
      <c r="G42" s="990">
        <f>'6-A. Proc. Sub-Annex'!H82</f>
        <v>0</v>
      </c>
      <c r="H42" s="990">
        <f>'6-A. Proc. Sub-Annex'!I82</f>
        <v>0</v>
      </c>
      <c r="I42" s="990">
        <f>'6-A. Proc. Sub-Annex'!J82</f>
        <v>0</v>
      </c>
      <c r="J42" s="990">
        <f>'6-A. Proc. Sub-Annex'!K82</f>
        <v>0</v>
      </c>
      <c r="K42" s="990">
        <f>'6-A. Proc. Sub-Annex'!L82</f>
        <v>0</v>
      </c>
      <c r="L42" s="990">
        <f>'6-A. Proc. Sub-Annex'!M82</f>
        <v>0</v>
      </c>
      <c r="M42" s="136">
        <f>'6-A. Proc. Sub-Annex'!N82</f>
        <v>0</v>
      </c>
      <c r="N42" s="990">
        <f>'6-A. Proc. Sub-Annex'!O82</f>
        <v>0</v>
      </c>
      <c r="O42" s="136">
        <f>'6-A. Proc. Sub-Annex'!P82</f>
        <v>0</v>
      </c>
      <c r="P42" s="78">
        <f>'6-A. Proc. Sub-Annex'!Q82</f>
        <v>0</v>
      </c>
      <c r="Q42" s="62"/>
      <c r="R42" s="318"/>
    </row>
    <row r="43" spans="1:18" ht="30">
      <c r="A43" s="78" t="str">
        <f>'6.Procurement Annex'!A50</f>
        <v>6.1.6.4</v>
      </c>
      <c r="B43" s="78"/>
      <c r="C43" s="78" t="str">
        <f>'6-A. Proc. Sub-Annex'!D140</f>
        <v>Maintenance of Microscope</v>
      </c>
      <c r="D43" s="990" t="str">
        <f>'6-A. Proc. Sub-Annex'!E140</f>
        <v>NDCP</v>
      </c>
      <c r="E43" s="990" t="str">
        <f>'6-A. Proc. Sub-Annex'!F140</f>
        <v>NVBDCP</v>
      </c>
      <c r="F43" s="990">
        <f>'6-A. Proc. Sub-Annex'!G140</f>
        <v>0</v>
      </c>
      <c r="G43" s="990">
        <f>'6-A. Proc. Sub-Annex'!H140</f>
        <v>0</v>
      </c>
      <c r="H43" s="990">
        <f>'6-A. Proc. Sub-Annex'!I140</f>
        <v>0</v>
      </c>
      <c r="I43" s="990">
        <f>'6-A. Proc. Sub-Annex'!J140</f>
        <v>0</v>
      </c>
      <c r="J43" s="990">
        <f>'6-A. Proc. Sub-Annex'!K140</f>
        <v>0</v>
      </c>
      <c r="K43" s="990">
        <f>'6-A. Proc. Sub-Annex'!L140</f>
        <v>0</v>
      </c>
      <c r="L43" s="990">
        <f>'6-A. Proc. Sub-Annex'!M140</f>
        <v>0</v>
      </c>
      <c r="M43" s="136">
        <f>'6-A. Proc. Sub-Annex'!N140</f>
        <v>0</v>
      </c>
      <c r="N43" s="990">
        <f>'6-A. Proc. Sub-Annex'!O140</f>
        <v>0</v>
      </c>
      <c r="O43" s="136">
        <f>'6-A. Proc. Sub-Annex'!P140</f>
        <v>0</v>
      </c>
      <c r="P43" s="78">
        <f>'6-A. Proc. Sub-Annex'!Q140</f>
        <v>0</v>
      </c>
      <c r="Q43" s="62"/>
      <c r="R43" s="318"/>
    </row>
    <row r="44" spans="1:18" ht="30">
      <c r="A44" s="4633" t="str">
        <f>'6.Procurement Annex'!A72</f>
        <v>6.2.3.1</v>
      </c>
      <c r="B44" s="78" t="str">
        <f>'6-A. Proc. Sub-Annex'!C215</f>
        <v>B.16.2.11.3.a</v>
      </c>
      <c r="C44" s="78" t="str">
        <f>'6-A. Proc. Sub-Annex'!D215</f>
        <v>Chloroquine phosphate tablets</v>
      </c>
      <c r="D44" s="990" t="str">
        <f>'6-A. Proc. Sub-Annex'!E215</f>
        <v>NDCP</v>
      </c>
      <c r="E44" s="990" t="str">
        <f>'6-A. Proc. Sub-Annex'!F215</f>
        <v>NVBDCP - Malaria</v>
      </c>
      <c r="F44" s="990">
        <f>'6-A. Proc. Sub-Annex'!G215</f>
        <v>0</v>
      </c>
      <c r="G44" s="990">
        <f>'6-A. Proc. Sub-Annex'!H215</f>
        <v>0</v>
      </c>
      <c r="H44" s="990">
        <f>'6-A. Proc. Sub-Annex'!I215</f>
        <v>0</v>
      </c>
      <c r="I44" s="990">
        <f>'6-A. Proc. Sub-Annex'!J215</f>
        <v>0</v>
      </c>
      <c r="J44" s="990">
        <f>'6-A. Proc. Sub-Annex'!K215</f>
        <v>0</v>
      </c>
      <c r="K44" s="990">
        <f>'6-A. Proc. Sub-Annex'!L215</f>
        <v>0</v>
      </c>
      <c r="L44" s="990">
        <f>'6-A. Proc. Sub-Annex'!M215</f>
        <v>0</v>
      </c>
      <c r="M44" s="136">
        <f>'6-A. Proc. Sub-Annex'!N215</f>
        <v>0</v>
      </c>
      <c r="N44" s="990">
        <f>'6-A. Proc. Sub-Annex'!O215</f>
        <v>0</v>
      </c>
      <c r="O44" s="136">
        <f>'6-A. Proc. Sub-Annex'!P215</f>
        <v>0</v>
      </c>
      <c r="P44" s="78">
        <f>'6-A. Proc. Sub-Annex'!Q215</f>
        <v>0</v>
      </c>
      <c r="Q44" s="62"/>
      <c r="R44" s="318"/>
    </row>
    <row r="45" spans="1:18" ht="30">
      <c r="A45" s="4633"/>
      <c r="B45" s="78" t="str">
        <f>'6-A. Proc. Sub-Annex'!C216</f>
        <v>B.16.2.11.3.b</v>
      </c>
      <c r="C45" s="78" t="str">
        <f>'6-A. Proc. Sub-Annex'!D216</f>
        <v>Primaquine tablets 2.5 mg</v>
      </c>
      <c r="D45" s="990" t="str">
        <f>'6-A. Proc. Sub-Annex'!E216</f>
        <v>NDCP</v>
      </c>
      <c r="E45" s="990" t="str">
        <f>'6-A. Proc. Sub-Annex'!F216</f>
        <v>NVBDCP – Malaria</v>
      </c>
      <c r="F45" s="990">
        <f>'6-A. Proc. Sub-Annex'!G216</f>
        <v>0</v>
      </c>
      <c r="G45" s="990">
        <f>'6-A. Proc. Sub-Annex'!H216</f>
        <v>0</v>
      </c>
      <c r="H45" s="990">
        <f>'6-A. Proc. Sub-Annex'!I216</f>
        <v>0</v>
      </c>
      <c r="I45" s="990">
        <f>'6-A. Proc. Sub-Annex'!J216</f>
        <v>0</v>
      </c>
      <c r="J45" s="990">
        <f>'6-A. Proc. Sub-Annex'!K216</f>
        <v>0</v>
      </c>
      <c r="K45" s="990" t="str">
        <f>'6-A. Proc. Sub-Annex'!L216</f>
        <v>Dist</v>
      </c>
      <c r="L45" s="990">
        <f>'6-A. Proc. Sub-Annex'!M216</f>
        <v>1316</v>
      </c>
      <c r="M45" s="136">
        <f>'6-A. Proc. Sub-Annex'!N216</f>
        <v>1.316E-2</v>
      </c>
      <c r="N45" s="990">
        <f>'6-A. Proc. Sub-Annex'!O216</f>
        <v>38</v>
      </c>
      <c r="O45" s="136">
        <f>'6-A. Proc. Sub-Annex'!P216</f>
        <v>0.50007999999999997</v>
      </c>
      <c r="P45" s="78" t="str">
        <f>'6-A. Proc. Sub-Annex'!Q216</f>
        <v>As per 2021-22 state  requirement of 20000 tabs.</v>
      </c>
      <c r="Q45" s="62"/>
      <c r="R45" s="318"/>
    </row>
    <row r="46" spans="1:18" ht="30">
      <c r="A46" s="4633"/>
      <c r="B46" s="78" t="str">
        <f>'6-A. Proc. Sub-Annex'!C217</f>
        <v>B.16.2.11.3.c</v>
      </c>
      <c r="C46" s="78" t="str">
        <f>'6-A. Proc. Sub-Annex'!D217</f>
        <v>Primaquine tablets 7.5 mg</v>
      </c>
      <c r="D46" s="990" t="str">
        <f>'6-A. Proc. Sub-Annex'!E217</f>
        <v>NDCP</v>
      </c>
      <c r="E46" s="990" t="str">
        <f>'6-A. Proc. Sub-Annex'!F217</f>
        <v>NVBDCP – Malaria</v>
      </c>
      <c r="F46" s="990">
        <f>'6-A. Proc. Sub-Annex'!G217</f>
        <v>0</v>
      </c>
      <c r="G46" s="990">
        <f>'6-A. Proc. Sub-Annex'!H217</f>
        <v>0</v>
      </c>
      <c r="H46" s="990">
        <f>'6-A. Proc. Sub-Annex'!I217</f>
        <v>0</v>
      </c>
      <c r="I46" s="990">
        <f>'6-A. Proc. Sub-Annex'!J217</f>
        <v>0</v>
      </c>
      <c r="J46" s="990">
        <f>'6-A. Proc. Sub-Annex'!K217</f>
        <v>0</v>
      </c>
      <c r="K46" s="990" t="str">
        <f>'6-A. Proc. Sub-Annex'!L217</f>
        <v>Dist</v>
      </c>
      <c r="L46" s="990">
        <f>'6-A. Proc. Sub-Annex'!M217</f>
        <v>1316</v>
      </c>
      <c r="M46" s="136">
        <f>'6-A. Proc. Sub-Annex'!N217</f>
        <v>1.316E-2</v>
      </c>
      <c r="N46" s="990">
        <f>'6-A. Proc. Sub-Annex'!O217</f>
        <v>38</v>
      </c>
      <c r="O46" s="136">
        <f>'6-A. Proc. Sub-Annex'!P217</f>
        <v>0.50007999999999997</v>
      </c>
      <c r="P46" s="78" t="str">
        <f>'6-A. Proc. Sub-Annex'!Q217</f>
        <v>As per 2021-22 state  requirement of 20000 tabs.</v>
      </c>
      <c r="Q46" s="62"/>
      <c r="R46" s="318"/>
    </row>
    <row r="47" spans="1:18" ht="30">
      <c r="A47" s="4633"/>
      <c r="B47" s="78" t="str">
        <f>'6-A. Proc. Sub-Annex'!C218</f>
        <v>B.16.2.11.3.d</v>
      </c>
      <c r="C47" s="78" t="str">
        <f>'6-A. Proc. Sub-Annex'!D218</f>
        <v>Quinine sulphate tablets</v>
      </c>
      <c r="D47" s="990" t="str">
        <f>'6-A. Proc. Sub-Annex'!E218</f>
        <v>NDCP</v>
      </c>
      <c r="E47" s="990" t="str">
        <f>'6-A. Proc. Sub-Annex'!F218</f>
        <v>NVBDCP – Malaria</v>
      </c>
      <c r="F47" s="990">
        <f>'6-A. Proc. Sub-Annex'!G218</f>
        <v>0</v>
      </c>
      <c r="G47" s="990">
        <f>'6-A. Proc. Sub-Annex'!H218</f>
        <v>0</v>
      </c>
      <c r="H47" s="990">
        <f>'6-A. Proc. Sub-Annex'!I218</f>
        <v>0</v>
      </c>
      <c r="I47" s="990">
        <f>'6-A. Proc. Sub-Annex'!J218</f>
        <v>0</v>
      </c>
      <c r="J47" s="990">
        <f>'6-A. Proc. Sub-Annex'!K218</f>
        <v>0</v>
      </c>
      <c r="K47" s="990" t="str">
        <f>'6-A. Proc. Sub-Annex'!L218</f>
        <v>Dist</v>
      </c>
      <c r="L47" s="990">
        <f>'6-A. Proc. Sub-Annex'!M218</f>
        <v>211</v>
      </c>
      <c r="M47" s="136">
        <f>'6-A. Proc. Sub-Annex'!N218</f>
        <v>2.1099999999999999E-3</v>
      </c>
      <c r="N47" s="990">
        <f>'6-A. Proc. Sub-Annex'!O218</f>
        <v>38</v>
      </c>
      <c r="O47" s="136">
        <f>'6-A. Proc. Sub-Annex'!P218</f>
        <v>8.0180000000000001E-2</v>
      </c>
      <c r="P47" s="78" t="str">
        <f>'6-A. Proc. Sub-Annex'!Q218</f>
        <v>As per 2021-22 state  requirement of 1300 tabs.</v>
      </c>
      <c r="Q47" s="62"/>
      <c r="R47" s="318"/>
    </row>
    <row r="48" spans="1:18" ht="30">
      <c r="A48" s="4633"/>
      <c r="B48" s="78" t="str">
        <f>'6-A. Proc. Sub-Annex'!C219</f>
        <v>B.16.2.11.3.e</v>
      </c>
      <c r="C48" s="78" t="str">
        <f>'6-A. Proc. Sub-Annex'!D219</f>
        <v>Quinine Injections and Artesunate Injection</v>
      </c>
      <c r="D48" s="990" t="str">
        <f>'6-A. Proc. Sub-Annex'!E219</f>
        <v>NDCP</v>
      </c>
      <c r="E48" s="990" t="str">
        <f>'6-A. Proc. Sub-Annex'!F219</f>
        <v>NVBDCP – Malaria</v>
      </c>
      <c r="F48" s="990">
        <f>'6-A. Proc. Sub-Annex'!G219</f>
        <v>0</v>
      </c>
      <c r="G48" s="990">
        <f>'6-A. Proc. Sub-Annex'!H219</f>
        <v>0</v>
      </c>
      <c r="H48" s="990">
        <f>'6-A. Proc. Sub-Annex'!I219</f>
        <v>0</v>
      </c>
      <c r="I48" s="990">
        <f>'6-A. Proc. Sub-Annex'!J219</f>
        <v>0</v>
      </c>
      <c r="J48" s="990">
        <f>'6-A. Proc. Sub-Annex'!K219</f>
        <v>0</v>
      </c>
      <c r="K48" s="990" t="str">
        <f>'6-A. Proc. Sub-Annex'!L219</f>
        <v>Dist</v>
      </c>
      <c r="L48" s="990">
        <f>'6-A. Proc. Sub-Annex'!M219</f>
        <v>211</v>
      </c>
      <c r="M48" s="136">
        <f>'6-A. Proc. Sub-Annex'!N219</f>
        <v>2.1099999999999999E-3</v>
      </c>
      <c r="N48" s="990">
        <f>'6-A. Proc. Sub-Annex'!O219</f>
        <v>38</v>
      </c>
      <c r="O48" s="136">
        <f>'6-A. Proc. Sub-Annex'!P219</f>
        <v>8.0180000000000001E-2</v>
      </c>
      <c r="P48" s="78" t="str">
        <f>'6-A. Proc. Sub-Annex'!Q219</f>
        <v>As per 2021-22 state requirement of 400 Injections.</v>
      </c>
      <c r="Q48" s="62"/>
      <c r="R48" s="318"/>
    </row>
    <row r="49" spans="1:18" ht="30">
      <c r="A49" s="4633"/>
      <c r="B49" s="78" t="str">
        <f>'6-A. Proc. Sub-Annex'!C220</f>
        <v>B.16.2.11.3.f</v>
      </c>
      <c r="C49" s="78" t="str">
        <f>'6-A. Proc. Sub-Annex'!D220</f>
        <v>DEC 100 mg tablets</v>
      </c>
      <c r="D49" s="990" t="str">
        <f>'6-A. Proc. Sub-Annex'!E220</f>
        <v>NDCP</v>
      </c>
      <c r="E49" s="990" t="str">
        <f>'6-A. Proc. Sub-Annex'!F220</f>
        <v>NVBDCP-Lymphatic Filariasis</v>
      </c>
      <c r="F49" s="990">
        <f>'6-A. Proc. Sub-Annex'!G220</f>
        <v>0</v>
      </c>
      <c r="G49" s="990">
        <f>'6-A. Proc. Sub-Annex'!H220</f>
        <v>0</v>
      </c>
      <c r="H49" s="990">
        <f>'6-A. Proc. Sub-Annex'!I220</f>
        <v>0</v>
      </c>
      <c r="I49" s="990">
        <f>'6-A. Proc. Sub-Annex'!J220</f>
        <v>0</v>
      </c>
      <c r="J49" s="990">
        <f>'6-A. Proc. Sub-Annex'!K220</f>
        <v>0</v>
      </c>
      <c r="K49" s="990">
        <f>'6-A. Proc. Sub-Annex'!L220</f>
        <v>0</v>
      </c>
      <c r="L49" s="990">
        <f>'6-A. Proc. Sub-Annex'!M220</f>
        <v>0</v>
      </c>
      <c r="M49" s="136">
        <f>'6-A. Proc. Sub-Annex'!N220</f>
        <v>0</v>
      </c>
      <c r="N49" s="990">
        <f>'6-A. Proc. Sub-Annex'!O220</f>
        <v>0</v>
      </c>
      <c r="O49" s="136">
        <f>'6-A. Proc. Sub-Annex'!P220</f>
        <v>0</v>
      </c>
      <c r="P49" s="78">
        <f>'6-A. Proc. Sub-Annex'!Q220</f>
        <v>0</v>
      </c>
      <c r="Q49" s="62"/>
      <c r="R49" s="318"/>
    </row>
    <row r="50" spans="1:18" ht="30">
      <c r="A50" s="4633"/>
      <c r="B50" s="78" t="str">
        <f>'6-A. Proc. Sub-Annex'!C221</f>
        <v>B.16.2.11.3.g</v>
      </c>
      <c r="C50" s="78" t="str">
        <f>'6-A. Proc. Sub-Annex'!D221</f>
        <v>Albendazole 400 mg tablets</v>
      </c>
      <c r="D50" s="990" t="str">
        <f>'6-A. Proc. Sub-Annex'!E221</f>
        <v>NDCP</v>
      </c>
      <c r="E50" s="990" t="str">
        <f>'6-A. Proc. Sub-Annex'!F221</f>
        <v>NVBDCP-Lymphatic Filariasis</v>
      </c>
      <c r="F50" s="990">
        <f>'6-A. Proc. Sub-Annex'!G221</f>
        <v>0</v>
      </c>
      <c r="G50" s="990">
        <f>'6-A. Proc. Sub-Annex'!H221</f>
        <v>0</v>
      </c>
      <c r="H50" s="990">
        <f>'6-A. Proc. Sub-Annex'!I221</f>
        <v>0</v>
      </c>
      <c r="I50" s="990">
        <f>'6-A. Proc. Sub-Annex'!J221</f>
        <v>0</v>
      </c>
      <c r="J50" s="990">
        <f>'6-A. Proc. Sub-Annex'!K221</f>
        <v>0</v>
      </c>
      <c r="K50" s="990">
        <f>'6-A. Proc. Sub-Annex'!L221</f>
        <v>0</v>
      </c>
      <c r="L50" s="990">
        <f>'6-A. Proc. Sub-Annex'!M221</f>
        <v>0</v>
      </c>
      <c r="M50" s="136">
        <f>'6-A. Proc. Sub-Annex'!N221</f>
        <v>0</v>
      </c>
      <c r="N50" s="990">
        <f>'6-A. Proc. Sub-Annex'!O221</f>
        <v>0</v>
      </c>
      <c r="O50" s="136">
        <f>'6-A. Proc. Sub-Annex'!P221</f>
        <v>0</v>
      </c>
      <c r="P50" s="78">
        <f>'6-A. Proc. Sub-Annex'!Q221</f>
        <v>0</v>
      </c>
      <c r="Q50" s="62"/>
      <c r="R50" s="318"/>
    </row>
    <row r="51" spans="1:18" ht="30">
      <c r="A51" s="4633"/>
      <c r="B51" s="78" t="str">
        <f>'6-A. Proc. Sub-Annex'!C222</f>
        <v>B.16.2.11.3.h</v>
      </c>
      <c r="C51" s="78" t="str">
        <f>'6-A. Proc. Sub-Annex'!D222</f>
        <v>Dengue NS1 antigen kit</v>
      </c>
      <c r="D51" s="990" t="str">
        <f>'6-A. Proc. Sub-Annex'!E222</f>
        <v>NDCP</v>
      </c>
      <c r="E51" s="990" t="str">
        <f>'6-A. Proc. Sub-Annex'!F222</f>
        <v>NVBDCP-Dengue &amp; Chikungunya</v>
      </c>
      <c r="F51" s="990">
        <f>'6-A. Proc. Sub-Annex'!G222</f>
        <v>0</v>
      </c>
      <c r="G51" s="990">
        <f>'6-A. Proc. Sub-Annex'!H222</f>
        <v>0</v>
      </c>
      <c r="H51" s="990">
        <f>'6-A. Proc. Sub-Annex'!I222</f>
        <v>0</v>
      </c>
      <c r="I51" s="990">
        <f>'6-A. Proc. Sub-Annex'!J222</f>
        <v>0</v>
      </c>
      <c r="J51" s="990">
        <f>'6-A. Proc. Sub-Annex'!K222</f>
        <v>0</v>
      </c>
      <c r="K51" s="990" t="str">
        <f>'6-A. Proc. Sub-Annex'!L222</f>
        <v>Dist</v>
      </c>
      <c r="L51" s="990">
        <f>'6-A. Proc. Sub-Annex'!M222</f>
        <v>15789</v>
      </c>
      <c r="M51" s="136">
        <f>'6-A. Proc. Sub-Annex'!N222</f>
        <v>0.15789</v>
      </c>
      <c r="N51" s="990">
        <f>'6-A. Proc. Sub-Annex'!O222</f>
        <v>38</v>
      </c>
      <c r="O51" s="136">
        <f>'6-A. Proc. Sub-Annex'!P222</f>
        <v>5.9998199999999997</v>
      </c>
      <c r="P51" s="78" t="str">
        <f>'6-A. Proc. Sub-Annex'!Q222</f>
        <v>For procurement of about 100 (96 wells T) ELISA based NS1 antigent kits on the basis of last three years case load.</v>
      </c>
      <c r="Q51" s="62"/>
      <c r="R51" s="318"/>
    </row>
    <row r="52" spans="1:18" ht="30">
      <c r="A52" s="4633"/>
      <c r="B52" s="78" t="str">
        <f>'6-A. Proc. Sub-Annex'!C223</f>
        <v>B.16.2.11.3.i</v>
      </c>
      <c r="C52" s="78" t="str">
        <f>'6-A. Proc. Sub-Annex'!D223</f>
        <v>Temephos, Bti (AS) / Bti (wp) (for polluted &amp; non polluted water)</v>
      </c>
      <c r="D52" s="990" t="str">
        <f>'6-A. Proc. Sub-Annex'!E223</f>
        <v>NDCP</v>
      </c>
      <c r="E52" s="990" t="str">
        <f>'6-A. Proc. Sub-Annex'!F223</f>
        <v>NVBDCP</v>
      </c>
      <c r="F52" s="990">
        <f>'6-A. Proc. Sub-Annex'!G223</f>
        <v>0</v>
      </c>
      <c r="G52" s="990">
        <f>'6-A. Proc. Sub-Annex'!H223</f>
        <v>0</v>
      </c>
      <c r="H52" s="990">
        <f>'6-A. Proc. Sub-Annex'!I223</f>
        <v>0</v>
      </c>
      <c r="I52" s="990">
        <f>'6-A. Proc. Sub-Annex'!J223</f>
        <v>0</v>
      </c>
      <c r="J52" s="990">
        <f>'6-A. Proc. Sub-Annex'!K223</f>
        <v>0</v>
      </c>
      <c r="K52" s="990" t="str">
        <f>'6-A. Proc. Sub-Annex'!L223</f>
        <v>Temephos/Diflubenzuron</v>
      </c>
      <c r="L52" s="990">
        <f>'6-A. Proc. Sub-Annex'!M223</f>
        <v>1275000</v>
      </c>
      <c r="M52" s="136">
        <f>'6-A. Proc. Sub-Annex'!N223</f>
        <v>12.75</v>
      </c>
      <c r="N52" s="990">
        <f>'6-A. Proc. Sub-Annex'!O223</f>
        <v>1</v>
      </c>
      <c r="O52" s="136">
        <f>'6-A. Proc. Sub-Annex'!P223</f>
        <v>12.75</v>
      </c>
      <c r="P52" s="78" t="str">
        <f>'6-A. Proc. Sub-Annex'!Q223</f>
        <v>Temephos/ Diflubenzuron</v>
      </c>
      <c r="Q52" s="62"/>
      <c r="R52" s="318"/>
    </row>
    <row r="53" spans="1:18" ht="120">
      <c r="A53" s="4633"/>
      <c r="B53" s="78" t="str">
        <f>'6-A. Proc. Sub-Annex'!C224</f>
        <v>B.16.2.11.3.j</v>
      </c>
      <c r="C53" s="78" t="str">
        <f>'6-A. Proc. Sub-Annex'!D224</f>
        <v>Pyrethrum extract 2% for spare spray</v>
      </c>
      <c r="D53" s="990" t="str">
        <f>'6-A. Proc. Sub-Annex'!E224</f>
        <v>NDCP</v>
      </c>
      <c r="E53" s="990" t="str">
        <f>'6-A. Proc. Sub-Annex'!F224</f>
        <v>NVBDCP</v>
      </c>
      <c r="F53" s="990">
        <f>'6-A. Proc. Sub-Annex'!G224</f>
        <v>0</v>
      </c>
      <c r="G53" s="990">
        <f>'6-A. Proc. Sub-Annex'!H224</f>
        <v>0</v>
      </c>
      <c r="H53" s="990">
        <f>'6-A. Proc. Sub-Annex'!I224</f>
        <v>0</v>
      </c>
      <c r="I53" s="990">
        <f>'6-A. Proc. Sub-Annex'!J224</f>
        <v>0</v>
      </c>
      <c r="J53" s="990">
        <f>'6-A. Proc. Sub-Annex'!K224</f>
        <v>0</v>
      </c>
      <c r="K53" s="990" t="str">
        <f>'6-A. Proc. Sub-Annex'!L224</f>
        <v>Dist</v>
      </c>
      <c r="L53" s="990">
        <f>'6-A. Proc. Sub-Annex'!M224</f>
        <v>78947</v>
      </c>
      <c r="M53" s="136">
        <f>'6-A. Proc. Sub-Annex'!N224</f>
        <v>0.78947000000000001</v>
      </c>
      <c r="N53" s="990">
        <f>'6-A. Proc. Sub-Annex'!O224</f>
        <v>38</v>
      </c>
      <c r="O53" s="136">
        <f>'6-A. Proc. Sub-Annex'!P224</f>
        <v>29.999860000000002</v>
      </c>
      <c r="P53" s="78" t="str">
        <f>'6-A. Proc. Sub-Annex'!Q224</f>
        <v>Fund proposed for Indoor space spray for Control of Dengue &amp; Chikungunya expected 4000 to 5000 cases in 2021 (Average of last three years case load of state). The Pyrethrum extract 2% space spray includes the  cost for purchase of 285 Ganesh Hand Sprayer Pump @ Rs 2500/- per piece approx, Cost of 500 litre of Pyrethrum extract 2% @ Rs 1200@litre approximately, Wages for hired labour for space spray work, Cost of about 10,000 litres of Kerosene oil (1:19, 1 litre Pyrethrum : 19 litres Kerosene oil), Mobility cost for space spray work. The average spray cost per Dengue/Chikungunya case is about Rs 500 to Rs 600/-</v>
      </c>
      <c r="Q53" s="62"/>
      <c r="R53" s="318"/>
    </row>
    <row r="54" spans="1:18" ht="30">
      <c r="A54" s="4633"/>
      <c r="B54" s="78" t="str">
        <f>'6-A. Proc. Sub-Annex'!C225</f>
        <v>B.16.2.11.3.k</v>
      </c>
      <c r="C54" s="78" t="str">
        <f>'6-A. Proc. Sub-Annex'!D225</f>
        <v>ACT ( For Non Project states)</v>
      </c>
      <c r="D54" s="990" t="str">
        <f>'6-A. Proc. Sub-Annex'!E225</f>
        <v>NDCP</v>
      </c>
      <c r="E54" s="990" t="str">
        <f>'6-A. Proc. Sub-Annex'!F225</f>
        <v>NVBDCP</v>
      </c>
      <c r="F54" s="990">
        <f>'6-A. Proc. Sub-Annex'!G225</f>
        <v>0</v>
      </c>
      <c r="G54" s="990">
        <f>'6-A. Proc. Sub-Annex'!H225</f>
        <v>0</v>
      </c>
      <c r="H54" s="990">
        <f>'6-A. Proc. Sub-Annex'!I225</f>
        <v>0</v>
      </c>
      <c r="I54" s="990">
        <f>'6-A. Proc. Sub-Annex'!J225</f>
        <v>0</v>
      </c>
      <c r="J54" s="990">
        <f>'6-A. Proc. Sub-Annex'!K225</f>
        <v>0</v>
      </c>
      <c r="K54" s="990">
        <f>'6-A. Proc. Sub-Annex'!L225</f>
        <v>0</v>
      </c>
      <c r="L54" s="990">
        <f>'6-A. Proc. Sub-Annex'!M225</f>
        <v>0</v>
      </c>
      <c r="M54" s="136">
        <f>'6-A. Proc. Sub-Annex'!N225</f>
        <v>0</v>
      </c>
      <c r="N54" s="990">
        <f>'6-A. Proc. Sub-Annex'!O225</f>
        <v>0</v>
      </c>
      <c r="O54" s="136">
        <f>'6-A. Proc. Sub-Annex'!P225</f>
        <v>0</v>
      </c>
      <c r="P54" s="78">
        <f>'6-A. Proc. Sub-Annex'!Q225</f>
        <v>0</v>
      </c>
      <c r="Q54" s="62"/>
      <c r="R54" s="318"/>
    </row>
    <row r="55" spans="1:18" ht="120">
      <c r="A55" s="4633"/>
      <c r="B55" s="78" t="str">
        <f>'6-A. Proc. Sub-Annex'!C226</f>
        <v>B.16.2.11.3.l</v>
      </c>
      <c r="C55" s="78" t="str">
        <f>'6-A. Proc. Sub-Annex'!D226</f>
        <v>RDT Malaria – bi-valent (For Non Project states)</v>
      </c>
      <c r="D55" s="990" t="str">
        <f>'6-A. Proc. Sub-Annex'!E226</f>
        <v>NDCP</v>
      </c>
      <c r="E55" s="990" t="str">
        <f>'6-A. Proc. Sub-Annex'!F226</f>
        <v>NVBDCP – Malaria</v>
      </c>
      <c r="F55" s="990">
        <f>'6-A. Proc. Sub-Annex'!G226</f>
        <v>0</v>
      </c>
      <c r="G55" s="990">
        <f>'6-A. Proc. Sub-Annex'!H226</f>
        <v>0</v>
      </c>
      <c r="H55" s="990">
        <f>'6-A. Proc. Sub-Annex'!I226</f>
        <v>0</v>
      </c>
      <c r="I55" s="990">
        <f>'6-A. Proc. Sub-Annex'!J226</f>
        <v>0</v>
      </c>
      <c r="J55" s="990">
        <f>'6-A. Proc. Sub-Annex'!K226</f>
        <v>0</v>
      </c>
      <c r="K55" s="990" t="str">
        <f>'6-A. Proc. Sub-Annex'!L226</f>
        <v>Dist</v>
      </c>
      <c r="L55" s="990">
        <f>'6-A. Proc. Sub-Annex'!M226</f>
        <v>105263</v>
      </c>
      <c r="M55" s="136">
        <f>'6-A. Proc. Sub-Annex'!N226</f>
        <v>1.05263</v>
      </c>
      <c r="N55" s="990">
        <f>'6-A. Proc. Sub-Annex'!O226</f>
        <v>38</v>
      </c>
      <c r="O55" s="136">
        <f>'6-A. Proc. Sub-Annex'!P226</f>
        <v>39.999939999999995</v>
      </c>
      <c r="P55" s="78" t="str">
        <f>'6-A. Proc. Sub-Annex'!Q226</f>
        <v>Due to lack of Human Resources in state, it is not possible to utilize 10 lakhs RDT kits in a year. With the present HR, the state can utilize maximum of 3 to 4 lakhs of RDT kits only. The stock of 2.5 lakhs of RDT kits of expiry date August and October 2021 is already available at different PHCs and district hospitals of the state, supplied in 2019 and 2020 by GoI and BMSICL. Due to Corona pandemic in 2020, the surveillance work of Malaria was very low, hence utilization of kit was low.                                                                                         Therefore, state has proposed the amount for 3 lakhs of RDT kits only for FY 2021-22.</v>
      </c>
      <c r="Q55" s="62"/>
      <c r="R55" s="318"/>
    </row>
    <row r="56" spans="1:18" ht="30">
      <c r="A56" s="4633"/>
      <c r="B56" s="78" t="str">
        <f>'6-A. Proc. Sub-Annex'!C227</f>
        <v>F.1.2.b</v>
      </c>
      <c r="C56" s="78" t="str">
        <f>'6-A. Proc. Sub-Annex'!D227</f>
        <v>Test kits (Nos.) to be supplied by GoI (kindly indicate numbers of ELISA based NS1 kit and Mac ELISA Kits required separately)</v>
      </c>
      <c r="D56" s="990" t="str">
        <f>'6-A. Proc. Sub-Annex'!E227</f>
        <v>NDCP</v>
      </c>
      <c r="E56" s="990" t="str">
        <f>'6-A. Proc. Sub-Annex'!F227</f>
        <v>NVBDCP - Dengue Chikungunya</v>
      </c>
      <c r="F56" s="990">
        <f>'6-A. Proc. Sub-Annex'!G227</f>
        <v>0</v>
      </c>
      <c r="G56" s="990">
        <f>'6-A. Proc. Sub-Annex'!H227</f>
        <v>0</v>
      </c>
      <c r="H56" s="990">
        <f>'6-A. Proc. Sub-Annex'!I227</f>
        <v>0</v>
      </c>
      <c r="I56" s="990">
        <f>'6-A. Proc. Sub-Annex'!J227</f>
        <v>0</v>
      </c>
      <c r="J56" s="990">
        <f>'6-A. Proc. Sub-Annex'!K227</f>
        <v>0</v>
      </c>
      <c r="K56" s="990" t="str">
        <f>'6-A. Proc. Sub-Annex'!L227</f>
        <v>SSHs</v>
      </c>
      <c r="L56" s="990">
        <f>'6-A. Proc. Sub-Annex'!M227</f>
        <v>2007000</v>
      </c>
      <c r="M56" s="136">
        <f>'6-A. Proc. Sub-Annex'!N227</f>
        <v>20.07</v>
      </c>
      <c r="N56" s="990">
        <f>'6-A. Proc. Sub-Annex'!O227</f>
        <v>1</v>
      </c>
      <c r="O56" s="136">
        <f>'6-A. Proc. Sub-Annex'!P227</f>
        <v>20.07</v>
      </c>
      <c r="P56" s="78" t="str">
        <f>'6-A. Proc. Sub-Annex'!Q227</f>
        <v>For 180 IgM Kits (150 Dengue + 30 Chikungunya) to be supplied by GoI in 2021 @ Rs 11150 per kit.</v>
      </c>
      <c r="Q56" s="62"/>
      <c r="R56" s="318"/>
    </row>
    <row r="57" spans="1:18" ht="30">
      <c r="A57" s="4633"/>
      <c r="B57" s="78" t="str">
        <f>'6-A. Proc. Sub-Annex'!C228</f>
        <v>F.1.3.e</v>
      </c>
      <c r="C57" s="78" t="str">
        <f>'6-A. Proc. Sub-Annex'!D228</f>
        <v>Procurement of Insecticides (Technical Malathion/Cyphenothrin)</v>
      </c>
      <c r="D57" s="990" t="str">
        <f>'6-A. Proc. Sub-Annex'!E228</f>
        <v>NDCP</v>
      </c>
      <c r="E57" s="990" t="str">
        <f>'6-A. Proc. Sub-Annex'!F228</f>
        <v>NVBDCP - AES/JE</v>
      </c>
      <c r="F57" s="990">
        <f>'6-A. Proc. Sub-Annex'!G228</f>
        <v>0</v>
      </c>
      <c r="G57" s="990">
        <f>'6-A. Proc. Sub-Annex'!H228</f>
        <v>0</v>
      </c>
      <c r="H57" s="990">
        <f>'6-A. Proc. Sub-Annex'!I228</f>
        <v>0</v>
      </c>
      <c r="I57" s="990">
        <f>'6-A. Proc. Sub-Annex'!J228</f>
        <v>0</v>
      </c>
      <c r="J57" s="990">
        <f>'6-A. Proc. Sub-Annex'!K228</f>
        <v>0</v>
      </c>
      <c r="K57" s="990" t="str">
        <f>'6-A. Proc. Sub-Annex'!L228</f>
        <v>Per Year</v>
      </c>
      <c r="L57" s="990">
        <f>'6-A. Proc. Sub-Annex'!M228</f>
        <v>200000</v>
      </c>
      <c r="M57" s="136">
        <f>'6-A. Proc. Sub-Annex'!N228</f>
        <v>2</v>
      </c>
      <c r="N57" s="990">
        <f>'6-A. Proc. Sub-Annex'!O228</f>
        <v>1</v>
      </c>
      <c r="O57" s="136">
        <f>'6-A. Proc. Sub-Annex'!P228</f>
        <v>2</v>
      </c>
      <c r="P57" s="78" t="str">
        <f>'6-A. Proc. Sub-Annex'!Q228</f>
        <v>Purchase of Technical Malathion for fogging(JE ,Dengue &amp; Chikungunya)</v>
      </c>
      <c r="Q57" s="62"/>
      <c r="R57" s="318"/>
    </row>
    <row r="58" spans="1:18" ht="30">
      <c r="A58" s="4633"/>
      <c r="B58" s="78" t="str">
        <f>'6-A. Proc. Sub-Annex'!C229</f>
        <v>F.1.3.l</v>
      </c>
      <c r="C58" s="78" t="str">
        <f>'6-A. Proc. Sub-Annex'!D229</f>
        <v>Payment to NIV towards JE kits at Head Quarter</v>
      </c>
      <c r="D58" s="990" t="str">
        <f>'6-A. Proc. Sub-Annex'!E229</f>
        <v>NDCP</v>
      </c>
      <c r="E58" s="990" t="str">
        <f>'6-A. Proc. Sub-Annex'!F229</f>
        <v>NVBDCP - AES/JE</v>
      </c>
      <c r="F58" s="990">
        <f>'6-A. Proc. Sub-Annex'!G229</f>
        <v>0</v>
      </c>
      <c r="G58" s="990">
        <f>'6-A. Proc. Sub-Annex'!H229</f>
        <v>0</v>
      </c>
      <c r="H58" s="990">
        <f>'6-A. Proc. Sub-Annex'!I229</f>
        <v>0</v>
      </c>
      <c r="I58" s="990">
        <f>'6-A. Proc. Sub-Annex'!J229</f>
        <v>0</v>
      </c>
      <c r="J58" s="990">
        <f>'6-A. Proc. Sub-Annex'!K229</f>
        <v>0</v>
      </c>
      <c r="K58" s="990" t="str">
        <f>'6-A. Proc. Sub-Annex'!L229</f>
        <v>Per Year</v>
      </c>
      <c r="L58" s="990">
        <f>'6-A. Proc. Sub-Annex'!M229</f>
        <v>892000</v>
      </c>
      <c r="M58" s="136">
        <f>'6-A. Proc. Sub-Annex'!N229</f>
        <v>8.92</v>
      </c>
      <c r="N58" s="990">
        <f>'6-A. Proc. Sub-Annex'!O229</f>
        <v>1</v>
      </c>
      <c r="O58" s="136">
        <f>'6-A. Proc. Sub-Annex'!P229</f>
        <v>8.92</v>
      </c>
      <c r="P58" s="78" t="str">
        <f>'6-A. Proc. Sub-Annex'!Q229</f>
        <v>Purchage of JE ELISA Kit by GoI through NIV,Pune</v>
      </c>
      <c r="Q58" s="62"/>
      <c r="R58" s="318"/>
    </row>
    <row r="59" spans="1:18" ht="30">
      <c r="A59" s="4633"/>
      <c r="B59" s="78" t="str">
        <f>'6-A. Proc. Sub-Annex'!C230</f>
        <v>F.2.1.d</v>
      </c>
      <c r="C59" s="78" t="str">
        <f>'6-A. Proc. Sub-Annex'!D230</f>
        <v>Procurement under GFATM</v>
      </c>
      <c r="D59" s="990" t="str">
        <f>'6-A. Proc. Sub-Annex'!E230</f>
        <v>NDCP</v>
      </c>
      <c r="E59" s="990" t="str">
        <f>'6-A. Proc. Sub-Annex'!F230</f>
        <v>NVBDCP - GFATM</v>
      </c>
      <c r="F59" s="990">
        <f>'6-A. Proc. Sub-Annex'!G230</f>
        <v>0</v>
      </c>
      <c r="G59" s="990">
        <f>'6-A. Proc. Sub-Annex'!H230</f>
        <v>0</v>
      </c>
      <c r="H59" s="990">
        <f>'6-A. Proc. Sub-Annex'!I230</f>
        <v>0</v>
      </c>
      <c r="I59" s="990">
        <f>'6-A. Proc. Sub-Annex'!J230</f>
        <v>0</v>
      </c>
      <c r="J59" s="990">
        <f>'6-A. Proc. Sub-Annex'!K230</f>
        <v>0</v>
      </c>
      <c r="K59" s="990">
        <f>'6-A. Proc. Sub-Annex'!L230</f>
        <v>0</v>
      </c>
      <c r="L59" s="990">
        <f>'6-A. Proc. Sub-Annex'!M230</f>
        <v>0</v>
      </c>
      <c r="M59" s="136">
        <f>'6-A. Proc. Sub-Annex'!N230</f>
        <v>0</v>
      </c>
      <c r="N59" s="990">
        <f>'6-A. Proc. Sub-Annex'!O230</f>
        <v>0</v>
      </c>
      <c r="O59" s="136">
        <f>'6-A. Proc. Sub-Annex'!P230</f>
        <v>0</v>
      </c>
      <c r="P59" s="78">
        <f>'6-A. Proc. Sub-Annex'!Q230</f>
        <v>0</v>
      </c>
      <c r="Q59" s="62"/>
      <c r="R59" s="318"/>
    </row>
    <row r="60" spans="1:18" ht="45">
      <c r="A60" s="4633"/>
      <c r="B60" s="78" t="str">
        <f>'6-A. Proc. Sub-Annex'!C231</f>
        <v>B.16.2.11.3.m</v>
      </c>
      <c r="C60" s="78" t="str">
        <f>'6-A. Proc. Sub-Annex'!D231</f>
        <v>Any other drugs &amp; supplies (please specify)</v>
      </c>
      <c r="D60" s="990" t="str">
        <f>'6-A. Proc. Sub-Annex'!E231</f>
        <v>NDCP</v>
      </c>
      <c r="E60" s="990" t="str">
        <f>'6-A. Proc. Sub-Annex'!F231</f>
        <v>NVBDCP</v>
      </c>
      <c r="F60" s="990">
        <f>'6-A. Proc. Sub-Annex'!G231</f>
        <v>0</v>
      </c>
      <c r="G60" s="990">
        <f>'6-A. Proc. Sub-Annex'!H231</f>
        <v>0</v>
      </c>
      <c r="H60" s="990">
        <f>'6-A. Proc. Sub-Annex'!I231</f>
        <v>0</v>
      </c>
      <c r="I60" s="990">
        <f>'6-A. Proc. Sub-Annex'!J231</f>
        <v>0</v>
      </c>
      <c r="J60" s="990">
        <f>'6-A. Proc. Sub-Annex'!K231</f>
        <v>0</v>
      </c>
      <c r="K60" s="990" t="str">
        <f>'6-A. Proc. Sub-Annex'!L231</f>
        <v>Dist</v>
      </c>
      <c r="L60" s="990">
        <f>'6-A. Proc. Sub-Annex'!M231</f>
        <v>26316</v>
      </c>
      <c r="M60" s="136">
        <f>'6-A. Proc. Sub-Annex'!N231</f>
        <v>0.26316000000000001</v>
      </c>
      <c r="N60" s="990">
        <f>'6-A. Proc. Sub-Annex'!O231</f>
        <v>38</v>
      </c>
      <c r="O60" s="136">
        <f>'6-A. Proc. Sub-Annex'!P231</f>
        <v>10.000080000000001</v>
      </c>
      <c r="P60" s="78" t="str">
        <f>'6-A. Proc. Sub-Annex'!Q231</f>
        <v>Fund proposed for repairing/maintenance of 107 reparable fogging machine at district HQ and State HQ @ Rs 10,000/- each approximately.                                           Fund proposed as per direction given in NVBDCP remarks coloumn</v>
      </c>
      <c r="Q60" s="62"/>
      <c r="R60" s="318"/>
    </row>
    <row r="61" spans="1:18">
      <c r="A61" s="985">
        <f>'9.Training Annex'!A7</f>
        <v>9</v>
      </c>
      <c r="B61" s="985"/>
      <c r="C61" s="985" t="str">
        <f>'9.Training Annex'!C7</f>
        <v>Training and Capacity Building</v>
      </c>
      <c r="D61" s="984"/>
      <c r="E61" s="984"/>
      <c r="F61" s="984"/>
      <c r="G61" s="984"/>
      <c r="H61" s="984"/>
      <c r="I61" s="984"/>
      <c r="J61" s="984"/>
      <c r="K61" s="984"/>
      <c r="L61" s="984"/>
      <c r="M61" s="485"/>
      <c r="N61" s="984"/>
      <c r="O61" s="485">
        <f>SUM(O62:O69)</f>
        <v>656.40329999999994</v>
      </c>
      <c r="P61" s="985"/>
      <c r="Q61" s="897"/>
      <c r="R61" s="99">
        <f>SUM(R62:R69)</f>
        <v>0</v>
      </c>
    </row>
    <row r="62" spans="1:18" ht="30">
      <c r="A62" s="4633" t="str">
        <f>'9.Training Annex'!A48</f>
        <v>9.2.3.2</v>
      </c>
      <c r="B62" s="78" t="str">
        <f>'9-A.Training Sub-Annex'!C220</f>
        <v>F.1.1.f</v>
      </c>
      <c r="C62" s="78" t="str">
        <f>'9-A.Training Sub-Annex'!D220</f>
        <v>Training / Capacity Building (Malaria)</v>
      </c>
      <c r="D62" s="990" t="str">
        <f>'9-A.Training Sub-Annex'!E220</f>
        <v>NDCP</v>
      </c>
      <c r="E62" s="990" t="str">
        <f>'9-A.Training Sub-Annex'!F220</f>
        <v>NVBDCP – Malaria</v>
      </c>
      <c r="F62" s="990">
        <f>'9-A.Training Sub-Annex'!G220</f>
        <v>0</v>
      </c>
      <c r="G62" s="990">
        <f>'9-A.Training Sub-Annex'!H220</f>
        <v>0</v>
      </c>
      <c r="H62" s="990">
        <f>'9-A.Training Sub-Annex'!I220</f>
        <v>0</v>
      </c>
      <c r="I62" s="990">
        <f>'9-A.Training Sub-Annex'!J220</f>
        <v>0</v>
      </c>
      <c r="J62" s="990">
        <f>'9-A.Training Sub-Annex'!K220</f>
        <v>0</v>
      </c>
      <c r="K62" s="990" t="str">
        <f>'9-A.Training Sub-Annex'!L220</f>
        <v>Dist</v>
      </c>
      <c r="L62" s="990">
        <f>'9-A.Training Sub-Annex'!M220</f>
        <v>64872</v>
      </c>
      <c r="M62" s="136">
        <f>'9-A.Training Sub-Annex'!N220</f>
        <v>0.64871999999999996</v>
      </c>
      <c r="N62" s="990">
        <f>'9-A.Training Sub-Annex'!O220</f>
        <v>39</v>
      </c>
      <c r="O62" s="136">
        <f>'9-A.Training Sub-Annex'!P220</f>
        <v>25.300079999999998</v>
      </c>
      <c r="P62" s="78" t="str">
        <f>'9-A.Training Sub-Annex'!Q220</f>
        <v>L.T. Training for malaria,  8 batches (25 LT/batch) &amp; 3800 ASHA(100 ASHA per districts) to be trained @ Rs. 350/ASHA, 38 DVBDCO and 58 VDCO training</v>
      </c>
      <c r="Q62" s="62"/>
      <c r="R62" s="318"/>
    </row>
    <row r="63" spans="1:18" ht="45">
      <c r="A63" s="4633"/>
      <c r="B63" s="78" t="str">
        <f>'9-A.Training Sub-Annex'!C221</f>
        <v>F.1.2.h</v>
      </c>
      <c r="C63" s="78" t="str">
        <f>'9-A.Training Sub-Annex'!D221</f>
        <v>Training / Workshop (Dengue and Chikungunya)</v>
      </c>
      <c r="D63" s="990" t="str">
        <f>'9-A.Training Sub-Annex'!E221</f>
        <v>NDCP</v>
      </c>
      <c r="E63" s="990" t="str">
        <f>'9-A.Training Sub-Annex'!F221</f>
        <v>NVBDCP-Dengue &amp; Chikungunya</v>
      </c>
      <c r="F63" s="990">
        <f>'9-A.Training Sub-Annex'!G221</f>
        <v>0</v>
      </c>
      <c r="G63" s="990">
        <f>'9-A.Training Sub-Annex'!H221</f>
        <v>0</v>
      </c>
      <c r="H63" s="990">
        <f>'9-A.Training Sub-Annex'!I221</f>
        <v>0</v>
      </c>
      <c r="I63" s="990">
        <f>'9-A.Training Sub-Annex'!J221</f>
        <v>0</v>
      </c>
      <c r="J63" s="990">
        <f>'9-A.Training Sub-Annex'!K221</f>
        <v>0</v>
      </c>
      <c r="K63" s="990" t="str">
        <f>'9-A.Training Sub-Annex'!L221</f>
        <v>State</v>
      </c>
      <c r="L63" s="990">
        <f>'9-A.Training Sub-Annex'!M221</f>
        <v>400000</v>
      </c>
      <c r="M63" s="136">
        <f>'9-A.Training Sub-Annex'!N221</f>
        <v>4</v>
      </c>
      <c r="N63" s="990">
        <f>'9-A.Training Sub-Annex'!O221</f>
        <v>1</v>
      </c>
      <c r="O63" s="136">
        <f>'9-A.Training Sub-Annex'!P221</f>
        <v>4</v>
      </c>
      <c r="P63" s="78" t="str">
        <f>'9-A.Training Sub-Annex'!Q221</f>
        <v>Includes training of clinicians and other paramedical staff at state and district level for case management and programme management. No. of persons to be trained Doctors-76 and LT-76.</v>
      </c>
      <c r="Q63" s="62"/>
      <c r="R63" s="318"/>
    </row>
    <row r="64" spans="1:18" ht="30">
      <c r="A64" s="4633"/>
      <c r="B64" s="78" t="str">
        <f>'9-A.Training Sub-Annex'!C222</f>
        <v>F.1.3.b</v>
      </c>
      <c r="C64" s="78" t="str">
        <f>'9-A.Training Sub-Annex'!D222</f>
        <v>Capacity Building (AES/ JE)</v>
      </c>
      <c r="D64" s="990" t="str">
        <f>'9-A.Training Sub-Annex'!E222</f>
        <v>NDCP</v>
      </c>
      <c r="E64" s="990" t="str">
        <f>'9-A.Training Sub-Annex'!F222</f>
        <v>NVBDCP-AES/JE</v>
      </c>
      <c r="F64" s="990">
        <f>'9-A.Training Sub-Annex'!G222</f>
        <v>0</v>
      </c>
      <c r="G64" s="990">
        <f>'9-A.Training Sub-Annex'!H222</f>
        <v>0</v>
      </c>
      <c r="H64" s="990">
        <f>'9-A.Training Sub-Annex'!I222</f>
        <v>0</v>
      </c>
      <c r="I64" s="990">
        <f>'9-A.Training Sub-Annex'!J222</f>
        <v>0</v>
      </c>
      <c r="J64" s="990">
        <f>'9-A.Training Sub-Annex'!K222</f>
        <v>0</v>
      </c>
      <c r="K64" s="990" t="str">
        <f>'9-A.Training Sub-Annex'!L222</f>
        <v>Per Year</v>
      </c>
      <c r="L64" s="990">
        <f>'9-A.Training Sub-Annex'!M222</f>
        <v>2000000</v>
      </c>
      <c r="M64" s="136">
        <f>'9-A.Training Sub-Annex'!N222</f>
        <v>20</v>
      </c>
      <c r="N64" s="990">
        <f>'9-A.Training Sub-Annex'!O222</f>
        <v>1</v>
      </c>
      <c r="O64" s="136">
        <f>'9-A.Training Sub-Annex'!P222</f>
        <v>20</v>
      </c>
      <c r="P64" s="78" t="str">
        <f>'9-A.Training Sub-Annex'!Q222</f>
        <v>Meeting/Workshop of MOs,Paramedical Staff on AES_JE(Provision  for districts &amp; State)</v>
      </c>
      <c r="Q64" s="62"/>
      <c r="R64" s="318"/>
    </row>
    <row r="65" spans="1:18" ht="30">
      <c r="A65" s="4633"/>
      <c r="B65" s="78" t="str">
        <f>'9-A.Training Sub-Annex'!C223</f>
        <v>F.1.3.c</v>
      </c>
      <c r="C65" s="78" t="str">
        <f>'9-A.Training Sub-Annex'!D223</f>
        <v>Training specific for JE prevention and management</v>
      </c>
      <c r="D65" s="990" t="str">
        <f>'9-A.Training Sub-Annex'!E223</f>
        <v>NDCP</v>
      </c>
      <c r="E65" s="990" t="str">
        <f>'9-A.Training Sub-Annex'!F223</f>
        <v>NVBDCP-AES/JE</v>
      </c>
      <c r="F65" s="990">
        <f>'9-A.Training Sub-Annex'!G223</f>
        <v>0</v>
      </c>
      <c r="G65" s="990">
        <f>'9-A.Training Sub-Annex'!H223</f>
        <v>0</v>
      </c>
      <c r="H65" s="990">
        <f>'9-A.Training Sub-Annex'!I223</f>
        <v>0</v>
      </c>
      <c r="I65" s="990">
        <f>'9-A.Training Sub-Annex'!J223</f>
        <v>0</v>
      </c>
      <c r="J65" s="990">
        <f>'9-A.Training Sub-Annex'!K223</f>
        <v>0</v>
      </c>
      <c r="K65" s="990">
        <f>'9-A.Training Sub-Annex'!L223</f>
        <v>0</v>
      </c>
      <c r="L65" s="990">
        <f>'9-A.Training Sub-Annex'!M223</f>
        <v>0</v>
      </c>
      <c r="M65" s="136">
        <f>'9-A.Training Sub-Annex'!N223</f>
        <v>0</v>
      </c>
      <c r="N65" s="990">
        <f>'9-A.Training Sub-Annex'!O223</f>
        <v>0</v>
      </c>
      <c r="O65" s="136">
        <f>'9-A.Training Sub-Annex'!P223</f>
        <v>0</v>
      </c>
      <c r="P65" s="78">
        <f>'9-A.Training Sub-Annex'!Q223</f>
        <v>0</v>
      </c>
      <c r="Q65" s="62"/>
      <c r="R65" s="318"/>
    </row>
    <row r="66" spans="1:18" ht="30">
      <c r="A66" s="4633"/>
      <c r="B66" s="78" t="str">
        <f>'9-A.Training Sub-Annex'!C224</f>
        <v>F.1.3.l</v>
      </c>
      <c r="C66" s="78" t="str">
        <f>'9-A.Training Sub-Annex'!D224</f>
        <v>Other Charges for  Training /Workshop Meeting (AES/ JE)</v>
      </c>
      <c r="D66" s="990" t="str">
        <f>'9-A.Training Sub-Annex'!E224</f>
        <v>NDCP</v>
      </c>
      <c r="E66" s="990" t="str">
        <f>'9-A.Training Sub-Annex'!F224</f>
        <v>NVBDCP-AES/JE</v>
      </c>
      <c r="F66" s="990">
        <f>'9-A.Training Sub-Annex'!G224</f>
        <v>0</v>
      </c>
      <c r="G66" s="990">
        <f>'9-A.Training Sub-Annex'!H224</f>
        <v>0</v>
      </c>
      <c r="H66" s="990">
        <f>'9-A.Training Sub-Annex'!I224</f>
        <v>0</v>
      </c>
      <c r="I66" s="990">
        <f>'9-A.Training Sub-Annex'!J224</f>
        <v>0</v>
      </c>
      <c r="J66" s="990">
        <f>'9-A.Training Sub-Annex'!K224</f>
        <v>0</v>
      </c>
      <c r="K66" s="990" t="str">
        <f>'9-A.Training Sub-Annex'!L224</f>
        <v>Per Year</v>
      </c>
      <c r="L66" s="990">
        <f>'9-A.Training Sub-Annex'!M224</f>
        <v>800000</v>
      </c>
      <c r="M66" s="136">
        <f>'9-A.Training Sub-Annex'!N224</f>
        <v>8</v>
      </c>
      <c r="N66" s="990">
        <f>'9-A.Training Sub-Annex'!O224</f>
        <v>1</v>
      </c>
      <c r="O66" s="136">
        <f>'9-A.Training Sub-Annex'!P224</f>
        <v>8</v>
      </c>
      <c r="P66" s="78" t="str">
        <f>'9-A.Training Sub-Annex'!Q224</f>
        <v>Meeting/Workshop of MOs,Paramedical Staff on AES_JE(Provision  for districts &amp; State)</v>
      </c>
      <c r="Q66" s="62"/>
      <c r="R66" s="318"/>
    </row>
    <row r="67" spans="1:18" ht="105">
      <c r="A67" s="4633"/>
      <c r="B67" s="78" t="str">
        <f>'9-A.Training Sub-Annex'!C225</f>
        <v>F.1.4.d</v>
      </c>
      <c r="C67" s="78" t="str">
        <f>'9-A.Training Sub-Annex'!D225</f>
        <v>Training/sensitization of district level officers on ELF and drug distributors including peripheral health workers (AES/ JE)</v>
      </c>
      <c r="D67" s="990" t="str">
        <f>'9-A.Training Sub-Annex'!E225</f>
        <v>NDCP</v>
      </c>
      <c r="E67" s="990" t="str">
        <f>'9-A.Training Sub-Annex'!F225</f>
        <v>NVBDCP-AES/JE</v>
      </c>
      <c r="F67" s="990">
        <f>'9-A.Training Sub-Annex'!G225</f>
        <v>0</v>
      </c>
      <c r="G67" s="990">
        <f>'9-A.Training Sub-Annex'!H225</f>
        <v>0</v>
      </c>
      <c r="H67" s="990">
        <f>'9-A.Training Sub-Annex'!I225</f>
        <v>0</v>
      </c>
      <c r="I67" s="990">
        <f>'9-A.Training Sub-Annex'!J225</f>
        <v>0</v>
      </c>
      <c r="J67" s="990">
        <f>'9-A.Training Sub-Annex'!K225</f>
        <v>0</v>
      </c>
      <c r="K67" s="990" t="str">
        <f>'9-A.Training Sub-Annex'!L225</f>
        <v>Training/sensitization of district level officers on ELF and drug distributors including peripheral health workers (AES/ JE)</v>
      </c>
      <c r="L67" s="990">
        <f>'9-A.Training Sub-Annex'!M225</f>
        <v>54940000</v>
      </c>
      <c r="M67" s="136">
        <f>'9-A.Training Sub-Annex'!N225</f>
        <v>549.4</v>
      </c>
      <c r="N67" s="990">
        <f>'9-A.Training Sub-Annex'!O225</f>
        <v>1</v>
      </c>
      <c r="O67" s="136">
        <f>'9-A.Training Sub-Annex'!P225</f>
        <v>549.4</v>
      </c>
      <c r="P67" s="78" t="str">
        <f>'9-A.Training Sub-Annex'!Q225</f>
        <v>Training/sensitization of district level officers on ELF and drug distributors including peripheral health workers (AES/ JE) &amp; MMDP Training</v>
      </c>
      <c r="Q67" s="62"/>
      <c r="R67" s="318"/>
    </row>
    <row r="68" spans="1:18" ht="30">
      <c r="A68" s="4633"/>
      <c r="B68" s="78"/>
      <c r="C68" s="78" t="str">
        <f>'9-A.Training Sub-Annex'!D226</f>
        <v>Training under MVCR</v>
      </c>
      <c r="D68" s="990" t="str">
        <f>'9-A.Training Sub-Annex'!E226</f>
        <v>NDCP</v>
      </c>
      <c r="E68" s="990" t="str">
        <f>'9-A.Training Sub-Annex'!F226</f>
        <v>NVBDCP – Malaria</v>
      </c>
      <c r="F68" s="990">
        <f>'9-A.Training Sub-Annex'!G226</f>
        <v>0</v>
      </c>
      <c r="G68" s="990">
        <f>'9-A.Training Sub-Annex'!H226</f>
        <v>0</v>
      </c>
      <c r="H68" s="990">
        <f>'9-A.Training Sub-Annex'!I226</f>
        <v>0</v>
      </c>
      <c r="I68" s="990">
        <f>'9-A.Training Sub-Annex'!J226</f>
        <v>0</v>
      </c>
      <c r="J68" s="990">
        <f>'9-A.Training Sub-Annex'!K226</f>
        <v>0</v>
      </c>
      <c r="K68" s="990">
        <f>'9-A.Training Sub-Annex'!L226</f>
        <v>0</v>
      </c>
      <c r="L68" s="990">
        <f>'9-A.Training Sub-Annex'!M226</f>
        <v>0</v>
      </c>
      <c r="M68" s="136">
        <f>'9-A.Training Sub-Annex'!N226</f>
        <v>0</v>
      </c>
      <c r="N68" s="990">
        <f>'9-A.Training Sub-Annex'!O226</f>
        <v>0</v>
      </c>
      <c r="O68" s="136">
        <f>'9-A.Training Sub-Annex'!P226</f>
        <v>0</v>
      </c>
      <c r="P68" s="78">
        <f>'9-A.Training Sub-Annex'!Q226</f>
        <v>0</v>
      </c>
      <c r="Q68" s="62"/>
      <c r="R68" s="318"/>
    </row>
    <row r="69" spans="1:18" ht="30">
      <c r="A69" s="4633"/>
      <c r="B69" s="78"/>
      <c r="C69" s="78" t="str">
        <f>'9-A.Training Sub-Annex'!D227</f>
        <v>Any other (please specify)</v>
      </c>
      <c r="D69" s="990" t="str">
        <f>'9-A.Training Sub-Annex'!E227</f>
        <v>NDCP</v>
      </c>
      <c r="E69" s="990" t="str">
        <f>'9-A.Training Sub-Annex'!F227</f>
        <v>NVBDCP</v>
      </c>
      <c r="F69" s="990">
        <f>'9-A.Training Sub-Annex'!G227</f>
        <v>0</v>
      </c>
      <c r="G69" s="990">
        <f>'9-A.Training Sub-Annex'!H227</f>
        <v>0</v>
      </c>
      <c r="H69" s="990">
        <f>'9-A.Training Sub-Annex'!I227</f>
        <v>0</v>
      </c>
      <c r="I69" s="990">
        <f>'9-A.Training Sub-Annex'!J227</f>
        <v>0</v>
      </c>
      <c r="J69" s="990">
        <f>'9-A.Training Sub-Annex'!K227</f>
        <v>0</v>
      </c>
      <c r="K69" s="990" t="str">
        <f>'9-A.Training Sub-Annex'!L227</f>
        <v>Asha Mos,KI,VDCO,VBDC</v>
      </c>
      <c r="L69" s="990">
        <f>'9-A.Training Sub-Annex'!M227</f>
        <v>189</v>
      </c>
      <c r="M69" s="136">
        <f>'9-A.Training Sub-Annex'!N227</f>
        <v>1.89E-3</v>
      </c>
      <c r="N69" s="990">
        <f>'9-A.Training Sub-Annex'!O227</f>
        <v>26298</v>
      </c>
      <c r="O69" s="136">
        <f>'9-A.Training Sub-Annex'!P227</f>
        <v>49.703220000000002</v>
      </c>
      <c r="P69" s="78" t="str">
        <f>'9-A.Training Sub-Annex'!Q227</f>
        <v>Training of 7460 KA infroment, 18650 Asha and 88 Mo,Reorientation training on KAMIS for VDCO &amp; VBDC.</v>
      </c>
      <c r="Q69" s="62"/>
      <c r="R69" s="318"/>
    </row>
    <row r="70" spans="1:18">
      <c r="A70" s="985">
        <f>'10.Review Research &amp; Surveillen'!A7</f>
        <v>10</v>
      </c>
      <c r="B70" s="985"/>
      <c r="C70" s="985" t="str">
        <f>'10.Review Research &amp; Surveillen'!C7</f>
        <v>Reviews, Research, Surveys and Surveillance</v>
      </c>
      <c r="D70" s="984"/>
      <c r="E70" s="984"/>
      <c r="F70" s="984"/>
      <c r="G70" s="984"/>
      <c r="H70" s="984"/>
      <c r="I70" s="984"/>
      <c r="J70" s="984"/>
      <c r="K70" s="984"/>
      <c r="L70" s="984"/>
      <c r="M70" s="485"/>
      <c r="N70" s="984"/>
      <c r="O70" s="485">
        <f>SUM(O71:O88)</f>
        <v>225.73596000000001</v>
      </c>
      <c r="P70" s="985"/>
      <c r="Q70" s="897"/>
      <c r="R70" s="99">
        <f>SUM(R71:R88)</f>
        <v>0</v>
      </c>
    </row>
    <row r="71" spans="1:18" ht="30">
      <c r="A71" s="1002" t="str">
        <f>'10.Review Research &amp; Surveillen'!A15</f>
        <v>10.2.3</v>
      </c>
      <c r="B71" s="1002" t="str">
        <f>'10.Review Research &amp; Surveillen'!B15</f>
        <v>F.1.3.h</v>
      </c>
      <c r="C71" s="1002" t="str">
        <f>'10.Review Research &amp; Surveillen'!C15</f>
        <v>Operational Research - AES/ JE</v>
      </c>
      <c r="D71" s="1031" t="str">
        <f>'10.Review Research &amp; Surveillen'!D15</f>
        <v>NDCP</v>
      </c>
      <c r="E71" s="1031" t="str">
        <f>'10.Review Research &amp; Surveillen'!E15</f>
        <v>NVBDCP - AES/JE</v>
      </c>
      <c r="F71" s="1031">
        <f>'10.Review Research &amp; Surveillen'!F15</f>
        <v>0</v>
      </c>
      <c r="G71" s="1031">
        <f>'10.Review Research &amp; Surveillen'!G15</f>
        <v>0</v>
      </c>
      <c r="H71" s="1031">
        <f>'10.Review Research &amp; Surveillen'!H15</f>
        <v>0</v>
      </c>
      <c r="I71" s="1031">
        <f>'10.Review Research &amp; Surveillen'!I15</f>
        <v>0</v>
      </c>
      <c r="J71" s="1031">
        <f>'10.Review Research &amp; Surveillen'!J15</f>
        <v>0</v>
      </c>
      <c r="K71" s="1031">
        <f>'10.Review Research &amp; Surveillen'!K15</f>
        <v>0</v>
      </c>
      <c r="L71" s="1031">
        <f>'10.Review Research &amp; Surveillen'!L15</f>
        <v>0</v>
      </c>
      <c r="M71" s="136">
        <f>'10.Review Research &amp; Surveillen'!M15</f>
        <v>0</v>
      </c>
      <c r="N71" s="1031">
        <f>'10.Review Research &amp; Surveillen'!N15</f>
        <v>0</v>
      </c>
      <c r="O71" s="136">
        <f>'10.Review Research &amp; Surveillen'!O15</f>
        <v>0</v>
      </c>
      <c r="P71" s="1002">
        <f>'10.Review Research &amp; Surveillen'!P15</f>
        <v>0</v>
      </c>
      <c r="Q71" s="62"/>
      <c r="R71" s="318"/>
    </row>
    <row r="72" spans="1:18" ht="30">
      <c r="A72" s="1002" t="str">
        <f>'10.Review Research &amp; Surveillen'!A16</f>
        <v>10.2.4</v>
      </c>
      <c r="B72" s="1002" t="str">
        <f>'10.Review Research &amp; Surveillen'!B16</f>
        <v>F.1.4.b</v>
      </c>
      <c r="C72" s="1002" t="str">
        <f>'10.Review Research &amp; Surveillen'!C16</f>
        <v>Microfilaria Survey - Lymphatic Filariasis</v>
      </c>
      <c r="D72" s="1031" t="str">
        <f>'10.Review Research &amp; Surveillen'!D16</f>
        <v>NDCP</v>
      </c>
      <c r="E72" s="1031" t="str">
        <f>'10.Review Research &amp; Surveillen'!E16</f>
        <v>NVBDCP-Lymphatic Filariasis</v>
      </c>
      <c r="F72" s="1031">
        <f>'10.Review Research &amp; Surveillen'!F16</f>
        <v>0</v>
      </c>
      <c r="G72" s="1031">
        <f>'10.Review Research &amp; Surveillen'!G16</f>
        <v>0</v>
      </c>
      <c r="H72" s="1031">
        <f>'10.Review Research &amp; Surveillen'!H16</f>
        <v>0</v>
      </c>
      <c r="I72" s="1031">
        <f>'10.Review Research &amp; Surveillen'!I16</f>
        <v>0</v>
      </c>
      <c r="J72" s="1031">
        <f>'10.Review Research &amp; Surveillen'!J16</f>
        <v>0</v>
      </c>
      <c r="K72" s="1031" t="str">
        <f>'10.Review Research &amp; Surveillen'!K16</f>
        <v>Micro Filaria Survey- Lymphatic Filariasis</v>
      </c>
      <c r="L72" s="1031">
        <f>'10.Review Research &amp; Surveillen'!L16</f>
        <v>1900000</v>
      </c>
      <c r="M72" s="136">
        <f>'10.Review Research &amp; Surveillen'!M16</f>
        <v>19</v>
      </c>
      <c r="N72" s="1031">
        <f>'10.Review Research &amp; Surveillen'!N16</f>
        <v>1</v>
      </c>
      <c r="O72" s="136">
        <f>'10.Review Research &amp; Surveillen'!O16</f>
        <v>19</v>
      </c>
      <c r="P72" s="1002" t="str">
        <f>'10.Review Research &amp; Surveillen'!P16</f>
        <v xml:space="preserve">Microfilaria Survey - Lymphatic Filariasis @50000/- per district </v>
      </c>
      <c r="Q72" s="62"/>
      <c r="R72" s="318"/>
    </row>
    <row r="73" spans="1:18" ht="30">
      <c r="A73" s="1002" t="str">
        <f>'10.Review Research &amp; Surveillen'!A17</f>
        <v>10.2.5</v>
      </c>
      <c r="B73" s="1002" t="str">
        <f>'10.Review Research &amp; Surveillen'!B17</f>
        <v>F.1.4.c</v>
      </c>
      <c r="C73" s="1002" t="str">
        <f>'10.Review Research &amp; Surveillen'!C17</f>
        <v>Monitoring  &amp;Evaluation (Post MDA assessment by medical colleges (Govt. &amp; private)/ICMR institutions )</v>
      </c>
      <c r="D73" s="1031" t="str">
        <f>'10.Review Research &amp; Surveillen'!D17</f>
        <v>NDCP</v>
      </c>
      <c r="E73" s="1031" t="str">
        <f>'10.Review Research &amp; Surveillen'!E17</f>
        <v>NVBDCP-Lymphatic Filariasis</v>
      </c>
      <c r="F73" s="1031">
        <f>'10.Review Research &amp; Surveillen'!F17</f>
        <v>0</v>
      </c>
      <c r="G73" s="1031">
        <f>'10.Review Research &amp; Surveillen'!G17</f>
        <v>0</v>
      </c>
      <c r="H73" s="1031">
        <f>'10.Review Research &amp; Surveillen'!H17</f>
        <v>0</v>
      </c>
      <c r="I73" s="1031">
        <f>'10.Review Research &amp; Surveillen'!I17</f>
        <v>0</v>
      </c>
      <c r="J73" s="1031">
        <f>'10.Review Research &amp; Surveillen'!J17</f>
        <v>0</v>
      </c>
      <c r="K73" s="1031" t="str">
        <f>'10.Review Research &amp; Surveillen'!K17</f>
        <v xml:space="preserve">Monitoring and Evaluation  </v>
      </c>
      <c r="L73" s="1031">
        <f>'10.Review Research &amp; Surveillen'!L17</f>
        <v>1900000</v>
      </c>
      <c r="M73" s="136">
        <f>'10.Review Research &amp; Surveillen'!M17</f>
        <v>19</v>
      </c>
      <c r="N73" s="1031">
        <f>'10.Review Research &amp; Surveillen'!N17</f>
        <v>1</v>
      </c>
      <c r="O73" s="136">
        <f>'10.Review Research &amp; Surveillen'!O17</f>
        <v>19</v>
      </c>
      <c r="P73" s="1002" t="str">
        <f>'10.Review Research &amp; Surveillen'!P17</f>
        <v xml:space="preserve">Monitoring and Evaluation  (@50000/- per district) </v>
      </c>
      <c r="Q73" s="62"/>
      <c r="R73" s="318"/>
    </row>
    <row r="74" spans="1:18" ht="30">
      <c r="A74" s="1002" t="str">
        <f>'10.Review Research &amp; Surveillen'!A19</f>
        <v>10.2.6.1</v>
      </c>
      <c r="B74" s="1002" t="str">
        <f>'10.Review Research &amp; Surveillen'!B19</f>
        <v>F.1.4.f.i</v>
      </c>
      <c r="C74" s="1002" t="str">
        <f>'10.Review Research &amp; Surveillen'!C19</f>
        <v>Additional MF Survey</v>
      </c>
      <c r="D74" s="1031" t="str">
        <f>'10.Review Research &amp; Surveillen'!D19</f>
        <v>NDCP</v>
      </c>
      <c r="E74" s="1031" t="str">
        <f>'10.Review Research &amp; Surveillen'!E19</f>
        <v>NVBDCP-Lymphatic Filariasis</v>
      </c>
      <c r="F74" s="1031">
        <f>'10.Review Research &amp; Surveillen'!F19</f>
        <v>0</v>
      </c>
      <c r="G74" s="1031">
        <f>'10.Review Research &amp; Surveillen'!G19</f>
        <v>0</v>
      </c>
      <c r="H74" s="1031">
        <f>'10.Review Research &amp; Surveillen'!H19</f>
        <v>0</v>
      </c>
      <c r="I74" s="1031">
        <f>'10.Review Research &amp; Surveillen'!I19</f>
        <v>0</v>
      </c>
      <c r="J74" s="1031">
        <f>'10.Review Research &amp; Surveillen'!J19</f>
        <v>0</v>
      </c>
      <c r="K74" s="1031">
        <f>'10.Review Research &amp; Surveillen'!K19</f>
        <v>0</v>
      </c>
      <c r="L74" s="1031">
        <f>'10.Review Research &amp; Surveillen'!L19</f>
        <v>0</v>
      </c>
      <c r="M74" s="136">
        <f>'10.Review Research &amp; Surveillen'!M19</f>
        <v>0</v>
      </c>
      <c r="N74" s="1031">
        <f>'10.Review Research &amp; Surveillen'!N19</f>
        <v>0</v>
      </c>
      <c r="O74" s="136">
        <f>'10.Review Research &amp; Surveillen'!O19</f>
        <v>0</v>
      </c>
      <c r="P74" s="1002">
        <f>'10.Review Research &amp; Surveillen'!P19</f>
        <v>0</v>
      </c>
      <c r="Q74" s="62"/>
      <c r="R74" s="318"/>
    </row>
    <row r="75" spans="1:18" ht="30">
      <c r="A75" s="1002" t="str">
        <f>'10.Review Research &amp; Surveillen'!A20</f>
        <v>10.2.6.2</v>
      </c>
      <c r="B75" s="1002" t="str">
        <f>'10.Review Research &amp; Surveillen'!B20</f>
        <v>F.1.4.f.ii</v>
      </c>
      <c r="C75" s="1002" t="str">
        <f>'10.Review Research &amp; Surveillen'!C20</f>
        <v>ICT Survey</v>
      </c>
      <c r="D75" s="1031" t="str">
        <f>'10.Review Research &amp; Surveillen'!D20</f>
        <v>NDCP</v>
      </c>
      <c r="E75" s="1031" t="str">
        <f>'10.Review Research &amp; Surveillen'!E20</f>
        <v>NVBDCP-Lymphatic Filariasis</v>
      </c>
      <c r="F75" s="1031">
        <f>'10.Review Research &amp; Surveillen'!F20</f>
        <v>0</v>
      </c>
      <c r="G75" s="1031">
        <f>'10.Review Research &amp; Surveillen'!G20</f>
        <v>0</v>
      </c>
      <c r="H75" s="1031">
        <f>'10.Review Research &amp; Surveillen'!H20</f>
        <v>0</v>
      </c>
      <c r="I75" s="1031">
        <f>'10.Review Research &amp; Surveillen'!I20</f>
        <v>0</v>
      </c>
      <c r="J75" s="1031">
        <f>'10.Review Research &amp; Surveillen'!J20</f>
        <v>0</v>
      </c>
      <c r="K75" s="1031" t="str">
        <f>'10.Review Research &amp; Surveillen'!K20</f>
        <v>ICT Survey</v>
      </c>
      <c r="L75" s="1031">
        <f>'10.Review Research &amp; Surveillen'!L20</f>
        <v>600000</v>
      </c>
      <c r="M75" s="136">
        <f>'10.Review Research &amp; Surveillen'!M20</f>
        <v>6</v>
      </c>
      <c r="N75" s="1031">
        <f>'10.Review Research &amp; Surveillen'!N20</f>
        <v>1</v>
      </c>
      <c r="O75" s="136">
        <f>'10.Review Research &amp; Surveillen'!O20</f>
        <v>6</v>
      </c>
      <c r="P75" s="1002" t="str">
        <f>'10.Review Research &amp; Surveillen'!P20</f>
        <v>School based survey (for TAS in Gaya and Arwal)</v>
      </c>
      <c r="Q75" s="62"/>
      <c r="R75" s="318"/>
    </row>
    <row r="76" spans="1:18" ht="30">
      <c r="A76" s="1002" t="str">
        <f>'10.Review Research &amp; Surveillen'!A22</f>
        <v>10.2.7.1</v>
      </c>
      <c r="B76" s="1002" t="str">
        <f>'10.Review Research &amp; Surveillen'!B22</f>
        <v>F.1.4.g.i</v>
      </c>
      <c r="C76" s="1002" t="str">
        <f>'10.Review Research &amp; Surveillen'!C22</f>
        <v>LY &amp; Hy Survey in 350 dist.</v>
      </c>
      <c r="D76" s="1031" t="str">
        <f>'10.Review Research &amp; Surveillen'!D22</f>
        <v>NDCP</v>
      </c>
      <c r="E76" s="1031" t="str">
        <f>'10.Review Research &amp; Surveillen'!E22</f>
        <v>NVBDCP-Lymphatic Filariasis</v>
      </c>
      <c r="F76" s="1031">
        <f>'10.Review Research &amp; Surveillen'!F22</f>
        <v>0</v>
      </c>
      <c r="G76" s="1031">
        <f>'10.Review Research &amp; Surveillen'!G22</f>
        <v>0</v>
      </c>
      <c r="H76" s="1031">
        <f>'10.Review Research &amp; Surveillen'!H22</f>
        <v>0</v>
      </c>
      <c r="I76" s="1031">
        <f>'10.Review Research &amp; Surveillen'!I22</f>
        <v>0</v>
      </c>
      <c r="J76" s="1031">
        <f>'10.Review Research &amp; Surveillen'!J22</f>
        <v>0</v>
      </c>
      <c r="K76" s="1031">
        <f>'10.Review Research &amp; Surveillen'!K22</f>
        <v>0</v>
      </c>
      <c r="L76" s="1031">
        <f>'10.Review Research &amp; Surveillen'!L22</f>
        <v>0</v>
      </c>
      <c r="M76" s="136">
        <f>'10.Review Research &amp; Surveillen'!M22</f>
        <v>0</v>
      </c>
      <c r="N76" s="1031">
        <f>'10.Review Research &amp; Surveillen'!N22</f>
        <v>0</v>
      </c>
      <c r="O76" s="136">
        <f>'10.Review Research &amp; Surveillen'!O22</f>
        <v>0</v>
      </c>
      <c r="P76" s="1002">
        <f>'10.Review Research &amp; Surveillen'!P22</f>
        <v>0</v>
      </c>
      <c r="Q76" s="62"/>
      <c r="R76" s="318"/>
    </row>
    <row r="77" spans="1:18" ht="30">
      <c r="A77" s="1002" t="str">
        <f>'10.Review Research &amp; Surveillen'!A23</f>
        <v>10.2.7.2</v>
      </c>
      <c r="B77" s="1002" t="str">
        <f>'10.Review Research &amp; Surveillen'!B23</f>
        <v>F.1.4.g.ii</v>
      </c>
      <c r="C77" s="1002" t="str">
        <f>'10.Review Research &amp; Surveillen'!C23</f>
        <v>Mf Survey in Non- endemic dist.</v>
      </c>
      <c r="D77" s="1031" t="str">
        <f>'10.Review Research &amp; Surveillen'!D23</f>
        <v>NDCP</v>
      </c>
      <c r="E77" s="1031" t="str">
        <f>'10.Review Research &amp; Surveillen'!E23</f>
        <v>NVBDCP-Lymphatic Filariasis</v>
      </c>
      <c r="F77" s="1031">
        <f>'10.Review Research &amp; Surveillen'!F23</f>
        <v>0</v>
      </c>
      <c r="G77" s="1031">
        <f>'10.Review Research &amp; Surveillen'!G23</f>
        <v>0</v>
      </c>
      <c r="H77" s="1031">
        <f>'10.Review Research &amp; Surveillen'!H23</f>
        <v>0</v>
      </c>
      <c r="I77" s="1031">
        <f>'10.Review Research &amp; Surveillen'!I23</f>
        <v>0</v>
      </c>
      <c r="J77" s="1031">
        <f>'10.Review Research &amp; Surveillen'!J23</f>
        <v>0</v>
      </c>
      <c r="K77" s="1031">
        <f>'10.Review Research &amp; Surveillen'!K23</f>
        <v>0</v>
      </c>
      <c r="L77" s="1031">
        <f>'10.Review Research &amp; Surveillen'!L23</f>
        <v>0</v>
      </c>
      <c r="M77" s="136">
        <f>'10.Review Research &amp; Surveillen'!M23</f>
        <v>0</v>
      </c>
      <c r="N77" s="1031">
        <f>'10.Review Research &amp; Surveillen'!N23</f>
        <v>0</v>
      </c>
      <c r="O77" s="136">
        <f>'10.Review Research &amp; Surveillen'!O23</f>
        <v>0</v>
      </c>
      <c r="P77" s="1002">
        <f>'10.Review Research &amp; Surveillen'!P23</f>
        <v>0</v>
      </c>
      <c r="Q77" s="62"/>
      <c r="R77" s="318"/>
    </row>
    <row r="78" spans="1:18" ht="30">
      <c r="A78" s="1002" t="str">
        <f>'10.Review Research &amp; Surveillen'!A24</f>
        <v>10.2.7.3</v>
      </c>
      <c r="B78" s="1002" t="str">
        <f>'10.Review Research &amp; Surveillen'!B24</f>
        <v>F.1.4.g.iii</v>
      </c>
      <c r="C78" s="1002" t="str">
        <f>'10.Review Research &amp; Surveillen'!C24</f>
        <v>ICT survey in 200 dist.</v>
      </c>
      <c r="D78" s="1031" t="str">
        <f>'10.Review Research &amp; Surveillen'!D24</f>
        <v>NDCP</v>
      </c>
      <c r="E78" s="1031" t="str">
        <f>'10.Review Research &amp; Surveillen'!E24</f>
        <v>NVBDCP-Lymphatic Filariasis</v>
      </c>
      <c r="F78" s="1031">
        <f>'10.Review Research &amp; Surveillen'!F24</f>
        <v>0</v>
      </c>
      <c r="G78" s="1031">
        <f>'10.Review Research &amp; Surveillen'!G24</f>
        <v>0</v>
      </c>
      <c r="H78" s="1031">
        <f>'10.Review Research &amp; Surveillen'!H24</f>
        <v>0</v>
      </c>
      <c r="I78" s="1031">
        <f>'10.Review Research &amp; Surveillen'!I24</f>
        <v>0</v>
      </c>
      <c r="J78" s="1031">
        <f>'10.Review Research &amp; Surveillen'!J24</f>
        <v>0</v>
      </c>
      <c r="K78" s="1031">
        <f>'10.Review Research &amp; Surveillen'!K24</f>
        <v>0</v>
      </c>
      <c r="L78" s="1031">
        <f>'10.Review Research &amp; Surveillen'!L24</f>
        <v>0</v>
      </c>
      <c r="M78" s="136">
        <f>'10.Review Research &amp; Surveillen'!M24</f>
        <v>0</v>
      </c>
      <c r="N78" s="1031">
        <f>'10.Review Research &amp; Surveillen'!N24</f>
        <v>0</v>
      </c>
      <c r="O78" s="136">
        <f>'10.Review Research &amp; Surveillen'!O24</f>
        <v>0</v>
      </c>
      <c r="P78" s="1002">
        <f>'10.Review Research &amp; Surveillen'!P24</f>
        <v>0</v>
      </c>
      <c r="Q78" s="62"/>
      <c r="R78" s="318"/>
    </row>
    <row r="79" spans="1:18" ht="30">
      <c r="A79" s="78" t="str">
        <f>'10.Review Research &amp; Surveillen'!A36</f>
        <v>10.3.1.1</v>
      </c>
      <c r="B79" s="78" t="str">
        <f>'10.Review Research &amp; Surveillen'!B36</f>
        <v>F.1.2.a(i)</v>
      </c>
      <c r="C79" s="78" t="str">
        <f>'10.Review Research &amp; Surveillen'!C36</f>
        <v xml:space="preserve">Apex Referral Labs recurrent </v>
      </c>
      <c r="D79" s="990" t="str">
        <f>'10.Review Research &amp; Surveillen'!D36</f>
        <v>NDCP</v>
      </c>
      <c r="E79" s="990" t="str">
        <f>'10.Review Research &amp; Surveillen'!E36</f>
        <v>NVBDCP - Dengue/Chikungunya</v>
      </c>
      <c r="F79" s="990">
        <f>'10.Review Research &amp; Surveillen'!F36</f>
        <v>0</v>
      </c>
      <c r="G79" s="990">
        <f>'10.Review Research &amp; Surveillen'!G36</f>
        <v>0</v>
      </c>
      <c r="H79" s="990">
        <f>'10.Review Research &amp; Surveillen'!H36</f>
        <v>0</v>
      </c>
      <c r="I79" s="990">
        <f>'10.Review Research &amp; Surveillen'!I36</f>
        <v>0</v>
      </c>
      <c r="J79" s="990">
        <f>'10.Review Research &amp; Surveillen'!J36</f>
        <v>0</v>
      </c>
      <c r="K79" s="990">
        <f>'10.Review Research &amp; Surveillen'!K36</f>
        <v>0</v>
      </c>
      <c r="L79" s="990">
        <f>'10.Review Research &amp; Surveillen'!L36</f>
        <v>0</v>
      </c>
      <c r="M79" s="136">
        <f>'10.Review Research &amp; Surveillen'!M36</f>
        <v>0</v>
      </c>
      <c r="N79" s="990">
        <f>'10.Review Research &amp; Surveillen'!N36</f>
        <v>0</v>
      </c>
      <c r="O79" s="136">
        <f>'10.Review Research &amp; Surveillen'!O36</f>
        <v>0</v>
      </c>
      <c r="P79" s="78">
        <f>'10.Review Research &amp; Surveillen'!P36</f>
        <v>0</v>
      </c>
      <c r="Q79" s="62"/>
      <c r="R79" s="318"/>
    </row>
    <row r="80" spans="1:18" ht="30">
      <c r="A80" s="78" t="str">
        <f>'10.Review Research &amp; Surveillen'!A37</f>
        <v>10.3.1.2</v>
      </c>
      <c r="B80" s="78" t="str">
        <f>'10.Review Research &amp; Surveillen'!B37</f>
        <v>F.1.2.a(ii)</v>
      </c>
      <c r="C80" s="78" t="str">
        <f>'10.Review Research &amp; Surveillen'!C37</f>
        <v xml:space="preserve">Sentinel surveillance Hospital recurrent </v>
      </c>
      <c r="D80" s="990" t="str">
        <f>'10.Review Research &amp; Surveillen'!D37</f>
        <v>NDCP</v>
      </c>
      <c r="E80" s="990" t="str">
        <f>'10.Review Research &amp; Surveillen'!E37</f>
        <v>NVBDCP - Dengue/Chikungunya</v>
      </c>
      <c r="F80" s="990">
        <f>'10.Review Research &amp; Surveillen'!F37</f>
        <v>0</v>
      </c>
      <c r="G80" s="990">
        <f>'10.Review Research &amp; Surveillen'!G37</f>
        <v>0</v>
      </c>
      <c r="H80" s="990">
        <f>'10.Review Research &amp; Surveillen'!H37</f>
        <v>0</v>
      </c>
      <c r="I80" s="990">
        <f>'10.Review Research &amp; Surveillen'!I37</f>
        <v>0</v>
      </c>
      <c r="J80" s="990">
        <f>'10.Review Research &amp; Surveillen'!J37</f>
        <v>0</v>
      </c>
      <c r="K80" s="990" t="str">
        <f>'10.Review Research &amp; Surveillen'!K37</f>
        <v>9 SSHs</v>
      </c>
      <c r="L80" s="990">
        <f>'10.Review Research &amp; Surveillen'!L37</f>
        <v>100000</v>
      </c>
      <c r="M80" s="136">
        <f>'10.Review Research &amp; Surveillen'!M37</f>
        <v>1</v>
      </c>
      <c r="N80" s="990">
        <f>'10.Review Research &amp; Surveillen'!N37</f>
        <v>9</v>
      </c>
      <c r="O80" s="136">
        <f>'10.Review Research &amp; Surveillen'!O37</f>
        <v>9</v>
      </c>
      <c r="P80" s="78" t="str">
        <f>'10.Review Research &amp; Surveillen'!P37</f>
        <v>For 9 Dengue &amp; ChikungunyaSSHs in Bihar @Rs1.0lac/- each as operational cost recurrent as per GoI norms.</v>
      </c>
      <c r="Q80" s="62"/>
      <c r="R80" s="318"/>
    </row>
    <row r="81" spans="1:18" ht="30">
      <c r="A81" s="78" t="str">
        <f>'10.Review Research &amp; Surveillen'!A38</f>
        <v>10.3.1.3</v>
      </c>
      <c r="B81" s="78" t="str">
        <f>'10.Review Research &amp; Surveillen'!B38</f>
        <v>F.1.2.a(iii)</v>
      </c>
      <c r="C81" s="78" t="str">
        <f>'10.Review Research &amp; Surveillen'!C38</f>
        <v>ELISA facility to Sentinel
Surveillance Hospital/ Laboratories</v>
      </c>
      <c r="D81" s="990" t="str">
        <f>'10.Review Research &amp; Surveillen'!D38</f>
        <v>NDCP</v>
      </c>
      <c r="E81" s="990" t="str">
        <f>'10.Review Research &amp; Surveillen'!E38</f>
        <v>NVBDCP - Dengue/Chikungunya</v>
      </c>
      <c r="F81" s="990">
        <f>'10.Review Research &amp; Surveillen'!F38</f>
        <v>0</v>
      </c>
      <c r="G81" s="990">
        <f>'10.Review Research &amp; Surveillen'!G38</f>
        <v>0</v>
      </c>
      <c r="H81" s="990">
        <f>'10.Review Research &amp; Surveillen'!H38</f>
        <v>0</v>
      </c>
      <c r="I81" s="990">
        <f>'10.Review Research &amp; Surveillen'!I38</f>
        <v>0</v>
      </c>
      <c r="J81" s="990">
        <f>'10.Review Research &amp; Surveillen'!J38</f>
        <v>0</v>
      </c>
      <c r="K81" s="990">
        <f>'10.Review Research &amp; Surveillen'!K38</f>
        <v>0</v>
      </c>
      <c r="L81" s="990">
        <f>'10.Review Research &amp; Surveillen'!L38</f>
        <v>0</v>
      </c>
      <c r="M81" s="136">
        <f>'10.Review Research &amp; Surveillen'!M38</f>
        <v>0</v>
      </c>
      <c r="N81" s="990">
        <f>'10.Review Research &amp; Surveillen'!N38</f>
        <v>0</v>
      </c>
      <c r="O81" s="136">
        <f>'10.Review Research &amp; Surveillen'!O38</f>
        <v>0</v>
      </c>
      <c r="P81" s="78">
        <f>'10.Review Research &amp; Surveillen'!P38</f>
        <v>0</v>
      </c>
      <c r="Q81" s="62"/>
      <c r="R81" s="318"/>
    </row>
    <row r="82" spans="1:18" ht="30">
      <c r="A82" s="78" t="str">
        <f>'10.Review Research &amp; Surveillen'!A39</f>
        <v>10.3.1.4</v>
      </c>
      <c r="B82" s="78" t="str">
        <f>'10.Review Research &amp; Surveillen'!B39</f>
        <v>F.1.3.a</v>
      </c>
      <c r="C82" s="78" t="str">
        <f>'10.Review Research &amp; Surveillen'!C39</f>
        <v>Strengthening of Sentinel sites which will include Diagnostics and Case Management, supply of kits by GoI</v>
      </c>
      <c r="D82" s="990" t="str">
        <f>'10.Review Research &amp; Surveillen'!D39</f>
        <v>NDCP</v>
      </c>
      <c r="E82" s="990" t="str">
        <f>'10.Review Research &amp; Surveillen'!E39</f>
        <v>NVBDCP - AES/JE</v>
      </c>
      <c r="F82" s="990">
        <f>'10.Review Research &amp; Surveillen'!F39</f>
        <v>0</v>
      </c>
      <c r="G82" s="990">
        <f>'10.Review Research &amp; Surveillen'!G39</f>
        <v>0</v>
      </c>
      <c r="H82" s="990">
        <f>'10.Review Research &amp; Surveillen'!H39</f>
        <v>0</v>
      </c>
      <c r="I82" s="990">
        <f>'10.Review Research &amp; Surveillen'!I39</f>
        <v>0</v>
      </c>
      <c r="J82" s="990">
        <f>'10.Review Research &amp; Surveillen'!J39</f>
        <v>0</v>
      </c>
      <c r="K82" s="990">
        <f>'10.Review Research &amp; Surveillen'!K39</f>
        <v>0</v>
      </c>
      <c r="L82" s="990">
        <f>'10.Review Research &amp; Surveillen'!L39</f>
        <v>0</v>
      </c>
      <c r="M82" s="136">
        <f>'10.Review Research &amp; Surveillen'!M39</f>
        <v>0</v>
      </c>
      <c r="N82" s="990">
        <f>'10.Review Research &amp; Surveillen'!N39</f>
        <v>0</v>
      </c>
      <c r="O82" s="136">
        <f>'10.Review Research &amp; Surveillen'!O39</f>
        <v>0</v>
      </c>
      <c r="P82" s="78">
        <f>'10.Review Research &amp; Surveillen'!P39</f>
        <v>0</v>
      </c>
      <c r="Q82" s="62"/>
      <c r="R82" s="318"/>
    </row>
    <row r="83" spans="1:18" ht="30">
      <c r="A83" s="78" t="str">
        <f>'10.Review Research &amp; Surveillen'!A40</f>
        <v>10.3.1.5</v>
      </c>
      <c r="B83" s="78" t="str">
        <f>'10.Review Research &amp; Surveillen'!B40</f>
        <v>F.1.4.h</v>
      </c>
      <c r="C83" s="78" t="str">
        <f>'10.Review Research &amp; Surveillen'!C40</f>
        <v xml:space="preserve">Post-MDA surveillance </v>
      </c>
      <c r="D83" s="990" t="str">
        <f>'10.Review Research &amp; Surveillen'!D40</f>
        <v>NDCP</v>
      </c>
      <c r="E83" s="990" t="str">
        <f>'10.Review Research &amp; Surveillen'!E40</f>
        <v>NVBDCP-Lymphatic Filariasis</v>
      </c>
      <c r="F83" s="990">
        <f>'10.Review Research &amp; Surveillen'!F40</f>
        <v>0</v>
      </c>
      <c r="G83" s="990">
        <f>'10.Review Research &amp; Surveillen'!G40</f>
        <v>0</v>
      </c>
      <c r="H83" s="990">
        <f>'10.Review Research &amp; Surveillen'!H40</f>
        <v>0</v>
      </c>
      <c r="I83" s="990">
        <f>'10.Review Research &amp; Surveillen'!I40</f>
        <v>0</v>
      </c>
      <c r="J83" s="990">
        <f>'10.Review Research &amp; Surveillen'!J40</f>
        <v>0</v>
      </c>
      <c r="K83" s="990">
        <f>'10.Review Research &amp; Surveillen'!K40</f>
        <v>0</v>
      </c>
      <c r="L83" s="990">
        <f>'10.Review Research &amp; Surveillen'!L40</f>
        <v>0</v>
      </c>
      <c r="M83" s="136">
        <f>'10.Review Research &amp; Surveillen'!M40</f>
        <v>0</v>
      </c>
      <c r="N83" s="990">
        <f>'10.Review Research &amp; Surveillen'!N40</f>
        <v>0</v>
      </c>
      <c r="O83" s="136">
        <f>'10.Review Research &amp; Surveillen'!O40</f>
        <v>0</v>
      </c>
      <c r="P83" s="78">
        <f>'10.Review Research &amp; Surveillen'!P40</f>
        <v>0</v>
      </c>
      <c r="Q83" s="62"/>
      <c r="R83" s="318"/>
    </row>
    <row r="84" spans="1:18" ht="90">
      <c r="A84" s="78" t="str">
        <f>'10.Review Research &amp; Surveillen'!A41</f>
        <v>10.3.1.6</v>
      </c>
      <c r="B84" s="78">
        <f>'10.Review Research &amp; Surveillen'!B41</f>
        <v>0</v>
      </c>
      <c r="C84" s="78" t="str">
        <f>'10.Review Research &amp; Surveillen'!C41</f>
        <v>Any other (please specify)</v>
      </c>
      <c r="D84" s="990" t="str">
        <f>'10.Review Research &amp; Surveillen'!D41</f>
        <v>NDCP</v>
      </c>
      <c r="E84" s="990" t="str">
        <f>'10.Review Research &amp; Surveillen'!E41</f>
        <v>NVBDCP</v>
      </c>
      <c r="F84" s="990">
        <f>'10.Review Research &amp; Surveillen'!F41</f>
        <v>0</v>
      </c>
      <c r="G84" s="990">
        <f>'10.Review Research &amp; Surveillen'!G41</f>
        <v>0</v>
      </c>
      <c r="H84" s="990">
        <f>'10.Review Research &amp; Surveillen'!H41</f>
        <v>0</v>
      </c>
      <c r="I84" s="990">
        <f>'10.Review Research &amp; Surveillen'!I41</f>
        <v>0</v>
      </c>
      <c r="J84" s="990">
        <f>'10.Review Research &amp; Surveillen'!J41</f>
        <v>0</v>
      </c>
      <c r="K84" s="990" t="str">
        <f>'10.Review Research &amp; Surveillen'!K41</f>
        <v>Miscellaneous</v>
      </c>
      <c r="L84" s="990">
        <f>'10.Review Research &amp; Surveillen'!L41</f>
        <v>2873600</v>
      </c>
      <c r="M84" s="136">
        <f>'10.Review Research &amp; Surveillen'!M41</f>
        <v>28.736000000000001</v>
      </c>
      <c r="N84" s="990">
        <f>'10.Review Research &amp; Surveillen'!N41</f>
        <v>1</v>
      </c>
      <c r="O84" s="136">
        <f>'10.Review Research &amp; Surveillen'!O41</f>
        <v>28.736000000000001</v>
      </c>
      <c r="P84" s="78" t="str">
        <f>'10.Review Research &amp; Surveillen'!P41</f>
        <v xml:space="preserve">Entomological surveillance is  continuing contex with several vector borne diseases. IDSP is doing the part to meet the resolutions of SHSB and NVBDCP,GOI. There is a need for an entomology lab set up in the IDSP unit for scientific execution of the programme. the programme is being led by state entomologist ( IDSP) but in view of above said exercise there is need enhance the HR ( Insect Collectors ) for proper outcome. Details have been annexured.  </v>
      </c>
      <c r="Q84" s="62"/>
      <c r="R84" s="318"/>
    </row>
    <row r="85" spans="1:18" ht="30">
      <c r="A85" s="78" t="str">
        <f>'10.Review Research &amp; Surveillen'!A53</f>
        <v>10.4.6</v>
      </c>
      <c r="B85" s="78" t="str">
        <f>'10.Review Research &amp; Surveillen'!B53</f>
        <v>F.1.4.f.iii</v>
      </c>
      <c r="C85" s="78" t="str">
        <f>'10.Review Research &amp; Surveillen'!C53</f>
        <v>ICT Cost</v>
      </c>
      <c r="D85" s="990" t="str">
        <f>'10.Review Research &amp; Surveillen'!D53</f>
        <v>NDCP</v>
      </c>
      <c r="E85" s="990" t="str">
        <f>'10.Review Research &amp; Surveillen'!E53</f>
        <v>NVBDCP-Lymphatic Filariasis</v>
      </c>
      <c r="F85" s="990">
        <f>'10.Review Research &amp; Surveillen'!F53</f>
        <v>0</v>
      </c>
      <c r="G85" s="990">
        <f>'10.Review Research &amp; Surveillen'!G53</f>
        <v>0</v>
      </c>
      <c r="H85" s="990">
        <f>'10.Review Research &amp; Surveillen'!H53</f>
        <v>0</v>
      </c>
      <c r="I85" s="990">
        <f>'10.Review Research &amp; Surveillen'!I53</f>
        <v>0</v>
      </c>
      <c r="J85" s="990">
        <f>'10.Review Research &amp; Surveillen'!J53</f>
        <v>0</v>
      </c>
      <c r="K85" s="990">
        <f>'10.Review Research &amp; Surveillen'!K53</f>
        <v>0</v>
      </c>
      <c r="L85" s="990">
        <f>'10.Review Research &amp; Surveillen'!L53</f>
        <v>0</v>
      </c>
      <c r="M85" s="136">
        <f>'10.Review Research &amp; Surveillen'!M53</f>
        <v>0</v>
      </c>
      <c r="N85" s="990">
        <f>'10.Review Research &amp; Surveillen'!N53</f>
        <v>0</v>
      </c>
      <c r="O85" s="136">
        <f>'10.Review Research &amp; Surveillen'!O53</f>
        <v>0</v>
      </c>
      <c r="P85" s="78">
        <f>'10.Review Research &amp; Surveillen'!P53</f>
        <v>0</v>
      </c>
      <c r="Q85" s="62"/>
      <c r="R85" s="318"/>
    </row>
    <row r="86" spans="1:18" ht="30">
      <c r="A86" s="78" t="str">
        <f>'10.Review Research &amp; Surveillen'!A58</f>
        <v>10.5.3</v>
      </c>
      <c r="B86" s="78">
        <f>'10.Review Research &amp; Surveillen'!B58</f>
        <v>0</v>
      </c>
      <c r="C86" s="78" t="str">
        <f>'10.Review Research &amp; Surveillen'!C58</f>
        <v>Sub-national Disease Free Certification: Kala Azar</v>
      </c>
      <c r="D86" s="990" t="str">
        <f>'10.Review Research &amp; Surveillen'!D58</f>
        <v>NDCP</v>
      </c>
      <c r="E86" s="990" t="str">
        <f>'10.Review Research &amp; Surveillen'!E58</f>
        <v>NVBDCP- Kala-azar</v>
      </c>
      <c r="F86" s="990">
        <f>'10.Review Research &amp; Surveillen'!F58</f>
        <v>0</v>
      </c>
      <c r="G86" s="990">
        <f>'10.Review Research &amp; Surveillen'!G58</f>
        <v>0</v>
      </c>
      <c r="H86" s="990">
        <f>'10.Review Research &amp; Surveillen'!H58</f>
        <v>0</v>
      </c>
      <c r="I86" s="990">
        <f>'10.Review Research &amp; Surveillen'!I58</f>
        <v>0</v>
      </c>
      <c r="J86" s="990">
        <f>'10.Review Research &amp; Surveillen'!J58</f>
        <v>0</v>
      </c>
      <c r="K86" s="990" t="str">
        <f>'10.Review Research &amp; Surveillen'!K58</f>
        <v>31 PHC+ 7 Dist</v>
      </c>
      <c r="L86" s="990">
        <f>'10.Review Research &amp; Surveillen'!L58</f>
        <v>336842</v>
      </c>
      <c r="M86" s="136">
        <f>'10.Review Research &amp; Surveillen'!M58</f>
        <v>3.36842</v>
      </c>
      <c r="N86" s="990">
        <f>'10.Review Research &amp; Surveillen'!N58</f>
        <v>38</v>
      </c>
      <c r="O86" s="136">
        <f>'10.Review Research &amp; Surveillen'!O58</f>
        <v>127.99996</v>
      </c>
      <c r="P86" s="78" t="str">
        <f>'10.Review Research &amp; Surveillen'!P58</f>
        <v>Budget proposal for awards towards elimination of Kala-azar (1) 31 PHCs are eighter achieved elimination or    (2) 7 districts achieved elimination.</v>
      </c>
      <c r="Q86" s="62"/>
      <c r="R86" s="318"/>
    </row>
    <row r="87" spans="1:18" ht="30">
      <c r="A87" s="78" t="str">
        <f>'10.Review Research &amp; Surveillen'!A59</f>
        <v>10.5.4</v>
      </c>
      <c r="B87" s="78">
        <f>'10.Review Research &amp; Surveillen'!B59</f>
        <v>0</v>
      </c>
      <c r="C87" s="78" t="str">
        <f>'10.Review Research &amp; Surveillen'!C59</f>
        <v>Sub-national Disease Free Certification: Lymphatic Filariasis</v>
      </c>
      <c r="D87" s="990" t="str">
        <f>'10.Review Research &amp; Surveillen'!D59</f>
        <v>NDCP</v>
      </c>
      <c r="E87" s="990" t="str">
        <f>'10.Review Research &amp; Surveillen'!E59</f>
        <v>NVBDCP-Lymphatic Filariasis</v>
      </c>
      <c r="F87" s="990">
        <f>'10.Review Research &amp; Surveillen'!F59</f>
        <v>0</v>
      </c>
      <c r="G87" s="990">
        <f>'10.Review Research &amp; Surveillen'!G59</f>
        <v>0</v>
      </c>
      <c r="H87" s="990">
        <f>'10.Review Research &amp; Surveillen'!H59</f>
        <v>0</v>
      </c>
      <c r="I87" s="990">
        <f>'10.Review Research &amp; Surveillen'!I59</f>
        <v>0</v>
      </c>
      <c r="J87" s="990">
        <f>'10.Review Research &amp; Surveillen'!J59</f>
        <v>0</v>
      </c>
      <c r="K87" s="990">
        <f>'10.Review Research &amp; Surveillen'!K59</f>
        <v>0</v>
      </c>
      <c r="L87" s="990">
        <f>'10.Review Research &amp; Surveillen'!L59</f>
        <v>0</v>
      </c>
      <c r="M87" s="136">
        <f>'10.Review Research &amp; Surveillen'!M59</f>
        <v>0</v>
      </c>
      <c r="N87" s="990">
        <f>'10.Review Research &amp; Surveillen'!N59</f>
        <v>0</v>
      </c>
      <c r="O87" s="136">
        <f>'10.Review Research &amp; Surveillen'!O59</f>
        <v>0</v>
      </c>
      <c r="P87" s="78">
        <f>'10.Review Research &amp; Surveillen'!P59</f>
        <v>0</v>
      </c>
      <c r="Q87" s="62"/>
      <c r="R87" s="318"/>
    </row>
    <row r="88" spans="1:18" ht="45">
      <c r="A88" s="78" t="str">
        <f>'10.Review Research &amp; Surveillen'!A60</f>
        <v>10.5.5</v>
      </c>
      <c r="B88" s="78">
        <f>'10.Review Research &amp; Surveillen'!B60</f>
        <v>0</v>
      </c>
      <c r="C88" s="78" t="str">
        <f>'10.Review Research &amp; Surveillen'!C60</f>
        <v>Sub-national Disease Free Certification: Malaria</v>
      </c>
      <c r="D88" s="990" t="str">
        <f>'10.Review Research &amp; Surveillen'!D60</f>
        <v>NDCP</v>
      </c>
      <c r="E88" s="990" t="str">
        <f>'10.Review Research &amp; Surveillen'!E60</f>
        <v>NVBDCP – Malaria</v>
      </c>
      <c r="F88" s="990">
        <f>'10.Review Research &amp; Surveillen'!F60</f>
        <v>0</v>
      </c>
      <c r="G88" s="990">
        <f>'10.Review Research &amp; Surveillen'!G60</f>
        <v>0</v>
      </c>
      <c r="H88" s="990">
        <f>'10.Review Research &amp; Surveillen'!H60</f>
        <v>0</v>
      </c>
      <c r="I88" s="990">
        <f>'10.Review Research &amp; Surveillen'!I60</f>
        <v>0</v>
      </c>
      <c r="J88" s="990">
        <f>'10.Review Research &amp; Surveillen'!J60</f>
        <v>0</v>
      </c>
      <c r="K88" s="990" t="str">
        <f>'10.Review Research &amp; Surveillen'!K60</f>
        <v>5 Dists</v>
      </c>
      <c r="L88" s="990">
        <f>'10.Review Research &amp; Surveillen'!L60</f>
        <v>320000</v>
      </c>
      <c r="M88" s="136">
        <f>'10.Review Research &amp; Surveillen'!M60</f>
        <v>3.2</v>
      </c>
      <c r="N88" s="990">
        <f>'10.Review Research &amp; Surveillen'!N60</f>
        <v>5</v>
      </c>
      <c r="O88" s="136">
        <f>'10.Review Research &amp; Surveillen'!O60</f>
        <v>16</v>
      </c>
      <c r="P88" s="78" t="str">
        <f>'10.Review Research &amp; Surveillen'!P60</f>
        <v>Budget proposal for awards towards  achieving zero indigenous Malaria case for one year @ Rs 2.o lac for three dists &amp; for maintaining zero Malaria cases for 3 consective years for two dists @Rs 5.0 lakhs each.</v>
      </c>
      <c r="Q88" s="62"/>
      <c r="R88" s="318"/>
    </row>
    <row r="89" spans="1:18">
      <c r="A89" s="985">
        <f>'11.IEC-BCC Annex'!A7</f>
        <v>11</v>
      </c>
      <c r="B89" s="985"/>
      <c r="C89" s="985" t="str">
        <f>'11.IEC-BCC Annex'!C7</f>
        <v>IEC/BCC</v>
      </c>
      <c r="D89" s="984"/>
      <c r="E89" s="984"/>
      <c r="F89" s="984"/>
      <c r="G89" s="984"/>
      <c r="H89" s="984"/>
      <c r="I89" s="984"/>
      <c r="J89" s="984"/>
      <c r="K89" s="984"/>
      <c r="L89" s="984"/>
      <c r="M89" s="485"/>
      <c r="N89" s="984"/>
      <c r="O89" s="485">
        <f>SUM(O90:O97)</f>
        <v>249.94907999999998</v>
      </c>
      <c r="P89" s="985"/>
      <c r="Q89" s="897"/>
      <c r="R89" s="99">
        <f>SUM(R90:R97)</f>
        <v>0</v>
      </c>
    </row>
    <row r="90" spans="1:18" ht="75">
      <c r="A90" s="4633" t="str">
        <f>'11.IEC-BCC Annex'!A25</f>
        <v>11.3.1</v>
      </c>
      <c r="B90" s="78" t="str">
        <f>'11-A. IEC Sub-Annex'!C58</f>
        <v>B.10.6.9.a</v>
      </c>
      <c r="C90" s="78" t="str">
        <f>'11-A. IEC Sub-Annex'!D58</f>
        <v>IEC/BCC for Malaria</v>
      </c>
      <c r="D90" s="990" t="str">
        <f>'11-A. IEC Sub-Annex'!E58</f>
        <v>NDCP</v>
      </c>
      <c r="E90" s="990" t="str">
        <f>'11-A. IEC Sub-Annex'!F58</f>
        <v>NVBDCP – Malaria</v>
      </c>
      <c r="F90" s="990">
        <f>'11-A. IEC Sub-Annex'!G58</f>
        <v>0</v>
      </c>
      <c r="G90" s="990">
        <f>'11-A. IEC Sub-Annex'!H58</f>
        <v>0</v>
      </c>
      <c r="H90" s="990">
        <f>'11-A. IEC Sub-Annex'!I58</f>
        <v>0</v>
      </c>
      <c r="I90" s="990">
        <f>'11-A. IEC Sub-Annex'!J58</f>
        <v>0</v>
      </c>
      <c r="J90" s="990">
        <f>'11-A. IEC Sub-Annex'!K58</f>
        <v>0</v>
      </c>
      <c r="K90" s="990" t="str">
        <f>'11-A. IEC Sub-Annex'!L58</f>
        <v>Dist</v>
      </c>
      <c r="L90" s="990">
        <f>'11-A. IEC Sub-Annex'!M58</f>
        <v>74941</v>
      </c>
      <c r="M90" s="136">
        <f>'11-A. IEC Sub-Annex'!N58</f>
        <v>0.74941000000000002</v>
      </c>
      <c r="N90" s="990">
        <f>'11-A. IEC Sub-Annex'!O58</f>
        <v>38</v>
      </c>
      <c r="O90" s="136">
        <f>'11-A. IEC Sub-Annex'!P58</f>
        <v>28.47758</v>
      </c>
      <c r="P90" s="78" t="str">
        <f>'11-A. IEC Sub-Annex'!Q58</f>
        <v>For 7 Highly Malaria endemic districts @ Rs. 2 lakh/-each, 16 lesser endemic districts @ Rs. 1.5 lakh/-each and rest 15 districts @ 1.2 lakh/-each.Includes IEC/BCC activites on World Malaria Day,  Malaria month i.e. June, before and during DDT spray period in 7 Malaria highly endemic districts and also during epidemic period.</v>
      </c>
      <c r="Q90" s="62"/>
      <c r="R90" s="318"/>
    </row>
    <row r="91" spans="1:18" ht="75">
      <c r="A91" s="4633"/>
      <c r="B91" s="78" t="str">
        <f>'11-A. IEC Sub-Annex'!C59</f>
        <v>B.10.6.9.b</v>
      </c>
      <c r="C91" s="78" t="str">
        <f>'11-A. IEC Sub-Annex'!D59</f>
        <v>IEC/BCC for Social mobilization (Dengue and Chikungunya)</v>
      </c>
      <c r="D91" s="990" t="str">
        <f>'11-A. IEC Sub-Annex'!E59</f>
        <v>NDCP</v>
      </c>
      <c r="E91" s="990" t="str">
        <f>'11-A. IEC Sub-Annex'!F59</f>
        <v>NVBDCP-Dengue &amp; Chikungunya</v>
      </c>
      <c r="F91" s="990">
        <f>'11-A. IEC Sub-Annex'!G59</f>
        <v>0</v>
      </c>
      <c r="G91" s="990">
        <f>'11-A. IEC Sub-Annex'!H59</f>
        <v>0</v>
      </c>
      <c r="H91" s="990">
        <f>'11-A. IEC Sub-Annex'!I59</f>
        <v>0</v>
      </c>
      <c r="I91" s="990">
        <f>'11-A. IEC Sub-Annex'!J59</f>
        <v>0</v>
      </c>
      <c r="J91" s="990">
        <f>'11-A. IEC Sub-Annex'!K59</f>
        <v>0</v>
      </c>
      <c r="K91" s="990" t="str">
        <f>'11-A. IEC Sub-Annex'!L59</f>
        <v>Dist</v>
      </c>
      <c r="L91" s="990">
        <f>'11-A. IEC Sub-Annex'!M59</f>
        <v>65789</v>
      </c>
      <c r="M91" s="136">
        <f>'11-A. IEC Sub-Annex'!N59</f>
        <v>0.65788999999999997</v>
      </c>
      <c r="N91" s="990">
        <f>'11-A. IEC Sub-Annex'!O59</f>
        <v>38</v>
      </c>
      <c r="O91" s="136">
        <f>'11-A. IEC Sub-Annex'!P59</f>
        <v>24.99982</v>
      </c>
      <c r="P91" s="78" t="str">
        <f>'11-A. IEC Sub-Annex'!Q59</f>
        <v>Printing of posters, banners, handbills for observance of National Dengue Day, Anti-Dengue Month in all 38 districts including their blocks. IEC/BCC activities includes media compaign, advocacy compaign at state/district level for community awareness and participation in preventive activities. Proposed amount is on the basis of case load of districts.</v>
      </c>
      <c r="Q91" s="62"/>
      <c r="R91" s="318"/>
    </row>
    <row r="92" spans="1:18" ht="30">
      <c r="A92" s="4633"/>
      <c r="B92" s="78" t="str">
        <f>'11-A. IEC Sub-Annex'!C60</f>
        <v>B.10.6.9.c</v>
      </c>
      <c r="C92" s="78" t="str">
        <f>'11-A. IEC Sub-Annex'!D60</f>
        <v>IEC/BCC specific to J.E. in endemic areas</v>
      </c>
      <c r="D92" s="990" t="str">
        <f>'11-A. IEC Sub-Annex'!E60</f>
        <v>NDCP</v>
      </c>
      <c r="E92" s="990" t="str">
        <f>'11-A. IEC Sub-Annex'!F60</f>
        <v>NVBDCP-AES/JE</v>
      </c>
      <c r="F92" s="990">
        <f>'11-A. IEC Sub-Annex'!G60</f>
        <v>0</v>
      </c>
      <c r="G92" s="990">
        <f>'11-A. IEC Sub-Annex'!H60</f>
        <v>0</v>
      </c>
      <c r="H92" s="990">
        <f>'11-A. IEC Sub-Annex'!I60</f>
        <v>0</v>
      </c>
      <c r="I92" s="990">
        <f>'11-A. IEC Sub-Annex'!J60</f>
        <v>0</v>
      </c>
      <c r="J92" s="990">
        <f>'11-A. IEC Sub-Annex'!K60</f>
        <v>0</v>
      </c>
      <c r="K92" s="990" t="str">
        <f>'11-A. IEC Sub-Annex'!L60</f>
        <v>Per Year</v>
      </c>
      <c r="L92" s="990">
        <f>'11-A. IEC Sub-Annex'!M60</f>
        <v>5000000</v>
      </c>
      <c r="M92" s="136">
        <f>'11-A. IEC Sub-Annex'!N60</f>
        <v>50</v>
      </c>
      <c r="N92" s="990">
        <f>'11-A. IEC Sub-Annex'!O60</f>
        <v>1</v>
      </c>
      <c r="O92" s="136">
        <f>'11-A. IEC Sub-Annex'!P60</f>
        <v>50</v>
      </c>
      <c r="P92" s="78" t="str">
        <f>'11-A. IEC Sub-Annex'!Q60</f>
        <v>IEC &amp; BCC activities under AES programme.</v>
      </c>
      <c r="Q92" s="62"/>
      <c r="R92" s="318"/>
    </row>
    <row r="93" spans="1:18" ht="60">
      <c r="A93" s="4633"/>
      <c r="B93" s="78" t="str">
        <f>'11-A. IEC Sub-Annex'!C61</f>
        <v>B.10.6.9.d</v>
      </c>
      <c r="C93" s="78" t="str">
        <f>'11-A. IEC Sub-Annex'!D61</f>
        <v>Specific IEC/BCC for Lymphatic Filariasis at State, District, PHC, Sub-centre and village level including VHSC/GKs for community mobilization efforts to realize the desired drug compliance of 85% during MDA</v>
      </c>
      <c r="D93" s="990" t="str">
        <f>'11-A. IEC Sub-Annex'!E61</f>
        <v>NDCP</v>
      </c>
      <c r="E93" s="990" t="str">
        <f>'11-A. IEC Sub-Annex'!F61</f>
        <v>NVBDCP-Lymphatic Filariasis</v>
      </c>
      <c r="F93" s="990">
        <f>'11-A. IEC Sub-Annex'!G61</f>
        <v>0</v>
      </c>
      <c r="G93" s="990">
        <f>'11-A. IEC Sub-Annex'!H61</f>
        <v>0</v>
      </c>
      <c r="H93" s="990">
        <f>'11-A. IEC Sub-Annex'!I61</f>
        <v>0</v>
      </c>
      <c r="I93" s="990">
        <f>'11-A. IEC Sub-Annex'!J61</f>
        <v>0</v>
      </c>
      <c r="J93" s="990">
        <f>'11-A. IEC Sub-Annex'!K61</f>
        <v>0</v>
      </c>
      <c r="K93" s="990" t="str">
        <f>'11-A. IEC Sub-Annex'!L61</f>
        <v>IEC/BCC</v>
      </c>
      <c r="L93" s="990">
        <f>'11-A. IEC Sub-Annex'!M61</f>
        <v>100000</v>
      </c>
      <c r="M93" s="136">
        <f>'11-A. IEC Sub-Annex'!N61</f>
        <v>1</v>
      </c>
      <c r="N93" s="990">
        <f>'11-A. IEC Sub-Annex'!O61</f>
        <v>40</v>
      </c>
      <c r="O93" s="136">
        <f>'11-A. IEC Sub-Annex'!P61</f>
        <v>40</v>
      </c>
      <c r="P93" s="78" t="str">
        <f>'11-A. IEC Sub-Annex'!Q61</f>
        <v>Specific IEC/BCC for Lymphatic Filariasis at State, District, PHC, Sub-Centre and village level</v>
      </c>
      <c r="Q93" s="62"/>
      <c r="R93" s="318"/>
    </row>
    <row r="94" spans="1:18" ht="30">
      <c r="A94" s="4633"/>
      <c r="B94" s="78" t="str">
        <f>'11-A. IEC Sub-Annex'!C62</f>
        <v>B.10.6.9.e</v>
      </c>
      <c r="C94" s="78" t="str">
        <f>'11-A. IEC Sub-Annex'!D62</f>
        <v>IEC/BCC/Advocacy for Kala-azar</v>
      </c>
      <c r="D94" s="990" t="str">
        <f>'11-A. IEC Sub-Annex'!E62</f>
        <v>NDCP</v>
      </c>
      <c r="E94" s="990" t="str">
        <f>'11-A. IEC Sub-Annex'!F62</f>
        <v>NVBDCP- Kala-azar</v>
      </c>
      <c r="F94" s="990">
        <f>'11-A. IEC Sub-Annex'!G62</f>
        <v>0</v>
      </c>
      <c r="G94" s="990">
        <f>'11-A. IEC Sub-Annex'!H62</f>
        <v>0</v>
      </c>
      <c r="H94" s="990">
        <f>'11-A. IEC Sub-Annex'!I62</f>
        <v>0</v>
      </c>
      <c r="I94" s="990">
        <f>'11-A. IEC Sub-Annex'!J62</f>
        <v>0</v>
      </c>
      <c r="J94" s="990">
        <f>'11-A. IEC Sub-Annex'!K62</f>
        <v>0</v>
      </c>
      <c r="K94" s="990" t="str">
        <f>'11-A. IEC Sub-Annex'!L62</f>
        <v>Phcs</v>
      </c>
      <c r="L94" s="990">
        <f>'11-A. IEC Sub-Annex'!M62</f>
        <v>27727</v>
      </c>
      <c r="M94" s="136">
        <f>'11-A. IEC Sub-Annex'!N62</f>
        <v>0.27727000000000002</v>
      </c>
      <c r="N94" s="990">
        <f>'11-A. IEC Sub-Annex'!O62</f>
        <v>384</v>
      </c>
      <c r="O94" s="136">
        <f>'11-A. IEC Sub-Annex'!P62</f>
        <v>106.47168000000001</v>
      </c>
      <c r="P94" s="78" t="str">
        <f>'11-A. IEC Sub-Annex'!Q62</f>
        <v>IEC &amp; BCC for IRS @6000/- per affeceted PHC /round,10 Lakh for State level IEC</v>
      </c>
      <c r="Q94" s="62"/>
      <c r="R94" s="318"/>
    </row>
    <row r="95" spans="1:18" ht="30">
      <c r="A95" s="4633"/>
      <c r="B95" s="78" t="str">
        <f>'11-A. IEC Sub-Annex'!C63</f>
        <v>B.10.6.9.f</v>
      </c>
      <c r="C95" s="78" t="str">
        <f>'11-A. IEC Sub-Annex'!D63</f>
        <v>IEC/BCC activities as per the GFATM project</v>
      </c>
      <c r="D95" s="990" t="str">
        <f>'11-A. IEC Sub-Annex'!E63</f>
        <v>NDCP</v>
      </c>
      <c r="E95" s="990" t="str">
        <f>'11-A. IEC Sub-Annex'!F63</f>
        <v>NVBDCP - GFATM</v>
      </c>
      <c r="F95" s="990">
        <f>'11-A. IEC Sub-Annex'!G63</f>
        <v>0</v>
      </c>
      <c r="G95" s="990">
        <f>'11-A. IEC Sub-Annex'!H63</f>
        <v>0</v>
      </c>
      <c r="H95" s="990">
        <f>'11-A. IEC Sub-Annex'!I63</f>
        <v>0</v>
      </c>
      <c r="I95" s="990">
        <f>'11-A. IEC Sub-Annex'!J63</f>
        <v>0</v>
      </c>
      <c r="J95" s="990">
        <f>'11-A. IEC Sub-Annex'!K63</f>
        <v>0</v>
      </c>
      <c r="K95" s="990">
        <f>'11-A. IEC Sub-Annex'!L63</f>
        <v>0</v>
      </c>
      <c r="L95" s="990">
        <f>'11-A. IEC Sub-Annex'!M63</f>
        <v>0</v>
      </c>
      <c r="M95" s="136">
        <f>'11-A. IEC Sub-Annex'!N63</f>
        <v>0</v>
      </c>
      <c r="N95" s="990">
        <f>'11-A. IEC Sub-Annex'!O63</f>
        <v>0</v>
      </c>
      <c r="O95" s="136">
        <f>'11-A. IEC Sub-Annex'!P63</f>
        <v>0</v>
      </c>
      <c r="P95" s="78">
        <f>'11-A. IEC Sub-Annex'!Q63</f>
        <v>0</v>
      </c>
      <c r="Q95" s="62"/>
      <c r="R95" s="318"/>
    </row>
    <row r="96" spans="1:18" ht="30">
      <c r="A96" s="4633"/>
      <c r="B96" s="78"/>
      <c r="C96" s="78" t="str">
        <f>'11-A. IEC Sub-Annex'!D64</f>
        <v>IEC/ BCC activities under MVCR</v>
      </c>
      <c r="D96" s="990" t="str">
        <f>'11-A. IEC Sub-Annex'!E64</f>
        <v>NDCP</v>
      </c>
      <c r="E96" s="990" t="str">
        <f>'11-A. IEC Sub-Annex'!F64</f>
        <v>NVBDCP – Malaria</v>
      </c>
      <c r="F96" s="990">
        <f>'11-A. IEC Sub-Annex'!G64</f>
        <v>0</v>
      </c>
      <c r="G96" s="990">
        <f>'11-A. IEC Sub-Annex'!H64</f>
        <v>0</v>
      </c>
      <c r="H96" s="990">
        <f>'11-A. IEC Sub-Annex'!I64</f>
        <v>0</v>
      </c>
      <c r="I96" s="990">
        <f>'11-A. IEC Sub-Annex'!J64</f>
        <v>0</v>
      </c>
      <c r="J96" s="990">
        <f>'11-A. IEC Sub-Annex'!K64</f>
        <v>0</v>
      </c>
      <c r="K96" s="990">
        <f>'11-A. IEC Sub-Annex'!L64</f>
        <v>0</v>
      </c>
      <c r="L96" s="990">
        <f>'11-A. IEC Sub-Annex'!M64</f>
        <v>0</v>
      </c>
      <c r="M96" s="136">
        <f>'11-A. IEC Sub-Annex'!N64</f>
        <v>0</v>
      </c>
      <c r="N96" s="990">
        <f>'11-A. IEC Sub-Annex'!O64</f>
        <v>0</v>
      </c>
      <c r="O96" s="136">
        <f>'11-A. IEC Sub-Annex'!P64</f>
        <v>0</v>
      </c>
      <c r="P96" s="78">
        <f>'11-A. IEC Sub-Annex'!Q64</f>
        <v>0</v>
      </c>
      <c r="Q96" s="62"/>
      <c r="R96" s="318"/>
    </row>
    <row r="97" spans="1:18" ht="30">
      <c r="A97" s="4633"/>
      <c r="B97" s="78"/>
      <c r="C97" s="78" t="str">
        <f>'11-A. IEC Sub-Annex'!D65</f>
        <v>Any other IEC/BCC activities (please specify)</v>
      </c>
      <c r="D97" s="990" t="str">
        <f>'11-A. IEC Sub-Annex'!E65</f>
        <v>NDCP</v>
      </c>
      <c r="E97" s="990" t="str">
        <f>'11-A. IEC Sub-Annex'!F65</f>
        <v>NVBDCP</v>
      </c>
      <c r="F97" s="990">
        <f>'11-A. IEC Sub-Annex'!G65</f>
        <v>0</v>
      </c>
      <c r="G97" s="990">
        <f>'11-A. IEC Sub-Annex'!H65</f>
        <v>0</v>
      </c>
      <c r="H97" s="990">
        <f>'11-A. IEC Sub-Annex'!I65</f>
        <v>0</v>
      </c>
      <c r="I97" s="990">
        <f>'11-A. IEC Sub-Annex'!J65</f>
        <v>0</v>
      </c>
      <c r="J97" s="990">
        <f>'11-A. IEC Sub-Annex'!K65</f>
        <v>0</v>
      </c>
      <c r="K97" s="990">
        <f>'11-A. IEC Sub-Annex'!L65</f>
        <v>0</v>
      </c>
      <c r="L97" s="990">
        <f>'11-A. IEC Sub-Annex'!M65</f>
        <v>0</v>
      </c>
      <c r="M97" s="136">
        <f>'11-A. IEC Sub-Annex'!N65</f>
        <v>0</v>
      </c>
      <c r="N97" s="990">
        <f>'11-A. IEC Sub-Annex'!O65</f>
        <v>0</v>
      </c>
      <c r="O97" s="136">
        <f>'11-A. IEC Sub-Annex'!P65</f>
        <v>0</v>
      </c>
      <c r="P97" s="78">
        <f>'11-A. IEC Sub-Annex'!Q65</f>
        <v>0</v>
      </c>
      <c r="Q97" s="62"/>
      <c r="R97" s="318"/>
    </row>
    <row r="98" spans="1:18">
      <c r="A98" s="985">
        <f>'12.Printing Annex'!A7</f>
        <v>12</v>
      </c>
      <c r="B98" s="985"/>
      <c r="C98" s="985" t="str">
        <f>'12.Printing Annex'!C7</f>
        <v>Printing</v>
      </c>
      <c r="D98" s="984"/>
      <c r="E98" s="984"/>
      <c r="F98" s="984"/>
      <c r="G98" s="984"/>
      <c r="H98" s="984"/>
      <c r="I98" s="984"/>
      <c r="J98" s="984"/>
      <c r="K98" s="984"/>
      <c r="L98" s="984"/>
      <c r="M98" s="485"/>
      <c r="N98" s="984"/>
      <c r="O98" s="485">
        <f>SUM(O99:O102)</f>
        <v>43.999839999999999</v>
      </c>
      <c r="P98" s="985"/>
      <c r="Q98" s="897"/>
      <c r="R98" s="99">
        <f>SUM(R99:R102)</f>
        <v>0</v>
      </c>
    </row>
    <row r="99" spans="1:18" ht="30">
      <c r="A99" s="4637" t="str">
        <f>'12.Printing Annex'!A26</f>
        <v>12.3.1</v>
      </c>
      <c r="B99" s="78" t="str">
        <f>'12-A. Print Sub-Annex'!C78</f>
        <v>F.1.4.a</v>
      </c>
      <c r="C99" s="78" t="str">
        <f>'12-A. Print Sub-Annex'!D78</f>
        <v>Printing of forms/registers for Lymphatic Filariasis</v>
      </c>
      <c r="D99" s="990" t="str">
        <f>'12-A. Print Sub-Annex'!E78</f>
        <v>NDCP</v>
      </c>
      <c r="E99" s="990" t="str">
        <f>'12-A. Print Sub-Annex'!F78</f>
        <v>NVBDCP-Lymphatic Filariasis</v>
      </c>
      <c r="F99" s="990">
        <f>'12-A. Print Sub-Annex'!G78</f>
        <v>0</v>
      </c>
      <c r="G99" s="990">
        <f>'12-A. Print Sub-Annex'!H78</f>
        <v>0</v>
      </c>
      <c r="H99" s="990">
        <f>'12-A. Print Sub-Annex'!I78</f>
        <v>0</v>
      </c>
      <c r="I99" s="990">
        <f>'12-A. Print Sub-Annex'!J78</f>
        <v>0</v>
      </c>
      <c r="J99" s="990">
        <f>'12-A. Print Sub-Annex'!K78</f>
        <v>0</v>
      </c>
      <c r="K99" s="990" t="str">
        <f>'12-A. Print Sub-Annex'!L78</f>
        <v xml:space="preserve">Printing of forms/registers </v>
      </c>
      <c r="L99" s="990">
        <f>'12-A. Print Sub-Annex'!M78</f>
        <v>4000000</v>
      </c>
      <c r="M99" s="136">
        <f>'12-A. Print Sub-Annex'!N78</f>
        <v>40</v>
      </c>
      <c r="N99" s="990">
        <f>'12-A. Print Sub-Annex'!O78</f>
        <v>1</v>
      </c>
      <c r="O99" s="136">
        <f>'12-A. Print Sub-Annex'!P78</f>
        <v>40</v>
      </c>
      <c r="P99" s="78" t="str">
        <f>'12-A. Print Sub-Annex'!Q78</f>
        <v xml:space="preserve">Printing of forms/registers </v>
      </c>
      <c r="Q99" s="62"/>
      <c r="R99" s="318"/>
    </row>
    <row r="100" spans="1:18" ht="30">
      <c r="A100" s="4637"/>
      <c r="B100" s="78" t="str">
        <f>'12-A. Print Sub-Annex'!C79</f>
        <v>F.2.1.g</v>
      </c>
      <c r="C100" s="78" t="str">
        <f>'12-A. Print Sub-Annex'!D79</f>
        <v>Communication Material and Publications (CMP) - GFATM</v>
      </c>
      <c r="D100" s="990" t="str">
        <f>'12-A. Print Sub-Annex'!E79</f>
        <v>NDCP</v>
      </c>
      <c r="E100" s="990" t="str">
        <f>'12-A. Print Sub-Annex'!F79</f>
        <v>NVBDCP - GFATM</v>
      </c>
      <c r="F100" s="990">
        <f>'12-A. Print Sub-Annex'!G79</f>
        <v>0</v>
      </c>
      <c r="G100" s="990">
        <f>'12-A. Print Sub-Annex'!H79</f>
        <v>0</v>
      </c>
      <c r="H100" s="990">
        <f>'12-A. Print Sub-Annex'!I79</f>
        <v>0</v>
      </c>
      <c r="I100" s="990">
        <f>'12-A. Print Sub-Annex'!J79</f>
        <v>0</v>
      </c>
      <c r="J100" s="990">
        <f>'12-A. Print Sub-Annex'!K79</f>
        <v>0</v>
      </c>
      <c r="K100" s="990">
        <f>'12-A. Print Sub-Annex'!L79</f>
        <v>0</v>
      </c>
      <c r="L100" s="990">
        <f>'12-A. Print Sub-Annex'!M79</f>
        <v>0</v>
      </c>
      <c r="M100" s="136">
        <f>'12-A. Print Sub-Annex'!N79</f>
        <v>0</v>
      </c>
      <c r="N100" s="990">
        <f>'12-A. Print Sub-Annex'!O79</f>
        <v>0</v>
      </c>
      <c r="O100" s="136">
        <f>'12-A. Print Sub-Annex'!P79</f>
        <v>0</v>
      </c>
      <c r="P100" s="78">
        <f>'12-A. Print Sub-Annex'!Q79</f>
        <v>0</v>
      </c>
      <c r="Q100" s="62"/>
      <c r="R100" s="318"/>
    </row>
    <row r="101" spans="1:18" ht="30">
      <c r="A101" s="4637"/>
      <c r="B101" s="78">
        <f>'12-A. Print Sub-Annex'!C80</f>
        <v>0</v>
      </c>
      <c r="C101" s="78" t="str">
        <f>'12-A. Print Sub-Annex'!D80</f>
        <v>Printing of recording and reporting forms/registers for Malaria</v>
      </c>
      <c r="D101" s="990" t="str">
        <f>'12-A. Print Sub-Annex'!E80</f>
        <v>NDCP</v>
      </c>
      <c r="E101" s="990" t="str">
        <f>'12-A. Print Sub-Annex'!F80</f>
        <v>NVBDCP – Malaria</v>
      </c>
      <c r="F101" s="990">
        <f>'12-A. Print Sub-Annex'!G80</f>
        <v>0</v>
      </c>
      <c r="G101" s="990">
        <f>'12-A. Print Sub-Annex'!H80</f>
        <v>0</v>
      </c>
      <c r="H101" s="990">
        <f>'12-A. Print Sub-Annex'!I80</f>
        <v>0</v>
      </c>
      <c r="I101" s="990">
        <f>'12-A. Print Sub-Annex'!J80</f>
        <v>0</v>
      </c>
      <c r="J101" s="990">
        <f>'12-A. Print Sub-Annex'!K80</f>
        <v>0</v>
      </c>
      <c r="K101" s="990" t="str">
        <f>'12-A. Print Sub-Annex'!L80</f>
        <v>Dist</v>
      </c>
      <c r="L101" s="990">
        <f>'12-A. Print Sub-Annex'!M80</f>
        <v>10256</v>
      </c>
      <c r="M101" s="136">
        <f>'12-A. Print Sub-Annex'!N80</f>
        <v>0.10256</v>
      </c>
      <c r="N101" s="990">
        <f>'12-A. Print Sub-Annex'!O80</f>
        <v>39</v>
      </c>
      <c r="O101" s="136">
        <f>'12-A. Print Sub-Annex'!P80</f>
        <v>3.9998399999999998</v>
      </c>
      <c r="P101" s="78" t="str">
        <f>'12-A. Print Sub-Annex'!Q80</f>
        <v xml:space="preserve">For 38 districts &amp; state HQ Printing of reporting  formats &amp;register. </v>
      </c>
      <c r="Q101" s="62"/>
      <c r="R101" s="318"/>
    </row>
    <row r="102" spans="1:18" ht="30">
      <c r="A102" s="4637"/>
      <c r="B102" s="78"/>
      <c r="C102" s="78" t="str">
        <f>'12-A. Print Sub-Annex'!D81</f>
        <v>Any other (please specify)</v>
      </c>
      <c r="D102" s="990" t="str">
        <f>'12-A. Print Sub-Annex'!E81</f>
        <v>NDCP</v>
      </c>
      <c r="E102" s="990" t="str">
        <f>'12-A. Print Sub-Annex'!F81</f>
        <v>NVBDCP - GFATM</v>
      </c>
      <c r="F102" s="990">
        <f>'12-A. Print Sub-Annex'!G81</f>
        <v>0</v>
      </c>
      <c r="G102" s="990">
        <f>'12-A. Print Sub-Annex'!H81</f>
        <v>0</v>
      </c>
      <c r="H102" s="990">
        <f>'12-A. Print Sub-Annex'!I81</f>
        <v>0</v>
      </c>
      <c r="I102" s="990">
        <f>'12-A. Print Sub-Annex'!J81</f>
        <v>0</v>
      </c>
      <c r="J102" s="990">
        <f>'12-A. Print Sub-Annex'!K81</f>
        <v>0</v>
      </c>
      <c r="K102" s="990">
        <f>'12-A. Print Sub-Annex'!L81</f>
        <v>0</v>
      </c>
      <c r="L102" s="990">
        <f>'12-A. Print Sub-Annex'!M81</f>
        <v>0</v>
      </c>
      <c r="M102" s="136">
        <f>'12-A. Print Sub-Annex'!N81</f>
        <v>0</v>
      </c>
      <c r="N102" s="990">
        <f>'12-A. Print Sub-Annex'!O81</f>
        <v>0</v>
      </c>
      <c r="O102" s="136">
        <f>'12-A. Print Sub-Annex'!P81</f>
        <v>0</v>
      </c>
      <c r="P102" s="78">
        <f>'12-A. Print Sub-Annex'!Q81</f>
        <v>0</v>
      </c>
      <c r="Q102" s="62"/>
      <c r="R102" s="318"/>
    </row>
    <row r="103" spans="1:18">
      <c r="A103" s="985">
        <f>'14.Drug warehouse &amp;Logistic Anx'!A7</f>
        <v>14</v>
      </c>
      <c r="B103" s="985"/>
      <c r="C103" s="985" t="str">
        <f>'14.Drug warehouse &amp;Logistic Anx'!C7</f>
        <v>Drug Warehousing and Logistics</v>
      </c>
      <c r="D103" s="984"/>
      <c r="E103" s="984"/>
      <c r="F103" s="984"/>
      <c r="G103" s="984"/>
      <c r="H103" s="984"/>
      <c r="I103" s="984"/>
      <c r="J103" s="984"/>
      <c r="K103" s="984"/>
      <c r="L103" s="984"/>
      <c r="M103" s="485"/>
      <c r="N103" s="984"/>
      <c r="O103" s="485">
        <f>O104</f>
        <v>0</v>
      </c>
      <c r="P103" s="985"/>
      <c r="Q103" s="897"/>
      <c r="R103" s="99">
        <f>R104</f>
        <v>0</v>
      </c>
    </row>
    <row r="104" spans="1:18" ht="30">
      <c r="A104" s="78" t="str">
        <f>'14.Drug warehouse &amp;Logistic Anx'!A27</f>
        <v>14.2.9</v>
      </c>
      <c r="B104" s="78" t="str">
        <f>'14.Drug warehouse &amp;Logistic Anx'!B27</f>
        <v>F.2.1.d</v>
      </c>
      <c r="C104" s="78" t="str">
        <f>'14.Drug warehouse &amp;Logistic Anx'!C27</f>
        <v>Supply Chain Management cost under GFATM</v>
      </c>
      <c r="D104" s="990" t="str">
        <f>'14.Drug warehouse &amp;Logistic Anx'!D27</f>
        <v>NDCP</v>
      </c>
      <c r="E104" s="990" t="str">
        <f>'14.Drug warehouse &amp;Logistic Anx'!E27</f>
        <v>NVBDCP - GFATM</v>
      </c>
      <c r="F104" s="990">
        <f>'14.Drug warehouse &amp;Logistic Anx'!F27</f>
        <v>0</v>
      </c>
      <c r="G104" s="990">
        <f>'14.Drug warehouse &amp;Logistic Anx'!G27</f>
        <v>0</v>
      </c>
      <c r="H104" s="990">
        <f>'14.Drug warehouse &amp;Logistic Anx'!H27</f>
        <v>0</v>
      </c>
      <c r="I104" s="990">
        <f>'14.Drug warehouse &amp;Logistic Anx'!I27</f>
        <v>0</v>
      </c>
      <c r="J104" s="990">
        <f>'14.Drug warehouse &amp;Logistic Anx'!J27</f>
        <v>0</v>
      </c>
      <c r="K104" s="990">
        <f>'14.Drug warehouse &amp;Logistic Anx'!K27</f>
        <v>0</v>
      </c>
      <c r="L104" s="990">
        <f>'14.Drug warehouse &amp;Logistic Anx'!L27</f>
        <v>0</v>
      </c>
      <c r="M104" s="136">
        <f>'14.Drug warehouse &amp;Logistic Anx'!M27</f>
        <v>0</v>
      </c>
      <c r="N104" s="990">
        <f>'14.Drug warehouse &amp;Logistic Anx'!N27</f>
        <v>0</v>
      </c>
      <c r="O104" s="136">
        <f>'14.Drug warehouse &amp;Logistic Anx'!O27</f>
        <v>0</v>
      </c>
      <c r="P104" s="78">
        <f>'14.Drug warehouse &amp;Logistic Anx'!P27</f>
        <v>0</v>
      </c>
      <c r="Q104" s="62"/>
      <c r="R104" s="318"/>
    </row>
    <row r="105" spans="1:18">
      <c r="A105" s="985">
        <f>'15.PPP Annex'!A7</f>
        <v>15</v>
      </c>
      <c r="B105" s="985"/>
      <c r="C105" s="985" t="str">
        <f>'15.PPP Annex'!C7</f>
        <v>PPP</v>
      </c>
      <c r="D105" s="984"/>
      <c r="E105" s="984"/>
      <c r="F105" s="984"/>
      <c r="G105" s="984"/>
      <c r="H105" s="984"/>
      <c r="I105" s="984"/>
      <c r="J105" s="984"/>
      <c r="K105" s="984"/>
      <c r="L105" s="984"/>
      <c r="M105" s="485"/>
      <c r="N105" s="984"/>
      <c r="O105" s="485">
        <f>SUM(O106:O107)</f>
        <v>8.6301799999999993</v>
      </c>
      <c r="P105" s="985"/>
      <c r="Q105" s="897"/>
      <c r="R105" s="99">
        <f>SUM(R106:R107)</f>
        <v>0</v>
      </c>
    </row>
    <row r="106" spans="1:18" ht="45">
      <c r="A106" s="78" t="str">
        <f>'15.PPP Annex'!A21</f>
        <v>15.3.1.1</v>
      </c>
      <c r="B106" s="78" t="str">
        <f>'15.PPP Annex'!B21</f>
        <v>15.3.1/ F.1.1.e</v>
      </c>
      <c r="C106" s="78" t="str">
        <f>'15.PPP Annex'!C21</f>
        <v xml:space="preserve">PPP / NGO and Intersectoral Convergence </v>
      </c>
      <c r="D106" s="990" t="str">
        <f>'15.PPP Annex'!D21</f>
        <v>NDCP</v>
      </c>
      <c r="E106" s="990" t="str">
        <f>'15.PPP Annex'!E21</f>
        <v>NVBDCP – Malaria</v>
      </c>
      <c r="F106" s="990">
        <f>'15.PPP Annex'!F21</f>
        <v>0</v>
      </c>
      <c r="G106" s="990">
        <f>'15.PPP Annex'!G21</f>
        <v>0</v>
      </c>
      <c r="H106" s="990">
        <f>'15.PPP Annex'!H21</f>
        <v>0</v>
      </c>
      <c r="I106" s="990">
        <f>'15.PPP Annex'!I21</f>
        <v>0</v>
      </c>
      <c r="J106" s="990">
        <f>'15.PPP Annex'!J21</f>
        <v>0</v>
      </c>
      <c r="K106" s="990" t="str">
        <f>'15.PPP Annex'!K21</f>
        <v>Dist</v>
      </c>
      <c r="L106" s="990">
        <f>'15.PPP Annex'!L21</f>
        <v>11132</v>
      </c>
      <c r="M106" s="136">
        <f>'15.PPP Annex'!M21</f>
        <v>0.11132</v>
      </c>
      <c r="N106" s="990">
        <f>'15.PPP Annex'!N21</f>
        <v>38</v>
      </c>
      <c r="O106" s="136">
        <f>'15.PPP Annex'!O21</f>
        <v>4.2301599999999997</v>
      </c>
      <c r="P106" s="78" t="str">
        <f>'15.PPP Annex'!P21</f>
        <v>Fund proposed as per district demand. For 2 to 3 meetings to be organised at state and districts level for sensitization of various departments for their effective involvement and co-operation in disease control activities</v>
      </c>
      <c r="Q106" s="62"/>
      <c r="R106" s="318"/>
    </row>
    <row r="107" spans="1:18" ht="75">
      <c r="A107" s="78" t="str">
        <f>'15.PPP Annex'!A22</f>
        <v>15.3.1.2</v>
      </c>
      <c r="B107" s="78" t="str">
        <f>'15.PPP Annex'!B22</f>
        <v>15.3.2/ F.1.2.g</v>
      </c>
      <c r="C107" s="78" t="str">
        <f>'15.PPP Annex'!C22</f>
        <v>Inter-sectoral convergence</v>
      </c>
      <c r="D107" s="990" t="str">
        <f>'15.PPP Annex'!D22</f>
        <v>NDCP</v>
      </c>
      <c r="E107" s="990" t="str">
        <f>'15.PPP Annex'!E22</f>
        <v>NVBDCP - Dengue Chikungunya</v>
      </c>
      <c r="F107" s="990">
        <f>'15.PPP Annex'!F22</f>
        <v>0</v>
      </c>
      <c r="G107" s="990">
        <f>'15.PPP Annex'!G22</f>
        <v>0</v>
      </c>
      <c r="H107" s="990">
        <f>'15.PPP Annex'!H22</f>
        <v>0</v>
      </c>
      <c r="I107" s="990">
        <f>'15.PPP Annex'!I22</f>
        <v>0</v>
      </c>
      <c r="J107" s="990">
        <f>'15.PPP Annex'!J22</f>
        <v>0</v>
      </c>
      <c r="K107" s="990" t="str">
        <f>'15.PPP Annex'!K22</f>
        <v>Dist</v>
      </c>
      <c r="L107" s="990">
        <f>'15.PPP Annex'!L22</f>
        <v>11579</v>
      </c>
      <c r="M107" s="136">
        <f>'15.PPP Annex'!M22</f>
        <v>0.11579</v>
      </c>
      <c r="N107" s="990">
        <f>'15.PPP Annex'!N22</f>
        <v>38</v>
      </c>
      <c r="O107" s="136">
        <f>'15.PPP Annex'!O22</f>
        <v>4.4000200000000005</v>
      </c>
      <c r="P107" s="78" t="str">
        <f>'15.PPP Annex'!P22</f>
        <v xml:space="preserve"> Meetings to be organised at state and district level for sensitization of various departments for their effective involvement and co-operation in disease control activities in the beginning and in between epidemic seasons as per population and endemicity of the district. Fund proposed for as per district demand.</v>
      </c>
      <c r="Q107" s="62"/>
      <c r="R107" s="318"/>
    </row>
    <row r="108" spans="1:18">
      <c r="A108" s="888">
        <f>'16.PM Annex'!A7</f>
        <v>16</v>
      </c>
      <c r="B108" s="888"/>
      <c r="C108" s="888" t="str">
        <f>'16.PM Annex'!C7</f>
        <v>Programme Management</v>
      </c>
      <c r="D108" s="895"/>
      <c r="E108" s="895"/>
      <c r="F108" s="895"/>
      <c r="G108" s="895"/>
      <c r="H108" s="895"/>
      <c r="I108" s="895"/>
      <c r="J108" s="895"/>
      <c r="K108" s="895"/>
      <c r="L108" s="895"/>
      <c r="M108" s="485"/>
      <c r="N108" s="895"/>
      <c r="O108" s="485">
        <f>SUM(O109:O134)</f>
        <v>771.79635000000007</v>
      </c>
      <c r="P108" s="888"/>
      <c r="Q108" s="897"/>
      <c r="R108" s="99">
        <f>SUM(R109:R134)</f>
        <v>0</v>
      </c>
    </row>
    <row r="109" spans="1:18" ht="30">
      <c r="A109" s="78" t="str">
        <f>'16-A. PM sub Annex'!B37</f>
        <v>16.1.2.1.17</v>
      </c>
      <c r="B109" s="78" t="str">
        <f>'16-A. PM sub Annex'!D37</f>
        <v>F.1.4.a</v>
      </c>
      <c r="C109" s="78" t="str">
        <f>'16-A. PM sub Annex'!E37</f>
        <v>State Task Force, State Technical Advisory Committee meeting, District coordination meeting (Lymphatic Filariasis)</v>
      </c>
      <c r="D109" s="990" t="str">
        <f>'16-A. PM sub Annex'!F37</f>
        <v>NDCP</v>
      </c>
      <c r="E109" s="990" t="str">
        <f>'16-A. PM sub Annex'!G37</f>
        <v>HRH&amp;HPIP/ NVBDCP – Malaria</v>
      </c>
      <c r="F109" s="990">
        <f>'16-A. PM sub Annex'!H37</f>
        <v>0</v>
      </c>
      <c r="G109" s="990">
        <f>'16-A. PM sub Annex'!I37</f>
        <v>0</v>
      </c>
      <c r="H109" s="990">
        <f>'16-A. PM sub Annex'!J37</f>
        <v>0</v>
      </c>
      <c r="I109" s="990">
        <f>'16-A. PM sub Annex'!K37</f>
        <v>0</v>
      </c>
      <c r="J109" s="990">
        <f>'16-A. PM sub Annex'!L37</f>
        <v>0</v>
      </c>
      <c r="K109" s="990" t="str">
        <f>'16-A. PM sub Annex'!M37</f>
        <v>State &amp; District level meeting</v>
      </c>
      <c r="L109" s="990">
        <f>'16-A. PM sub Annex'!N37</f>
        <v>290000</v>
      </c>
      <c r="M109" s="136">
        <f>'16-A. PM sub Annex'!O37</f>
        <v>2.9</v>
      </c>
      <c r="N109" s="990">
        <f>'16-A. PM sub Annex'!P37</f>
        <v>1</v>
      </c>
      <c r="O109" s="136">
        <f>'16-A. PM sub Annex'!Q37</f>
        <v>2.9</v>
      </c>
      <c r="P109" s="78" t="str">
        <f>'16-A. PM sub Annex'!R37</f>
        <v>State &amp; District level meeting</v>
      </c>
      <c r="Q109" s="62"/>
      <c r="R109" s="318"/>
    </row>
    <row r="110" spans="1:18" ht="60">
      <c r="A110" s="78" t="str">
        <f>'16-A. PM sub Annex'!B38</f>
        <v>16.1.2.1.18</v>
      </c>
      <c r="B110" s="78">
        <f>'16-A. PM sub Annex'!D38</f>
        <v>0</v>
      </c>
      <c r="C110" s="78" t="str">
        <f>'16-A. PM sub Annex'!E38</f>
        <v>State Task Force, State Technical Advisory Committee meeting, District coordination meeting, Cross border meetings Sub National Malaria Elimination Certification process (Malaria)</v>
      </c>
      <c r="D110" s="990" t="str">
        <f>'16-A. PM sub Annex'!F38</f>
        <v>NDCP</v>
      </c>
      <c r="E110" s="990" t="str">
        <f>'16-A. PM sub Annex'!G38</f>
        <v>HRH&amp;HPIP/ NVBDCP – Malaria</v>
      </c>
      <c r="F110" s="990">
        <f>'16-A. PM sub Annex'!H38</f>
        <v>0</v>
      </c>
      <c r="G110" s="990">
        <f>'16-A. PM sub Annex'!I38</f>
        <v>0</v>
      </c>
      <c r="H110" s="990">
        <f>'16-A. PM sub Annex'!J38</f>
        <v>0</v>
      </c>
      <c r="I110" s="990">
        <f>'16-A. PM sub Annex'!K38</f>
        <v>0</v>
      </c>
      <c r="J110" s="990">
        <f>'16-A. PM sub Annex'!L38</f>
        <v>0</v>
      </c>
      <c r="K110" s="990">
        <f>'16-A. PM sub Annex'!M38</f>
        <v>0</v>
      </c>
      <c r="L110" s="990">
        <f>'16-A. PM sub Annex'!N38</f>
        <v>0</v>
      </c>
      <c r="M110" s="136">
        <f>'16-A. PM sub Annex'!O38</f>
        <v>0</v>
      </c>
      <c r="N110" s="990">
        <f>'16-A. PM sub Annex'!P38</f>
        <v>0</v>
      </c>
      <c r="O110" s="136">
        <f>'16-A. PM sub Annex'!Q38</f>
        <v>0</v>
      </c>
      <c r="P110" s="78" t="str">
        <f>'16-A. PM sub Annex'!R38</f>
        <v>Although, 13 districts reported zero indigenous case in 2020, but actually this is due th very low surveillance work, closer of OPD most of the time in Govt. hospitals due to Corona pandemic in 2020. So, state not propose budget for Malaria elimination certification in FY 2021-22</v>
      </c>
      <c r="Q110" s="62"/>
      <c r="R110" s="318"/>
    </row>
    <row r="111" spans="1:18" ht="30">
      <c r="A111" s="78" t="str">
        <f>'16-A. PM sub Annex'!B39</f>
        <v>16.1.2.1.19</v>
      </c>
      <c r="B111" s="78" t="str">
        <f>'16-A. PM sub Annex'!D39</f>
        <v>F.4</v>
      </c>
      <c r="C111" s="78" t="str">
        <f>'16-A. PM sub Annex'!E39</f>
        <v>GFATM Review Meeting</v>
      </c>
      <c r="D111" s="990" t="str">
        <f>'16-A. PM sub Annex'!F39</f>
        <v>NDCP</v>
      </c>
      <c r="E111" s="990" t="str">
        <f>'16-A. PM sub Annex'!G39</f>
        <v>HRH&amp;HPIP/ NVBDCP - GFATM</v>
      </c>
      <c r="F111" s="990">
        <f>'16-A. PM sub Annex'!H39</f>
        <v>0</v>
      </c>
      <c r="G111" s="990">
        <f>'16-A. PM sub Annex'!I39</f>
        <v>0</v>
      </c>
      <c r="H111" s="990">
        <f>'16-A. PM sub Annex'!J39</f>
        <v>0</v>
      </c>
      <c r="I111" s="990">
        <f>'16-A. PM sub Annex'!K39</f>
        <v>0</v>
      </c>
      <c r="J111" s="990">
        <f>'16-A. PM sub Annex'!L39</f>
        <v>0</v>
      </c>
      <c r="K111" s="990">
        <f>'16-A. PM sub Annex'!M39</f>
        <v>0</v>
      </c>
      <c r="L111" s="990">
        <f>'16-A. PM sub Annex'!N39</f>
        <v>0</v>
      </c>
      <c r="M111" s="136">
        <f>'16-A. PM sub Annex'!O39</f>
        <v>0</v>
      </c>
      <c r="N111" s="990">
        <f>'16-A. PM sub Annex'!P39</f>
        <v>0</v>
      </c>
      <c r="O111" s="136">
        <f>'16-A. PM sub Annex'!Q39</f>
        <v>0</v>
      </c>
      <c r="P111" s="78">
        <f>'16-A. PM sub Annex'!R39</f>
        <v>0</v>
      </c>
      <c r="Q111" s="62"/>
      <c r="R111" s="318"/>
    </row>
    <row r="112" spans="1:18" ht="30">
      <c r="A112" s="78" t="str">
        <f>'16-A. PM sub Annex'!B54</f>
        <v>16.1.2.2.5</v>
      </c>
      <c r="B112" s="78" t="str">
        <f>'16-A. PM sub Annex'!D54</f>
        <v>F.1.1.d</v>
      </c>
      <c r="C112" s="78" t="str">
        <f>'16-A. PM sub Annex'!E54</f>
        <v>Monitoring , Evaluation &amp; Supervision (Malaria)</v>
      </c>
      <c r="D112" s="990" t="str">
        <f>'16-A. PM sub Annex'!F54</f>
        <v>NDCP</v>
      </c>
      <c r="E112" s="990" t="str">
        <f>'16-A. PM sub Annex'!G54</f>
        <v>HRH&amp;HPIP/ NVBDCP – Malaria</v>
      </c>
      <c r="F112" s="990">
        <f>'16-A. PM sub Annex'!H54</f>
        <v>0</v>
      </c>
      <c r="G112" s="990">
        <f>'16-A. PM sub Annex'!I54</f>
        <v>0</v>
      </c>
      <c r="H112" s="990">
        <f>'16-A. PM sub Annex'!J54</f>
        <v>0</v>
      </c>
      <c r="I112" s="990">
        <f>'16-A. PM sub Annex'!K54</f>
        <v>0</v>
      </c>
      <c r="J112" s="990">
        <f>'16-A. PM sub Annex'!L54</f>
        <v>0</v>
      </c>
      <c r="K112" s="990">
        <f>'16-A. PM sub Annex'!M54</f>
        <v>0</v>
      </c>
      <c r="L112" s="990">
        <f>'16-A. PM sub Annex'!N54</f>
        <v>0</v>
      </c>
      <c r="M112" s="136">
        <f>'16-A. PM sub Annex'!O54</f>
        <v>0</v>
      </c>
      <c r="N112" s="990">
        <f>'16-A. PM sub Annex'!P54</f>
        <v>0</v>
      </c>
      <c r="O112" s="136">
        <f>'16-A. PM sub Annex'!Q54</f>
        <v>0</v>
      </c>
      <c r="P112" s="78">
        <f>'16-A. PM sub Annex'!R54</f>
        <v>0</v>
      </c>
      <c r="Q112" s="62"/>
      <c r="R112" s="318"/>
    </row>
    <row r="113" spans="1:18" ht="30">
      <c r="A113" s="78" t="str">
        <f>'16-A. PM sub Annex'!B55</f>
        <v>16.1.2.2.6</v>
      </c>
      <c r="B113" s="78" t="str">
        <f>'16-A. PM sub Annex'!D55</f>
        <v>F.1.2.c</v>
      </c>
      <c r="C113" s="78" t="str">
        <f>'16-A. PM sub Annex'!E55</f>
        <v>Monitoring/supervision and Rapid response (Dengue and Chikungunya)</v>
      </c>
      <c r="D113" s="990" t="str">
        <f>'16-A. PM sub Annex'!F55</f>
        <v>NDCP</v>
      </c>
      <c r="E113" s="990" t="str">
        <f>'16-A. PM sub Annex'!G55</f>
        <v>HRH&amp;HPIP/ NVBDCP-Dengue &amp; Chikungunya</v>
      </c>
      <c r="F113" s="990">
        <f>'16-A. PM sub Annex'!H55</f>
        <v>0</v>
      </c>
      <c r="G113" s="990">
        <f>'16-A. PM sub Annex'!I55</f>
        <v>0</v>
      </c>
      <c r="H113" s="990">
        <f>'16-A. PM sub Annex'!J55</f>
        <v>0</v>
      </c>
      <c r="I113" s="990">
        <f>'16-A. PM sub Annex'!K55</f>
        <v>0</v>
      </c>
      <c r="J113" s="990">
        <f>'16-A. PM sub Annex'!L55</f>
        <v>0</v>
      </c>
      <c r="K113" s="990" t="str">
        <f>'16-A. PM sub Annex'!M55</f>
        <v>Dist</v>
      </c>
      <c r="L113" s="990">
        <f>'16-A. PM sub Annex'!N55</f>
        <v>68947</v>
      </c>
      <c r="M113" s="136">
        <f>'16-A. PM sub Annex'!O55</f>
        <v>0.68947000000000003</v>
      </c>
      <c r="N113" s="990">
        <f>'16-A. PM sub Annex'!P55</f>
        <v>38</v>
      </c>
      <c r="O113" s="136">
        <f>'16-A. PM sub Annex'!Q55</f>
        <v>26.199860000000001</v>
      </c>
      <c r="P113" s="78" t="str">
        <f>'16-A. PM sub Annex'!R55</f>
        <v xml:space="preserve"> for strengthening of reporting and various other miscellaneous expenses viz. field visit, review meetings etc. as per districts last three year case load.</v>
      </c>
      <c r="Q113" s="62"/>
      <c r="R113" s="318"/>
    </row>
    <row r="114" spans="1:18" ht="30">
      <c r="A114" s="78" t="str">
        <f>'16-A. PM sub Annex'!B56</f>
        <v>16.1.2.2.7</v>
      </c>
      <c r="B114" s="78" t="str">
        <f>'16-A. PM sub Annex'!D56</f>
        <v>F.1.3.d</v>
      </c>
      <c r="C114" s="78" t="str">
        <f>'16-A. PM sub Annex'!E56</f>
        <v>Monitoring and supervision (JE/ AE)</v>
      </c>
      <c r="D114" s="990" t="str">
        <f>'16-A. PM sub Annex'!F56</f>
        <v>NDCP</v>
      </c>
      <c r="E114" s="990" t="str">
        <f>'16-A. PM sub Annex'!G56</f>
        <v>HRH&amp;HPIP/ NVBDCP-AES/JE</v>
      </c>
      <c r="F114" s="990">
        <f>'16-A. PM sub Annex'!H56</f>
        <v>0</v>
      </c>
      <c r="G114" s="990">
        <f>'16-A. PM sub Annex'!I56</f>
        <v>0</v>
      </c>
      <c r="H114" s="990">
        <f>'16-A. PM sub Annex'!J56</f>
        <v>0</v>
      </c>
      <c r="I114" s="990">
        <f>'16-A. PM sub Annex'!K56</f>
        <v>0</v>
      </c>
      <c r="J114" s="990">
        <f>'16-A. PM sub Annex'!L56</f>
        <v>0</v>
      </c>
      <c r="K114" s="990" t="str">
        <f>'16-A. PM sub Annex'!M56</f>
        <v xml:space="preserve">Per Year </v>
      </c>
      <c r="L114" s="990">
        <f>'16-A. PM sub Annex'!N56</f>
        <v>2000000</v>
      </c>
      <c r="M114" s="136">
        <f>'16-A. PM sub Annex'!O56</f>
        <v>20</v>
      </c>
      <c r="N114" s="990">
        <f>'16-A. PM sub Annex'!P56</f>
        <v>1</v>
      </c>
      <c r="O114" s="136">
        <f>'16-A. PM sub Annex'!Q56</f>
        <v>20</v>
      </c>
      <c r="P114" s="78" t="str">
        <f>'16-A. PM sub Annex'!R56</f>
        <v>Monitoring and Supervision activities under AES Programme.</v>
      </c>
      <c r="Q114" s="62"/>
      <c r="R114" s="318"/>
    </row>
    <row r="115" spans="1:18" ht="30">
      <c r="A115" s="78" t="str">
        <f>'16-A. PM sub Annex'!B57</f>
        <v>16.1.2.2.8</v>
      </c>
      <c r="B115" s="78" t="str">
        <f>'16-A. PM sub Annex'!D57</f>
        <v>F.1.4.a</v>
      </c>
      <c r="C115" s="78" t="str">
        <f>'16-A. PM sub Annex'!E57</f>
        <v>Monitoring &amp; Supervision (Lymphatic Filariasis)</v>
      </c>
      <c r="D115" s="990" t="str">
        <f>'16-A. PM sub Annex'!F57</f>
        <v>NDCP</v>
      </c>
      <c r="E115" s="990" t="str">
        <f>'16-A. PM sub Annex'!G57</f>
        <v>HRH&amp;HPIP/ NVBDCP-Lymphatic Filariasis</v>
      </c>
      <c r="F115" s="990">
        <f>'16-A. PM sub Annex'!H57</f>
        <v>0</v>
      </c>
      <c r="G115" s="990">
        <f>'16-A. PM sub Annex'!I57</f>
        <v>0</v>
      </c>
      <c r="H115" s="990">
        <f>'16-A. PM sub Annex'!J57</f>
        <v>0</v>
      </c>
      <c r="I115" s="990">
        <f>'16-A. PM sub Annex'!K57</f>
        <v>0</v>
      </c>
      <c r="J115" s="990">
        <f>'16-A. PM sub Annex'!L57</f>
        <v>0</v>
      </c>
      <c r="K115" s="990" t="str">
        <f>'16-A. PM sub Annex'!M57</f>
        <v>Monitoring and supervision</v>
      </c>
      <c r="L115" s="990">
        <f>'16-A. PM sub Annex'!N57</f>
        <v>1390000</v>
      </c>
      <c r="M115" s="136">
        <f>'16-A. PM sub Annex'!O57</f>
        <v>13.9</v>
      </c>
      <c r="N115" s="990">
        <f>'16-A. PM sub Annex'!P57</f>
        <v>1</v>
      </c>
      <c r="O115" s="136">
        <f>'16-A. PM sub Annex'!Q57</f>
        <v>13.9</v>
      </c>
      <c r="P115" s="78" t="str">
        <f>'16-A. PM sub Annex'!R57</f>
        <v>Monitoring and supervision</v>
      </c>
      <c r="Q115" s="62"/>
      <c r="R115" s="318"/>
    </row>
    <row r="116" spans="1:18" ht="195">
      <c r="A116" s="78" t="str">
        <f>'16-A. PM sub Annex'!B58</f>
        <v>16.1.2.2.9</v>
      </c>
      <c r="B116" s="78" t="str">
        <f>'16-A. PM sub Annex'!D58</f>
        <v>F.1.5.d</v>
      </c>
      <c r="C116" s="78" t="str">
        <f>'16-A. PM sub Annex'!E58</f>
        <v>Monitoring &amp; Evaluation (Kala Azar)</v>
      </c>
      <c r="D116" s="990" t="str">
        <f>'16-A. PM sub Annex'!F58</f>
        <v>NDCP</v>
      </c>
      <c r="E116" s="990" t="str">
        <f>'16-A. PM sub Annex'!G58</f>
        <v>HRH&amp;HPIP/ NVBDCP- Kala-azar</v>
      </c>
      <c r="F116" s="990">
        <f>'16-A. PM sub Annex'!H58</f>
        <v>0</v>
      </c>
      <c r="G116" s="990">
        <f>'16-A. PM sub Annex'!I58</f>
        <v>0</v>
      </c>
      <c r="H116" s="990">
        <f>'16-A. PM sub Annex'!J58</f>
        <v>0</v>
      </c>
      <c r="I116" s="990">
        <f>'16-A. PM sub Annex'!K58</f>
        <v>0</v>
      </c>
      <c r="J116" s="990">
        <f>'16-A. PM sub Annex'!L58</f>
        <v>0</v>
      </c>
      <c r="K116" s="990" t="str">
        <f>'16-A. PM sub Annex'!M58</f>
        <v>PHCs+District+ZMO Office+State office</v>
      </c>
      <c r="L116" s="990">
        <f>'16-A. PM sub Annex'!N58</f>
        <v>131083</v>
      </c>
      <c r="M116" s="136">
        <f>'16-A. PM sub Annex'!O58</f>
        <v>1.3108299999999999</v>
      </c>
      <c r="N116" s="990">
        <f>'16-A. PM sub Annex'!P58</f>
        <v>421</v>
      </c>
      <c r="O116" s="136">
        <f>'16-A. PM sub Annex'!Q58</f>
        <v>551.85942999999997</v>
      </c>
      <c r="P116" s="78" t="str">
        <f>'16-A. PM sub Annex'!R58</f>
        <v xml:space="preserve">    (1)94.78Lakh(4months)  IRS mobility during IRS ,         (2)Rs. 65.60. Lakh for remaining 8 month mobility  as per NVBDCP Remark.                                                 (3)  32.48 Lakh rs. for Task force meeting &amp; evening briefing at PHCs level  (As per direction by Nvbdcp.Detail sheet attached)         (4) 14.73 Lakh for Tablet for KTS/VBDS @ Rs. 13000 per Tablet and internet charges @ Rs.200/- month.                                                              (5)   71  lakh for POL/DA   as per direction by NVBDCP vide Letter no. 14-2-NVBDCP/MTD/APPT.-staff                 (6) 11.92 Lac for motorcycle maintenance @8000/-year for KTS.                                                                                                      (7) Total Rs.32.93. Lakh for 33 District,4 ZMO office @ Rs.60000/-Yearly / District &amp; State HQ @Rs.10.83 Lakh yearly for Office Automation/ annual contigency including maintenance of electronic and electrical equipment,walking cooler,Generator maintenance, Generator fuel,Maintenance of ILR in the district.  yearly contigency,(Details sheet attached)                                                         (8)   Rs.146.00 Lakh for replacement of old motor cycle to  new ones  as well as new scooty (Female) for KTS/VBDS  (including insurence &amp; registration ) as per direction given by Joint secreatory ,GoI on virtual meeting held on 30.12.2020 under the chairmanship of Hon'ble H &amp; FW GoI,   14 scooty    for female VBDS and 132 motor cycle for male VBDS.( Detail sheet attached. ) (9) 81.90 Lakh for RMRI pilot project in 4 endemic PHCs of saran and Siwan @ Rs.4095400/- per round .(Detail sheet attached)                               </v>
      </c>
      <c r="Q116" s="62"/>
      <c r="R116" s="318"/>
    </row>
    <row r="117" spans="1:18" ht="30">
      <c r="A117" s="78" t="str">
        <f>'16-A. PM sub Annex'!B59</f>
        <v>16.1.2.2.10</v>
      </c>
      <c r="B117" s="78">
        <f>'16-A. PM sub Annex'!D59</f>
        <v>0</v>
      </c>
      <c r="C117" s="78" t="str">
        <f>'16-A. PM sub Annex'!E59</f>
        <v>Miscellaneous (Monitoring)</v>
      </c>
      <c r="D117" s="990" t="str">
        <f>'16-A. PM sub Annex'!F59</f>
        <v>NDCP</v>
      </c>
      <c r="E117" s="990" t="str">
        <f>'16-A. PM sub Annex'!G59</f>
        <v>HRH&amp;HPIP/NVBDCP</v>
      </c>
      <c r="F117" s="990">
        <f>'16-A. PM sub Annex'!H59</f>
        <v>0</v>
      </c>
      <c r="G117" s="990">
        <f>'16-A. PM sub Annex'!I59</f>
        <v>0</v>
      </c>
      <c r="H117" s="990">
        <f>'16-A. PM sub Annex'!J59</f>
        <v>0</v>
      </c>
      <c r="I117" s="990">
        <f>'16-A. PM sub Annex'!K59</f>
        <v>0</v>
      </c>
      <c r="J117" s="990">
        <f>'16-A. PM sub Annex'!L59</f>
        <v>0</v>
      </c>
      <c r="K117" s="990">
        <f>'16-A. PM sub Annex'!M59</f>
        <v>0</v>
      </c>
      <c r="L117" s="990">
        <f>'16-A. PM sub Annex'!N59</f>
        <v>0</v>
      </c>
      <c r="M117" s="136">
        <f>'16-A. PM sub Annex'!O59</f>
        <v>0</v>
      </c>
      <c r="N117" s="990">
        <f>'16-A. PM sub Annex'!P59</f>
        <v>0</v>
      </c>
      <c r="O117" s="136">
        <f>'16-A. PM sub Annex'!Q59</f>
        <v>0</v>
      </c>
      <c r="P117" s="78">
        <f>'16-A. PM sub Annex'!R59</f>
        <v>0</v>
      </c>
      <c r="Q117" s="62"/>
      <c r="R117" s="318"/>
    </row>
    <row r="118" spans="1:18" ht="29.25" customHeight="1">
      <c r="A118" s="1250" t="str">
        <f>'16-A. PM sub Annex'!B63</f>
        <v>16.1.2.2.15</v>
      </c>
      <c r="B118" s="1250" t="str">
        <f>'16-A. PM sub Annex'!C63</f>
        <v>16.2.2.16</v>
      </c>
      <c r="C118" s="1250" t="str">
        <f>'16-A. PM sub Annex'!E63</f>
        <v>Monitoring &amp; Evaluation under MVCR</v>
      </c>
      <c r="D118" s="1250" t="str">
        <f>'16-A. PM sub Annex'!F63</f>
        <v>NDCP</v>
      </c>
      <c r="E118" s="1249" t="str">
        <f>'16-A. PM sub Annex'!G63</f>
        <v>HRH&amp;HPIP/NVBDCP</v>
      </c>
      <c r="F118" s="1249">
        <f>'16-A. PM sub Annex'!H63</f>
        <v>0</v>
      </c>
      <c r="G118" s="1249">
        <f>'16-A. PM sub Annex'!I63</f>
        <v>0</v>
      </c>
      <c r="H118" s="1249">
        <f>'16-A. PM sub Annex'!J63</f>
        <v>0</v>
      </c>
      <c r="I118" s="1249">
        <f>'16-A. PM sub Annex'!K63</f>
        <v>0</v>
      </c>
      <c r="J118" s="1249">
        <f>'16-A. PM sub Annex'!L63</f>
        <v>0</v>
      </c>
      <c r="K118" s="1249">
        <f>'16-A. PM sub Annex'!M63</f>
        <v>0</v>
      </c>
      <c r="L118" s="1249">
        <f>'16-A. PM sub Annex'!N63</f>
        <v>0</v>
      </c>
      <c r="M118" s="136">
        <f>'16-A. PM sub Annex'!O63</f>
        <v>0</v>
      </c>
      <c r="N118" s="1249">
        <f>'16-A. PM sub Annex'!P63</f>
        <v>0</v>
      </c>
      <c r="O118" s="136">
        <f>'16-A. PM sub Annex'!Q63</f>
        <v>0</v>
      </c>
      <c r="P118" s="1250">
        <f>'16-A. PM sub Annex'!R63</f>
        <v>0</v>
      </c>
      <c r="Q118" s="62"/>
      <c r="R118" s="318"/>
    </row>
    <row r="119" spans="1:18" ht="180">
      <c r="A119" s="78" t="str">
        <f>'16-A. PM sub Annex'!B76</f>
        <v>16.1.3.1.8</v>
      </c>
      <c r="B119" s="78" t="str">
        <f>'16-A. PM sub Annex'!D76</f>
        <v>F.1.1.d</v>
      </c>
      <c r="C119" s="78" t="str">
        <f>'16-A. PM sub Annex'!E76</f>
        <v>Monitoring , Evaluation &amp; Supervision &amp; Epidemic Preparedness (Only Mobility Expenses)</v>
      </c>
      <c r="D119" s="990" t="str">
        <f>'16-A. PM sub Annex'!F76</f>
        <v>NDCP</v>
      </c>
      <c r="E119" s="990" t="str">
        <f>'16-A. PM sub Annex'!G76</f>
        <v>HRH&amp;HPIP/ NVBDCP – Malaria</v>
      </c>
      <c r="F119" s="990">
        <f>'16-A. PM sub Annex'!H76</f>
        <v>0</v>
      </c>
      <c r="G119" s="990">
        <f>'16-A. PM sub Annex'!I76</f>
        <v>0</v>
      </c>
      <c r="H119" s="990">
        <f>'16-A. PM sub Annex'!J76</f>
        <v>0</v>
      </c>
      <c r="I119" s="990">
        <f>'16-A. PM sub Annex'!K76</f>
        <v>0</v>
      </c>
      <c r="J119" s="990">
        <f>'16-A. PM sub Annex'!L76</f>
        <v>0</v>
      </c>
      <c r="K119" s="990" t="str">
        <f>'16-A. PM sub Annex'!M76</f>
        <v>Dist &amp;State</v>
      </c>
      <c r="L119" s="990">
        <f>'16-A. PM sub Annex'!N76</f>
        <v>111282</v>
      </c>
      <c r="M119" s="136">
        <f>'16-A. PM sub Annex'!O76</f>
        <v>1.1128199999999999</v>
      </c>
      <c r="N119" s="990">
        <f>'16-A. PM sub Annex'!P76</f>
        <v>38</v>
      </c>
      <c r="O119" s="136">
        <f>'16-A. PM sub Annex'!Q76</f>
        <v>42.28716</v>
      </c>
      <c r="P119" s="78" t="str">
        <f>'16-A. PM sub Annex'!R76</f>
        <v>Proposed amount is for mobility support for supervision to 7 high Malaria endemic districts @ Rs 2.4 lakhs each during DDT Spray period(June to October) and  transportation of LLINs from district HQ to PHCs, 11 lesser Malaria districts @ Rs. 50,000/- each and the rest 20 districts @ Rs. 40,000/- each for transportation of RDT Kits from state HQ to district HQ and mobility support during epidemic period. At state level Rs. 13.1 lakhs for transportation of LLINs from State HQ to district HQ, also for State level miscellaneous mobility activities related to the programme.        7 districts X Rs. 2.4 lakhs = 16.8 lakhs            11 districts X Rs. 50,000 = 5.5 lakhs                                                     20 districts X Rs 40,000 = 8.0 lakhs                                             1 X State Rs 13.1 = 13.1 lakhs                                                        Rs 43.4 lakhs                                                                                           As per direction given in NVBDCP remarks coloumn</v>
      </c>
      <c r="Q119" s="62"/>
      <c r="R119" s="318"/>
    </row>
    <row r="120" spans="1:18" ht="30">
      <c r="A120" s="78" t="str">
        <f>'16-A. PM sub Annex'!B77</f>
        <v>16.1.3.1.9</v>
      </c>
      <c r="B120" s="78" t="str">
        <f>'16-A. PM sub Annex'!D77</f>
        <v>F.1.4.a</v>
      </c>
      <c r="C120" s="78" t="str">
        <f>'16-A. PM sub Annex'!E77</f>
        <v xml:space="preserve">Mobility support for Rapid Response Team </v>
      </c>
      <c r="D120" s="990" t="str">
        <f>'16-A. PM sub Annex'!F77</f>
        <v>NDCP</v>
      </c>
      <c r="E120" s="990" t="str">
        <f>'16-A. PM sub Annex'!G77</f>
        <v>HRH&amp;HPIP/ NVBDCP-Lymphatic Filariasis</v>
      </c>
      <c r="F120" s="990">
        <f>'16-A. PM sub Annex'!H77</f>
        <v>0</v>
      </c>
      <c r="G120" s="990">
        <f>'16-A. PM sub Annex'!I77</f>
        <v>0</v>
      </c>
      <c r="H120" s="990">
        <f>'16-A. PM sub Annex'!J77</f>
        <v>0</v>
      </c>
      <c r="I120" s="990">
        <f>'16-A. PM sub Annex'!K77</f>
        <v>0</v>
      </c>
      <c r="J120" s="990">
        <f>'16-A. PM sub Annex'!L77</f>
        <v>0</v>
      </c>
      <c r="K120" s="990" t="str">
        <f>'16-A. PM sub Annex'!M77</f>
        <v>Mobility support</v>
      </c>
      <c r="L120" s="990">
        <f>'16-A. PM sub Annex'!N77</f>
        <v>3010000</v>
      </c>
      <c r="M120" s="136">
        <f>'16-A. PM sub Annex'!O77</f>
        <v>30.1</v>
      </c>
      <c r="N120" s="990">
        <f>'16-A. PM sub Annex'!P77</f>
        <v>1</v>
      </c>
      <c r="O120" s="136">
        <f>'16-A. PM sub Annex'!Q77</f>
        <v>30.1</v>
      </c>
      <c r="P120" s="78" t="str">
        <f>'16-A. PM sub Annex'!R77</f>
        <v>Mobility support</v>
      </c>
      <c r="Q120" s="62"/>
      <c r="R120" s="318"/>
    </row>
    <row r="121" spans="1:18" ht="30">
      <c r="A121" s="78" t="str">
        <f>'16-A. PM sub Annex'!B78</f>
        <v>16.1.3.1.10</v>
      </c>
      <c r="B121" s="78" t="str">
        <f>'16-A. PM sub Annex'!D78</f>
        <v>F.2.1.b, F.4</v>
      </c>
      <c r="C121" s="78" t="str">
        <f>'16-A. PM sub Annex'!E78</f>
        <v>GFATM Project: Travel related Cost (TRC), Mobility</v>
      </c>
      <c r="D121" s="990" t="str">
        <f>'16-A. PM sub Annex'!F78</f>
        <v>NDCP</v>
      </c>
      <c r="E121" s="990" t="str">
        <f>'16-A. PM sub Annex'!G78</f>
        <v>HRH&amp;HPIP/ NVBDCP - GFATM</v>
      </c>
      <c r="F121" s="990">
        <f>'16-A. PM sub Annex'!H78</f>
        <v>0</v>
      </c>
      <c r="G121" s="990">
        <f>'16-A. PM sub Annex'!I78</f>
        <v>0</v>
      </c>
      <c r="H121" s="990">
        <f>'16-A. PM sub Annex'!J78</f>
        <v>0</v>
      </c>
      <c r="I121" s="990">
        <f>'16-A. PM sub Annex'!K78</f>
        <v>0</v>
      </c>
      <c r="J121" s="990">
        <f>'16-A. PM sub Annex'!L78</f>
        <v>0</v>
      </c>
      <c r="K121" s="990">
        <f>'16-A. PM sub Annex'!M78</f>
        <v>0</v>
      </c>
      <c r="L121" s="990">
        <f>'16-A. PM sub Annex'!N78</f>
        <v>0</v>
      </c>
      <c r="M121" s="136">
        <f>'16-A. PM sub Annex'!O78</f>
        <v>0</v>
      </c>
      <c r="N121" s="990">
        <f>'16-A. PM sub Annex'!P78</f>
        <v>0</v>
      </c>
      <c r="O121" s="136">
        <f>'16-A. PM sub Annex'!Q78</f>
        <v>0</v>
      </c>
      <c r="P121" s="78">
        <f>'16-A. PM sub Annex'!R78</f>
        <v>0</v>
      </c>
      <c r="Q121" s="62"/>
      <c r="R121" s="318"/>
    </row>
    <row r="122" spans="1:18" ht="30">
      <c r="A122" s="78" t="str">
        <f>'16-A. PM sub Annex'!B83</f>
        <v>16.1.3.1.16</v>
      </c>
      <c r="B122" s="78">
        <f>'16-A. PM sub Annex'!D83</f>
        <v>0</v>
      </c>
      <c r="C122" s="78" t="str">
        <f>'16-A. PM sub Annex'!E83</f>
        <v>Mobility support for Field activities for State MVCR Cell</v>
      </c>
      <c r="D122" s="990" t="str">
        <f>'16-A. PM sub Annex'!F83</f>
        <v>NDCP</v>
      </c>
      <c r="E122" s="990" t="str">
        <f>'16-A. PM sub Annex'!G83</f>
        <v>HRH&amp;HPIP/ NVBDCP – Malaria</v>
      </c>
      <c r="F122" s="990">
        <f>'16-A. PM sub Annex'!H83</f>
        <v>0</v>
      </c>
      <c r="G122" s="990">
        <f>'16-A. PM sub Annex'!I83</f>
        <v>0</v>
      </c>
      <c r="H122" s="990">
        <f>'16-A. PM sub Annex'!J83</f>
        <v>0</v>
      </c>
      <c r="I122" s="990">
        <f>'16-A. PM sub Annex'!K83</f>
        <v>0</v>
      </c>
      <c r="J122" s="990">
        <f>'16-A. PM sub Annex'!L83</f>
        <v>0</v>
      </c>
      <c r="K122" s="990">
        <f>'16-A. PM sub Annex'!M83</f>
        <v>0</v>
      </c>
      <c r="L122" s="990">
        <f>'16-A. PM sub Annex'!N83</f>
        <v>0</v>
      </c>
      <c r="M122" s="136">
        <f>'16-A. PM sub Annex'!O83</f>
        <v>0</v>
      </c>
      <c r="N122" s="990">
        <f>'16-A. PM sub Annex'!P83</f>
        <v>0</v>
      </c>
      <c r="O122" s="136">
        <f>'16-A. PM sub Annex'!Q83</f>
        <v>0</v>
      </c>
      <c r="P122" s="78">
        <f>'16-A. PM sub Annex'!R83</f>
        <v>0</v>
      </c>
      <c r="Q122" s="62"/>
      <c r="R122" s="318"/>
    </row>
    <row r="123" spans="1:18" ht="120">
      <c r="A123" s="78" t="str">
        <f>'16-A. PM sub Annex'!B91</f>
        <v>16.1.3.2.1</v>
      </c>
      <c r="B123" s="78" t="str">
        <f>'16-A. PM sub Annex'!D91</f>
        <v>F.1.1.g</v>
      </c>
      <c r="C123" s="78" t="str">
        <f>'16-A. PM sub Annex'!E91</f>
        <v>Zonal Entomological units</v>
      </c>
      <c r="D123" s="990" t="str">
        <f>'16-A. PM sub Annex'!F91</f>
        <v>NDCP</v>
      </c>
      <c r="E123" s="990" t="str">
        <f>'16-A. PM sub Annex'!G91</f>
        <v>HRH&amp;HPIP/ NVBDCP – Malaria</v>
      </c>
      <c r="F123" s="990">
        <f>'16-A. PM sub Annex'!H91</f>
        <v>0</v>
      </c>
      <c r="G123" s="990">
        <f>'16-A. PM sub Annex'!I91</f>
        <v>0</v>
      </c>
      <c r="H123" s="990">
        <f>'16-A. PM sub Annex'!J91</f>
        <v>0</v>
      </c>
      <c r="I123" s="990">
        <f>'16-A. PM sub Annex'!K91</f>
        <v>0</v>
      </c>
      <c r="J123" s="990">
        <f>'16-A. PM sub Annex'!L91</f>
        <v>0</v>
      </c>
      <c r="K123" s="990">
        <f>'16-A. PM sub Annex'!M91</f>
        <v>1</v>
      </c>
      <c r="L123" s="990">
        <f>'16-A. PM sub Annex'!N91</f>
        <v>400000</v>
      </c>
      <c r="M123" s="136">
        <f>'16-A. PM sub Annex'!O91</f>
        <v>4</v>
      </c>
      <c r="N123" s="990">
        <f>'16-A. PM sub Annex'!P91</f>
        <v>1</v>
      </c>
      <c r="O123" s="136">
        <f>'16-A. PM sub Annex'!Q91</f>
        <v>4</v>
      </c>
      <c r="P123" s="78" t="str">
        <f>'16-A. PM sub Annex'!R91</f>
        <v>Although, zonal entomological units are not functional in state but at state level one state entomologist is working in IDSP at SHSB, Bihar. Also two insect collectors and one LT are  available. So, we can use their service for entomological work in state. The entomological surveillance is also continuing on regular basis in context with different vector borne diseases at state level under the leadership of State Entomologist (IDSP, SHSB). Therefore, the proposed amount can be approved to support entomological surveillance in state.</v>
      </c>
      <c r="Q123" s="62"/>
      <c r="R123" s="318"/>
    </row>
    <row r="124" spans="1:18" ht="30">
      <c r="A124" s="78" t="str">
        <f>'16-A. PM sub Annex'!B102</f>
        <v>16.1.3.3.9</v>
      </c>
      <c r="B124" s="78" t="str">
        <f>'16-A. PM sub Annex'!D102</f>
        <v>F.1.1.d</v>
      </c>
      <c r="C124" s="78" t="str">
        <f>'16-A. PM sub Annex'!E102</f>
        <v>Monitoring , Evaluation &amp; Supervision &amp; Epidemic Preparedness (Only Mobility Expenses)</v>
      </c>
      <c r="D124" s="990" t="str">
        <f>'16-A. PM sub Annex'!F102</f>
        <v>NDCP</v>
      </c>
      <c r="E124" s="990" t="str">
        <f>'16-A. PM sub Annex'!G102</f>
        <v>HRH&amp;HPIP/ NVBDCP – Malaria</v>
      </c>
      <c r="F124" s="990">
        <f>'16-A. PM sub Annex'!H102</f>
        <v>0</v>
      </c>
      <c r="G124" s="990">
        <f>'16-A. PM sub Annex'!I102</f>
        <v>0</v>
      </c>
      <c r="H124" s="990">
        <f>'16-A. PM sub Annex'!J102</f>
        <v>0</v>
      </c>
      <c r="I124" s="990">
        <f>'16-A. PM sub Annex'!K102</f>
        <v>0</v>
      </c>
      <c r="J124" s="990">
        <f>'16-A. PM sub Annex'!L102</f>
        <v>0</v>
      </c>
      <c r="K124" s="990">
        <f>'16-A. PM sub Annex'!M102</f>
        <v>0</v>
      </c>
      <c r="L124" s="990">
        <f>'16-A. PM sub Annex'!N102</f>
        <v>0</v>
      </c>
      <c r="M124" s="136">
        <f>'16-A. PM sub Annex'!O102</f>
        <v>0</v>
      </c>
      <c r="N124" s="990">
        <f>'16-A. PM sub Annex'!P102</f>
        <v>0</v>
      </c>
      <c r="O124" s="136">
        <f>'16-A. PM sub Annex'!Q102</f>
        <v>0</v>
      </c>
      <c r="P124" s="78">
        <f>'16-A. PM sub Annex'!R102</f>
        <v>0</v>
      </c>
      <c r="Q124" s="62"/>
      <c r="R124" s="318"/>
    </row>
    <row r="125" spans="1:18" ht="30">
      <c r="A125" s="78" t="str">
        <f>'16-A. PM sub Annex'!B125</f>
        <v>16.1.4.1.6</v>
      </c>
      <c r="B125" s="78" t="str">
        <f>'16-A. PM sub Annex'!D125</f>
        <v>F.1.4.a</v>
      </c>
      <c r="C125" s="78" t="str">
        <f>'16-A. PM sub Annex'!E125</f>
        <v xml:space="preserve">contingency support </v>
      </c>
      <c r="D125" s="990" t="str">
        <f>'16-A. PM sub Annex'!F125</f>
        <v>NDCP</v>
      </c>
      <c r="E125" s="990" t="str">
        <f>'16-A. PM sub Annex'!G125</f>
        <v>HRH&amp;HPIP/ NVBDCP-Lymphatic Filariasis</v>
      </c>
      <c r="F125" s="990">
        <f>'16-A. PM sub Annex'!H125</f>
        <v>0</v>
      </c>
      <c r="G125" s="990">
        <f>'16-A. PM sub Annex'!I125</f>
        <v>0</v>
      </c>
      <c r="H125" s="990">
        <f>'16-A. PM sub Annex'!J125</f>
        <v>0</v>
      </c>
      <c r="I125" s="990">
        <f>'16-A. PM sub Annex'!K125</f>
        <v>0</v>
      </c>
      <c r="J125" s="990">
        <f>'16-A. PM sub Annex'!L125</f>
        <v>0</v>
      </c>
      <c r="K125" s="990">
        <f>'16-A. PM sub Annex'!M125</f>
        <v>0</v>
      </c>
      <c r="L125" s="990">
        <f>'16-A. PM sub Annex'!N125</f>
        <v>0</v>
      </c>
      <c r="M125" s="136">
        <f>'16-A. PM sub Annex'!O125</f>
        <v>0</v>
      </c>
      <c r="N125" s="990">
        <f>'16-A. PM sub Annex'!P125</f>
        <v>0</v>
      </c>
      <c r="O125" s="136">
        <f>'16-A. PM sub Annex'!Q125</f>
        <v>0</v>
      </c>
      <c r="P125" s="78">
        <f>'16-A. PM sub Annex'!R125</f>
        <v>0</v>
      </c>
      <c r="Q125" s="62"/>
      <c r="R125" s="318"/>
    </row>
    <row r="126" spans="1:18" ht="30">
      <c r="A126" s="78" t="str">
        <f>'16-A. PM sub Annex'!B126</f>
        <v>16.1.4.1.7</v>
      </c>
      <c r="B126" s="78" t="str">
        <f>'16-A. PM sub Annex'!D126</f>
        <v>F.2.1.h</v>
      </c>
      <c r="C126" s="78" t="str">
        <f>'16-A. PM sub Annex'!E126</f>
        <v>GFATM Project: Programme Administration Costs (PA)</v>
      </c>
      <c r="D126" s="990" t="str">
        <f>'16-A. PM sub Annex'!F126</f>
        <v>NDCP</v>
      </c>
      <c r="E126" s="990" t="str">
        <f>'16-A. PM sub Annex'!G126</f>
        <v>HRH&amp;HPIP/ NVBDCP - GFATM</v>
      </c>
      <c r="F126" s="990">
        <f>'16-A. PM sub Annex'!H126</f>
        <v>0</v>
      </c>
      <c r="G126" s="990">
        <f>'16-A. PM sub Annex'!I126</f>
        <v>0</v>
      </c>
      <c r="H126" s="990">
        <f>'16-A. PM sub Annex'!J126</f>
        <v>0</v>
      </c>
      <c r="I126" s="990">
        <f>'16-A. PM sub Annex'!K126</f>
        <v>0</v>
      </c>
      <c r="J126" s="990">
        <f>'16-A. PM sub Annex'!L126</f>
        <v>0</v>
      </c>
      <c r="K126" s="990">
        <f>'16-A. PM sub Annex'!M126</f>
        <v>0</v>
      </c>
      <c r="L126" s="990">
        <f>'16-A. PM sub Annex'!N126</f>
        <v>0</v>
      </c>
      <c r="M126" s="136">
        <f>'16-A. PM sub Annex'!O126</f>
        <v>0</v>
      </c>
      <c r="N126" s="990">
        <f>'16-A. PM sub Annex'!P126</f>
        <v>0</v>
      </c>
      <c r="O126" s="136">
        <f>'16-A. PM sub Annex'!Q126</f>
        <v>0</v>
      </c>
      <c r="P126" s="78">
        <f>'16-A. PM sub Annex'!R126</f>
        <v>0</v>
      </c>
      <c r="Q126" s="62"/>
      <c r="R126" s="318"/>
    </row>
    <row r="127" spans="1:18" ht="30">
      <c r="A127" s="78" t="str">
        <f>'16-A. PM sub Annex'!B134</f>
        <v>16.1.4.1.15</v>
      </c>
      <c r="B127" s="78">
        <f>'16-A. PM sub Annex'!D134</f>
        <v>0</v>
      </c>
      <c r="C127" s="78" t="str">
        <f>'16-A. PM sub Annex'!E134</f>
        <v>Programme Administrative Costs</v>
      </c>
      <c r="D127" s="990" t="str">
        <f>'16-A. PM sub Annex'!F134</f>
        <v>NDCP</v>
      </c>
      <c r="E127" s="990" t="str">
        <f>'16-A. PM sub Annex'!G134</f>
        <v>HRH&amp;HPIP/NVBDCP</v>
      </c>
      <c r="F127" s="990">
        <f>'16-A. PM sub Annex'!H134</f>
        <v>0</v>
      </c>
      <c r="G127" s="990">
        <f>'16-A. PM sub Annex'!I134</f>
        <v>0</v>
      </c>
      <c r="H127" s="990">
        <f>'16-A. PM sub Annex'!J134</f>
        <v>0</v>
      </c>
      <c r="I127" s="990">
        <f>'16-A. PM sub Annex'!K134</f>
        <v>0</v>
      </c>
      <c r="J127" s="990">
        <f>'16-A. PM sub Annex'!L134</f>
        <v>0</v>
      </c>
      <c r="K127" s="990">
        <f>'16-A. PM sub Annex'!M134</f>
        <v>0</v>
      </c>
      <c r="L127" s="990">
        <f>'16-A. PM sub Annex'!N134</f>
        <v>0</v>
      </c>
      <c r="M127" s="136">
        <f>'16-A. PM sub Annex'!O134</f>
        <v>0</v>
      </c>
      <c r="N127" s="990">
        <f>'16-A. PM sub Annex'!P134</f>
        <v>0</v>
      </c>
      <c r="O127" s="136">
        <f>'16-A. PM sub Annex'!Q134</f>
        <v>0</v>
      </c>
      <c r="P127" s="78">
        <f>'16-A. PM sub Annex'!R134</f>
        <v>0</v>
      </c>
      <c r="Q127" s="62"/>
      <c r="R127" s="318"/>
    </row>
    <row r="128" spans="1:18" ht="30">
      <c r="A128" s="78" t="str">
        <f>'16-A. PM sub Annex'!B138</f>
        <v>16.1.4.2.3</v>
      </c>
      <c r="B128" s="78" t="str">
        <f>'16-A. PM sub Annex'!D138</f>
        <v>F.1.4.a</v>
      </c>
      <c r="C128" s="78" t="str">
        <f>'16-A. PM sub Annex'!E138</f>
        <v xml:space="preserve">contingency support </v>
      </c>
      <c r="D128" s="990" t="str">
        <f>'16-A. PM sub Annex'!F138</f>
        <v>NDCP</v>
      </c>
      <c r="E128" s="990" t="str">
        <f>'16-A. PM sub Annex'!G138</f>
        <v>HRH&amp;HPIP/ NVBDCP-Lymphatic Filariasis</v>
      </c>
      <c r="F128" s="990">
        <f>'16-A. PM sub Annex'!H138</f>
        <v>0</v>
      </c>
      <c r="G128" s="990">
        <f>'16-A. PM sub Annex'!I138</f>
        <v>0</v>
      </c>
      <c r="H128" s="990">
        <f>'16-A. PM sub Annex'!J138</f>
        <v>0</v>
      </c>
      <c r="I128" s="990">
        <f>'16-A. PM sub Annex'!K138</f>
        <v>0</v>
      </c>
      <c r="J128" s="990">
        <f>'16-A. PM sub Annex'!L138</f>
        <v>0</v>
      </c>
      <c r="K128" s="990" t="str">
        <f>'16-A. PM sub Annex'!M138</f>
        <v>Office Contingency</v>
      </c>
      <c r="L128" s="990">
        <f>'16-A. PM sub Annex'!N138</f>
        <v>2200000</v>
      </c>
      <c r="M128" s="136">
        <f>'16-A. PM sub Annex'!O138</f>
        <v>22</v>
      </c>
      <c r="N128" s="990">
        <f>'16-A. PM sub Annex'!P138</f>
        <v>1</v>
      </c>
      <c r="O128" s="136">
        <f>'16-A. PM sub Annex'!Q138</f>
        <v>22</v>
      </c>
      <c r="P128" s="78" t="str">
        <f>'16-A. PM sub Annex'!R138</f>
        <v>Office Contingency</v>
      </c>
      <c r="Q128" s="62"/>
      <c r="R128" s="318"/>
    </row>
    <row r="129" spans="1:18" ht="30">
      <c r="A129" s="78" t="str">
        <f>'16-A. PM sub Annex'!B151</f>
        <v>16.1.5.1.3</v>
      </c>
      <c r="B129" s="78" t="str">
        <f>'16-A. PM sub Annex'!D151</f>
        <v>F.1.1.d</v>
      </c>
      <c r="C129" s="78" t="str">
        <f>'16-A. PM sub Annex'!E151</f>
        <v>Monitoring , Evaluation &amp; Supervision &amp; Epidemic Preparedness - Cost of NAMMIS</v>
      </c>
      <c r="D129" s="990" t="str">
        <f>'16-A. PM sub Annex'!F151</f>
        <v>NDCP</v>
      </c>
      <c r="E129" s="990" t="str">
        <f>'16-A. PM sub Annex'!G151</f>
        <v>HRH&amp;HPIP/ NVBDCP – Malaria</v>
      </c>
      <c r="F129" s="990">
        <f>'16-A. PM sub Annex'!H151</f>
        <v>0</v>
      </c>
      <c r="G129" s="990">
        <f>'16-A. PM sub Annex'!I151</f>
        <v>0</v>
      </c>
      <c r="H129" s="990">
        <f>'16-A. PM sub Annex'!J151</f>
        <v>0</v>
      </c>
      <c r="I129" s="990">
        <f>'16-A. PM sub Annex'!K151</f>
        <v>0</v>
      </c>
      <c r="J129" s="990">
        <f>'16-A. PM sub Annex'!L151</f>
        <v>0</v>
      </c>
      <c r="K129" s="990">
        <f>'16-A. PM sub Annex'!M151</f>
        <v>0</v>
      </c>
      <c r="L129" s="990">
        <f>'16-A. PM sub Annex'!N151</f>
        <v>0</v>
      </c>
      <c r="M129" s="136">
        <f>'16-A. PM sub Annex'!O151</f>
        <v>0</v>
      </c>
      <c r="N129" s="990">
        <f>'16-A. PM sub Annex'!P151</f>
        <v>0</v>
      </c>
      <c r="O129" s="136">
        <f>'16-A. PM sub Annex'!Q151</f>
        <v>0</v>
      </c>
      <c r="P129" s="78">
        <f>'16-A. PM sub Annex'!R151</f>
        <v>0</v>
      </c>
      <c r="Q129" s="62"/>
      <c r="R129" s="318"/>
    </row>
    <row r="130" spans="1:18" ht="30">
      <c r="A130" s="78" t="str">
        <f>'16-A. PM sub Annex'!B154</f>
        <v>16.1.5.2.2</v>
      </c>
      <c r="B130" s="78" t="str">
        <f>'16-A. PM sub Annex'!D154</f>
        <v>F.2.1.b</v>
      </c>
      <c r="C130" s="78" t="str">
        <f>'16-A. PM sub Annex'!E154</f>
        <v>Travel related Cost (TRC) - GFATM</v>
      </c>
      <c r="D130" s="990" t="str">
        <f>'16-A. PM sub Annex'!F154</f>
        <v>NDCP</v>
      </c>
      <c r="E130" s="990" t="str">
        <f>'16-A. PM sub Annex'!G154</f>
        <v>HRH&amp;HPIP/ NVBDCP - GFATM</v>
      </c>
      <c r="F130" s="990">
        <f>'16-A. PM sub Annex'!H154</f>
        <v>0</v>
      </c>
      <c r="G130" s="990">
        <f>'16-A. PM sub Annex'!I154</f>
        <v>0</v>
      </c>
      <c r="H130" s="990">
        <f>'16-A. PM sub Annex'!J154</f>
        <v>0</v>
      </c>
      <c r="I130" s="990">
        <f>'16-A. PM sub Annex'!K154</f>
        <v>0</v>
      </c>
      <c r="J130" s="990">
        <f>'16-A. PM sub Annex'!L154</f>
        <v>0</v>
      </c>
      <c r="K130" s="990">
        <f>'16-A. PM sub Annex'!M154</f>
        <v>0</v>
      </c>
      <c r="L130" s="990">
        <f>'16-A. PM sub Annex'!N154</f>
        <v>0</v>
      </c>
      <c r="M130" s="136">
        <f>'16-A. PM sub Annex'!O154</f>
        <v>0</v>
      </c>
      <c r="N130" s="990">
        <f>'16-A. PM sub Annex'!P154</f>
        <v>0</v>
      </c>
      <c r="O130" s="136">
        <f>'16-A. PM sub Annex'!Q154</f>
        <v>0</v>
      </c>
      <c r="P130" s="78">
        <f>'16-A. PM sub Annex'!R154</f>
        <v>0</v>
      </c>
      <c r="Q130" s="62"/>
      <c r="R130" s="318"/>
    </row>
    <row r="131" spans="1:18" ht="30">
      <c r="A131" s="78" t="str">
        <f>'16-A. PM sub Annex'!B161</f>
        <v>16.1.5.2.7</v>
      </c>
      <c r="B131" s="78">
        <f>'16-A. PM sub Annex'!D161</f>
        <v>0</v>
      </c>
      <c r="C131" s="78" t="str">
        <f>'16-A. PM sub Annex'!E161</f>
        <v>Maintenance cost of vehicles</v>
      </c>
      <c r="D131" s="990" t="str">
        <f>'16-A. PM sub Annex'!F161</f>
        <v>NDCP</v>
      </c>
      <c r="E131" s="990" t="str">
        <f>'16-A. PM sub Annex'!G161</f>
        <v>HRH&amp;HPIP/NVBDCP</v>
      </c>
      <c r="F131" s="990">
        <f>'16-A. PM sub Annex'!H161</f>
        <v>0</v>
      </c>
      <c r="G131" s="990">
        <f>'16-A. PM sub Annex'!I161</f>
        <v>0</v>
      </c>
      <c r="H131" s="990">
        <f>'16-A. PM sub Annex'!J161</f>
        <v>0</v>
      </c>
      <c r="I131" s="990">
        <f>'16-A. PM sub Annex'!K161</f>
        <v>0</v>
      </c>
      <c r="J131" s="990">
        <f>'16-A. PM sub Annex'!L161</f>
        <v>0</v>
      </c>
      <c r="K131" s="990">
        <f>'16-A. PM sub Annex'!M161</f>
        <v>0</v>
      </c>
      <c r="L131" s="990">
        <f>'16-A. PM sub Annex'!N161</f>
        <v>0</v>
      </c>
      <c r="M131" s="136">
        <f>'16-A. PM sub Annex'!O161</f>
        <v>0</v>
      </c>
      <c r="N131" s="990">
        <f>'16-A. PM sub Annex'!P161</f>
        <v>0</v>
      </c>
      <c r="O131" s="136">
        <f>'16-A. PM sub Annex'!Q161</f>
        <v>0</v>
      </c>
      <c r="P131" s="78">
        <f>'16-A. PM sub Annex'!R161</f>
        <v>0</v>
      </c>
      <c r="Q131" s="62"/>
      <c r="R131" s="318"/>
    </row>
    <row r="132" spans="1:18" ht="75">
      <c r="A132" s="78" t="str">
        <f>'16-A. PM sub Annex'!B167</f>
        <v>16.1.5.3.7</v>
      </c>
      <c r="B132" s="78" t="str">
        <f>'16-A. PM sub Annex'!D167</f>
        <v>F.1.2.d</v>
      </c>
      <c r="C132" s="78" t="str">
        <f>'16-A. PM sub Annex'!E167</f>
        <v>Epidemic preparedness (Dengue &amp; Chikungunya)</v>
      </c>
      <c r="D132" s="990" t="str">
        <f>'16-A. PM sub Annex'!F167</f>
        <v>NDCP</v>
      </c>
      <c r="E132" s="990" t="str">
        <f>'16-A. PM sub Annex'!G167</f>
        <v>HRH&amp;HPIP/ NVBDCP-Dengue &amp; Chikungunya</v>
      </c>
      <c r="F132" s="990">
        <f>'16-A. PM sub Annex'!H167</f>
        <v>0</v>
      </c>
      <c r="G132" s="990">
        <f>'16-A. PM sub Annex'!I167</f>
        <v>0</v>
      </c>
      <c r="H132" s="990">
        <f>'16-A. PM sub Annex'!J167</f>
        <v>0</v>
      </c>
      <c r="I132" s="990">
        <f>'16-A. PM sub Annex'!K167</f>
        <v>0</v>
      </c>
      <c r="J132" s="990">
        <f>'16-A. PM sub Annex'!L167</f>
        <v>0</v>
      </c>
      <c r="K132" s="990" t="str">
        <f>'16-A. PM sub Annex'!M167</f>
        <v>Dist</v>
      </c>
      <c r="L132" s="990">
        <f>'16-A. PM sub Annex'!N167</f>
        <v>105263</v>
      </c>
      <c r="M132" s="136">
        <f>'16-A. PM sub Annex'!O167</f>
        <v>1.05263</v>
      </c>
      <c r="N132" s="990">
        <f>'16-A. PM sub Annex'!P167</f>
        <v>38</v>
      </c>
      <c r="O132" s="136">
        <f>'16-A. PM sub Annex'!Q167</f>
        <v>39.999939999999995</v>
      </c>
      <c r="P132" s="78" t="str">
        <f>'16-A. PM sub Annex'!R167</f>
        <v>Fund proposed for preparedness and containment of out breaks of Dengue and Chikungunya in 2021. As per last three years case load of districts, Rs 2 lakhs each for 3 districts, Rs 1 lakh each for 33 districts and Rs 50,000 each for two districts.                                                        Fund proposed as per direction given in NVBDCP remarks coloumn.</v>
      </c>
      <c r="Q132" s="62"/>
      <c r="R132" s="318"/>
    </row>
    <row r="133" spans="1:18" ht="30">
      <c r="A133" s="78" t="str">
        <f>'16-A. PM sub Annex'!B168</f>
        <v>16.1.5.3.8</v>
      </c>
      <c r="B133" s="78">
        <f>'16-A. PM sub Annex'!D168</f>
        <v>0</v>
      </c>
      <c r="C133" s="78" t="str">
        <f>'16-A. PM sub Annex'!E168</f>
        <v>Epidemic preparedness &amp; Response (Malaria)</v>
      </c>
      <c r="D133" s="990" t="str">
        <f>'16-A. PM sub Annex'!F168</f>
        <v>NDCP</v>
      </c>
      <c r="E133" s="990" t="str">
        <f>'16-A. PM sub Annex'!G168</f>
        <v>HRH&amp;HPIP/ NVBDCP-Malaria</v>
      </c>
      <c r="F133" s="990">
        <f>'16-A. PM sub Annex'!H168</f>
        <v>0</v>
      </c>
      <c r="G133" s="990">
        <f>'16-A. PM sub Annex'!I168</f>
        <v>0</v>
      </c>
      <c r="H133" s="990">
        <f>'16-A. PM sub Annex'!J168</f>
        <v>0</v>
      </c>
      <c r="I133" s="990">
        <f>'16-A. PM sub Annex'!K168</f>
        <v>0</v>
      </c>
      <c r="J133" s="990">
        <f>'16-A. PM sub Annex'!L168</f>
        <v>0</v>
      </c>
      <c r="K133" s="990">
        <f>'16-A. PM sub Annex'!M168</f>
        <v>0</v>
      </c>
      <c r="L133" s="990">
        <f>'16-A. PM sub Annex'!N168</f>
        <v>0</v>
      </c>
      <c r="M133" s="136">
        <f>'16-A. PM sub Annex'!O168</f>
        <v>0</v>
      </c>
      <c r="N133" s="990">
        <f>'16-A. PM sub Annex'!P168</f>
        <v>0</v>
      </c>
      <c r="O133" s="136">
        <f>'16-A. PM sub Annex'!Q168</f>
        <v>0</v>
      </c>
      <c r="P133" s="78" t="str">
        <f>'16-A. PM sub Annex'!R168</f>
        <v>This FMR Fund proposed in FMR code 16.1.5.3.9</v>
      </c>
      <c r="Q133" s="62"/>
      <c r="R133" s="318"/>
    </row>
    <row r="134" spans="1:18" ht="75">
      <c r="A134" s="78" t="str">
        <f>'16-A. PM sub Annex'!B169</f>
        <v>16.1.5.3.9</v>
      </c>
      <c r="B134" s="78" t="str">
        <f>'16-A. PM sub Annex'!D169</f>
        <v>F.1.1.d</v>
      </c>
      <c r="C134" s="78" t="str">
        <f>'16-A. PM sub Annex'!E169</f>
        <v>Monitoring , Evaluation &amp; Supervision &amp; Epidemic Preparedness - Cost of NAMMIS</v>
      </c>
      <c r="D134" s="990" t="str">
        <f>'16-A. PM sub Annex'!F169</f>
        <v>NDCP</v>
      </c>
      <c r="E134" s="990" t="str">
        <f>'16-A. PM sub Annex'!G169</f>
        <v>HRH&amp;HPIP/ NVBDCP – Malaria</v>
      </c>
      <c r="F134" s="990">
        <f>'16-A. PM sub Annex'!H169</f>
        <v>0</v>
      </c>
      <c r="G134" s="990">
        <f>'16-A. PM sub Annex'!I169</f>
        <v>0</v>
      </c>
      <c r="H134" s="990">
        <f>'16-A. PM sub Annex'!J169</f>
        <v>0</v>
      </c>
      <c r="I134" s="990">
        <f>'16-A. PM sub Annex'!K169</f>
        <v>0</v>
      </c>
      <c r="J134" s="990">
        <f>'16-A. PM sub Annex'!L169</f>
        <v>0</v>
      </c>
      <c r="K134" s="990" t="str">
        <f>'16-A. PM sub Annex'!M169</f>
        <v>Dist &amp; state</v>
      </c>
      <c r="L134" s="990">
        <f>'16-A. PM sub Annex'!N169</f>
        <v>47564</v>
      </c>
      <c r="M134" s="136">
        <f>'16-A. PM sub Annex'!O169</f>
        <v>0.47564000000000001</v>
      </c>
      <c r="N134" s="990">
        <f>'16-A. PM sub Annex'!P169</f>
        <v>39</v>
      </c>
      <c r="O134" s="136">
        <f>'16-A. PM sub Annex'!Q169</f>
        <v>18.549959999999999</v>
      </c>
      <c r="P134" s="78" t="str">
        <f>'16-A. PM sub Annex'!R169</f>
        <v>Fund proposed for preparedness and containment of out breaks of Dengue and Chikungunya in 2021. As per last three years case load of districts, Rs 2 lakhs each for 3 districts, Rs 1 lakh each for 33 districts and Rs 50,000 each for two districts.                                                        Fund proposed as per direction given in NVBDCP remarks coloumn.</v>
      </c>
      <c r="Q134" s="62"/>
      <c r="R134" s="318"/>
    </row>
    <row r="135" spans="1:18">
      <c r="Q135" s="1032"/>
      <c r="R135" s="1033"/>
    </row>
    <row r="136" spans="1:18">
      <c r="Q136" s="1032"/>
      <c r="R136" s="1033"/>
    </row>
    <row r="137" spans="1:18">
      <c r="A137" s="4635" t="s">
        <v>5704</v>
      </c>
      <c r="B137" s="4635"/>
      <c r="C137" s="4635"/>
      <c r="D137" s="334"/>
      <c r="E137" s="334"/>
      <c r="F137" s="334"/>
      <c r="G137" s="334"/>
      <c r="H137" s="240"/>
      <c r="I137" s="334"/>
      <c r="J137" s="240"/>
      <c r="K137" s="1022"/>
      <c r="L137" s="1022"/>
      <c r="M137" s="240"/>
      <c r="N137" s="1012"/>
      <c r="O137" s="969"/>
      <c r="P137" s="964"/>
      <c r="Q137" s="977"/>
      <c r="R137" s="978"/>
    </row>
    <row r="138" spans="1:18">
      <c r="A138" s="970" t="str">
        <f>'NUHM-Non Metro Abst'!A12</f>
        <v>U.1.1.1.2</v>
      </c>
      <c r="B138" s="970"/>
      <c r="C138" s="970" t="str">
        <f>'NUHM-Non Metro Abst'!C12</f>
        <v>Support for implementation of NVBDCP</v>
      </c>
      <c r="D138" s="990"/>
      <c r="E138" s="970" t="str">
        <f>'NUHM-Non Metro Abst'!D12</f>
        <v>NVBDCP</v>
      </c>
      <c r="F138" s="970">
        <f>'NUHM-Non Metro Abst'!E12</f>
        <v>0</v>
      </c>
      <c r="G138" s="970">
        <f>'NUHM-Non Metro Abst'!F12</f>
        <v>0</v>
      </c>
      <c r="H138" s="970">
        <f>'NUHM-Non Metro Abst'!G12</f>
        <v>0</v>
      </c>
      <c r="I138" s="970">
        <f>'NUHM-Non Metro Abst'!H12</f>
        <v>0</v>
      </c>
      <c r="J138" s="970">
        <f>'NUHM-Non Metro Abst'!I12</f>
        <v>0</v>
      </c>
      <c r="K138" s="970">
        <f>'NUHM-Non Metro Abst'!J12</f>
        <v>0</v>
      </c>
      <c r="L138" s="970">
        <f>'NUHM-Non Metro Abst'!K12</f>
        <v>0</v>
      </c>
      <c r="M138" s="970">
        <f>'NUHM-Non Metro Abst'!L12</f>
        <v>0</v>
      </c>
      <c r="N138" s="970">
        <f>'NUHM-Non Metro Abst'!M12</f>
        <v>0</v>
      </c>
      <c r="O138" s="970">
        <f>'NUHM-Non Metro Abst'!N12</f>
        <v>0</v>
      </c>
      <c r="P138" s="970">
        <f>'NUHM-Non Metro Abst'!O12</f>
        <v>0</v>
      </c>
      <c r="Q138" s="63"/>
      <c r="R138" s="979"/>
    </row>
    <row r="139" spans="1:18">
      <c r="A139" s="4635" t="s">
        <v>5703</v>
      </c>
      <c r="B139" s="4635"/>
      <c r="C139" s="4635"/>
      <c r="D139" s="334"/>
      <c r="E139" s="334"/>
      <c r="F139" s="334"/>
      <c r="G139" s="334"/>
      <c r="H139" s="240"/>
      <c r="I139" s="334"/>
      <c r="J139" s="240"/>
      <c r="K139" s="1022"/>
      <c r="L139" s="1022"/>
      <c r="M139" s="240"/>
      <c r="N139" s="1012"/>
      <c r="O139" s="969"/>
      <c r="P139" s="964"/>
      <c r="Q139" s="977"/>
      <c r="R139" s="978"/>
    </row>
    <row r="140" spans="1:18">
      <c r="A140" s="970" t="str">
        <f>'NUHM Metro Abst'!A12</f>
        <v>U.1.1.1.2</v>
      </c>
      <c r="B140" s="970"/>
      <c r="C140" s="970" t="str">
        <f>'NUHM Metro Abst'!C12</f>
        <v>Support for implementation of NVBDCP</v>
      </c>
      <c r="D140" s="990"/>
      <c r="E140" s="970" t="str">
        <f>'NUHM Metro Abst'!D12</f>
        <v>NVBDCP</v>
      </c>
      <c r="F140" s="970">
        <f>'NUHM Metro Abst'!E12</f>
        <v>0</v>
      </c>
      <c r="G140" s="970">
        <f>'NUHM Metro Abst'!F12</f>
        <v>0</v>
      </c>
      <c r="H140" s="970">
        <f>'NUHM Metro Abst'!G12</f>
        <v>0</v>
      </c>
      <c r="I140" s="970">
        <f>'NUHM Metro Abst'!H12</f>
        <v>0</v>
      </c>
      <c r="J140" s="970">
        <f>'NUHM Metro Abst'!I12</f>
        <v>0</v>
      </c>
      <c r="K140" s="970">
        <f>'NUHM Metro Abst'!J12</f>
        <v>0</v>
      </c>
      <c r="L140" s="970">
        <f>'NUHM Metro Abst'!K12</f>
        <v>0</v>
      </c>
      <c r="M140" s="970">
        <f>'NUHM Metro Abst'!L12</f>
        <v>0</v>
      </c>
      <c r="N140" s="970">
        <f>'NUHM Metro Abst'!M12</f>
        <v>0</v>
      </c>
      <c r="O140" s="970">
        <f>'NUHM Metro Abst'!N12</f>
        <v>0</v>
      </c>
      <c r="P140" s="970">
        <f>'NUHM Metro Abst'!O12</f>
        <v>0</v>
      </c>
      <c r="Q140" s="63"/>
      <c r="R140" s="63"/>
    </row>
  </sheetData>
  <sheetProtection sheet="1" formatCells="0" formatColumns="0" formatRows="0" autoFilter="0"/>
  <autoFilter ref="A5:M134"/>
  <mergeCells count="18">
    <mergeCell ref="A37:A42"/>
    <mergeCell ref="A44:A60"/>
    <mergeCell ref="A137:C137"/>
    <mergeCell ref="A139:C139"/>
    <mergeCell ref="Q4:R4"/>
    <mergeCell ref="E4:E5"/>
    <mergeCell ref="F4:J4"/>
    <mergeCell ref="K4:P4"/>
    <mergeCell ref="A62:A69"/>
    <mergeCell ref="A90:A97"/>
    <mergeCell ref="A99:A102"/>
    <mergeCell ref="A15:A21"/>
    <mergeCell ref="A22:A31"/>
    <mergeCell ref="A1:C1"/>
    <mergeCell ref="A4:A5"/>
    <mergeCell ref="B4:B5"/>
    <mergeCell ref="C4:C5"/>
    <mergeCell ref="D4:D5"/>
  </mergeCells>
  <pageMargins left="0.7" right="0.7" top="0.75" bottom="0.75" header="0.3" footer="0.3"/>
  <pageSetup orientation="portrait" horizontalDpi="4294967295" verticalDpi="4294967295" r:id="rId1"/>
</worksheet>
</file>

<file path=xl/worksheets/sheet44.xml><?xml version="1.0" encoding="utf-8"?>
<worksheet xmlns="http://schemas.openxmlformats.org/spreadsheetml/2006/main" xmlns:r="http://schemas.openxmlformats.org/officeDocument/2006/relationships">
  <sheetPr codeName="Sheet33">
    <tabColor theme="5" tint="0.79998168889431442"/>
  </sheetPr>
  <dimension ref="A1:R53"/>
  <sheetViews>
    <sheetView zoomScale="60" zoomScaleNormal="60" workbookViewId="0">
      <pane xSplit="3" ySplit="5" topLeftCell="G14"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11.140625" defaultRowHeight="15"/>
  <cols>
    <col min="1" max="1" width="11.140625" style="407"/>
    <col min="2" max="2" width="17.7109375" style="407" customWidth="1"/>
    <col min="3" max="3" width="46.85546875" style="453" customWidth="1"/>
    <col min="4" max="4" width="9" style="407" customWidth="1"/>
    <col min="5" max="5" width="21.7109375" style="407" customWidth="1"/>
    <col min="6" max="6" width="19" style="407" customWidth="1"/>
    <col min="7" max="7" width="19.140625" style="407" customWidth="1"/>
    <col min="8" max="8" width="14.140625" style="479" customWidth="1"/>
    <col min="9" max="9" width="11.140625" style="407"/>
    <col min="10" max="10" width="15.7109375" style="479" customWidth="1"/>
    <col min="11" max="11" width="14.140625" style="407" customWidth="1"/>
    <col min="12" max="12" width="12.28515625" style="407" customWidth="1"/>
    <col min="13" max="13" width="14.85546875" style="479" customWidth="1"/>
    <col min="14" max="14" width="11.140625" style="407"/>
    <col min="15" max="15" width="11.140625" style="479"/>
    <col min="16" max="16" width="56.42578125" style="453" customWidth="1"/>
    <col min="17" max="17" width="40.85546875" style="453" customWidth="1"/>
    <col min="18" max="18" width="11.140625" style="479"/>
    <col min="19" max="16384" width="11.140625" style="407"/>
  </cols>
  <sheetData>
    <row r="1" spans="1:18">
      <c r="A1" s="4640" t="s">
        <v>2099</v>
      </c>
      <c r="B1" s="4640"/>
      <c r="C1" s="4640"/>
      <c r="D1" s="866"/>
      <c r="F1" s="74" t="s">
        <v>3963</v>
      </c>
      <c r="G1" s="867"/>
      <c r="H1" s="867"/>
      <c r="I1" s="866"/>
      <c r="J1" s="867"/>
      <c r="K1" s="866"/>
      <c r="L1" s="866"/>
      <c r="M1" s="867"/>
    </row>
    <row r="2" spans="1:18">
      <c r="A2" s="916" t="str">
        <f>HYPERLINK("#Index!F3", "Index Pg")</f>
        <v>Index Pg</v>
      </c>
      <c r="B2" s="923"/>
      <c r="C2" s="403" t="str">
        <f>HYPERLINK("#'Budget Summary I'!A1:AL1", "Budget Summary I")</f>
        <v>Budget Summary I</v>
      </c>
      <c r="D2" s="1035"/>
      <c r="E2" s="710" t="s">
        <v>4599</v>
      </c>
      <c r="F2" s="135">
        <f>R6+R10+R12+R16+R23+R26+R28+R31+R33+R36</f>
        <v>0</v>
      </c>
      <c r="G2" s="599"/>
      <c r="H2" s="599"/>
      <c r="I2" s="600"/>
      <c r="J2" s="599"/>
      <c r="K2" s="600"/>
      <c r="L2" s="600"/>
      <c r="M2" s="599"/>
    </row>
    <row r="3" spans="1:18" s="408" customFormat="1">
      <c r="A3" s="922"/>
      <c r="B3" s="923"/>
      <c r="C3" s="403" t="str">
        <f>HYPERLINK("#'Budget Summary II'!A3:B5", "Budget Summary II")</f>
        <v>Budget Summary II</v>
      </c>
      <c r="D3" s="1035"/>
      <c r="E3" s="710" t="s">
        <v>4600</v>
      </c>
      <c r="F3" s="135">
        <f>O6+O10+O12+O16+O23+O26+O28+O31+O33+O36</f>
        <v>2666.7324399999998</v>
      </c>
      <c r="I3" s="600"/>
      <c r="L3" s="600"/>
      <c r="M3" s="599"/>
      <c r="O3" s="1027"/>
      <c r="P3" s="1028"/>
      <c r="Q3" s="1028"/>
      <c r="R3" s="1027"/>
    </row>
    <row r="4" spans="1:18">
      <c r="A4" s="4323" t="s">
        <v>53</v>
      </c>
      <c r="B4" s="4323" t="s">
        <v>54</v>
      </c>
      <c r="C4" s="4323" t="s">
        <v>55</v>
      </c>
      <c r="D4" s="4323" t="s">
        <v>56</v>
      </c>
      <c r="E4" s="4323" t="s">
        <v>57</v>
      </c>
      <c r="F4" s="4632" t="s">
        <v>4620</v>
      </c>
      <c r="G4" s="4632"/>
      <c r="H4" s="4632"/>
      <c r="I4" s="4632"/>
      <c r="J4" s="4632"/>
      <c r="K4" s="4632" t="s">
        <v>4631</v>
      </c>
      <c r="L4" s="4632"/>
      <c r="M4" s="4632"/>
      <c r="N4" s="4632"/>
      <c r="O4" s="4632"/>
      <c r="P4" s="4632"/>
      <c r="Q4" s="4628" t="s">
        <v>4661</v>
      </c>
      <c r="R4" s="4628"/>
    </row>
    <row r="5" spans="1:18"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886">
        <f>'1.SD Facility Based Annex'!A7</f>
        <v>1</v>
      </c>
      <c r="B6" s="886"/>
      <c r="C6" s="884" t="str">
        <f>'1.SD Facility Based Annex'!C7</f>
        <v>Service Delivery - Facility Based</v>
      </c>
      <c r="D6" s="886"/>
      <c r="E6" s="886"/>
      <c r="F6" s="886"/>
      <c r="G6" s="886"/>
      <c r="H6" s="485"/>
      <c r="I6" s="886"/>
      <c r="J6" s="485"/>
      <c r="K6" s="886"/>
      <c r="L6" s="886"/>
      <c r="M6" s="485"/>
      <c r="N6" s="890"/>
      <c r="O6" s="891">
        <f>SUM(O7:O9)</f>
        <v>2090.1224400000001</v>
      </c>
      <c r="P6" s="892"/>
      <c r="Q6" s="892"/>
      <c r="R6" s="891">
        <f>SUM(R7:R9)</f>
        <v>0</v>
      </c>
    </row>
    <row r="7" spans="1:18" ht="30">
      <c r="A7" s="990" t="str">
        <f>+'1.SD Facility Based Annex'!A36</f>
        <v>1.1.5.4</v>
      </c>
      <c r="B7" s="990" t="str">
        <f>+'1.SD Facility Based Annex'!B36</f>
        <v>G.1.1 &amp; G. 1.2</v>
      </c>
      <c r="C7" s="78" t="str">
        <f>+'1.SD Facility Based Annex'!C36</f>
        <v>Case detection &amp; Management</v>
      </c>
      <c r="D7" s="990" t="str">
        <f>+'1.SD Facility Based Annex'!D36</f>
        <v>NDCP</v>
      </c>
      <c r="E7" s="990" t="str">
        <f>+'1.SD Facility Based Annex'!E36</f>
        <v>NLEP</v>
      </c>
      <c r="F7" s="990">
        <f>+'1.SD Facility Based Annex'!F36</f>
        <v>0</v>
      </c>
      <c r="G7" s="990">
        <f>+'1.SD Facility Based Annex'!G36</f>
        <v>0</v>
      </c>
      <c r="H7" s="990">
        <f>+'1.SD Facility Based Annex'!H36</f>
        <v>0</v>
      </c>
      <c r="I7" s="990">
        <f>+'1.SD Facility Based Annex'!I36</f>
        <v>0</v>
      </c>
      <c r="J7" s="990">
        <f>+'1.SD Facility Based Annex'!J36</f>
        <v>0</v>
      </c>
      <c r="K7" s="990">
        <f>+'1.SD Facility Based Annex'!K36</f>
        <v>1</v>
      </c>
      <c r="L7" s="990">
        <f>+'1.SD Facility Based Annex'!L36</f>
        <v>204412244</v>
      </c>
      <c r="M7" s="136">
        <f>+'1.SD Facility Based Annex'!M36</f>
        <v>2044.1224400000001</v>
      </c>
      <c r="N7" s="990">
        <f>+'1.SD Facility Based Annex'!N36</f>
        <v>1</v>
      </c>
      <c r="O7" s="136">
        <f>+'1.SD Facility Based Annex'!O36</f>
        <v>2044.1224400000001</v>
      </c>
      <c r="P7" s="78" t="str">
        <f>+'1.SD Facility Based Annex'!P36</f>
        <v>Active Case Detectection and Regular Surveillance in approx 1080.00 Lakh Population</v>
      </c>
      <c r="Q7" s="62"/>
      <c r="R7" s="124"/>
    </row>
    <row r="8" spans="1:18">
      <c r="A8" s="990" t="str">
        <f>+'1.SD Facility Based Annex'!A37</f>
        <v>1.1.5.6</v>
      </c>
      <c r="B8" s="990" t="str">
        <f>+'1.SD Facility Based Annex'!B37</f>
        <v>G.2.4</v>
      </c>
      <c r="C8" s="78" t="str">
        <f>+'1.SD Facility Based Annex'!C37</f>
        <v>Support to govt. institutions for RCS</v>
      </c>
      <c r="D8" s="990" t="str">
        <f>+'1.SD Facility Based Annex'!D37</f>
        <v>NDCP</v>
      </c>
      <c r="E8" s="990" t="str">
        <f>+'1.SD Facility Based Annex'!E37</f>
        <v>NLEP</v>
      </c>
      <c r="F8" s="990">
        <f>+'1.SD Facility Based Annex'!F37</f>
        <v>0</v>
      </c>
      <c r="G8" s="990">
        <f>+'1.SD Facility Based Annex'!G37</f>
        <v>0</v>
      </c>
      <c r="H8" s="990">
        <f>+'1.SD Facility Based Annex'!H37</f>
        <v>0</v>
      </c>
      <c r="I8" s="990">
        <f>+'1.SD Facility Based Annex'!I37</f>
        <v>0</v>
      </c>
      <c r="J8" s="990">
        <f>+'1.SD Facility Based Annex'!J37</f>
        <v>0</v>
      </c>
      <c r="K8" s="990">
        <f>+'1.SD Facility Based Annex'!K37</f>
        <v>1</v>
      </c>
      <c r="L8" s="990">
        <f>+'1.SD Facility Based Annex'!L37</f>
        <v>5000</v>
      </c>
      <c r="M8" s="136">
        <f>+'1.SD Facility Based Annex'!M37</f>
        <v>0.05</v>
      </c>
      <c r="N8" s="990">
        <f>+'1.SD Facility Based Annex'!N37</f>
        <v>200</v>
      </c>
      <c r="O8" s="136">
        <f>+'1.SD Facility Based Annex'!O37</f>
        <v>10</v>
      </c>
      <c r="P8" s="78" t="str">
        <f>+'1.SD Facility Based Annex'!P37</f>
        <v>5000/case</v>
      </c>
      <c r="Q8" s="62"/>
      <c r="R8" s="124"/>
    </row>
    <row r="9" spans="1:18">
      <c r="A9" s="990" t="str">
        <f>+'1.SD Facility Based Annex'!A78</f>
        <v>1.2.3.1</v>
      </c>
      <c r="B9" s="990" t="str">
        <f>+'1.SD Facility Based Annex'!B78</f>
        <v>G.2.3</v>
      </c>
      <c r="C9" s="78" t="str">
        <f>+'1.SD Facility Based Annex'!C78</f>
        <v>Welfare  allowance to patients for RCS</v>
      </c>
      <c r="D9" s="990" t="str">
        <f>+'1.SD Facility Based Annex'!D78</f>
        <v>NDCP</v>
      </c>
      <c r="E9" s="990" t="str">
        <f>+'1.SD Facility Based Annex'!E78</f>
        <v>NLEP</v>
      </c>
      <c r="F9" s="990">
        <f>+'1.SD Facility Based Annex'!F78</f>
        <v>0</v>
      </c>
      <c r="G9" s="990">
        <f>+'1.SD Facility Based Annex'!G78</f>
        <v>0</v>
      </c>
      <c r="H9" s="990">
        <f>+'1.SD Facility Based Annex'!H78</f>
        <v>0</v>
      </c>
      <c r="I9" s="990">
        <f>+'1.SD Facility Based Annex'!I78</f>
        <v>0</v>
      </c>
      <c r="J9" s="990">
        <f>+'1.SD Facility Based Annex'!J78</f>
        <v>0</v>
      </c>
      <c r="K9" s="990">
        <f>+'1.SD Facility Based Annex'!K78</f>
        <v>1</v>
      </c>
      <c r="L9" s="990">
        <f>+'1.SD Facility Based Annex'!L78</f>
        <v>12000</v>
      </c>
      <c r="M9" s="136">
        <f>+'1.SD Facility Based Annex'!M78</f>
        <v>0.12</v>
      </c>
      <c r="N9" s="990">
        <f>+'1.SD Facility Based Annex'!N78</f>
        <v>300</v>
      </c>
      <c r="O9" s="136">
        <f>+'1.SD Facility Based Annex'!O78</f>
        <v>36</v>
      </c>
      <c r="P9" s="78" t="str">
        <f>+'1.SD Facility Based Annex'!P78</f>
        <v>12000 each patients after RCS</v>
      </c>
      <c r="Q9" s="62"/>
      <c r="R9" s="124"/>
    </row>
    <row r="10" spans="1:18">
      <c r="A10" s="838">
        <f>'2.SD Community Based Annex'!A7</f>
        <v>2</v>
      </c>
      <c r="B10" s="838"/>
      <c r="C10" s="203" t="str">
        <f>'2.SD Community Based Annex'!C7</f>
        <v>Service Delivery - Community Based</v>
      </c>
      <c r="D10" s="838"/>
      <c r="E10" s="838"/>
      <c r="F10" s="838"/>
      <c r="G10" s="838"/>
      <c r="H10" s="485"/>
      <c r="I10" s="838"/>
      <c r="J10" s="485"/>
      <c r="K10" s="838"/>
      <c r="L10" s="838"/>
      <c r="M10" s="485"/>
      <c r="N10" s="890"/>
      <c r="O10" s="891">
        <f>O11</f>
        <v>15</v>
      </c>
      <c r="P10" s="892"/>
      <c r="Q10" s="897"/>
      <c r="R10" s="898">
        <f>R11</f>
        <v>0</v>
      </c>
    </row>
    <row r="11" spans="1:18">
      <c r="A11" s="990" t="str">
        <f>'2.SD Community Based Annex'!A48</f>
        <v>2.3.2.2</v>
      </c>
      <c r="B11" s="990" t="str">
        <f>'2.SD Community Based Annex'!B48</f>
        <v>G.2.5</v>
      </c>
      <c r="C11" s="78" t="str">
        <f>'2.SD Community Based Annex'!C48</f>
        <v>DPMR: At camps</v>
      </c>
      <c r="D11" s="990" t="str">
        <f>'2.SD Community Based Annex'!D48</f>
        <v>NDCP</v>
      </c>
      <c r="E11" s="990" t="str">
        <f>'2.SD Community Based Annex'!E48</f>
        <v>NLEP</v>
      </c>
      <c r="F11" s="990">
        <f>'2.SD Community Based Annex'!F48</f>
        <v>0</v>
      </c>
      <c r="G11" s="990">
        <f>'2.SD Community Based Annex'!G48</f>
        <v>0</v>
      </c>
      <c r="H11" s="990">
        <f>'2.SD Community Based Annex'!H48</f>
        <v>0</v>
      </c>
      <c r="I11" s="990">
        <f>'2.SD Community Based Annex'!I48</f>
        <v>0</v>
      </c>
      <c r="J11" s="990">
        <f>'2.SD Community Based Annex'!J48</f>
        <v>0</v>
      </c>
      <c r="K11" s="990">
        <f>'2.SD Community Based Annex'!K48</f>
        <v>1</v>
      </c>
      <c r="L11" s="990">
        <f>'2.SD Community Based Annex'!L48</f>
        <v>15000</v>
      </c>
      <c r="M11" s="136">
        <f>'2.SD Community Based Annex'!M48</f>
        <v>0.15</v>
      </c>
      <c r="N11" s="990">
        <f>'2.SD Community Based Annex'!N48</f>
        <v>100</v>
      </c>
      <c r="O11" s="136">
        <f>'2.SD Community Based Annex'!O48</f>
        <v>15</v>
      </c>
      <c r="P11" s="78" t="str">
        <f>'2.SD Community Based Annex'!P48</f>
        <v>15000/patients</v>
      </c>
      <c r="Q11" s="62"/>
      <c r="R11" s="124"/>
    </row>
    <row r="12" spans="1:18">
      <c r="A12" s="838">
        <f>'3.Community Intervention Annexn'!A7</f>
        <v>3</v>
      </c>
      <c r="B12" s="838"/>
      <c r="C12" s="203" t="str">
        <f>'3.Community Intervention Annexn'!C7</f>
        <v>Community Interventions</v>
      </c>
      <c r="D12" s="838"/>
      <c r="E12" s="838"/>
      <c r="F12" s="838"/>
      <c r="G12" s="838"/>
      <c r="H12" s="485"/>
      <c r="I12" s="838"/>
      <c r="J12" s="485"/>
      <c r="K12" s="838"/>
      <c r="L12" s="838"/>
      <c r="M12" s="485"/>
      <c r="N12" s="890"/>
      <c r="O12" s="891">
        <f>SUM(O13:O15)</f>
        <v>124.10000000000002</v>
      </c>
      <c r="P12" s="892"/>
      <c r="Q12" s="897"/>
      <c r="R12" s="898">
        <f>SUM(R13:R15)</f>
        <v>0</v>
      </c>
    </row>
    <row r="13" spans="1:18" ht="75">
      <c r="A13" s="4641" t="str">
        <f>'3.Community Intervention Annexn'!A20</f>
        <v>3.1.1.3.2</v>
      </c>
      <c r="B13" s="990" t="str">
        <f>'3-A. CI Sub-Annex'!C48</f>
        <v>G.1.3.b.i</v>
      </c>
      <c r="C13" s="78" t="str">
        <f>'3-A. CI Sub-Annex'!D48</f>
        <v>Incentive for ASHA/AWW/Volunteer/etc for detection of Leprosy (Rs 250 for detection of an early case before onset of any visible deformity, Rs 200 for detection of new case with visible deformity in hands, feet or eye)</v>
      </c>
      <c r="D13" s="990" t="str">
        <f>'3-A. CI Sub-Annex'!E48</f>
        <v>NDCP</v>
      </c>
      <c r="E13" s="990" t="str">
        <f>'3-A. CI Sub-Annex'!F48</f>
        <v>NLEP/NHSRC-CP</v>
      </c>
      <c r="F13" s="990">
        <f>'3-A. CI Sub-Annex'!G48</f>
        <v>0</v>
      </c>
      <c r="G13" s="990">
        <f>'3-A. CI Sub-Annex'!H48</f>
        <v>0</v>
      </c>
      <c r="H13" s="990">
        <f>'3-A. CI Sub-Annex'!I48</f>
        <v>0</v>
      </c>
      <c r="I13" s="990">
        <f>'3-A. CI Sub-Annex'!J48</f>
        <v>0</v>
      </c>
      <c r="J13" s="990">
        <f>'3-A. CI Sub-Annex'!K48</f>
        <v>0</v>
      </c>
      <c r="K13" s="990">
        <f>'3-A. CI Sub-Annex'!L48</f>
        <v>1</v>
      </c>
      <c r="L13" s="990">
        <f>'3-A. CI Sub-Annex'!M48</f>
        <v>250</v>
      </c>
      <c r="M13" s="136">
        <f>'3-A. CI Sub-Annex'!N48</f>
        <v>2.5000000000000001E-3</v>
      </c>
      <c r="N13" s="990">
        <f>'3-A. CI Sub-Annex'!O48</f>
        <v>17000</v>
      </c>
      <c r="O13" s="136">
        <f>'3-A. CI Sub-Annex'!P48</f>
        <v>42.5</v>
      </c>
      <c r="P13" s="78" t="str">
        <f>'3-A. CI Sub-Annex'!Q48</f>
        <v>Incentive for new case detection  (250/case)</v>
      </c>
      <c r="Q13" s="62"/>
      <c r="R13" s="124"/>
    </row>
    <row r="14" spans="1:18" ht="30">
      <c r="A14" s="4642"/>
      <c r="B14" s="990" t="str">
        <f>'3-A. CI Sub-Annex'!C49</f>
        <v>G.1.3.b.ii</v>
      </c>
      <c r="C14" s="78" t="str">
        <f>'3-A. CI Sub-Annex'!D49</f>
        <v>ASHA Incentive for Treatment completion of PB cases (@ Rs 400)</v>
      </c>
      <c r="D14" s="990" t="str">
        <f>'3-A. CI Sub-Annex'!E49</f>
        <v>NDCP</v>
      </c>
      <c r="E14" s="990" t="str">
        <f>'3-A. CI Sub-Annex'!F49</f>
        <v>NLEP/NHSRC-CP</v>
      </c>
      <c r="F14" s="990">
        <f>'3-A. CI Sub-Annex'!G49</f>
        <v>0</v>
      </c>
      <c r="G14" s="990">
        <f>'3-A. CI Sub-Annex'!H49</f>
        <v>0</v>
      </c>
      <c r="H14" s="990">
        <f>'3-A. CI Sub-Annex'!I49</f>
        <v>0</v>
      </c>
      <c r="I14" s="990">
        <f>'3-A. CI Sub-Annex'!J49</f>
        <v>0</v>
      </c>
      <c r="J14" s="990">
        <f>'3-A. CI Sub-Annex'!K49</f>
        <v>0</v>
      </c>
      <c r="K14" s="990">
        <f>'3-A. CI Sub-Annex'!L49</f>
        <v>1</v>
      </c>
      <c r="L14" s="990">
        <f>'3-A. CI Sub-Annex'!M49</f>
        <v>400</v>
      </c>
      <c r="M14" s="136">
        <f>'3-A. CI Sub-Annex'!N49</f>
        <v>4.0000000000000001E-3</v>
      </c>
      <c r="N14" s="990">
        <f>'3-A. CI Sub-Annex'!O49</f>
        <v>10200</v>
      </c>
      <c r="O14" s="136">
        <f>'3-A. CI Sub-Annex'!P49</f>
        <v>40.800000000000004</v>
      </c>
      <c r="P14" s="78" t="str">
        <f>'3-A. CI Sub-Annex'!Q49</f>
        <v>Incentive for Treatment Completion of PB case @ Rs.400/-</v>
      </c>
      <c r="Q14" s="62"/>
      <c r="R14" s="124"/>
    </row>
    <row r="15" spans="1:18" ht="30">
      <c r="A15" s="4643"/>
      <c r="B15" s="990" t="str">
        <f>'3-A. CI Sub-Annex'!C50</f>
        <v>G.1.3.b.iii</v>
      </c>
      <c r="C15" s="78" t="str">
        <f>'3-A. CI Sub-Annex'!D50</f>
        <v>ASHA Incentive for Treatment completion of MB cases (@ Rs 600)</v>
      </c>
      <c r="D15" s="990" t="str">
        <f>'3-A. CI Sub-Annex'!E50</f>
        <v>NDCP</v>
      </c>
      <c r="E15" s="990" t="str">
        <f>'3-A. CI Sub-Annex'!F50</f>
        <v>NLEP/NHSRC-CP</v>
      </c>
      <c r="F15" s="990">
        <f>'3-A. CI Sub-Annex'!G50</f>
        <v>0</v>
      </c>
      <c r="G15" s="990">
        <f>'3-A. CI Sub-Annex'!H50</f>
        <v>0</v>
      </c>
      <c r="H15" s="990">
        <f>'3-A. CI Sub-Annex'!I50</f>
        <v>0</v>
      </c>
      <c r="I15" s="990">
        <f>'3-A. CI Sub-Annex'!J50</f>
        <v>0</v>
      </c>
      <c r="J15" s="990">
        <f>'3-A. CI Sub-Annex'!K50</f>
        <v>0</v>
      </c>
      <c r="K15" s="990">
        <f>'3-A. CI Sub-Annex'!L50</f>
        <v>1</v>
      </c>
      <c r="L15" s="990">
        <f>'3-A. CI Sub-Annex'!M50</f>
        <v>600</v>
      </c>
      <c r="M15" s="136">
        <f>'3-A. CI Sub-Annex'!N50</f>
        <v>6.0000000000000001E-3</v>
      </c>
      <c r="N15" s="990">
        <f>'3-A. CI Sub-Annex'!O50</f>
        <v>6800</v>
      </c>
      <c r="O15" s="136">
        <f>'3-A. CI Sub-Annex'!P50</f>
        <v>40.800000000000004</v>
      </c>
      <c r="P15" s="78" t="str">
        <f>'3-A. CI Sub-Annex'!Q50</f>
        <v>Incentive for Treatment Completion of MB case @ Rs.600/-</v>
      </c>
      <c r="Q15" s="62"/>
      <c r="R15" s="124"/>
    </row>
    <row r="16" spans="1:18">
      <c r="A16" s="894">
        <f>'6.Procurement Annex'!A7</f>
        <v>6</v>
      </c>
      <c r="B16" s="894"/>
      <c r="C16" s="893" t="str">
        <f>'6.Procurement Annex'!C7</f>
        <v>Procurement</v>
      </c>
      <c r="D16" s="894"/>
      <c r="E16" s="894"/>
      <c r="F16" s="894"/>
      <c r="G16" s="894"/>
      <c r="H16" s="485"/>
      <c r="I16" s="894"/>
      <c r="J16" s="485"/>
      <c r="K16" s="894"/>
      <c r="L16" s="894"/>
      <c r="M16" s="485"/>
      <c r="N16" s="890"/>
      <c r="O16" s="891">
        <f>SUM(O17:O22)</f>
        <v>126.35</v>
      </c>
      <c r="P16" s="892"/>
      <c r="Q16" s="897"/>
      <c r="R16" s="898">
        <f>SUM(R17:R22)</f>
        <v>0</v>
      </c>
    </row>
    <row r="17" spans="1:18">
      <c r="A17" s="4641" t="str">
        <f>'6.Procurement Annex'!A32</f>
        <v>6.1.4.3</v>
      </c>
      <c r="B17" s="990" t="str">
        <f>+'6-A. Proc. Sub-Annex'!C84</f>
        <v>G.1.4</v>
      </c>
      <c r="C17" s="78" t="str">
        <f>+'6-A. Proc. Sub-Annex'!D84</f>
        <v>Equipment</v>
      </c>
      <c r="D17" s="990" t="str">
        <f>+'6-A. Proc. Sub-Annex'!E84</f>
        <v>NDCP</v>
      </c>
      <c r="E17" s="990" t="str">
        <f>+'6-A. Proc. Sub-Annex'!F84</f>
        <v>NLEP</v>
      </c>
      <c r="F17" s="990">
        <f>+'6-A. Proc. Sub-Annex'!G84</f>
        <v>0</v>
      </c>
      <c r="G17" s="990">
        <f>+'6-A. Proc. Sub-Annex'!H84</f>
        <v>0</v>
      </c>
      <c r="H17" s="990">
        <f>+'6-A. Proc. Sub-Annex'!I84</f>
        <v>0</v>
      </c>
      <c r="I17" s="990">
        <f>+'6-A. Proc. Sub-Annex'!J84</f>
        <v>0</v>
      </c>
      <c r="J17" s="990">
        <f>+'6-A. Proc. Sub-Annex'!K84</f>
        <v>0</v>
      </c>
      <c r="K17" s="990">
        <f>+'6-A. Proc. Sub-Annex'!L84</f>
        <v>0</v>
      </c>
      <c r="L17" s="990">
        <f>+'6-A. Proc. Sub-Annex'!M84</f>
        <v>0</v>
      </c>
      <c r="M17" s="136">
        <f>+'6-A. Proc. Sub-Annex'!N84</f>
        <v>0</v>
      </c>
      <c r="N17" s="990">
        <f>+'6-A. Proc. Sub-Annex'!O84</f>
        <v>0</v>
      </c>
      <c r="O17" s="136">
        <f>+'6-A. Proc. Sub-Annex'!P84</f>
        <v>0</v>
      </c>
      <c r="P17" s="78">
        <f>+'6-A. Proc. Sub-Annex'!Q84</f>
        <v>0</v>
      </c>
      <c r="Q17" s="62"/>
      <c r="R17" s="124"/>
    </row>
    <row r="18" spans="1:18">
      <c r="A18" s="4642"/>
      <c r="B18" s="990" t="str">
        <f>+'6-A. Proc. Sub-Annex'!C85</f>
        <v>G.2.1</v>
      </c>
      <c r="C18" s="78" t="str">
        <f>+'6-A. Proc. Sub-Annex'!D85</f>
        <v>MCR</v>
      </c>
      <c r="D18" s="990" t="str">
        <f>+'6-A. Proc. Sub-Annex'!E85</f>
        <v>NDCP</v>
      </c>
      <c r="E18" s="990" t="str">
        <f>+'6-A. Proc. Sub-Annex'!F85</f>
        <v>NLEP</v>
      </c>
      <c r="F18" s="990">
        <f>+'6-A. Proc. Sub-Annex'!G85</f>
        <v>0</v>
      </c>
      <c r="G18" s="990">
        <f>+'6-A. Proc. Sub-Annex'!H85</f>
        <v>0</v>
      </c>
      <c r="H18" s="990">
        <f>+'6-A. Proc. Sub-Annex'!I85</f>
        <v>0</v>
      </c>
      <c r="I18" s="990">
        <f>+'6-A. Proc. Sub-Annex'!J85</f>
        <v>0</v>
      </c>
      <c r="J18" s="990">
        <f>+'6-A. Proc. Sub-Annex'!K85</f>
        <v>0</v>
      </c>
      <c r="K18" s="990">
        <f>+'6-A. Proc. Sub-Annex'!L85</f>
        <v>1</v>
      </c>
      <c r="L18" s="990">
        <f>+'6-A. Proc. Sub-Annex'!M85</f>
        <v>400</v>
      </c>
      <c r="M18" s="136">
        <f>+'6-A. Proc. Sub-Annex'!N85</f>
        <v>4.0000000000000001E-3</v>
      </c>
      <c r="N18" s="990">
        <f>+'6-A. Proc. Sub-Annex'!O85</f>
        <v>20760</v>
      </c>
      <c r="O18" s="136">
        <f>+'6-A. Proc. Sub-Annex'!P85</f>
        <v>83.04</v>
      </c>
      <c r="P18" s="78" t="str">
        <f>+'6-A. Proc. Sub-Annex'!Q85</f>
        <v>400/pair of MCR (twice in a year)</v>
      </c>
      <c r="Q18" s="62"/>
      <c r="R18" s="124"/>
    </row>
    <row r="19" spans="1:18">
      <c r="A19" s="4642"/>
      <c r="B19" s="990" t="str">
        <f>+'6-A. Proc. Sub-Annex'!C86</f>
        <v>G.2.2</v>
      </c>
      <c r="C19" s="78" t="str">
        <f>+'6-A. Proc. Sub-Annex'!D86</f>
        <v>Aids/Appliance</v>
      </c>
      <c r="D19" s="990" t="str">
        <f>+'6-A. Proc. Sub-Annex'!E86</f>
        <v>NDCP</v>
      </c>
      <c r="E19" s="990" t="str">
        <f>+'6-A. Proc. Sub-Annex'!F86</f>
        <v>NLEP</v>
      </c>
      <c r="F19" s="990">
        <f>+'6-A. Proc. Sub-Annex'!G86</f>
        <v>0</v>
      </c>
      <c r="G19" s="990">
        <f>+'6-A. Proc. Sub-Annex'!H86</f>
        <v>0</v>
      </c>
      <c r="H19" s="990">
        <f>+'6-A. Proc. Sub-Annex'!I86</f>
        <v>0</v>
      </c>
      <c r="I19" s="990">
        <f>+'6-A. Proc. Sub-Annex'!J86</f>
        <v>0</v>
      </c>
      <c r="J19" s="990">
        <f>+'6-A. Proc. Sub-Annex'!K86</f>
        <v>0</v>
      </c>
      <c r="K19" s="990">
        <f>+'6-A. Proc. Sub-Annex'!L86</f>
        <v>1</v>
      </c>
      <c r="L19" s="990">
        <f>+'6-A. Proc. Sub-Annex'!M86</f>
        <v>17000</v>
      </c>
      <c r="M19" s="136">
        <f>+'6-A. Proc. Sub-Annex'!N86</f>
        <v>0.17</v>
      </c>
      <c r="N19" s="990">
        <f>+'6-A. Proc. Sub-Annex'!O86</f>
        <v>38</v>
      </c>
      <c r="O19" s="136">
        <f>+'6-A. Proc. Sub-Annex'!P86</f>
        <v>6.4600000000000009</v>
      </c>
      <c r="P19" s="78" t="str">
        <f>+'6-A. Proc. Sub-Annex'!Q86</f>
        <v>Self care kit, Theel chair Splints and other aids &amp; appliances.</v>
      </c>
      <c r="Q19" s="62"/>
      <c r="R19" s="124"/>
    </row>
    <row r="20" spans="1:18">
      <c r="A20" s="4643"/>
      <c r="B20" s="990">
        <f>+'6-A. Proc. Sub-Annex'!C87</f>
        <v>0</v>
      </c>
      <c r="C20" s="78" t="str">
        <f>+'6-A. Proc. Sub-Annex'!D87</f>
        <v>Any other equipment (please specify)</v>
      </c>
      <c r="D20" s="990" t="str">
        <f>+'6-A. Proc. Sub-Annex'!E87</f>
        <v>NDCP</v>
      </c>
      <c r="E20" s="990" t="str">
        <f>+'6-A. Proc. Sub-Annex'!F87</f>
        <v>NLEP</v>
      </c>
      <c r="F20" s="990">
        <f>+'6-A. Proc. Sub-Annex'!G87</f>
        <v>0</v>
      </c>
      <c r="G20" s="990">
        <f>+'6-A. Proc. Sub-Annex'!H87</f>
        <v>0</v>
      </c>
      <c r="H20" s="990">
        <f>+'6-A. Proc. Sub-Annex'!I87</f>
        <v>0</v>
      </c>
      <c r="I20" s="990">
        <f>+'6-A. Proc. Sub-Annex'!J87</f>
        <v>0</v>
      </c>
      <c r="J20" s="990">
        <f>+'6-A. Proc. Sub-Annex'!K87</f>
        <v>0</v>
      </c>
      <c r="K20" s="990">
        <f>+'6-A. Proc. Sub-Annex'!L87</f>
        <v>0</v>
      </c>
      <c r="L20" s="990">
        <f>+'6-A. Proc. Sub-Annex'!M87</f>
        <v>0</v>
      </c>
      <c r="M20" s="136">
        <f>+'6-A. Proc. Sub-Annex'!N87</f>
        <v>0</v>
      </c>
      <c r="N20" s="990">
        <f>+'6-A. Proc. Sub-Annex'!O87</f>
        <v>0</v>
      </c>
      <c r="O20" s="136">
        <f>+'6-A. Proc. Sub-Annex'!P87</f>
        <v>0</v>
      </c>
      <c r="P20" s="78">
        <f>+'6-A. Proc. Sub-Annex'!Q87</f>
        <v>0</v>
      </c>
      <c r="Q20" s="62"/>
      <c r="R20" s="124"/>
    </row>
    <row r="21" spans="1:18">
      <c r="A21" s="4641" t="str">
        <f>'6.Procurement Annex'!A73</f>
        <v>6.2.3.2</v>
      </c>
      <c r="B21" s="990" t="str">
        <f>+'6-A. Proc. Sub-Annex'!C233</f>
        <v>G.1.4</v>
      </c>
      <c r="C21" s="78" t="str">
        <f>+'6-A. Proc. Sub-Annex'!D233</f>
        <v>Supportive drugs, lab. Reagents</v>
      </c>
      <c r="D21" s="990" t="str">
        <f>+'6-A. Proc. Sub-Annex'!E233</f>
        <v>NDCP</v>
      </c>
      <c r="E21" s="990" t="str">
        <f>+'6-A. Proc. Sub-Annex'!F233</f>
        <v>NLEP</v>
      </c>
      <c r="F21" s="990">
        <f>+'6-A. Proc. Sub-Annex'!G233</f>
        <v>0</v>
      </c>
      <c r="G21" s="990">
        <f>+'6-A. Proc. Sub-Annex'!H233</f>
        <v>0</v>
      </c>
      <c r="H21" s="990">
        <f>+'6-A. Proc. Sub-Annex'!I233</f>
        <v>0</v>
      </c>
      <c r="I21" s="990">
        <f>+'6-A. Proc. Sub-Annex'!J233</f>
        <v>0</v>
      </c>
      <c r="J21" s="990">
        <f>+'6-A. Proc. Sub-Annex'!K233</f>
        <v>0</v>
      </c>
      <c r="K21" s="990">
        <f>+'6-A. Proc. Sub-Annex'!L233</f>
        <v>1</v>
      </c>
      <c r="L21" s="990">
        <f>+'6-A. Proc. Sub-Annex'!M233</f>
        <v>2185000</v>
      </c>
      <c r="M21" s="136">
        <f>+'6-A. Proc. Sub-Annex'!N233</f>
        <v>21.85</v>
      </c>
      <c r="N21" s="990">
        <f>+'6-A. Proc. Sub-Annex'!O233</f>
        <v>1</v>
      </c>
      <c r="O21" s="136">
        <f>+'6-A. Proc. Sub-Annex'!P233</f>
        <v>21.85</v>
      </c>
      <c r="P21" s="78" t="str">
        <f>+'6-A. Proc. Sub-Annex'!Q233</f>
        <v>district level</v>
      </c>
      <c r="Q21" s="62"/>
      <c r="R21" s="124"/>
    </row>
    <row r="22" spans="1:18">
      <c r="A22" s="4643"/>
      <c r="B22" s="990"/>
      <c r="C22" s="78" t="str">
        <f>+'6-A. Proc. Sub-Annex'!D234</f>
        <v>Any other drugs &amp; supplies (please specify)</v>
      </c>
      <c r="D22" s="990" t="str">
        <f>+'6-A. Proc. Sub-Annex'!E234</f>
        <v>NDCP</v>
      </c>
      <c r="E22" s="990" t="str">
        <f>+'6-A. Proc. Sub-Annex'!F234</f>
        <v>NLEP</v>
      </c>
      <c r="F22" s="990">
        <f>+'6-A. Proc. Sub-Annex'!G234</f>
        <v>0</v>
      </c>
      <c r="G22" s="990">
        <f>+'6-A. Proc. Sub-Annex'!H234</f>
        <v>0</v>
      </c>
      <c r="H22" s="990">
        <f>+'6-A. Proc. Sub-Annex'!I234</f>
        <v>0</v>
      </c>
      <c r="I22" s="990">
        <f>+'6-A. Proc. Sub-Annex'!J234</f>
        <v>0</v>
      </c>
      <c r="J22" s="990">
        <f>+'6-A. Proc. Sub-Annex'!K234</f>
        <v>0</v>
      </c>
      <c r="K22" s="990">
        <f>+'6-A. Proc. Sub-Annex'!L234</f>
        <v>1</v>
      </c>
      <c r="L22" s="990">
        <f>+'6-A. Proc. Sub-Annex'!M234</f>
        <v>5</v>
      </c>
      <c r="M22" s="136">
        <f>+'6-A. Proc. Sub-Annex'!N234</f>
        <v>5.0000000000000002E-5</v>
      </c>
      <c r="N22" s="990">
        <f>+'6-A. Proc. Sub-Annex'!O234</f>
        <v>300000</v>
      </c>
      <c r="O22" s="136">
        <f>+'6-A. Proc. Sub-Annex'!P234</f>
        <v>15</v>
      </c>
      <c r="P22" s="78" t="str">
        <f>+'6-A. Proc. Sub-Annex'!Q234</f>
        <v>Procurement of RIFAMPICIN Capsules.</v>
      </c>
      <c r="Q22" s="62"/>
      <c r="R22" s="124"/>
    </row>
    <row r="23" spans="1:18">
      <c r="A23" s="838">
        <f>'9.Training Annex'!A7</f>
        <v>9</v>
      </c>
      <c r="B23" s="838"/>
      <c r="C23" s="203" t="str">
        <f>'9.Training Annex'!C7</f>
        <v>Training and Capacity Building</v>
      </c>
      <c r="D23" s="838"/>
      <c r="E23" s="838"/>
      <c r="F23" s="838"/>
      <c r="G23" s="838"/>
      <c r="H23" s="485"/>
      <c r="I23" s="838"/>
      <c r="J23" s="485"/>
      <c r="K23" s="838"/>
      <c r="L23" s="838"/>
      <c r="M23" s="485"/>
      <c r="N23" s="890"/>
      <c r="O23" s="891">
        <f>SUM(O24:O25)</f>
        <v>48.77</v>
      </c>
      <c r="P23" s="892"/>
      <c r="Q23" s="897"/>
      <c r="R23" s="898">
        <f>SUM(R24:R25)</f>
        <v>0</v>
      </c>
    </row>
    <row r="24" spans="1:18">
      <c r="A24" s="990" t="str">
        <f>'9.Training Annex'!A49</f>
        <v>9.2.3.3</v>
      </c>
      <c r="B24" s="990" t="str">
        <f>'9-A.Training Sub-Annex'!C229</f>
        <v>G.3.1</v>
      </c>
      <c r="C24" s="78" t="str">
        <f>+'9-A.Training Sub-Annex'!D229</f>
        <v>Capacity building under NLEP</v>
      </c>
      <c r="D24" s="990" t="str">
        <f>+'9-A.Training Sub-Annex'!E229</f>
        <v>NDCP</v>
      </c>
      <c r="E24" s="990" t="str">
        <f>+'9-A.Training Sub-Annex'!F229</f>
        <v>NLEP</v>
      </c>
      <c r="F24" s="990">
        <f>+'9-A.Training Sub-Annex'!G229</f>
        <v>0</v>
      </c>
      <c r="G24" s="990">
        <f>+'9-A.Training Sub-Annex'!H229</f>
        <v>0</v>
      </c>
      <c r="H24" s="990">
        <f>+'9-A.Training Sub-Annex'!I229</f>
        <v>0</v>
      </c>
      <c r="I24" s="990">
        <f>+'9-A.Training Sub-Annex'!J229</f>
        <v>0</v>
      </c>
      <c r="J24" s="990">
        <f>+'9-A.Training Sub-Annex'!K229</f>
        <v>0</v>
      </c>
      <c r="K24" s="990">
        <f>+'9-A.Training Sub-Annex'!L229</f>
        <v>1</v>
      </c>
      <c r="L24" s="990">
        <f>+'9-A.Training Sub-Annex'!M229</f>
        <v>4877000</v>
      </c>
      <c r="M24" s="136">
        <f>+'9-A.Training Sub-Annex'!N229</f>
        <v>48.77</v>
      </c>
      <c r="N24" s="990">
        <f>+'9-A.Training Sub-Annex'!O229</f>
        <v>1</v>
      </c>
      <c r="O24" s="136">
        <f>+'9-A.Training Sub-Annex'!P229</f>
        <v>48.77</v>
      </c>
      <c r="P24" s="78" t="str">
        <f>+'9-A.Training Sub-Annex'!Q229</f>
        <v>Training of MO.DNT.PMW.PT. etc</v>
      </c>
      <c r="Q24" s="62"/>
      <c r="R24" s="124"/>
    </row>
    <row r="25" spans="1:18">
      <c r="A25" s="990"/>
      <c r="B25" s="990">
        <f>'9-A.Training Sub-Annex'!C230</f>
        <v>0</v>
      </c>
      <c r="C25" s="78" t="str">
        <f>+'9-A.Training Sub-Annex'!D230</f>
        <v>Any other (please specify)</v>
      </c>
      <c r="D25" s="990" t="str">
        <f>+'9-A.Training Sub-Annex'!E230</f>
        <v>NDCP</v>
      </c>
      <c r="E25" s="990" t="str">
        <f>+'9-A.Training Sub-Annex'!F230</f>
        <v>NLEP</v>
      </c>
      <c r="F25" s="990">
        <f>+'9-A.Training Sub-Annex'!G230</f>
        <v>0</v>
      </c>
      <c r="G25" s="990">
        <f>+'9-A.Training Sub-Annex'!H230</f>
        <v>0</v>
      </c>
      <c r="H25" s="990">
        <f>+'9-A.Training Sub-Annex'!I230</f>
        <v>0</v>
      </c>
      <c r="I25" s="990">
        <f>+'9-A.Training Sub-Annex'!J230</f>
        <v>0</v>
      </c>
      <c r="J25" s="990">
        <f>+'9-A.Training Sub-Annex'!K230</f>
        <v>0</v>
      </c>
      <c r="K25" s="990">
        <f>+'9-A.Training Sub-Annex'!L230</f>
        <v>0</v>
      </c>
      <c r="L25" s="990">
        <f>+'9-A.Training Sub-Annex'!M230</f>
        <v>0</v>
      </c>
      <c r="M25" s="136">
        <f>+'9-A.Training Sub-Annex'!N230</f>
        <v>0</v>
      </c>
      <c r="N25" s="990">
        <f>+'9-A.Training Sub-Annex'!O230</f>
        <v>0</v>
      </c>
      <c r="O25" s="136">
        <f>+'9-A.Training Sub-Annex'!P230</f>
        <v>0</v>
      </c>
      <c r="P25" s="78">
        <f>+'9-A.Training Sub-Annex'!Q230</f>
        <v>0</v>
      </c>
      <c r="Q25" s="62"/>
      <c r="R25" s="124"/>
    </row>
    <row r="26" spans="1:18">
      <c r="A26" s="838">
        <f>'10.Review Research &amp; Surveillen'!A7</f>
        <v>10</v>
      </c>
      <c r="B26" s="838"/>
      <c r="C26" s="203" t="str">
        <f>'10.Review Research &amp; Surveillen'!C7</f>
        <v>Reviews, Research, Surveys and Surveillance</v>
      </c>
      <c r="D26" s="838"/>
      <c r="E26" s="838"/>
      <c r="F26" s="838"/>
      <c r="G26" s="838"/>
      <c r="H26" s="485"/>
      <c r="I26" s="838"/>
      <c r="J26" s="485"/>
      <c r="K26" s="838"/>
      <c r="L26" s="838"/>
      <c r="M26" s="485"/>
      <c r="N26" s="890"/>
      <c r="O26" s="891">
        <f>O27</f>
        <v>0</v>
      </c>
      <c r="P26" s="892"/>
      <c r="Q26" s="897"/>
      <c r="R26" s="898">
        <f>R27</f>
        <v>0</v>
      </c>
    </row>
    <row r="27" spans="1:18">
      <c r="A27" s="990" t="str">
        <f>'10.Review Research &amp; Surveillen'!A57</f>
        <v>10.5.2</v>
      </c>
      <c r="B27" s="990">
        <f>'10.Review Research &amp; Surveillen'!B57</f>
        <v>0</v>
      </c>
      <c r="C27" s="78" t="str">
        <f>'10.Review Research &amp; Surveillen'!C57</f>
        <v>Sub-national Disease Free Certification: Leprosy</v>
      </c>
      <c r="D27" s="990" t="str">
        <f>'10.Review Research &amp; Surveillen'!D57</f>
        <v>NDCP</v>
      </c>
      <c r="E27" s="990" t="str">
        <f>'10.Review Research &amp; Surveillen'!E57</f>
        <v>NLEP</v>
      </c>
      <c r="F27" s="990">
        <f>'10.Review Research &amp; Surveillen'!F57</f>
        <v>0</v>
      </c>
      <c r="G27" s="990">
        <f>'10.Review Research &amp; Surveillen'!G57</f>
        <v>0</v>
      </c>
      <c r="H27" s="990">
        <f>'10.Review Research &amp; Surveillen'!H57</f>
        <v>0</v>
      </c>
      <c r="I27" s="990">
        <f>'10.Review Research &amp; Surveillen'!I57</f>
        <v>0</v>
      </c>
      <c r="J27" s="990">
        <f>'10.Review Research &amp; Surveillen'!J57</f>
        <v>0</v>
      </c>
      <c r="K27" s="990">
        <f>'10.Review Research &amp; Surveillen'!K57</f>
        <v>0</v>
      </c>
      <c r="L27" s="990">
        <f>'10.Review Research &amp; Surveillen'!L57</f>
        <v>0</v>
      </c>
      <c r="M27" s="136">
        <f>'10.Review Research &amp; Surveillen'!M57</f>
        <v>0</v>
      </c>
      <c r="N27" s="990">
        <f>'10.Review Research &amp; Surveillen'!N57</f>
        <v>0</v>
      </c>
      <c r="O27" s="136">
        <f>'10.Review Research &amp; Surveillen'!O57</f>
        <v>0</v>
      </c>
      <c r="P27" s="78">
        <f>'10.Review Research &amp; Surveillen'!P57</f>
        <v>0</v>
      </c>
      <c r="Q27" s="62"/>
      <c r="R27" s="124"/>
    </row>
    <row r="28" spans="1:18">
      <c r="A28" s="894">
        <f>'11.IEC-BCC Annex'!A7</f>
        <v>11</v>
      </c>
      <c r="B28" s="894"/>
      <c r="C28" s="893" t="str">
        <f>'11.IEC-BCC Annex'!C7</f>
        <v>IEC/BCC</v>
      </c>
      <c r="D28" s="894"/>
      <c r="E28" s="894"/>
      <c r="F28" s="894"/>
      <c r="G28" s="894"/>
      <c r="H28" s="485"/>
      <c r="I28" s="894"/>
      <c r="J28" s="485"/>
      <c r="K28" s="894"/>
      <c r="L28" s="894"/>
      <c r="M28" s="485"/>
      <c r="N28" s="890"/>
      <c r="O28" s="891">
        <f>SUM(O29:O30)</f>
        <v>37.24</v>
      </c>
      <c r="P28" s="892"/>
      <c r="Q28" s="897"/>
      <c r="R28" s="898">
        <f>SUM(R29:R30)</f>
        <v>0</v>
      </c>
    </row>
    <row r="29" spans="1:18" ht="45">
      <c r="A29" s="4641" t="str">
        <f>'11.IEC-BCC Annex'!A26</f>
        <v>11.3.2</v>
      </c>
      <c r="B29" s="990" t="str">
        <f>+'11-A. IEC Sub-Annex'!C67</f>
        <v>B.10.6.10</v>
      </c>
      <c r="C29" s="78" t="str">
        <f>+'11-A. IEC Sub-Annex'!D67</f>
        <v>IEC/BCC: Mass media, Outdoor media, Rural media, Advocacy media for NLEP including Sparsh Leprosy Awareness Campaign</v>
      </c>
      <c r="D29" s="990" t="str">
        <f>+'11-A. IEC Sub-Annex'!E67</f>
        <v>NDCP</v>
      </c>
      <c r="E29" s="990" t="str">
        <f>+'11-A. IEC Sub-Annex'!F67</f>
        <v>NLEP</v>
      </c>
      <c r="F29" s="990">
        <f>+'11-A. IEC Sub-Annex'!G67</f>
        <v>0</v>
      </c>
      <c r="G29" s="990">
        <f>+'11-A. IEC Sub-Annex'!H67</f>
        <v>0</v>
      </c>
      <c r="H29" s="990">
        <f>+'11-A. IEC Sub-Annex'!I67</f>
        <v>0</v>
      </c>
      <c r="I29" s="990">
        <f>+'11-A. IEC Sub-Annex'!J67</f>
        <v>0</v>
      </c>
      <c r="J29" s="990">
        <f>+'11-A. IEC Sub-Annex'!K67</f>
        <v>0</v>
      </c>
      <c r="K29" s="990">
        <f>+'11-A. IEC Sub-Annex'!L67</f>
        <v>0</v>
      </c>
      <c r="L29" s="990">
        <f>+'11-A. IEC Sub-Annex'!M67</f>
        <v>3724000</v>
      </c>
      <c r="M29" s="136">
        <f>+'11-A. IEC Sub-Annex'!N67</f>
        <v>37.24</v>
      </c>
      <c r="N29" s="990">
        <f>+'11-A. IEC Sub-Annex'!O67</f>
        <v>1</v>
      </c>
      <c r="O29" s="136">
        <f>+'11-A. IEC Sub-Annex'!P67</f>
        <v>37.24</v>
      </c>
      <c r="P29" s="78" t="str">
        <f>+'11-A. IEC Sub-Annex'!Q67</f>
        <v>State and district level for more awareness.</v>
      </c>
      <c r="Q29" s="62"/>
      <c r="R29" s="124"/>
    </row>
    <row r="30" spans="1:18">
      <c r="A30" s="4643"/>
      <c r="B30" s="990"/>
      <c r="C30" s="78" t="str">
        <f>+'11-A. IEC Sub-Annex'!D68</f>
        <v>Any other IEC/BCC activities (please specify)</v>
      </c>
      <c r="D30" s="990" t="str">
        <f>+'11-A. IEC Sub-Annex'!E68</f>
        <v>NDCP</v>
      </c>
      <c r="E30" s="990" t="str">
        <f>+'11-A. IEC Sub-Annex'!F68</f>
        <v>NLEP</v>
      </c>
      <c r="F30" s="990">
        <f>+'11-A. IEC Sub-Annex'!G68</f>
        <v>0</v>
      </c>
      <c r="G30" s="990">
        <f>+'11-A. IEC Sub-Annex'!H68</f>
        <v>0</v>
      </c>
      <c r="H30" s="990">
        <f>+'11-A. IEC Sub-Annex'!I68</f>
        <v>0</v>
      </c>
      <c r="I30" s="990">
        <f>+'11-A. IEC Sub-Annex'!J68</f>
        <v>0</v>
      </c>
      <c r="J30" s="990">
        <f>+'11-A. IEC Sub-Annex'!K68</f>
        <v>0</v>
      </c>
      <c r="K30" s="990">
        <f>+'11-A. IEC Sub-Annex'!L68</f>
        <v>0</v>
      </c>
      <c r="L30" s="990">
        <f>+'11-A. IEC Sub-Annex'!M68</f>
        <v>0</v>
      </c>
      <c r="M30" s="136">
        <f>+'11-A. IEC Sub-Annex'!N68</f>
        <v>0</v>
      </c>
      <c r="N30" s="990">
        <f>+'11-A. IEC Sub-Annex'!O68</f>
        <v>0</v>
      </c>
      <c r="O30" s="136">
        <f>+'11-A. IEC Sub-Annex'!P68</f>
        <v>0</v>
      </c>
      <c r="P30" s="78">
        <f>+'11-A. IEC Sub-Annex'!Q68</f>
        <v>0</v>
      </c>
      <c r="Q30" s="62"/>
      <c r="R30" s="124"/>
    </row>
    <row r="31" spans="1:18">
      <c r="A31" s="894">
        <f>'12.Printing Annex'!A7</f>
        <v>12</v>
      </c>
      <c r="B31" s="894"/>
      <c r="C31" s="893" t="str">
        <f>'12.Printing Annex'!C7</f>
        <v>Printing</v>
      </c>
      <c r="D31" s="894"/>
      <c r="E31" s="894"/>
      <c r="F31" s="894"/>
      <c r="G31" s="894"/>
      <c r="H31" s="485"/>
      <c r="I31" s="894"/>
      <c r="J31" s="485"/>
      <c r="K31" s="894"/>
      <c r="L31" s="894"/>
      <c r="M31" s="485"/>
      <c r="N31" s="890"/>
      <c r="O31" s="891">
        <f>O32</f>
        <v>7.6</v>
      </c>
      <c r="P31" s="892"/>
      <c r="Q31" s="897"/>
      <c r="R31" s="898">
        <f>R32</f>
        <v>0</v>
      </c>
    </row>
    <row r="32" spans="1:18">
      <c r="A32" s="990" t="str">
        <f>'12.Printing Annex'!A27</f>
        <v>12.3.2</v>
      </c>
      <c r="B32" s="990" t="str">
        <f>+'12-A. Print Sub-Annex'!C83</f>
        <v>G.1.4</v>
      </c>
      <c r="C32" s="78" t="str">
        <f>+'12-A. Print Sub-Annex'!D83</f>
        <v>Printing works</v>
      </c>
      <c r="D32" s="990" t="str">
        <f>+'12-A. Print Sub-Annex'!E83</f>
        <v>NDCP</v>
      </c>
      <c r="E32" s="990" t="str">
        <f>+'12-A. Print Sub-Annex'!F83</f>
        <v>NLEP</v>
      </c>
      <c r="F32" s="990">
        <f>+'12-A. Print Sub-Annex'!G83</f>
        <v>0</v>
      </c>
      <c r="G32" s="990">
        <f>+'12-A. Print Sub-Annex'!H83</f>
        <v>0</v>
      </c>
      <c r="H32" s="990">
        <f>+'12-A. Print Sub-Annex'!I83</f>
        <v>0</v>
      </c>
      <c r="I32" s="990">
        <f>+'12-A. Print Sub-Annex'!J83</f>
        <v>0</v>
      </c>
      <c r="J32" s="990">
        <f>+'12-A. Print Sub-Annex'!K83</f>
        <v>0</v>
      </c>
      <c r="K32" s="990">
        <f>+'12-A. Print Sub-Annex'!L83</f>
        <v>1</v>
      </c>
      <c r="L32" s="990">
        <f>+'12-A. Print Sub-Annex'!M83</f>
        <v>760000</v>
      </c>
      <c r="M32" s="136">
        <f>+'12-A. Print Sub-Annex'!N83</f>
        <v>7.6</v>
      </c>
      <c r="N32" s="990">
        <f>+'12-A. Print Sub-Annex'!O83</f>
        <v>1</v>
      </c>
      <c r="O32" s="136">
        <f>+'12-A. Print Sub-Annex'!P83</f>
        <v>7.6</v>
      </c>
      <c r="P32" s="78" t="str">
        <f>+'12-A. Print Sub-Annex'!Q83</f>
        <v>Printing of format, registers etc.</v>
      </c>
      <c r="Q32" s="62"/>
      <c r="R32" s="124"/>
    </row>
    <row r="33" spans="1:18">
      <c r="A33" s="894">
        <f>'15.PPP Annex'!A7</f>
        <v>15</v>
      </c>
      <c r="B33" s="894"/>
      <c r="C33" s="893" t="str">
        <f>'15.PPP Annex'!C7</f>
        <v>PPP</v>
      </c>
      <c r="D33" s="894"/>
      <c r="E33" s="894"/>
      <c r="F33" s="894"/>
      <c r="G33" s="894"/>
      <c r="H33" s="485"/>
      <c r="I33" s="894"/>
      <c r="J33" s="485"/>
      <c r="K33" s="894"/>
      <c r="L33" s="894"/>
      <c r="M33" s="485"/>
      <c r="N33" s="890"/>
      <c r="O33" s="891">
        <f>SUM(O34:O35)</f>
        <v>0</v>
      </c>
      <c r="P33" s="892"/>
      <c r="Q33" s="897"/>
      <c r="R33" s="898">
        <f>SUM(R34:R35)</f>
        <v>0</v>
      </c>
    </row>
    <row r="34" spans="1:18">
      <c r="A34" s="990" t="str">
        <f>+'15.PPP Annex'!A24</f>
        <v>15.3.2.1</v>
      </c>
      <c r="B34" s="990" t="str">
        <f>+'15.PPP Annex'!B24</f>
        <v>15.4.1/ G.1.5</v>
      </c>
      <c r="C34" s="78" t="str">
        <f>+'15.PPP Annex'!C24</f>
        <v>NGO -  Scheme</v>
      </c>
      <c r="D34" s="990" t="str">
        <f>+'15.PPP Annex'!D24</f>
        <v>NDCP</v>
      </c>
      <c r="E34" s="990" t="str">
        <f>+'15.PPP Annex'!E24</f>
        <v>NLEP</v>
      </c>
      <c r="F34" s="990">
        <f>+'15.PPP Annex'!F24</f>
        <v>0</v>
      </c>
      <c r="G34" s="990">
        <f>+'15.PPP Annex'!G24</f>
        <v>0</v>
      </c>
      <c r="H34" s="990">
        <f>+'15.PPP Annex'!H24</f>
        <v>0</v>
      </c>
      <c r="I34" s="990">
        <f>+'15.PPP Annex'!I24</f>
        <v>0</v>
      </c>
      <c r="J34" s="990">
        <f>+'15.PPP Annex'!J24</f>
        <v>0</v>
      </c>
      <c r="K34" s="990">
        <f>+'15.PPP Annex'!K24</f>
        <v>0</v>
      </c>
      <c r="L34" s="990">
        <f>+'15.PPP Annex'!L24</f>
        <v>0</v>
      </c>
      <c r="M34" s="136">
        <f>+'15.PPP Annex'!M24</f>
        <v>0</v>
      </c>
      <c r="N34" s="990">
        <f>+'15.PPP Annex'!N24</f>
        <v>0</v>
      </c>
      <c r="O34" s="136">
        <f>+'15.PPP Annex'!O24</f>
        <v>0</v>
      </c>
      <c r="P34" s="78">
        <f>+'15.PPP Annex'!P24</f>
        <v>0</v>
      </c>
      <c r="Q34" s="62"/>
      <c r="R34" s="124"/>
    </row>
    <row r="35" spans="1:18">
      <c r="A35" s="990" t="str">
        <f>+'15.PPP Annex'!A25</f>
        <v>15.3.2.2</v>
      </c>
      <c r="B35" s="990"/>
      <c r="C35" s="78" t="str">
        <f>+'15.PPP Annex'!C25</f>
        <v>Any other (please specify)</v>
      </c>
      <c r="D35" s="990" t="str">
        <f>+'15.PPP Annex'!D25</f>
        <v>NDCP</v>
      </c>
      <c r="E35" s="990" t="str">
        <f>+'15.PPP Annex'!E25</f>
        <v>NLEP</v>
      </c>
      <c r="F35" s="990">
        <f>+'15.PPP Annex'!F25</f>
        <v>0</v>
      </c>
      <c r="G35" s="990">
        <f>+'15.PPP Annex'!G25</f>
        <v>0</v>
      </c>
      <c r="H35" s="990">
        <f>+'15.PPP Annex'!H25</f>
        <v>0</v>
      </c>
      <c r="I35" s="990">
        <f>+'15.PPP Annex'!I25</f>
        <v>0</v>
      </c>
      <c r="J35" s="990">
        <f>+'15.PPP Annex'!J25</f>
        <v>0</v>
      </c>
      <c r="K35" s="990">
        <f>+'15.PPP Annex'!K25</f>
        <v>0</v>
      </c>
      <c r="L35" s="990">
        <f>+'15.PPP Annex'!L25</f>
        <v>0</v>
      </c>
      <c r="M35" s="136">
        <f>+'15.PPP Annex'!M25</f>
        <v>0</v>
      </c>
      <c r="N35" s="990">
        <f>+'15.PPP Annex'!N25</f>
        <v>0</v>
      </c>
      <c r="O35" s="136">
        <f>+'15.PPP Annex'!O25</f>
        <v>0</v>
      </c>
      <c r="P35" s="78">
        <f>+'15.PPP Annex'!P25</f>
        <v>0</v>
      </c>
      <c r="Q35" s="62"/>
      <c r="R35" s="124"/>
    </row>
    <row r="36" spans="1:18">
      <c r="A36" s="895">
        <f>'16.PM Annex'!A7</f>
        <v>16</v>
      </c>
      <c r="B36" s="895"/>
      <c r="C36" s="888" t="str">
        <f>'16.PM Annex'!C7</f>
        <v>Programme Management</v>
      </c>
      <c r="D36" s="895"/>
      <c r="E36" s="895"/>
      <c r="F36" s="895"/>
      <c r="G36" s="895"/>
      <c r="H36" s="485"/>
      <c r="I36" s="895"/>
      <c r="J36" s="485"/>
      <c r="K36" s="895"/>
      <c r="L36" s="895"/>
      <c r="M36" s="485"/>
      <c r="N36" s="890"/>
      <c r="O36" s="891">
        <f>SUM(O37:O47)</f>
        <v>217.55</v>
      </c>
      <c r="P36" s="892"/>
      <c r="Q36" s="897"/>
      <c r="R36" s="898">
        <f>SUM(R37:R47)</f>
        <v>0</v>
      </c>
    </row>
    <row r="37" spans="1:18">
      <c r="A37" s="990" t="str">
        <f>'16-A. PM sub Annex'!B40</f>
        <v>16.1.2.1.20</v>
      </c>
      <c r="B37" s="990" t="str">
        <f>'16-A. PM sub Annex'!D40</f>
        <v xml:space="preserve">G.4.2 </v>
      </c>
      <c r="C37" s="78" t="str">
        <f>'16-A. PM sub Annex'!E40</f>
        <v xml:space="preserve">NLEP Review Meetings </v>
      </c>
      <c r="D37" s="990" t="str">
        <f>'16-A. PM sub Annex'!F40</f>
        <v>NDCP</v>
      </c>
      <c r="E37" s="990" t="str">
        <f>'16-A. PM sub Annex'!G40</f>
        <v>HRH&amp;HPIP/NLEP</v>
      </c>
      <c r="F37" s="990">
        <f>'16-A. PM sub Annex'!H40</f>
        <v>0</v>
      </c>
      <c r="G37" s="990">
        <f>'16-A. PM sub Annex'!I40</f>
        <v>0</v>
      </c>
      <c r="H37" s="990">
        <f>'16-A. PM sub Annex'!J40</f>
        <v>0</v>
      </c>
      <c r="I37" s="990">
        <f>'16-A. PM sub Annex'!K40</f>
        <v>0</v>
      </c>
      <c r="J37" s="990">
        <f>'16-A. PM sub Annex'!L40</f>
        <v>0</v>
      </c>
      <c r="K37" s="990">
        <f>'16-A. PM sub Annex'!M40</f>
        <v>1</v>
      </c>
      <c r="L37" s="990">
        <f>'16-A. PM sub Annex'!N40</f>
        <v>50000</v>
      </c>
      <c r="M37" s="136">
        <f>'16-A. PM sub Annex'!O40</f>
        <v>0.5</v>
      </c>
      <c r="N37" s="990">
        <f>'16-A. PM sub Annex'!P40</f>
        <v>4</v>
      </c>
      <c r="O37" s="136">
        <f>'16-A. PM sub Annex'!Q40</f>
        <v>2</v>
      </c>
      <c r="P37" s="78" t="str">
        <f>'16-A. PM sub Annex'!R40</f>
        <v>50000/review meeting (state level)</v>
      </c>
      <c r="Q37" s="62"/>
      <c r="R37" s="124"/>
    </row>
    <row r="38" spans="1:18">
      <c r="A38" s="990" t="str">
        <f>'16-A. PM sub Annex'!B79</f>
        <v>16.1.3.1.11</v>
      </c>
      <c r="B38" s="990" t="str">
        <f>'16-A. PM sub Annex'!D79</f>
        <v>G.4.1.a</v>
      </c>
      <c r="C38" s="78" t="str">
        <f>'16-A. PM sub Annex'!E79</f>
        <v>Travel expenses - Contractual Staff at State level</v>
      </c>
      <c r="D38" s="990" t="str">
        <f>'16-A. PM sub Annex'!F79</f>
        <v>NDCP</v>
      </c>
      <c r="E38" s="990" t="str">
        <f>'16-A. PM sub Annex'!G79</f>
        <v>HRH&amp;HPIP/NLEP</v>
      </c>
      <c r="F38" s="990">
        <f>'16-A. PM sub Annex'!H79</f>
        <v>0</v>
      </c>
      <c r="G38" s="990">
        <f>'16-A. PM sub Annex'!I79</f>
        <v>0</v>
      </c>
      <c r="H38" s="990">
        <f>'16-A. PM sub Annex'!J79</f>
        <v>0</v>
      </c>
      <c r="I38" s="990">
        <f>'16-A. PM sub Annex'!K79</f>
        <v>0</v>
      </c>
      <c r="J38" s="990">
        <f>'16-A. PM sub Annex'!L79</f>
        <v>0</v>
      </c>
      <c r="K38" s="990">
        <f>'16-A. PM sub Annex'!M79</f>
        <v>1</v>
      </c>
      <c r="L38" s="990">
        <f>'16-A. PM sub Annex'!N79</f>
        <v>80000</v>
      </c>
      <c r="M38" s="136">
        <f>'16-A. PM sub Annex'!O79</f>
        <v>0.8</v>
      </c>
      <c r="N38" s="990">
        <f>'16-A. PM sub Annex'!P79</f>
        <v>1</v>
      </c>
      <c r="O38" s="136">
        <f>'16-A. PM sub Annex'!Q79</f>
        <v>0.8</v>
      </c>
      <c r="P38" s="78" t="str">
        <f>'16-A. PM sub Annex'!R79</f>
        <v>80000/state level</v>
      </c>
      <c r="Q38" s="62"/>
      <c r="R38" s="124"/>
    </row>
    <row r="39" spans="1:18">
      <c r="A39" s="990" t="str">
        <f>'16-A. PM sub Annex'!B80</f>
        <v>16.1.3.1.12</v>
      </c>
      <c r="B39" s="990" t="str">
        <f>'16-A. PM sub Annex'!D80</f>
        <v>G.4.5.a</v>
      </c>
      <c r="C39" s="78" t="str">
        <f>'16-A. PM sub Annex'!E80</f>
        <v>Mobility Support: State Cell</v>
      </c>
      <c r="D39" s="990" t="str">
        <f>'16-A. PM sub Annex'!F80</f>
        <v>NDCP</v>
      </c>
      <c r="E39" s="990" t="str">
        <f>'16-A. PM sub Annex'!G80</f>
        <v>HRH&amp;HPIP/NLEP</v>
      </c>
      <c r="F39" s="990">
        <f>'16-A. PM sub Annex'!H80</f>
        <v>0</v>
      </c>
      <c r="G39" s="990">
        <f>'16-A. PM sub Annex'!I80</f>
        <v>0</v>
      </c>
      <c r="H39" s="990">
        <f>'16-A. PM sub Annex'!J80</f>
        <v>0</v>
      </c>
      <c r="I39" s="990">
        <f>'16-A. PM sub Annex'!K80</f>
        <v>0</v>
      </c>
      <c r="J39" s="990">
        <f>'16-A. PM sub Annex'!L80</f>
        <v>0</v>
      </c>
      <c r="K39" s="990">
        <f>'16-A. PM sub Annex'!M80</f>
        <v>1</v>
      </c>
      <c r="L39" s="990">
        <f>'16-A. PM sub Annex'!N80</f>
        <v>200000</v>
      </c>
      <c r="M39" s="136">
        <f>'16-A. PM sub Annex'!O80</f>
        <v>2</v>
      </c>
      <c r="N39" s="990">
        <f>'16-A. PM sub Annex'!P80</f>
        <v>2</v>
      </c>
      <c r="O39" s="136">
        <f>'16-A. PM sub Annex'!Q80</f>
        <v>4</v>
      </c>
      <c r="P39" s="78" t="str">
        <f>'16-A. PM sub Annex'!R80</f>
        <v>State level</v>
      </c>
      <c r="Q39" s="62"/>
      <c r="R39" s="124"/>
    </row>
    <row r="40" spans="1:18">
      <c r="A40" s="990" t="str">
        <f>'16-A. PM sub Annex'!B103</f>
        <v>16.1.3.3.10</v>
      </c>
      <c r="B40" s="990" t="str">
        <f>'16-A. PM sub Annex'!D103</f>
        <v>G.4.1.b</v>
      </c>
      <c r="C40" s="78" t="str">
        <f>'16-A. PM sub Annex'!E103</f>
        <v>Travel expenses - Contractual Staff at District level</v>
      </c>
      <c r="D40" s="990" t="str">
        <f>'16-A. PM sub Annex'!F103</f>
        <v>NDCP</v>
      </c>
      <c r="E40" s="990" t="str">
        <f>'16-A. PM sub Annex'!G103</f>
        <v>HRH&amp;HPIP/NLEP</v>
      </c>
      <c r="F40" s="990">
        <f>'16-A. PM sub Annex'!H103</f>
        <v>0</v>
      </c>
      <c r="G40" s="990">
        <f>'16-A. PM sub Annex'!I103</f>
        <v>0</v>
      </c>
      <c r="H40" s="990">
        <f>'16-A. PM sub Annex'!J103</f>
        <v>0</v>
      </c>
      <c r="I40" s="990">
        <f>'16-A. PM sub Annex'!K103</f>
        <v>0</v>
      </c>
      <c r="J40" s="990">
        <f>'16-A. PM sub Annex'!L103</f>
        <v>0</v>
      </c>
      <c r="K40" s="990">
        <f>'16-A. PM sub Annex'!M103</f>
        <v>1</v>
      </c>
      <c r="L40" s="990">
        <f>'16-A. PM sub Annex'!N103</f>
        <v>11400000</v>
      </c>
      <c r="M40" s="136">
        <f>'16-A. PM sub Annex'!O103</f>
        <v>114</v>
      </c>
      <c r="N40" s="990">
        <f>'16-A. PM sub Annex'!P103</f>
        <v>1</v>
      </c>
      <c r="O40" s="136">
        <f>'16-A. PM sub Annex'!Q103</f>
        <v>114</v>
      </c>
      <c r="P40" s="78" t="str">
        <f>'16-A. PM sub Annex'!R103</f>
        <v>district and PHC/Urban level</v>
      </c>
      <c r="Q40" s="62"/>
      <c r="R40" s="124"/>
    </row>
    <row r="41" spans="1:18">
      <c r="A41" s="990" t="str">
        <f>'16-A. PM sub Annex'!B104</f>
        <v>16.1.3.3.11</v>
      </c>
      <c r="B41" s="990" t="str">
        <f>'16-A. PM sub Annex'!D104</f>
        <v>G.4.5.b</v>
      </c>
      <c r="C41" s="78" t="str">
        <f>'16-A. PM sub Annex'!E104</f>
        <v>Mobility Support: District Cell</v>
      </c>
      <c r="D41" s="990" t="str">
        <f>'16-A. PM sub Annex'!F104</f>
        <v>NDCP</v>
      </c>
      <c r="E41" s="990" t="str">
        <f>'16-A. PM sub Annex'!G104</f>
        <v>HRH&amp;HPIP/NLEP</v>
      </c>
      <c r="F41" s="990">
        <f>'16-A. PM sub Annex'!H104</f>
        <v>0</v>
      </c>
      <c r="G41" s="990">
        <f>'16-A. PM sub Annex'!I104</f>
        <v>0</v>
      </c>
      <c r="H41" s="990">
        <f>'16-A. PM sub Annex'!J104</f>
        <v>0</v>
      </c>
      <c r="I41" s="990">
        <f>'16-A. PM sub Annex'!K104</f>
        <v>0</v>
      </c>
      <c r="J41" s="990">
        <f>'16-A. PM sub Annex'!L104</f>
        <v>0</v>
      </c>
      <c r="K41" s="990">
        <f>'16-A. PM sub Annex'!M104</f>
        <v>1</v>
      </c>
      <c r="L41" s="990">
        <f>'16-A. PM sub Annex'!N104</f>
        <v>150000</v>
      </c>
      <c r="M41" s="136">
        <f>'16-A. PM sub Annex'!O104</f>
        <v>1.5</v>
      </c>
      <c r="N41" s="990">
        <f>'16-A. PM sub Annex'!P104</f>
        <v>38</v>
      </c>
      <c r="O41" s="136">
        <f>'16-A. PM sub Annex'!Q104</f>
        <v>57</v>
      </c>
      <c r="P41" s="78" t="str">
        <f>'16-A. PM sub Annex'!R104</f>
        <v>150000/district</v>
      </c>
      <c r="Q41" s="62"/>
      <c r="R41" s="124"/>
    </row>
    <row r="42" spans="1:18">
      <c r="A42" s="990" t="str">
        <f>'16-A. PM sub Annex'!B117</f>
        <v>16.1.3.5.1</v>
      </c>
      <c r="B42" s="990" t="str">
        <f>'16-A. PM sub Annex'!D117</f>
        <v>G.5</v>
      </c>
      <c r="C42" s="78" t="str">
        <f>'16-A. PM sub Annex'!E117</f>
        <v>Others: travel expenses  for regular staff.</v>
      </c>
      <c r="D42" s="990" t="str">
        <f>'16-A. PM sub Annex'!F117</f>
        <v>NDCP</v>
      </c>
      <c r="E42" s="990" t="str">
        <f>'16-A. PM sub Annex'!G117</f>
        <v>HRH&amp;HPIP/NLEP</v>
      </c>
      <c r="F42" s="990">
        <f>'16-A. PM sub Annex'!H117</f>
        <v>0</v>
      </c>
      <c r="G42" s="990">
        <f>'16-A. PM sub Annex'!I117</f>
        <v>0</v>
      </c>
      <c r="H42" s="990">
        <f>'16-A. PM sub Annex'!J117</f>
        <v>0</v>
      </c>
      <c r="I42" s="990">
        <f>'16-A. PM sub Annex'!K117</f>
        <v>0</v>
      </c>
      <c r="J42" s="990">
        <f>'16-A. PM sub Annex'!L117</f>
        <v>0</v>
      </c>
      <c r="K42" s="990">
        <f>'16-A. PM sub Annex'!M117</f>
        <v>0</v>
      </c>
      <c r="L42" s="990">
        <f>'16-A. PM sub Annex'!N117</f>
        <v>0</v>
      </c>
      <c r="M42" s="136">
        <f>'16-A. PM sub Annex'!O117</f>
        <v>0</v>
      </c>
      <c r="N42" s="990">
        <f>'16-A. PM sub Annex'!P117</f>
        <v>0</v>
      </c>
      <c r="O42" s="136">
        <f>'16-A. PM sub Annex'!Q117</f>
        <v>0</v>
      </c>
      <c r="P42" s="78">
        <f>'16-A. PM sub Annex'!R117</f>
        <v>0</v>
      </c>
      <c r="Q42" s="62"/>
      <c r="R42" s="124"/>
    </row>
    <row r="43" spans="1:18">
      <c r="A43" s="990" t="str">
        <f>'16-A. PM sub Annex'!B127</f>
        <v>16.1.4.1.8</v>
      </c>
      <c r="B43" s="990" t="str">
        <f>'16-A. PM sub Annex'!D127</f>
        <v>G.4.3.a</v>
      </c>
      <c r="C43" s="78" t="str">
        <f>'16-A. PM sub Annex'!E127</f>
        <v>Office operation &amp; Maintenance - State Cell</v>
      </c>
      <c r="D43" s="990" t="str">
        <f>'16-A. PM sub Annex'!F127</f>
        <v>NDCP</v>
      </c>
      <c r="E43" s="990" t="str">
        <f>'16-A. PM sub Annex'!G127</f>
        <v>HRH&amp;HPIP/NLEP</v>
      </c>
      <c r="F43" s="990">
        <f>'16-A. PM sub Annex'!H127</f>
        <v>0</v>
      </c>
      <c r="G43" s="990">
        <f>'16-A. PM sub Annex'!I127</f>
        <v>0</v>
      </c>
      <c r="H43" s="990">
        <f>'16-A. PM sub Annex'!J127</f>
        <v>0</v>
      </c>
      <c r="I43" s="990">
        <f>'16-A. PM sub Annex'!K127</f>
        <v>0</v>
      </c>
      <c r="J43" s="990">
        <f>'16-A. PM sub Annex'!L127</f>
        <v>0</v>
      </c>
      <c r="K43" s="990">
        <f>'16-A. PM sub Annex'!M127</f>
        <v>1</v>
      </c>
      <c r="L43" s="990">
        <f>'16-A. PM sub Annex'!N127</f>
        <v>75000</v>
      </c>
      <c r="M43" s="136">
        <f>'16-A. PM sub Annex'!O127</f>
        <v>0.75</v>
      </c>
      <c r="N43" s="990">
        <f>'16-A. PM sub Annex'!P127</f>
        <v>1</v>
      </c>
      <c r="O43" s="136">
        <f>'16-A. PM sub Annex'!Q127</f>
        <v>0.75</v>
      </c>
      <c r="P43" s="78" t="str">
        <f>'16-A. PM sub Annex'!R127</f>
        <v>75000 at state level</v>
      </c>
      <c r="Q43" s="62"/>
      <c r="R43" s="124"/>
    </row>
    <row r="44" spans="1:18">
      <c r="A44" s="990" t="str">
        <f>'16-A. PM sub Annex'!B128</f>
        <v>16.1.4.1.9</v>
      </c>
      <c r="B44" s="990" t="str">
        <f>'16-A. PM sub Annex'!D128</f>
        <v>G.4.4.a</v>
      </c>
      <c r="C44" s="78" t="str">
        <f>'16-A. PM sub Annex'!E128</f>
        <v>State Cell - Consumables</v>
      </c>
      <c r="D44" s="990" t="str">
        <f>'16-A. PM sub Annex'!F128</f>
        <v>NDCP</v>
      </c>
      <c r="E44" s="990" t="str">
        <f>'16-A. PM sub Annex'!G128</f>
        <v>HRH&amp;HPIP/NLEP</v>
      </c>
      <c r="F44" s="990">
        <f>'16-A. PM sub Annex'!H128</f>
        <v>0</v>
      </c>
      <c r="G44" s="990">
        <f>'16-A. PM sub Annex'!I128</f>
        <v>0</v>
      </c>
      <c r="H44" s="990">
        <f>'16-A. PM sub Annex'!J128</f>
        <v>0</v>
      </c>
      <c r="I44" s="990">
        <f>'16-A. PM sub Annex'!K128</f>
        <v>0</v>
      </c>
      <c r="J44" s="990">
        <f>'16-A. PM sub Annex'!L128</f>
        <v>0</v>
      </c>
      <c r="K44" s="990">
        <f>'16-A. PM sub Annex'!M128</f>
        <v>1</v>
      </c>
      <c r="L44" s="990">
        <f>'16-A. PM sub Annex'!N128</f>
        <v>50000</v>
      </c>
      <c r="M44" s="136">
        <f>'16-A. PM sub Annex'!O128</f>
        <v>0.5</v>
      </c>
      <c r="N44" s="990">
        <f>'16-A. PM sub Annex'!P128</f>
        <v>1</v>
      </c>
      <c r="O44" s="136">
        <f>'16-A. PM sub Annex'!Q128</f>
        <v>0.5</v>
      </c>
      <c r="P44" s="78" t="str">
        <f>'16-A. PM sub Annex'!R128</f>
        <v>50000/at state level</v>
      </c>
      <c r="Q44" s="62"/>
      <c r="R44" s="124"/>
    </row>
    <row r="45" spans="1:18">
      <c r="A45" s="990" t="str">
        <f>'16-A. PM sub Annex'!B139</f>
        <v>16.1.4.2.4</v>
      </c>
      <c r="B45" s="990" t="str">
        <f>'16-A. PM sub Annex'!D139</f>
        <v>G.4.3.b</v>
      </c>
      <c r="C45" s="78" t="str">
        <f>'16-A. PM sub Annex'!E139</f>
        <v>Office operation &amp; Maintenance - District Cell</v>
      </c>
      <c r="D45" s="990" t="str">
        <f>'16-A. PM sub Annex'!F139</f>
        <v>NDCP</v>
      </c>
      <c r="E45" s="990" t="str">
        <f>'16-A. PM sub Annex'!G139</f>
        <v>HRH&amp;HPIP/NLEP</v>
      </c>
      <c r="F45" s="990">
        <f>'16-A. PM sub Annex'!H139</f>
        <v>0</v>
      </c>
      <c r="G45" s="990">
        <f>'16-A. PM sub Annex'!I139</f>
        <v>0</v>
      </c>
      <c r="H45" s="990">
        <f>'16-A. PM sub Annex'!J139</f>
        <v>0</v>
      </c>
      <c r="I45" s="990">
        <f>'16-A. PM sub Annex'!K139</f>
        <v>0</v>
      </c>
      <c r="J45" s="990">
        <f>'16-A. PM sub Annex'!L139</f>
        <v>0</v>
      </c>
      <c r="K45" s="990">
        <f>'16-A. PM sub Annex'!M139</f>
        <v>1</v>
      </c>
      <c r="L45" s="990">
        <f>'16-A. PM sub Annex'!N139</f>
        <v>40000</v>
      </c>
      <c r="M45" s="136">
        <f>'16-A. PM sub Annex'!O139</f>
        <v>0.4</v>
      </c>
      <c r="N45" s="990">
        <f>'16-A. PM sub Annex'!P139</f>
        <v>38</v>
      </c>
      <c r="O45" s="136">
        <f>'16-A. PM sub Annex'!Q139</f>
        <v>15.200000000000001</v>
      </c>
      <c r="P45" s="78" t="str">
        <f>'16-A. PM sub Annex'!R139</f>
        <v>40000/district</v>
      </c>
      <c r="Q45" s="62"/>
      <c r="R45" s="124"/>
    </row>
    <row r="46" spans="1:18">
      <c r="A46" s="990" t="str">
        <f>'16-A. PM sub Annex'!B140</f>
        <v>16.1.4.2.5</v>
      </c>
      <c r="B46" s="990" t="str">
        <f>'16-A. PM sub Annex'!D140</f>
        <v>G.4.4.b</v>
      </c>
      <c r="C46" s="78" t="str">
        <f>'16-A. PM sub Annex'!E140</f>
        <v>District Cell - Consumables</v>
      </c>
      <c r="D46" s="990" t="str">
        <f>'16-A. PM sub Annex'!F140</f>
        <v>NDCP</v>
      </c>
      <c r="E46" s="990" t="str">
        <f>'16-A. PM sub Annex'!G140</f>
        <v>HRH&amp;HPIP/NLEP</v>
      </c>
      <c r="F46" s="990">
        <f>'16-A. PM sub Annex'!H140</f>
        <v>0</v>
      </c>
      <c r="G46" s="990">
        <f>'16-A. PM sub Annex'!I140</f>
        <v>0</v>
      </c>
      <c r="H46" s="990">
        <f>'16-A. PM sub Annex'!J140</f>
        <v>0</v>
      </c>
      <c r="I46" s="990">
        <f>'16-A. PM sub Annex'!K140</f>
        <v>0</v>
      </c>
      <c r="J46" s="990">
        <f>'16-A. PM sub Annex'!L140</f>
        <v>0</v>
      </c>
      <c r="K46" s="990">
        <f>'16-A. PM sub Annex'!M140</f>
        <v>1</v>
      </c>
      <c r="L46" s="990">
        <f>'16-A. PM sub Annex'!N140</f>
        <v>35000</v>
      </c>
      <c r="M46" s="136">
        <f>'16-A. PM sub Annex'!O140</f>
        <v>0.35</v>
      </c>
      <c r="N46" s="990">
        <f>'16-A. PM sub Annex'!P140</f>
        <v>38</v>
      </c>
      <c r="O46" s="136">
        <f>'16-A. PM sub Annex'!Q140</f>
        <v>13.299999999999999</v>
      </c>
      <c r="P46" s="78" t="str">
        <f>'16-A. PM sub Annex'!R140</f>
        <v>35000/district</v>
      </c>
      <c r="Q46" s="62"/>
      <c r="R46" s="124"/>
    </row>
    <row r="47" spans="1:18" ht="30">
      <c r="A47" s="990" t="str">
        <f>'16-A. PM sub Annex'!B155</f>
        <v>16.1.5.2.3</v>
      </c>
      <c r="B47" s="990" t="str">
        <f>'16-A. PM sub Annex'!D155</f>
        <v>G.4.3.c</v>
      </c>
      <c r="C47" s="78" t="str">
        <f>'16-A. PM sub Annex'!E155</f>
        <v>Office equipment maintenance State</v>
      </c>
      <c r="D47" s="990" t="str">
        <f>'16-A. PM sub Annex'!F155</f>
        <v>NDCP</v>
      </c>
      <c r="E47" s="990" t="str">
        <f>'16-A. PM sub Annex'!G155</f>
        <v>HRH&amp;HPIP/NLEP</v>
      </c>
      <c r="F47" s="990">
        <f>'16-A. PM sub Annex'!H155</f>
        <v>0</v>
      </c>
      <c r="G47" s="990">
        <f>'16-A. PM sub Annex'!I155</f>
        <v>0</v>
      </c>
      <c r="H47" s="990">
        <f>'16-A. PM sub Annex'!J155</f>
        <v>0</v>
      </c>
      <c r="I47" s="990">
        <f>'16-A. PM sub Annex'!K155</f>
        <v>0</v>
      </c>
      <c r="J47" s="990">
        <f>'16-A. PM sub Annex'!L155</f>
        <v>0</v>
      </c>
      <c r="K47" s="990">
        <f>'16-A. PM sub Annex'!M155</f>
        <v>1</v>
      </c>
      <c r="L47" s="990">
        <f>'16-A. PM sub Annex'!N155</f>
        <v>1000000</v>
      </c>
      <c r="M47" s="136">
        <f>'16-A. PM sub Annex'!O155</f>
        <v>10</v>
      </c>
      <c r="N47" s="990">
        <f>'16-A. PM sub Annex'!P155</f>
        <v>1</v>
      </c>
      <c r="O47" s="136">
        <f>'16-A. PM sub Annex'!Q155</f>
        <v>10</v>
      </c>
      <c r="P47" s="78" t="str">
        <f>'16-A. PM sub Annex'!R155</f>
        <v>Procurement of computer table, computer cahir and godrej for Administrative Assistant  etc.</v>
      </c>
      <c r="Q47" s="62"/>
      <c r="R47" s="124"/>
    </row>
    <row r="48" spans="1:18">
      <c r="Q48" s="1032"/>
      <c r="R48" s="1036"/>
    </row>
    <row r="49" spans="1:18">
      <c r="Q49" s="1032"/>
      <c r="R49" s="1036"/>
    </row>
    <row r="50" spans="1:18" s="950" customFormat="1">
      <c r="A50" s="4635" t="s">
        <v>5704</v>
      </c>
      <c r="B50" s="4635"/>
      <c r="C50" s="4635"/>
      <c r="D50" s="334"/>
      <c r="E50" s="334"/>
      <c r="F50" s="334"/>
      <c r="G50" s="334"/>
      <c r="H50" s="240"/>
      <c r="I50" s="334"/>
      <c r="J50" s="240"/>
      <c r="K50" s="1022"/>
      <c r="L50" s="1022"/>
      <c r="M50" s="240"/>
      <c r="N50" s="1012"/>
      <c r="O50" s="969"/>
      <c r="P50" s="964"/>
      <c r="Q50" s="977"/>
      <c r="R50" s="978"/>
    </row>
    <row r="51" spans="1:18" s="950" customFormat="1">
      <c r="A51" s="970" t="str">
        <f>'NUHM-Non Metro Abst'!A13</f>
        <v>U.1.1.1.3</v>
      </c>
      <c r="B51" s="970">
        <f>'NUHM-Non Metro Abst'!B13</f>
        <v>0</v>
      </c>
      <c r="C51" s="970" t="str">
        <f>'NUHM-Non Metro Abst'!C13</f>
        <v>Support for implementation of NLEP</v>
      </c>
      <c r="D51" s="990"/>
      <c r="E51" s="970" t="str">
        <f>'NUHM-Non Metro Abst'!D13</f>
        <v>NLEP</v>
      </c>
      <c r="F51" s="970">
        <f>'NUHM-Non Metro Abst'!E13</f>
        <v>0</v>
      </c>
      <c r="G51" s="970">
        <f>'NUHM-Non Metro Abst'!F13</f>
        <v>0</v>
      </c>
      <c r="H51" s="970">
        <f>'NUHM-Non Metro Abst'!G13</f>
        <v>0</v>
      </c>
      <c r="I51" s="970">
        <f>'NUHM-Non Metro Abst'!H13</f>
        <v>0</v>
      </c>
      <c r="J51" s="970">
        <f>'NUHM-Non Metro Abst'!I13</f>
        <v>0</v>
      </c>
      <c r="K51" s="970">
        <f>'NUHM-Non Metro Abst'!J13</f>
        <v>1</v>
      </c>
      <c r="L51" s="970">
        <f>'NUHM-Non Metro Abst'!K13</f>
        <v>5000000</v>
      </c>
      <c r="M51" s="970">
        <f>'NUHM-Non Metro Abst'!L13</f>
        <v>50</v>
      </c>
      <c r="N51" s="970">
        <f>'NUHM-Non Metro Abst'!M13</f>
        <v>1</v>
      </c>
      <c r="O51" s="970">
        <f>'NUHM-Non Metro Abst'!N13</f>
        <v>50</v>
      </c>
      <c r="P51" s="970" t="str">
        <f>'NUHM-Non Metro Abst'!O13</f>
        <v xml:space="preserve">1) Active Case Detection and Regular Surveillance in approx 96.00 Lakh Population,                                           (2) Services in Urgan Areas:- Township-24 districts, Medium City-6 districts,  Supportive Drugs, Review and Sensitization, Meeting, IPC Workshop, </v>
      </c>
      <c r="Q51" s="63"/>
      <c r="R51" s="979"/>
    </row>
    <row r="52" spans="1:18" s="950" customFormat="1">
      <c r="A52" s="4635" t="s">
        <v>5703</v>
      </c>
      <c r="B52" s="4635"/>
      <c r="C52" s="4635"/>
      <c r="D52" s="334"/>
      <c r="E52" s="334"/>
      <c r="F52" s="334"/>
      <c r="G52" s="334"/>
      <c r="H52" s="334"/>
      <c r="I52" s="334"/>
      <c r="J52" s="334"/>
      <c r="K52" s="334"/>
      <c r="L52" s="334"/>
      <c r="M52" s="334"/>
      <c r="N52" s="334"/>
      <c r="O52" s="334"/>
      <c r="P52" s="334"/>
      <c r="Q52" s="977"/>
      <c r="R52" s="978"/>
    </row>
    <row r="53" spans="1:18" s="950" customFormat="1">
      <c r="A53" s="970" t="str">
        <f>'NUHM Metro Abst'!A13</f>
        <v>U.1.1.1.3</v>
      </c>
      <c r="B53" s="970">
        <f>'NUHM Metro Abst'!B13</f>
        <v>0</v>
      </c>
      <c r="C53" s="970" t="str">
        <f>'NUHM Metro Abst'!C13</f>
        <v>Support for implementation of NLEP</v>
      </c>
      <c r="D53" s="990"/>
      <c r="E53" s="970" t="str">
        <f>'NUHM Metro Abst'!D13</f>
        <v>NLEP</v>
      </c>
      <c r="F53" s="970">
        <f>'NUHM Metro Abst'!E13</f>
        <v>0</v>
      </c>
      <c r="G53" s="970">
        <f>'NUHM Metro Abst'!F13</f>
        <v>0</v>
      </c>
      <c r="H53" s="970">
        <f>'NUHM Metro Abst'!G13</f>
        <v>0</v>
      </c>
      <c r="I53" s="970">
        <f>'NUHM Metro Abst'!H13</f>
        <v>0</v>
      </c>
      <c r="J53" s="970">
        <f>'NUHM Metro Abst'!I13</f>
        <v>0</v>
      </c>
      <c r="K53" s="970">
        <f>'NUHM Metro Abst'!J13</f>
        <v>0</v>
      </c>
      <c r="L53" s="970">
        <f>'NUHM Metro Abst'!K13</f>
        <v>0</v>
      </c>
      <c r="M53" s="970">
        <f>'NUHM Metro Abst'!L13</f>
        <v>0</v>
      </c>
      <c r="N53" s="970">
        <f>'NUHM Metro Abst'!M13</f>
        <v>0</v>
      </c>
      <c r="O53" s="970">
        <f>'NUHM Metro Abst'!N13</f>
        <v>0</v>
      </c>
      <c r="P53" s="970">
        <f>'NUHM Metro Abst'!O13</f>
        <v>0</v>
      </c>
      <c r="Q53" s="63"/>
      <c r="R53" s="63"/>
    </row>
  </sheetData>
  <sheetProtection sheet="1" formatCells="0" formatColumns="0" formatRows="0" autoFilter="0"/>
  <autoFilter ref="A5:M47"/>
  <mergeCells count="15">
    <mergeCell ref="Q4:R4"/>
    <mergeCell ref="E4:E5"/>
    <mergeCell ref="F4:J4"/>
    <mergeCell ref="K4:P4"/>
    <mergeCell ref="D4:D5"/>
    <mergeCell ref="A52:C52"/>
    <mergeCell ref="A1:C1"/>
    <mergeCell ref="A4:A5"/>
    <mergeCell ref="B4:B5"/>
    <mergeCell ref="C4:C5"/>
    <mergeCell ref="A13:A15"/>
    <mergeCell ref="A17:A20"/>
    <mergeCell ref="A21:A22"/>
    <mergeCell ref="A29:A30"/>
    <mergeCell ref="A50:C50"/>
  </mergeCells>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34">
    <tabColor theme="5" tint="0.79998168889431442"/>
  </sheetPr>
  <dimension ref="A1:R69"/>
  <sheetViews>
    <sheetView zoomScale="60" zoomScaleNormal="60" workbookViewId="0">
      <pane xSplit="3" ySplit="5" topLeftCell="F54"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9.140625" defaultRowHeight="15"/>
  <cols>
    <col min="1" max="1" width="10.85546875" style="453" bestFit="1" customWidth="1"/>
    <col min="2" max="2" width="16" style="453" customWidth="1"/>
    <col min="3" max="3" width="46.85546875" style="453" bestFit="1" customWidth="1"/>
    <col min="4" max="4" width="5.5703125" style="407" bestFit="1" customWidth="1"/>
    <col min="5" max="5" width="16.42578125" style="407" bestFit="1" customWidth="1"/>
    <col min="6" max="6" width="20.7109375" style="407" customWidth="1"/>
    <col min="7" max="7" width="16.5703125" style="407" customWidth="1"/>
    <col min="8" max="8" width="16" style="479" customWidth="1"/>
    <col min="9" max="9" width="8.140625" style="407" bestFit="1" customWidth="1"/>
    <col min="10" max="10" width="12.140625" style="479" bestFit="1" customWidth="1"/>
    <col min="11" max="11" width="11.5703125" style="453" customWidth="1"/>
    <col min="12" max="12" width="12" style="453" customWidth="1"/>
    <col min="13" max="13" width="13" style="479" customWidth="1"/>
    <col min="14" max="14" width="9.140625" style="407"/>
    <col min="15" max="15" width="15.28515625" style="407" customWidth="1"/>
    <col min="16" max="16" width="38.28515625" style="407" customWidth="1"/>
    <col min="17" max="17" width="39.85546875" style="407" customWidth="1"/>
    <col min="18" max="18" width="13" style="479" customWidth="1"/>
    <col min="19" max="16384" width="9.140625" style="407"/>
  </cols>
  <sheetData>
    <row r="1" spans="1:18">
      <c r="A1" s="4644" t="s">
        <v>4775</v>
      </c>
      <c r="B1" s="4640"/>
      <c r="C1" s="4640"/>
      <c r="D1" s="866"/>
      <c r="E1" s="866"/>
      <c r="F1" s="74" t="s">
        <v>4676</v>
      </c>
      <c r="G1" s="867"/>
      <c r="H1" s="867"/>
      <c r="I1" s="867"/>
      <c r="J1" s="867"/>
      <c r="K1" s="1037"/>
      <c r="L1" s="1037"/>
      <c r="M1" s="867"/>
      <c r="R1" s="407"/>
    </row>
    <row r="2" spans="1:18">
      <c r="A2" s="868" t="str">
        <f>HYPERLINK("#Index!F3", "Index Pg")</f>
        <v>Index Pg</v>
      </c>
      <c r="B2" s="873"/>
      <c r="C2" s="403" t="str">
        <f>HYPERLINK("#'Budget Summary I'!A1:AL1", "Budget Summary I")</f>
        <v>Budget Summary I</v>
      </c>
      <c r="D2" s="1038"/>
      <c r="E2" s="713" t="s">
        <v>4599</v>
      </c>
      <c r="F2" s="135">
        <f>R6+R10+R12+R18+R20+R29+R32+R36+R40+R44+R47+R51+R56</f>
        <v>0</v>
      </c>
      <c r="G2" s="599"/>
      <c r="H2" s="599"/>
      <c r="I2" s="599"/>
      <c r="J2" s="599"/>
      <c r="K2" s="1039"/>
      <c r="L2" s="1039"/>
      <c r="M2" s="599"/>
      <c r="R2" s="407"/>
    </row>
    <row r="3" spans="1:18" s="1040" customFormat="1">
      <c r="A3" s="872"/>
      <c r="B3" s="873"/>
      <c r="C3" s="403" t="str">
        <f>HYPERLINK("#'Budget Summary II'!A3:B5", "Budget Summary II")</f>
        <v>Budget Summary II</v>
      </c>
      <c r="D3" s="1038"/>
      <c r="E3" s="713" t="s">
        <v>4600</v>
      </c>
      <c r="F3" s="135">
        <f>O6+O10+O12+O18+O20+O29+O32+O36+O40+O44+O47+O51+O56</f>
        <v>11483.12664</v>
      </c>
      <c r="G3" s="599"/>
      <c r="H3" s="599"/>
      <c r="I3" s="599"/>
      <c r="J3" s="599"/>
      <c r="K3" s="1039"/>
      <c r="M3" s="599"/>
    </row>
    <row r="4" spans="1:18">
      <c r="A4" s="4323" t="s">
        <v>53</v>
      </c>
      <c r="B4" s="4323" t="s">
        <v>54</v>
      </c>
      <c r="C4" s="4323" t="s">
        <v>55</v>
      </c>
      <c r="D4" s="4323" t="s">
        <v>56</v>
      </c>
      <c r="E4" s="4323" t="s">
        <v>57</v>
      </c>
      <c r="F4" s="4632" t="s">
        <v>4620</v>
      </c>
      <c r="G4" s="4632"/>
      <c r="H4" s="4632"/>
      <c r="I4" s="4632"/>
      <c r="J4" s="4632"/>
      <c r="K4" s="4632" t="s">
        <v>4631</v>
      </c>
      <c r="L4" s="4632"/>
      <c r="M4" s="4632"/>
      <c r="N4" s="4632"/>
      <c r="O4" s="4632"/>
      <c r="P4" s="4632"/>
      <c r="Q4" s="4628" t="s">
        <v>4661</v>
      </c>
      <c r="R4" s="4628"/>
    </row>
    <row r="5" spans="1:18"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884">
        <f>'1.SD Facility Based Annex'!A7</f>
        <v>1</v>
      </c>
      <c r="B6" s="884"/>
      <c r="C6" s="884" t="str">
        <f>'1.SD Facility Based Annex'!C7</f>
        <v>Service Delivery - Facility Based</v>
      </c>
      <c r="D6" s="886"/>
      <c r="E6" s="886"/>
      <c r="F6" s="886"/>
      <c r="G6" s="886"/>
      <c r="H6" s="485"/>
      <c r="I6" s="886"/>
      <c r="J6" s="485"/>
      <c r="K6" s="884"/>
      <c r="L6" s="884"/>
      <c r="M6" s="485"/>
      <c r="N6" s="485"/>
      <c r="O6" s="485">
        <f>SUM(O7:O9)</f>
        <v>4414.2359999999999</v>
      </c>
      <c r="P6" s="485"/>
      <c r="Q6" s="485"/>
      <c r="R6" s="485">
        <f>SUM(R7:R9)</f>
        <v>0</v>
      </c>
    </row>
    <row r="7" spans="1:18" s="408" customFormat="1" ht="60">
      <c r="A7" s="887" t="str">
        <f>'1.SD Facility Based Annex'!A38</f>
        <v>1.1.5.7</v>
      </c>
      <c r="B7" s="478">
        <f>'1.SD Facility Based Annex'!B38</f>
        <v>0</v>
      </c>
      <c r="C7" s="889" t="str">
        <f>'1.SD Facility Based Annex'!C38</f>
        <v>Diagnosis and Management under Latent TB Infection Management</v>
      </c>
      <c r="D7" s="887" t="str">
        <f>'1.SD Facility Based Annex'!D38</f>
        <v>NDCP</v>
      </c>
      <c r="E7" s="887" t="str">
        <f>'1.SD Facility Based Annex'!E38</f>
        <v>NTEP</v>
      </c>
      <c r="F7" s="1041">
        <f>'1.SD Facility Based Annex'!F38</f>
        <v>0</v>
      </c>
      <c r="G7" s="1041">
        <f>'1.SD Facility Based Annex'!G38</f>
        <v>0</v>
      </c>
      <c r="H7" s="1041">
        <f>'1.SD Facility Based Annex'!H38</f>
        <v>0</v>
      </c>
      <c r="I7" s="1041">
        <f>'1.SD Facility Based Annex'!I38</f>
        <v>0</v>
      </c>
      <c r="J7" s="1041">
        <f>'1.SD Facility Based Annex'!J38</f>
        <v>0</v>
      </c>
      <c r="K7" s="1041" t="str">
        <f>'1.SD Facility Based Annex'!K38</f>
        <v>Number of Patient tested</v>
      </c>
      <c r="L7" s="1041">
        <f>'1.SD Facility Based Annex'!L38</f>
        <v>1200</v>
      </c>
      <c r="M7" s="476">
        <f>'1.SD Facility Based Annex'!M38</f>
        <v>1.2E-2</v>
      </c>
      <c r="N7" s="1041">
        <f>'1.SD Facility Based Annex'!N38</f>
        <v>30353</v>
      </c>
      <c r="O7" s="476">
        <f>'1.SD Facility Based Annex'!O38</f>
        <v>364.23599999999999</v>
      </c>
      <c r="P7" s="1041" t="str">
        <f>'1.SD Facility Based Annex'!P38</f>
        <v>Target population to be tested 45550 in six districts Nalanda (2131), Vaishali (3945), Bhgalpur(7092), Samastipur (8278), Siwan (4637), Gopalganj (4269)</v>
      </c>
      <c r="Q7" s="899"/>
      <c r="R7" s="317"/>
    </row>
    <row r="8" spans="1:18" ht="105">
      <c r="A8" s="1042" t="str">
        <f>'1.SD Facility Based Annex'!A79</f>
        <v>1.2.3.2</v>
      </c>
      <c r="B8" s="1042" t="str">
        <f>'1.SD Facility Based Annex'!B79</f>
        <v xml:space="preserve">H.3.5 </v>
      </c>
      <c r="C8" s="751" t="str">
        <f>'1.SD Facility Based Annex'!C79</f>
        <v>TB Patient Nutritional Support under Nikshay Poshan Yojana</v>
      </c>
      <c r="D8" s="1042" t="str">
        <f>'1.SD Facility Based Annex'!D79</f>
        <v>NDCP</v>
      </c>
      <c r="E8" s="1042" t="str">
        <f>'1.SD Facility Based Annex'!E79</f>
        <v>NTEP</v>
      </c>
      <c r="F8" s="1043">
        <f>'1.SD Facility Based Annex'!F79</f>
        <v>0</v>
      </c>
      <c r="G8" s="1043">
        <f>'1.SD Facility Based Annex'!G79</f>
        <v>0</v>
      </c>
      <c r="H8" s="1043">
        <f>'1.SD Facility Based Annex'!H79</f>
        <v>0</v>
      </c>
      <c r="I8" s="1043">
        <f>'1.SD Facility Based Annex'!I79</f>
        <v>0</v>
      </c>
      <c r="J8" s="1043">
        <f>'1.SD Facility Based Annex'!J79</f>
        <v>0</v>
      </c>
      <c r="K8" s="1043" t="str">
        <f>'1.SD Facility Based Annex'!K79</f>
        <v>No. of TB patients notified</v>
      </c>
      <c r="L8" s="1043">
        <f>'1.SD Facility Based Annex'!L79</f>
        <v>3000</v>
      </c>
      <c r="M8" s="136">
        <f>'1.SD Facility Based Annex'!M79</f>
        <v>0.03</v>
      </c>
      <c r="N8" s="1043">
        <f>'1.SD Facility Based Annex'!N79</f>
        <v>135000</v>
      </c>
      <c r="O8" s="136">
        <f>'1.SD Facility Based Annex'!O79</f>
        <v>4050</v>
      </c>
      <c r="P8" s="1043" t="str">
        <f>'1.SD Facility Based Annex'!P79</f>
        <v>NPY for TB patients notified from public sector- 70000 Patients @ Rs. 3000/-
NPY for TB patients notified from private sector-  60000 Patients @ Rs. 3000/-
NPY for Drug Resistant TB patients-  2500 patients @ Rs. 6000/- (Anexed NTEP Annexure)</v>
      </c>
      <c r="Q8" s="899"/>
      <c r="R8" s="698"/>
    </row>
    <row r="9" spans="1:18" ht="30">
      <c r="A9" s="1042" t="str">
        <f>'1.SD Facility Based Annex'!A95</f>
        <v>1.3.1.12</v>
      </c>
      <c r="B9" s="1042" t="str">
        <f>'1.SD Facility Based Annex'!B95</f>
        <v>H.5</v>
      </c>
      <c r="C9" s="751" t="str">
        <f>'1.SD Facility Based Annex'!C95</f>
        <v>Maintenance of office equipment for DTC, DRTB centre and Labs (under NTEP)</v>
      </c>
      <c r="D9" s="1042" t="str">
        <f>'1.SD Facility Based Annex'!D95</f>
        <v>NDCP</v>
      </c>
      <c r="E9" s="1042" t="str">
        <f>'1.SD Facility Based Annex'!E95</f>
        <v>NTEP</v>
      </c>
      <c r="F9" s="1043">
        <f>'1.SD Facility Based Annex'!F95</f>
        <v>0</v>
      </c>
      <c r="G9" s="1043">
        <f>'1.SD Facility Based Annex'!G95</f>
        <v>0</v>
      </c>
      <c r="H9" s="1043">
        <f>'1.SD Facility Based Annex'!H95</f>
        <v>0</v>
      </c>
      <c r="I9" s="1043">
        <f>'1.SD Facility Based Annex'!I95</f>
        <v>0</v>
      </c>
      <c r="J9" s="1043">
        <f>'1.SD Facility Based Annex'!J95</f>
        <v>0</v>
      </c>
      <c r="K9" s="1043">
        <f>'1.SD Facility Based Annex'!K95</f>
        <v>0</v>
      </c>
      <c r="L9" s="1043">
        <f>'1.SD Facility Based Annex'!L95</f>
        <v>0</v>
      </c>
      <c r="M9" s="136">
        <f>'1.SD Facility Based Annex'!M95</f>
        <v>0</v>
      </c>
      <c r="N9" s="1043">
        <f>'1.SD Facility Based Annex'!N95</f>
        <v>0</v>
      </c>
      <c r="O9" s="136">
        <f>'1.SD Facility Based Annex'!O95</f>
        <v>0</v>
      </c>
      <c r="P9" s="1043" t="str">
        <f>'1.SD Facility Based Annex'!P95</f>
        <v>Amount already proposed in FMR 6.1.3.1.3</v>
      </c>
      <c r="Q9" s="899"/>
      <c r="R9" s="698"/>
    </row>
    <row r="10" spans="1:18">
      <c r="A10" s="203">
        <f>'2.SD Community Based Annex'!A7</f>
        <v>2</v>
      </c>
      <c r="B10" s="203"/>
      <c r="C10" s="203" t="str">
        <f>'2.SD Community Based Annex'!C7</f>
        <v>Service Delivery - Community Based</v>
      </c>
      <c r="D10" s="838"/>
      <c r="E10" s="838"/>
      <c r="F10" s="838"/>
      <c r="G10" s="838"/>
      <c r="H10" s="485"/>
      <c r="I10" s="838"/>
      <c r="J10" s="485"/>
      <c r="K10" s="203"/>
      <c r="L10" s="203"/>
      <c r="M10" s="485"/>
      <c r="N10" s="485"/>
      <c r="O10" s="485">
        <f>O11</f>
        <v>109.27079999999999</v>
      </c>
      <c r="P10" s="485"/>
      <c r="Q10" s="99"/>
      <c r="R10" s="99">
        <f>R11</f>
        <v>0</v>
      </c>
    </row>
    <row r="11" spans="1:18" ht="30">
      <c r="A11" s="1042" t="str">
        <f>'2.SD Community Based Annex'!A54</f>
        <v>2.3.2.8</v>
      </c>
      <c r="B11" s="1042">
        <f>'2.SD Community Based Annex'!B54</f>
        <v>0</v>
      </c>
      <c r="C11" s="751" t="str">
        <f>'2.SD Community Based Annex'!C54</f>
        <v>Screening, referral linkages and follow-up under Latent TB Infection Management</v>
      </c>
      <c r="D11" s="1042" t="str">
        <f>'2.SD Community Based Annex'!D54</f>
        <v>NDCP</v>
      </c>
      <c r="E11" s="1042" t="str">
        <f>'2.SD Community Based Annex'!E54</f>
        <v>NTEP</v>
      </c>
      <c r="F11" s="1043">
        <f>'2.SD Community Based Annex'!F54</f>
        <v>0</v>
      </c>
      <c r="G11" s="1043">
        <f>'2.SD Community Based Annex'!G54</f>
        <v>0</v>
      </c>
      <c r="H11" s="1043">
        <f>'2.SD Community Based Annex'!H54</f>
        <v>0</v>
      </c>
      <c r="I11" s="1043">
        <f>'2.SD Community Based Annex'!I54</f>
        <v>0</v>
      </c>
      <c r="J11" s="1043">
        <f>'2.SD Community Based Annex'!J54</f>
        <v>0</v>
      </c>
      <c r="K11" s="1043" t="str">
        <f>'2.SD Community Based Annex'!K54</f>
        <v>Number of Patients</v>
      </c>
      <c r="L11" s="1043">
        <f>'2.SD Community Based Annex'!L54</f>
        <v>360</v>
      </c>
      <c r="M11" s="136">
        <f>'2.SD Community Based Annex'!M54</f>
        <v>3.5999999999999999E-3</v>
      </c>
      <c r="N11" s="1043">
        <f>'2.SD Community Based Annex'!N54</f>
        <v>30353</v>
      </c>
      <c r="O11" s="136">
        <f>'2.SD Community Based Annex'!O54</f>
        <v>109.27079999999999</v>
      </c>
      <c r="P11" s="1043" t="str">
        <f>'2.SD Community Based Annex'!P54</f>
        <v>Sample transport and testing operational unit cost (LTBI testing)</v>
      </c>
      <c r="Q11" s="899"/>
      <c r="R11" s="1036"/>
    </row>
    <row r="12" spans="1:18">
      <c r="A12" s="203">
        <f>'3.Community Intervention Annexn'!A7</f>
        <v>3</v>
      </c>
      <c r="B12" s="203"/>
      <c r="C12" s="203" t="str">
        <f>'3.Community Intervention Annexn'!C7</f>
        <v>Community Interventions</v>
      </c>
      <c r="D12" s="838"/>
      <c r="E12" s="838"/>
      <c r="F12" s="838"/>
      <c r="G12" s="838"/>
      <c r="H12" s="485"/>
      <c r="I12" s="838"/>
      <c r="J12" s="485"/>
      <c r="K12" s="203"/>
      <c r="L12" s="203"/>
      <c r="M12" s="485"/>
      <c r="N12" s="485"/>
      <c r="O12" s="485">
        <f>SUM(O13:O17)</f>
        <v>816.69983999999999</v>
      </c>
      <c r="P12" s="485"/>
      <c r="Q12" s="99"/>
      <c r="R12" s="99">
        <f>SUM(R13:R17)</f>
        <v>0</v>
      </c>
    </row>
    <row r="13" spans="1:18" ht="75">
      <c r="A13" s="1042" t="str">
        <f>'3.Community Intervention Annexn'!A41</f>
        <v>3.2.3.1.1</v>
      </c>
      <c r="B13" s="1042" t="str">
        <f>'3-A. CI Sub-Annex'!C107</f>
        <v>H.3.1</v>
      </c>
      <c r="C13" s="751" t="str">
        <f>'3-A. CI Sub-Annex'!D107</f>
        <v>Treatment Supporter Honorarium (Rs 1000)</v>
      </c>
      <c r="D13" s="1042" t="str">
        <f>'3-A. CI Sub-Annex'!E107</f>
        <v>NDCP</v>
      </c>
      <c r="E13" s="1042" t="str">
        <f>'3-A. CI Sub-Annex'!F107</f>
        <v>NTEP</v>
      </c>
      <c r="F13" s="1042">
        <f>'3-A. CI Sub-Annex'!G107</f>
        <v>0</v>
      </c>
      <c r="G13" s="1042">
        <f>'3-A. CI Sub-Annex'!H107</f>
        <v>0</v>
      </c>
      <c r="H13" s="1042">
        <f>'3-A. CI Sub-Annex'!I107</f>
        <v>500</v>
      </c>
      <c r="I13" s="1042">
        <f>'3-A. CI Sub-Annex'!J107</f>
        <v>60.897509999999997</v>
      </c>
      <c r="J13" s="1042">
        <f>'3-A. CI Sub-Annex'!K107</f>
        <v>0</v>
      </c>
      <c r="K13" s="1042" t="str">
        <f>'3-A. CI Sub-Annex'!L107</f>
        <v>No. of TB patients (incl. INH res. TB) on treatment</v>
      </c>
      <c r="L13" s="1042">
        <f>'3-A. CI Sub-Annex'!M107</f>
        <v>1000</v>
      </c>
      <c r="M13" s="136">
        <f>'3-A. CI Sub-Annex'!N107</f>
        <v>0.01</v>
      </c>
      <c r="N13" s="1042">
        <f>'3-A. CI Sub-Annex'!O107</f>
        <v>50000</v>
      </c>
      <c r="O13" s="136">
        <f>'3-A. CI Sub-Annex'!P107</f>
        <v>500</v>
      </c>
      <c r="P13" s="1042" t="str">
        <f>'3-A. CI Sub-Annex'!Q107</f>
        <v>Incentive to 50,000 CVs for treatment support to DSTB &amp; H-Mono/Poly Resistant TB cases</v>
      </c>
      <c r="Q13" s="899"/>
      <c r="R13" s="1036"/>
    </row>
    <row r="14" spans="1:18" ht="60">
      <c r="A14" s="1042" t="str">
        <f>'3.Community Intervention Annexn'!A42</f>
        <v>3.2.3.1.2</v>
      </c>
      <c r="B14" s="1042" t="str">
        <f>'3-A. CI Sub-Annex'!C108</f>
        <v>H.3.4</v>
      </c>
      <c r="C14" s="751" t="str">
        <f>'3-A. CI Sub-Annex'!D108</f>
        <v>Treatment Supporter Honorarium (Rs 5000)</v>
      </c>
      <c r="D14" s="1042" t="str">
        <f>'3-A. CI Sub-Annex'!E108</f>
        <v>NDCP</v>
      </c>
      <c r="E14" s="1042" t="str">
        <f>'3-A. CI Sub-Annex'!F108</f>
        <v>NTEP</v>
      </c>
      <c r="F14" s="1042">
        <f>'3-A. CI Sub-Annex'!G108</f>
        <v>0</v>
      </c>
      <c r="G14" s="1042">
        <f>'3-A. CI Sub-Annex'!H108</f>
        <v>0</v>
      </c>
      <c r="H14" s="1042">
        <f>'3-A. CI Sub-Annex'!I108</f>
        <v>100</v>
      </c>
      <c r="I14" s="1042">
        <f>'3-A. CI Sub-Annex'!J108</f>
        <v>6.2733600000000003</v>
      </c>
      <c r="J14" s="1042">
        <f>'3-A. CI Sub-Annex'!K108</f>
        <v>0</v>
      </c>
      <c r="K14" s="1042" t="str">
        <f>'3-A. CI Sub-Annex'!L108</f>
        <v>No. of MDR/RR-TB patients on treatment</v>
      </c>
      <c r="L14" s="1042">
        <f>'3-A. CI Sub-Annex'!M108</f>
        <v>5000</v>
      </c>
      <c r="M14" s="136">
        <f>'3-A. CI Sub-Annex'!N108</f>
        <v>0.05</v>
      </c>
      <c r="N14" s="1042">
        <f>'3-A. CI Sub-Annex'!O108</f>
        <v>2000</v>
      </c>
      <c r="O14" s="136">
        <f>'3-A. CI Sub-Annex'!P108</f>
        <v>100</v>
      </c>
      <c r="P14" s="1042" t="str">
        <f>'3-A. CI Sub-Annex'!Q108</f>
        <v>As per the norm Rs 2000 for IP &amp; Rs 3000 for CP for MDR/RR patients of Shorter and Longer regimen</v>
      </c>
      <c r="Q14" s="899"/>
      <c r="R14" s="1036"/>
    </row>
    <row r="15" spans="1:18" ht="90">
      <c r="A15" s="1042" t="str">
        <f>'3.Community Intervention Annexn'!A43</f>
        <v>3.2.3.1.3</v>
      </c>
      <c r="B15" s="1042">
        <f>'3-A. CI Sub-Annex'!C109</f>
        <v>0</v>
      </c>
      <c r="C15" s="751" t="str">
        <f>'3-A. CI Sub-Annex'!D109</f>
        <v>Incentive for informant (Rs 500)</v>
      </c>
      <c r="D15" s="1042" t="str">
        <f>'3-A. CI Sub-Annex'!E109</f>
        <v>NDCP</v>
      </c>
      <c r="E15" s="1042" t="str">
        <f>'3-A. CI Sub-Annex'!F109</f>
        <v>NTEP</v>
      </c>
      <c r="F15" s="1042">
        <f>'3-A. CI Sub-Annex'!G109</f>
        <v>0</v>
      </c>
      <c r="G15" s="1042">
        <f>'3-A. CI Sub-Annex'!H109</f>
        <v>0</v>
      </c>
      <c r="H15" s="1042">
        <f>'3-A. CI Sub-Annex'!I109</f>
        <v>131</v>
      </c>
      <c r="I15" s="1042">
        <f>'3-A. CI Sub-Annex'!J109</f>
        <v>0</v>
      </c>
      <c r="J15" s="1042">
        <f>'3-A. CI Sub-Annex'!K109</f>
        <v>0</v>
      </c>
      <c r="K15" s="1042" t="str">
        <f>'3-A. CI Sub-Annex'!L109</f>
        <v>No. of TB patients diagnosed from informant referral</v>
      </c>
      <c r="L15" s="1042">
        <f>'3-A. CI Sub-Annex'!M109</f>
        <v>7000000</v>
      </c>
      <c r="M15" s="136">
        <f>'3-A. CI Sub-Annex'!N109</f>
        <v>70</v>
      </c>
      <c r="N15" s="1042">
        <f>'3-A. CI Sub-Annex'!O109</f>
        <v>1</v>
      </c>
      <c r="O15" s="136">
        <f>'3-A. CI Sub-Annex'!P109</f>
        <v>70</v>
      </c>
      <c r="P15" s="1042" t="str">
        <f>'3-A. CI Sub-Annex'!Q109</f>
        <v xml:space="preserve">1. Incentive for 1st Informant (20% of public notified cases approx 14000* INR 500) </v>
      </c>
      <c r="Q15" s="899"/>
      <c r="R15" s="1036"/>
    </row>
    <row r="16" spans="1:18" ht="45">
      <c r="A16" s="1042" t="str">
        <f>'3.Community Intervention Annexn'!A44</f>
        <v>3.2.3.1.4</v>
      </c>
      <c r="B16" s="1042">
        <f>'3-A. CI Sub-Annex'!C110</f>
        <v>0</v>
      </c>
      <c r="C16" s="751" t="str">
        <f>'3-A. CI Sub-Annex'!D110</f>
        <v>State/District TB Forums</v>
      </c>
      <c r="D16" s="1042" t="str">
        <f>'3-A. CI Sub-Annex'!E110</f>
        <v>NDCP</v>
      </c>
      <c r="E16" s="1042" t="str">
        <f>'3-A. CI Sub-Annex'!F110</f>
        <v>NTEP</v>
      </c>
      <c r="F16" s="1042">
        <f>'3-A. CI Sub-Annex'!G110</f>
        <v>0</v>
      </c>
      <c r="G16" s="1042">
        <f>'3-A. CI Sub-Annex'!H110</f>
        <v>0</v>
      </c>
      <c r="H16" s="1042">
        <f>'3-A. CI Sub-Annex'!I110</f>
        <v>1.7199</v>
      </c>
      <c r="I16" s="1042">
        <f>'3-A. CI Sub-Annex'!J110</f>
        <v>0</v>
      </c>
      <c r="J16" s="1042">
        <f>'3-A. CI Sub-Annex'!K110</f>
        <v>0</v>
      </c>
      <c r="K16" s="1042" t="str">
        <f>'3-A. CI Sub-Annex'!L110</f>
        <v>No. of meetings</v>
      </c>
      <c r="L16" s="1042">
        <f>'3-A. CI Sub-Annex'!M110</f>
        <v>5128</v>
      </c>
      <c r="M16" s="136">
        <f>'3-A. CI Sub-Annex'!N110</f>
        <v>5.1279999999999999E-2</v>
      </c>
      <c r="N16" s="1042">
        <f>'3-A. CI Sub-Annex'!O110</f>
        <v>78</v>
      </c>
      <c r="O16" s="136">
        <f>'3-A. CI Sub-Annex'!P110</f>
        <v>3.9998399999999998</v>
      </c>
      <c r="P16" s="1042" t="str">
        <f>'3-A. CI Sub-Annex'!Q110</f>
        <v>State &amp; District TB forum biannual meetings @ Rs 10000 &amp; Rs 5000 per meeting respectively</v>
      </c>
      <c r="Q16" s="899"/>
      <c r="R16" s="1036"/>
    </row>
    <row r="17" spans="1:18" ht="90">
      <c r="A17" s="1042"/>
      <c r="B17" s="1042">
        <f>'3-A. CI Sub-Annex'!C111</f>
        <v>0</v>
      </c>
      <c r="C17" s="751" t="str">
        <f>'3-A. CI Sub-Annex'!D111</f>
        <v>Community engagement activities</v>
      </c>
      <c r="D17" s="1042" t="str">
        <f>'3-A. CI Sub-Annex'!E111</f>
        <v>NDCP</v>
      </c>
      <c r="E17" s="1042" t="str">
        <f>'3-A. CI Sub-Annex'!F111</f>
        <v>NTEP</v>
      </c>
      <c r="F17" s="1042">
        <f>'3-A. CI Sub-Annex'!G111</f>
        <v>0</v>
      </c>
      <c r="G17" s="1042">
        <f>'3-A. CI Sub-Annex'!H111</f>
        <v>0</v>
      </c>
      <c r="H17" s="1042">
        <f>'3-A. CI Sub-Annex'!I111</f>
        <v>26.700000000000003</v>
      </c>
      <c r="I17" s="1042">
        <f>'3-A. CI Sub-Annex'!J111</f>
        <v>0</v>
      </c>
      <c r="J17" s="1042">
        <f>'3-A. CI Sub-Annex'!K111</f>
        <v>0</v>
      </c>
      <c r="K17" s="1042">
        <f>'3-A. CI Sub-Annex'!L111</f>
        <v>0</v>
      </c>
      <c r="L17" s="1042">
        <f>'3-A. CI Sub-Annex'!M111</f>
        <v>14270000</v>
      </c>
      <c r="M17" s="136">
        <f>'3-A. CI Sub-Annex'!N111</f>
        <v>142.69999999999999</v>
      </c>
      <c r="N17" s="1042">
        <f>'3-A. CI Sub-Annex'!O111</f>
        <v>1</v>
      </c>
      <c r="O17" s="136">
        <f>'3-A. CI Sub-Annex'!P111</f>
        <v>142.69999999999999</v>
      </c>
      <c r="P17" s="1042" t="str">
        <f>'3-A. CI Sub-Annex'!Q111</f>
        <v>Community level bianual meeting with PRI members for 534 blocks @ Rs 5000 per block  and other due expenditures on important activities like ACF, enagaging Chemist and injection prick charge for DRTB patients.</v>
      </c>
      <c r="Q17" s="899"/>
      <c r="R17" s="1036"/>
    </row>
    <row r="18" spans="1:18">
      <c r="A18" s="985">
        <f>'5.Infrastructure Annex'!A7</f>
        <v>5</v>
      </c>
      <c r="B18" s="985"/>
      <c r="C18" s="985" t="str">
        <f>'5.Infrastructure Annex'!C7</f>
        <v>Infrastructure</v>
      </c>
      <c r="D18" s="984"/>
      <c r="E18" s="984"/>
      <c r="F18" s="984"/>
      <c r="G18" s="984"/>
      <c r="H18" s="485"/>
      <c r="I18" s="984"/>
      <c r="J18" s="485"/>
      <c r="K18" s="985"/>
      <c r="L18" s="985"/>
      <c r="M18" s="485"/>
      <c r="N18" s="485"/>
      <c r="O18" s="485">
        <f>O19</f>
        <v>281.68</v>
      </c>
      <c r="P18" s="485"/>
      <c r="Q18" s="99"/>
      <c r="R18" s="99">
        <f>R19</f>
        <v>0</v>
      </c>
    </row>
    <row r="19" spans="1:18" ht="255">
      <c r="A19" s="487" t="str">
        <f>'5.Infrastructure Annex'!A94</f>
        <v>5.3.14</v>
      </c>
      <c r="B19" s="487"/>
      <c r="C19" s="1030" t="str">
        <f>'5.Infrastructure Annex'!C94</f>
        <v>Civil Works under NTEP</v>
      </c>
      <c r="D19" s="487" t="str">
        <f>'5.Infrastructure Annex'!D94</f>
        <v>NDCP</v>
      </c>
      <c r="E19" s="487" t="str">
        <f>'5.Infrastructure Annex'!E94</f>
        <v>NTEP</v>
      </c>
      <c r="F19" s="1044">
        <f>'5.Infrastructure Annex'!F94</f>
        <v>0</v>
      </c>
      <c r="G19" s="1044">
        <f>'5.Infrastructure Annex'!G94</f>
        <v>0</v>
      </c>
      <c r="H19" s="1044">
        <f>'5.Infrastructure Annex'!H94</f>
        <v>155.18</v>
      </c>
      <c r="I19" s="1044">
        <f>'5.Infrastructure Annex'!I94</f>
        <v>28.06</v>
      </c>
      <c r="J19" s="1044">
        <f>'5.Infrastructure Annex'!J94</f>
        <v>0</v>
      </c>
      <c r="K19" s="1044" t="str">
        <f>'5.Infrastructure Annex'!K94</f>
        <v>No. of Laboratories / Centers / Stores</v>
      </c>
      <c r="L19" s="1044">
        <f>'5.Infrastructure Annex'!L94</f>
        <v>28168000</v>
      </c>
      <c r="M19" s="136">
        <f>'5.Infrastructure Annex'!M94</f>
        <v>281.68</v>
      </c>
      <c r="N19" s="1044">
        <f>'5.Infrastructure Annex'!N94</f>
        <v>1</v>
      </c>
      <c r="O19" s="136">
        <f>'5.Infrastructure Annex'!O94</f>
        <v>281.68</v>
      </c>
      <c r="P19" s="1044" t="str">
        <f>'5.Infrastructure Annex'!P94</f>
        <v>1. Waterproofing of roof (2nd floor-Training Hall and Hostel) TBDC Patna. 2. Water proofing of roof 1st floor- State drug store patna. 3. Establishment of Nodal DRTB centre and centre of Excellence for extrapulmonary and paediatric TB case Mangement at AIIMS Patna. 4. Nodal DR TB centre Initial Establishment at JNKTMCH, madhepura and VIMS Pawapuri Nalanda. 5. IGIMS for LPA labs. 6. Maintenance cost of STC, SDS-2, STDC-2, DTC-38, TU-534, DMC-736, CBNAAT site-70, NDRTBC-6, IRL-1, CDST lab-2 and initial establishment of X ray Units- 28, TU-10, DMC-20, etc. The expnediture can be drawn through pooled budget.</v>
      </c>
      <c r="Q19" s="901"/>
      <c r="R19" s="1036"/>
    </row>
    <row r="20" spans="1:18">
      <c r="A20" s="985">
        <f>'6.Procurement Annex'!A7</f>
        <v>6</v>
      </c>
      <c r="B20" s="985"/>
      <c r="C20" s="985" t="str">
        <f>'6.Procurement Annex'!C7</f>
        <v>Procurement</v>
      </c>
      <c r="D20" s="984"/>
      <c r="E20" s="984"/>
      <c r="F20" s="984"/>
      <c r="G20" s="984"/>
      <c r="H20" s="485"/>
      <c r="I20" s="984"/>
      <c r="J20" s="485"/>
      <c r="K20" s="985"/>
      <c r="L20" s="985"/>
      <c r="M20" s="485"/>
      <c r="N20" s="485"/>
      <c r="O20" s="485">
        <f>SUM(O21:O28)</f>
        <v>1847.42</v>
      </c>
      <c r="P20" s="485"/>
      <c r="Q20" s="99"/>
      <c r="R20" s="99">
        <f>SUM(R21:R28)</f>
        <v>0</v>
      </c>
    </row>
    <row r="21" spans="1:18" ht="255">
      <c r="A21" s="4641" t="str">
        <f>'6.Procurement Annex'!A49</f>
        <v>6.1.6.3</v>
      </c>
      <c r="B21" s="990" t="str">
        <f>'6-A. Proc. Sub-Annex'!C89</f>
        <v>H.17</v>
      </c>
      <c r="C21" s="78" t="str">
        <f>'6-A. Proc. Sub-Annex'!D89</f>
        <v>Procurement of Equipment</v>
      </c>
      <c r="D21" s="990" t="str">
        <f>'6-A. Proc. Sub-Annex'!E89</f>
        <v>NDCP</v>
      </c>
      <c r="E21" s="990" t="str">
        <f>'6-A. Proc. Sub-Annex'!F89</f>
        <v>NTEP</v>
      </c>
      <c r="F21" s="1045">
        <f>'6-A. Proc. Sub-Annex'!G89</f>
        <v>0</v>
      </c>
      <c r="G21" s="1045">
        <f>'6-A. Proc. Sub-Annex'!H89</f>
        <v>0</v>
      </c>
      <c r="H21" s="1045">
        <f>'6-A. Proc. Sub-Annex'!I89</f>
        <v>54.3</v>
      </c>
      <c r="I21" s="1045">
        <f>'6-A. Proc. Sub-Annex'!J89</f>
        <v>8.93</v>
      </c>
      <c r="J21" s="1045">
        <f>'6-A. Proc. Sub-Annex'!K89</f>
        <v>0</v>
      </c>
      <c r="K21" s="1045">
        <f>'6-A. Proc. Sub-Annex'!L89</f>
        <v>0</v>
      </c>
      <c r="L21" s="1045">
        <f>'6-A. Proc. Sub-Annex'!M89</f>
        <v>45500000</v>
      </c>
      <c r="M21" s="136">
        <f>'6-A. Proc. Sub-Annex'!N89</f>
        <v>455</v>
      </c>
      <c r="N21" s="1045">
        <f>'6-A. Proc. Sub-Annex'!O89</f>
        <v>1</v>
      </c>
      <c r="O21" s="136">
        <f>'6-A. Proc. Sub-Annex'!P89</f>
        <v>455</v>
      </c>
      <c r="P21" s="1045" t="str">
        <f>'6-A. Proc. Sub-Annex'!Q89</f>
        <v>1. CDST labs equipment ( for LPA) procurement for IGIMS and Narayana Medical college. 2. Colour coded BMW disposal container and liner for all DMC and Mask, sanitizer etc for NTEP superviosrs and Lab technicians.3. Steel Almirah in each TU for storing anti TB drugs/equipments/records/usables for TB supervisors. 4. District to utilize laptop with web camera for ECHO video conferencing or virtual meetings. 5. office eqipments (AC, computer set, Laptop etc). 6. Other supporting Lab equipments battery, UPS, Refrigerator etc. 7. DRTB euipments Nebuliser and Suction Machines. 7. Fire extinguiher, hygrometer for SDS and DDS .</v>
      </c>
      <c r="Q21" s="130"/>
      <c r="R21" s="124"/>
    </row>
    <row r="22" spans="1:18" ht="60">
      <c r="A22" s="4642"/>
      <c r="B22" s="990" t="str">
        <f>'6-A. Proc. Sub-Annex'!C139</f>
        <v>H.5</v>
      </c>
      <c r="C22" s="78" t="str">
        <f>'6-A. Proc. Sub-Annex'!D139</f>
        <v>Equipment Maintenance</v>
      </c>
      <c r="D22" s="990" t="str">
        <f>'6-A. Proc. Sub-Annex'!E139</f>
        <v>NDCP</v>
      </c>
      <c r="E22" s="990" t="str">
        <f>'6-A. Proc. Sub-Annex'!F139</f>
        <v>NTEP</v>
      </c>
      <c r="F22" s="1045">
        <f>'6-A. Proc. Sub-Annex'!G139</f>
        <v>0</v>
      </c>
      <c r="G22" s="1045">
        <f>'6-A. Proc. Sub-Annex'!H139</f>
        <v>0</v>
      </c>
      <c r="H22" s="1045">
        <f>'6-A. Proc. Sub-Annex'!I139</f>
        <v>56.17</v>
      </c>
      <c r="I22" s="1045">
        <f>'6-A. Proc. Sub-Annex'!J139</f>
        <v>3.07</v>
      </c>
      <c r="J22" s="1045">
        <f>'6-A. Proc. Sub-Annex'!K139</f>
        <v>0</v>
      </c>
      <c r="K22" s="1045" t="str">
        <f>'6-A. Proc. Sub-Annex'!L139</f>
        <v>No. of Equipment</v>
      </c>
      <c r="L22" s="1045">
        <f>'6-A. Proc. Sub-Annex'!M139</f>
        <v>8390000</v>
      </c>
      <c r="M22" s="136">
        <f>'6-A. Proc. Sub-Annex'!N139</f>
        <v>83.9</v>
      </c>
      <c r="N22" s="1045">
        <f>'6-A. Proc. Sub-Annex'!O139</f>
        <v>1</v>
      </c>
      <c r="O22" s="136">
        <f>'6-A. Proc. Sub-Annex'!P139</f>
        <v>83.9</v>
      </c>
      <c r="P22" s="1045" t="str">
        <f>'6-A. Proc. Sub-Annex'!Q139</f>
        <v>1. AMC/ CMC of the IRL and 3 C&amp;DST Labs in the state (shifted from FIND) 2. For Office equipments, Lab. Equp. Etc. State and District level (Annexure attached).</v>
      </c>
      <c r="Q22" s="130"/>
      <c r="R22" s="124"/>
    </row>
    <row r="23" spans="1:18" ht="360">
      <c r="A23" s="4643"/>
      <c r="B23" s="990" t="str">
        <f>'6-A. Proc. Sub-Annex'!C236</f>
        <v>H.2</v>
      </c>
      <c r="C23" s="78" t="str">
        <f>'6-A. Proc. Sub-Annex'!D236</f>
        <v>Laboratory Materials</v>
      </c>
      <c r="D23" s="990" t="str">
        <f>'6-A. Proc. Sub-Annex'!E236</f>
        <v>NDCP</v>
      </c>
      <c r="E23" s="990" t="str">
        <f>'6-A. Proc. Sub-Annex'!F236</f>
        <v>NTEP</v>
      </c>
      <c r="F23" s="1045">
        <f>'6-A. Proc. Sub-Annex'!G236</f>
        <v>0</v>
      </c>
      <c r="G23" s="1045">
        <f>'6-A. Proc. Sub-Annex'!H236</f>
        <v>0</v>
      </c>
      <c r="H23" s="1045">
        <f>'6-A. Proc. Sub-Annex'!I236</f>
        <v>252.7</v>
      </c>
      <c r="I23" s="1045">
        <f>'6-A. Proc. Sub-Annex'!J236</f>
        <v>28.74</v>
      </c>
      <c r="J23" s="1045">
        <f>'6-A. Proc. Sub-Annex'!K236</f>
        <v>0</v>
      </c>
      <c r="K23" s="1045" t="str">
        <f>'6-A. Proc. Sub-Annex'!L236</f>
        <v>No. of Kits / Qty of consumables</v>
      </c>
      <c r="L23" s="1045">
        <f>'6-A. Proc. Sub-Annex'!M236</f>
        <v>99340000</v>
      </c>
      <c r="M23" s="136">
        <f>'6-A. Proc. Sub-Annex'!N236</f>
        <v>993.4</v>
      </c>
      <c r="N23" s="1045">
        <f>'6-A. Proc. Sub-Annex'!O236</f>
        <v>1</v>
      </c>
      <c r="O23" s="136">
        <f>'6-A. Proc. Sub-Annex'!P236</f>
        <v>993.4</v>
      </c>
      <c r="P23" s="1045" t="str">
        <f>'6-A. Proc. Sub-Annex'!Q236</f>
        <v>1. Lab consumables for LPA (IRL, Patna and JLNMCH, Bhagalpur, VIMS, Pawapuri, Narayana Medical college, Rohtas) and Liquid culture (IRL, patna, JLNMCH, Bhagalpur and IGIMS, Patna) laboratories . Non proprietary items other than Central supply from CTD (LPA cost 1000 sample-3.08 Lakh, LC cost 1000 sample-6.14 lakh, proposed amount is 50% of the estimated optimum utilization cost). In additional consumables required for the National TB Prevalence Survey. 2.sputum microscopy consumables- about 60% of the estimated cost of the consumables because of lab technician involved in COVID works. 3. Presumptive TB cases with Digital X-ray screening for presumptive cases(@10 Xray /machine/day (25 working day*12 month) for 28 X-Ray machine site. 4. 50000 CBNAAT cartridges for Screening vulnerable groups and offering UDST at 70+2(Van) CBNAAT sites in 38 districts (@INR1200)</v>
      </c>
      <c r="Q23" s="130"/>
      <c r="R23" s="124"/>
    </row>
    <row r="24" spans="1:18" ht="30">
      <c r="A24" s="4641" t="str">
        <f>'6.Procurement Annex'!A74</f>
        <v>6.2.3.3</v>
      </c>
      <c r="B24" s="990" t="str">
        <f>'6-A. Proc. Sub-Annex'!C237</f>
        <v>H.15</v>
      </c>
      <c r="C24" s="78" t="str">
        <f>'6-A. Proc. Sub-Annex'!D237</f>
        <v>Procurement of Drugs</v>
      </c>
      <c r="D24" s="990" t="str">
        <f>'6-A. Proc. Sub-Annex'!E237</f>
        <v>NDCP</v>
      </c>
      <c r="E24" s="990" t="str">
        <f>'6-A. Proc. Sub-Annex'!F237</f>
        <v>NTEP</v>
      </c>
      <c r="F24" s="1045">
        <f>'6-A. Proc. Sub-Annex'!G237</f>
        <v>0</v>
      </c>
      <c r="G24" s="1045">
        <f>'6-A. Proc. Sub-Annex'!H237</f>
        <v>0</v>
      </c>
      <c r="H24" s="1045">
        <f>'6-A. Proc. Sub-Annex'!I237</f>
        <v>22</v>
      </c>
      <c r="I24" s="1045">
        <f>'6-A. Proc. Sub-Annex'!J237</f>
        <v>1.95</v>
      </c>
      <c r="J24" s="1045">
        <f>'6-A. Proc. Sub-Annex'!K237</f>
        <v>0</v>
      </c>
      <c r="K24" s="1045" t="str">
        <f>'6-A. Proc. Sub-Annex'!L237</f>
        <v>Second line Drugs</v>
      </c>
      <c r="L24" s="1045">
        <f>'6-A. Proc. Sub-Annex'!M237</f>
        <v>2200000</v>
      </c>
      <c r="M24" s="136">
        <f>'6-A. Proc. Sub-Annex'!N237</f>
        <v>22</v>
      </c>
      <c r="N24" s="1045">
        <f>'6-A. Proc. Sub-Annex'!O237</f>
        <v>1</v>
      </c>
      <c r="O24" s="136">
        <f>'6-A. Proc. Sub-Annex'!P237</f>
        <v>22</v>
      </c>
      <c r="P24" s="1045" t="str">
        <f>'6-A. Proc. Sub-Annex'!Q237</f>
        <v>Second line Anti TB Drugs in cases of stock out/ Non supply by centre</v>
      </c>
      <c r="Q24" s="130"/>
      <c r="R24" s="124"/>
    </row>
    <row r="25" spans="1:18" ht="45">
      <c r="A25" s="4643"/>
      <c r="B25" s="990"/>
      <c r="C25" s="78" t="str">
        <f>'6-A. Proc. Sub-Annex'!D238</f>
        <v>Any other drugs &amp; supplies (please specify)</v>
      </c>
      <c r="D25" s="990" t="str">
        <f>'6-A. Proc. Sub-Annex'!E238</f>
        <v>NDCP</v>
      </c>
      <c r="E25" s="990" t="str">
        <f>'6-A. Proc. Sub-Annex'!F238</f>
        <v>NTEP</v>
      </c>
      <c r="F25" s="1045">
        <f>'6-A. Proc. Sub-Annex'!G238</f>
        <v>0</v>
      </c>
      <c r="G25" s="1045">
        <f>'6-A. Proc. Sub-Annex'!H238</f>
        <v>0</v>
      </c>
      <c r="H25" s="1045">
        <f>'6-A. Proc. Sub-Annex'!I238</f>
        <v>4.4000000000000004</v>
      </c>
      <c r="I25" s="1045">
        <f>'6-A. Proc. Sub-Annex'!J238</f>
        <v>0</v>
      </c>
      <c r="J25" s="1045">
        <f>'6-A. Proc. Sub-Annex'!K238</f>
        <v>0</v>
      </c>
      <c r="K25" s="1045" t="str">
        <f>'6-A. Proc. Sub-Annex'!L238</f>
        <v>Ancilary Drug</v>
      </c>
      <c r="L25" s="1045">
        <f>'6-A. Proc. Sub-Annex'!M238</f>
        <v>440000</v>
      </c>
      <c r="M25" s="136">
        <f>'6-A. Proc. Sub-Annex'!N238</f>
        <v>4.4000000000000004</v>
      </c>
      <c r="N25" s="1045">
        <f>'6-A. Proc. Sub-Annex'!O238</f>
        <v>1</v>
      </c>
      <c r="O25" s="136">
        <f>'6-A. Proc. Sub-Annex'!P238</f>
        <v>4.4000000000000004</v>
      </c>
      <c r="P25" s="1045" t="str">
        <f>'6-A. Proc. Sub-Annex'!Q238</f>
        <v>To supplement general health system supply if not available (NDRTBC and DDRTBC)</v>
      </c>
      <c r="Q25" s="130"/>
      <c r="R25" s="124"/>
    </row>
    <row r="26" spans="1:18" ht="75">
      <c r="A26" s="4641" t="str">
        <f>'6.Procurement Annex'!A87</f>
        <v>6.3.1</v>
      </c>
      <c r="B26" s="990" t="str">
        <f>'6-A. Proc. Sub-Annex'!C278</f>
        <v>H.16</v>
      </c>
      <c r="C26" s="78" t="str">
        <f>'6-A. Proc. Sub-Annex'!D278</f>
        <v>Replacement of Vehicles under NTEP</v>
      </c>
      <c r="D26" s="990" t="str">
        <f>'6-A. Proc. Sub-Annex'!E278</f>
        <v>NDCP</v>
      </c>
      <c r="E26" s="990" t="str">
        <f>'6-A. Proc. Sub-Annex'!F278</f>
        <v>NTEP</v>
      </c>
      <c r="F26" s="1045">
        <f>'6-A. Proc. Sub-Annex'!G278</f>
        <v>0</v>
      </c>
      <c r="G26" s="1045">
        <f>'6-A. Proc. Sub-Annex'!H278</f>
        <v>0</v>
      </c>
      <c r="H26" s="1045">
        <f>'6-A. Proc. Sub-Annex'!I278</f>
        <v>65</v>
      </c>
      <c r="I26" s="1045">
        <f>'6-A. Proc. Sub-Annex'!J278</f>
        <v>0.32</v>
      </c>
      <c r="J26" s="1045">
        <f>'6-A. Proc. Sub-Annex'!K278</f>
        <v>0</v>
      </c>
      <c r="K26" s="1045" t="str">
        <f>'6-A. Proc. Sub-Annex'!L278</f>
        <v>No. of Vehicles</v>
      </c>
      <c r="L26" s="1045">
        <f>'6-A. Proc. Sub-Annex'!M278</f>
        <v>48000</v>
      </c>
      <c r="M26" s="136">
        <f>'6-A. Proc. Sub-Annex'!N278</f>
        <v>0.48</v>
      </c>
      <c r="N26" s="1045">
        <f>'6-A. Proc. Sub-Annex'!O278</f>
        <v>384</v>
      </c>
      <c r="O26" s="136">
        <f>'6-A. Proc. Sub-Annex'!P278</f>
        <v>184.32</v>
      </c>
      <c r="P26" s="1045" t="str">
        <f>'6-A. Proc. Sub-Annex'!Q278</f>
        <v>More then 15 Years old Vehciles - 90 and 294 new vehicles (64 STLS, 217 STS, 13 DPS-The budget is proposed as mobility support to the TB supervisors @INR 4000/month/supervisor for field visit.</v>
      </c>
      <c r="Q26" s="130"/>
      <c r="R26" s="124"/>
    </row>
    <row r="27" spans="1:18" ht="75">
      <c r="A27" s="4642"/>
      <c r="B27" s="990" t="str">
        <f>'6-A. Proc. Sub-Annex'!C279</f>
        <v>H.11</v>
      </c>
      <c r="C27" s="78" t="str">
        <f>'6-A. Proc. Sub-Annex'!D279</f>
        <v>Procurement of sleeves and drug boxes</v>
      </c>
      <c r="D27" s="990" t="str">
        <f>'6-A. Proc. Sub-Annex'!E279</f>
        <v>NDCP</v>
      </c>
      <c r="E27" s="990" t="str">
        <f>'6-A. Proc. Sub-Annex'!F279</f>
        <v>NTEP</v>
      </c>
      <c r="F27" s="1045">
        <f>'6-A. Proc. Sub-Annex'!G279</f>
        <v>0</v>
      </c>
      <c r="G27" s="1045">
        <f>'6-A. Proc. Sub-Annex'!H279</f>
        <v>0</v>
      </c>
      <c r="H27" s="1045">
        <f>'6-A. Proc. Sub-Annex'!I279</f>
        <v>71.099999999999994</v>
      </c>
      <c r="I27" s="1045">
        <f>'6-A. Proc. Sub-Annex'!J279</f>
        <v>0</v>
      </c>
      <c r="J27" s="1045">
        <f>'6-A. Proc. Sub-Annex'!K279</f>
        <v>0</v>
      </c>
      <c r="K27" s="1045" t="str">
        <f>'6-A. Proc. Sub-Annex'!L279</f>
        <v>No. of Sleeves and Drug Boxes</v>
      </c>
      <c r="L27" s="1045">
        <f>'6-A. Proc. Sub-Annex'!M279</f>
        <v>10440000</v>
      </c>
      <c r="M27" s="136">
        <f>'6-A. Proc. Sub-Annex'!N279</f>
        <v>104.4</v>
      </c>
      <c r="N27" s="1045">
        <f>'6-A. Proc. Sub-Annex'!O279</f>
        <v>1</v>
      </c>
      <c r="O27" s="136">
        <f>'6-A. Proc. Sub-Annex'!P279</f>
        <v>104.4</v>
      </c>
      <c r="P27" s="1045" t="str">
        <f>'6-A. Proc. Sub-Annex'!Q279</f>
        <v>Procurement of approx 90000 Drug Boxes (for DRTB patients) @ Rs. 20/- each.
Procurement of  sleeves (720000) for 99 DOTS @ Rs. 12/- each (Rate contract is under Process through BMISCL,Patna)</v>
      </c>
      <c r="Q27" s="130"/>
      <c r="R27" s="124"/>
    </row>
    <row r="28" spans="1:18" ht="30">
      <c r="A28" s="4643"/>
      <c r="B28" s="990"/>
      <c r="C28" s="78" t="str">
        <f>'6-A. Proc. Sub-Annex'!D280</f>
        <v>Any other (please specify)</v>
      </c>
      <c r="D28" s="990" t="str">
        <f>'6-A. Proc. Sub-Annex'!E280</f>
        <v>NDCP</v>
      </c>
      <c r="E28" s="990" t="str">
        <f>'6-A. Proc. Sub-Annex'!F280</f>
        <v>NTEP</v>
      </c>
      <c r="F28" s="1045">
        <f>'6-A. Proc. Sub-Annex'!G280</f>
        <v>0</v>
      </c>
      <c r="G28" s="1045">
        <f>'6-A. Proc. Sub-Annex'!H280</f>
        <v>0</v>
      </c>
      <c r="H28" s="1045">
        <f>'6-A. Proc. Sub-Annex'!I280</f>
        <v>0</v>
      </c>
      <c r="I28" s="1045">
        <f>'6-A. Proc. Sub-Annex'!J280</f>
        <v>0</v>
      </c>
      <c r="J28" s="1045">
        <f>'6-A. Proc. Sub-Annex'!K280</f>
        <v>0</v>
      </c>
      <c r="K28" s="1045">
        <f>'6-A. Proc. Sub-Annex'!L280</f>
        <v>0</v>
      </c>
      <c r="L28" s="1045">
        <f>'6-A. Proc. Sub-Annex'!M280</f>
        <v>0</v>
      </c>
      <c r="M28" s="136">
        <f>'6-A. Proc. Sub-Annex'!N280</f>
        <v>0</v>
      </c>
      <c r="N28" s="1045">
        <f>'6-A. Proc. Sub-Annex'!O280</f>
        <v>0</v>
      </c>
      <c r="O28" s="136">
        <f>'6-A. Proc. Sub-Annex'!P280</f>
        <v>0</v>
      </c>
      <c r="P28" s="1045">
        <f>'6-A. Proc. Sub-Annex'!Q280</f>
        <v>0</v>
      </c>
      <c r="Q28" s="130"/>
      <c r="R28" s="124"/>
    </row>
    <row r="29" spans="1:18">
      <c r="A29" s="985">
        <f>'7.Referral Transport Annex'!A7</f>
        <v>7</v>
      </c>
      <c r="B29" s="985"/>
      <c r="C29" s="985" t="str">
        <f>'7.Referral Transport Annex'!C7</f>
        <v>Referral Transport</v>
      </c>
      <c r="D29" s="984"/>
      <c r="E29" s="984"/>
      <c r="F29" s="984"/>
      <c r="G29" s="984"/>
      <c r="H29" s="485"/>
      <c r="I29" s="984"/>
      <c r="J29" s="485"/>
      <c r="K29" s="985"/>
      <c r="L29" s="985"/>
      <c r="M29" s="485"/>
      <c r="N29" s="485"/>
      <c r="O29" s="485">
        <f>SUM(O30:O31)</f>
        <v>297.74</v>
      </c>
      <c r="P29" s="1046"/>
      <c r="Q29" s="99"/>
      <c r="R29" s="99">
        <f>SUM(R30:R31)</f>
        <v>0</v>
      </c>
    </row>
    <row r="30" spans="1:18" s="408" customFormat="1" ht="105">
      <c r="A30" s="490" t="str">
        <f>'7.Referral Transport Annex'!A23</f>
        <v>7.5.1</v>
      </c>
      <c r="B30" s="490" t="str">
        <f>'7.Referral Transport Annex'!B23</f>
        <v>H.18.1</v>
      </c>
      <c r="C30" s="986" t="str">
        <f>'7.Referral Transport Annex'!C23</f>
        <v>Tribal Patient Support and transportation charges</v>
      </c>
      <c r="D30" s="490" t="str">
        <f>'7.Referral Transport Annex'!D23</f>
        <v>NDCP</v>
      </c>
      <c r="E30" s="490" t="str">
        <f>'7.Referral Transport Annex'!E23</f>
        <v>NTEP</v>
      </c>
      <c r="F30" s="1047">
        <f>'7.Referral Transport Annex'!F23</f>
        <v>0</v>
      </c>
      <c r="G30" s="1047">
        <f>'7.Referral Transport Annex'!G23</f>
        <v>0</v>
      </c>
      <c r="H30" s="1047">
        <f>'7.Referral Transport Annex'!H23</f>
        <v>0</v>
      </c>
      <c r="I30" s="1047">
        <f>'7.Referral Transport Annex'!I23</f>
        <v>0</v>
      </c>
      <c r="J30" s="1047">
        <f>'7.Referral Transport Annex'!J23</f>
        <v>0</v>
      </c>
      <c r="K30" s="1047">
        <f>'7.Referral Transport Annex'!K23</f>
        <v>0</v>
      </c>
      <c r="L30" s="1047">
        <f>'7.Referral Transport Annex'!L23</f>
        <v>3920000</v>
      </c>
      <c r="M30" s="476">
        <f>'7.Referral Transport Annex'!M23</f>
        <v>39.200000000000003</v>
      </c>
      <c r="N30" s="1047">
        <f>'7.Referral Transport Annex'!N23</f>
        <v>1</v>
      </c>
      <c r="O30" s="476">
        <f>'7.Referral Transport Annex'!O23</f>
        <v>39.200000000000003</v>
      </c>
      <c r="P30" s="1048" t="str">
        <f>'7.Referral Transport Annex'!P23</f>
        <v xml:space="preserve">1. INR 400 per visit per patient during the entire course of treatment (monthly during IP and quarterly during CP). 2. 40% DR TB patients @ INR 1000 (outside district Visit) and 60% DR TB patients @INR 400 (within district) per visit along with one attendant </v>
      </c>
      <c r="Q30" s="143"/>
      <c r="R30" s="896"/>
    </row>
    <row r="31" spans="1:18" s="408" customFormat="1" ht="120">
      <c r="A31" s="490" t="str">
        <f>'7.Referral Transport Annex'!A24</f>
        <v>7.5.2</v>
      </c>
      <c r="B31" s="490"/>
      <c r="C31" s="986" t="str">
        <f>'7.Referral Transport Annex'!C24</f>
        <v>Sample collection &amp; transportation charges</v>
      </c>
      <c r="D31" s="490" t="str">
        <f>'7.Referral Transport Annex'!D24</f>
        <v>NDCP</v>
      </c>
      <c r="E31" s="490" t="str">
        <f>'7.Referral Transport Annex'!E24</f>
        <v>NTEP</v>
      </c>
      <c r="F31" s="1047">
        <f>'7.Referral Transport Annex'!F24</f>
        <v>0</v>
      </c>
      <c r="G31" s="1047">
        <f>'7.Referral Transport Annex'!G24</f>
        <v>0</v>
      </c>
      <c r="H31" s="1047">
        <f>'7.Referral Transport Annex'!H24</f>
        <v>101.5</v>
      </c>
      <c r="I31" s="1047">
        <f>'7.Referral Transport Annex'!I24</f>
        <v>2.83</v>
      </c>
      <c r="J31" s="1047">
        <f>'7.Referral Transport Annex'!J24</f>
        <v>0</v>
      </c>
      <c r="K31" s="1047" t="str">
        <f>'7.Referral Transport Annex'!K24</f>
        <v>No. of presumptive patients &amp; Sample</v>
      </c>
      <c r="L31" s="1047">
        <f>'7.Referral Transport Annex'!L24</f>
        <v>25854000</v>
      </c>
      <c r="M31" s="476">
        <f>'7.Referral Transport Annex'!M24</f>
        <v>258.54000000000002</v>
      </c>
      <c r="N31" s="1047">
        <f>'7.Referral Transport Annex'!N24</f>
        <v>1</v>
      </c>
      <c r="O31" s="476">
        <f>'7.Referral Transport Annex'!O24</f>
        <v>258.54000000000002</v>
      </c>
      <c r="P31" s="1048" t="str">
        <f>'7.Referral Transport Annex'!P24</f>
        <v xml:space="preserve"> 1. Includes the Sample collection &amp; transport of patients  from districts to C&amp;DST Labs (Both DSTB &amp; DRTB cases) upto INR1000/visit (2 visit/week) from 35 districts. 2. sample transport from PHI/DMC to NAAT site using AVD Green Channel/Community volunteer courier (bi weekly) as per NTEP financial Norms.</v>
      </c>
      <c r="Q31" s="143"/>
      <c r="R31" s="896"/>
    </row>
    <row r="32" spans="1:18">
      <c r="A32" s="985">
        <f>'9.Training Annex'!A7</f>
        <v>9</v>
      </c>
      <c r="B32" s="985"/>
      <c r="C32" s="985" t="str">
        <f>'9.Training Annex'!C7</f>
        <v>Training and Capacity Building</v>
      </c>
      <c r="D32" s="984"/>
      <c r="E32" s="984"/>
      <c r="F32" s="984"/>
      <c r="G32" s="984"/>
      <c r="H32" s="485"/>
      <c r="I32" s="984"/>
      <c r="J32" s="485"/>
      <c r="K32" s="985"/>
      <c r="L32" s="985"/>
      <c r="M32" s="485"/>
      <c r="N32" s="485"/>
      <c r="O32" s="485">
        <f>SUM(O33:O35)</f>
        <v>223.42</v>
      </c>
      <c r="P32" s="1046"/>
      <c r="Q32" s="99"/>
      <c r="R32" s="99">
        <f>SUM(R33:R35)</f>
        <v>0</v>
      </c>
    </row>
    <row r="33" spans="1:18" ht="195">
      <c r="A33" s="4641" t="str">
        <f>'9.Training Annex'!A50</f>
        <v>9.2.3.4</v>
      </c>
      <c r="B33" s="990" t="str">
        <f>'9-A.Training Sub-Annex'!C232</f>
        <v>H.6</v>
      </c>
      <c r="C33" s="78" t="str">
        <f>'9-A.Training Sub-Annex'!D232</f>
        <v>Trainings under NTEP</v>
      </c>
      <c r="D33" s="990" t="str">
        <f>'9-A.Training Sub-Annex'!E232</f>
        <v>NDCP</v>
      </c>
      <c r="E33" s="990" t="str">
        <f>'9-A.Training Sub-Annex'!F232</f>
        <v>NTEP</v>
      </c>
      <c r="F33" s="1045">
        <f>'9-A.Training Sub-Annex'!G232</f>
        <v>0</v>
      </c>
      <c r="G33" s="1045">
        <f>'9-A.Training Sub-Annex'!H232</f>
        <v>0</v>
      </c>
      <c r="H33" s="1045">
        <f>'9-A.Training Sub-Annex'!I232</f>
        <v>40</v>
      </c>
      <c r="I33" s="1045">
        <f>'9-A.Training Sub-Annex'!J232</f>
        <v>2.4</v>
      </c>
      <c r="J33" s="1045">
        <f>'9-A.Training Sub-Annex'!K232</f>
        <v>0</v>
      </c>
      <c r="K33" s="1045" t="str">
        <f>'9-A.Training Sub-Annex'!L232</f>
        <v>No. of batches</v>
      </c>
      <c r="L33" s="1045">
        <f>'9-A.Training Sub-Annex'!M232</f>
        <v>21132000</v>
      </c>
      <c r="M33" s="136">
        <f>'9-A.Training Sub-Annex'!N232</f>
        <v>211.32</v>
      </c>
      <c r="N33" s="1045">
        <f>'9-A.Training Sub-Annex'!O232</f>
        <v>1</v>
      </c>
      <c r="O33" s="136">
        <f>'9-A.Training Sub-Annex'!P232</f>
        <v>211.32</v>
      </c>
      <c r="P33" s="1049" t="str">
        <f>'9-A.Training Sub-Annex'!Q232</f>
        <v xml:space="preserve">1.Training/Refresher on Revised NTEP CDO/MO-DTC/MO (Modular),Training of LT,STS.STLS (New Recruitment), DEO/DPC/DPM training on NTEP Nikshay and nikshay aushadhi. 2.  Block MO training/Refresher on NTEP and ACF training to community Volunteer/ASHA/AMPW and others. (Annexure attached- included training plan and estimated cost as per SHSB training TADA guidelines, L.No. SHSB/Gen.Admin/197/2009/III/1001 Dated 13.02.2015) </v>
      </c>
      <c r="Q33" s="130"/>
      <c r="R33" s="124"/>
    </row>
    <row r="34" spans="1:18" ht="90">
      <c r="A34" s="4642"/>
      <c r="B34" s="990" t="str">
        <f>'9-A.Training Sub-Annex'!C233</f>
        <v>H.10</v>
      </c>
      <c r="C34" s="78" t="str">
        <f>'9-A.Training Sub-Annex'!D233</f>
        <v>CME (Medical Colleges)</v>
      </c>
      <c r="D34" s="990" t="str">
        <f>'9-A.Training Sub-Annex'!E233</f>
        <v>NDCP</v>
      </c>
      <c r="E34" s="990" t="str">
        <f>'9-A.Training Sub-Annex'!F233</f>
        <v>NTEP</v>
      </c>
      <c r="F34" s="1045">
        <f>'9-A.Training Sub-Annex'!G233</f>
        <v>0</v>
      </c>
      <c r="G34" s="1045">
        <f>'9-A.Training Sub-Annex'!H233</f>
        <v>0</v>
      </c>
      <c r="H34" s="1045">
        <f>'9-A.Training Sub-Annex'!I233</f>
        <v>6.8</v>
      </c>
      <c r="I34" s="1045">
        <f>'9-A.Training Sub-Annex'!J233</f>
        <v>5.43</v>
      </c>
      <c r="J34" s="1045">
        <f>'9-A.Training Sub-Annex'!K233</f>
        <v>0</v>
      </c>
      <c r="K34" s="1045" t="str">
        <f>'9-A.Training Sub-Annex'!L233</f>
        <v>No. of batches</v>
      </c>
      <c r="L34" s="1045">
        <f>'9-A.Training Sub-Annex'!M233</f>
        <v>1210000</v>
      </c>
      <c r="M34" s="136">
        <f>'9-A.Training Sub-Annex'!N233</f>
        <v>12.1</v>
      </c>
      <c r="N34" s="1045">
        <f>'9-A.Training Sub-Annex'!O233</f>
        <v>1</v>
      </c>
      <c r="O34" s="136">
        <f>'9-A.Training Sub-Annex'!P233</f>
        <v>12.1</v>
      </c>
      <c r="P34" s="1049" t="str">
        <f>'9-A.Training Sub-Annex'!Q233</f>
        <v>Faculty Members,Residents &amp; interns, Nurshing staffs, paramedical staffs
Support to Conferences, symposiums, panel discussions and workshops organized at National and state levels and at level of Medical college</v>
      </c>
      <c r="Q34" s="130"/>
      <c r="R34" s="124"/>
    </row>
    <row r="35" spans="1:18" ht="30">
      <c r="A35" s="4643"/>
      <c r="B35" s="990"/>
      <c r="C35" s="78" t="str">
        <f>'9-A.Training Sub-Annex'!D234</f>
        <v>Any other (please specify)</v>
      </c>
      <c r="D35" s="990" t="str">
        <f>'9-A.Training Sub-Annex'!E234</f>
        <v>NDCP</v>
      </c>
      <c r="E35" s="990" t="str">
        <f>'9-A.Training Sub-Annex'!F234</f>
        <v>NTEP</v>
      </c>
      <c r="F35" s="1045">
        <f>'9-A.Training Sub-Annex'!G234</f>
        <v>0</v>
      </c>
      <c r="G35" s="1045">
        <f>'9-A.Training Sub-Annex'!H234</f>
        <v>0</v>
      </c>
      <c r="H35" s="1045">
        <f>'9-A.Training Sub-Annex'!I234</f>
        <v>0</v>
      </c>
      <c r="I35" s="1045">
        <f>'9-A.Training Sub-Annex'!J234</f>
        <v>0</v>
      </c>
      <c r="J35" s="1045">
        <f>'9-A.Training Sub-Annex'!K234</f>
        <v>0</v>
      </c>
      <c r="K35" s="1045">
        <f>'9-A.Training Sub-Annex'!L234</f>
        <v>0</v>
      </c>
      <c r="L35" s="1045">
        <f>'9-A.Training Sub-Annex'!M234</f>
        <v>0</v>
      </c>
      <c r="M35" s="136">
        <f>'9-A.Training Sub-Annex'!N234</f>
        <v>0</v>
      </c>
      <c r="N35" s="1045">
        <f>'9-A.Training Sub-Annex'!O234</f>
        <v>0</v>
      </c>
      <c r="O35" s="136">
        <f>'9-A.Training Sub-Annex'!P234</f>
        <v>0</v>
      </c>
      <c r="P35" s="1049">
        <f>'9-A.Training Sub-Annex'!Q234</f>
        <v>0</v>
      </c>
      <c r="Q35" s="130"/>
      <c r="R35" s="124"/>
    </row>
    <row r="36" spans="1:18">
      <c r="A36" s="985">
        <f>'10.Review Research &amp; Surveillen'!A7</f>
        <v>10</v>
      </c>
      <c r="B36" s="985"/>
      <c r="C36" s="985" t="str">
        <f>'10.Review Research &amp; Surveillen'!C7</f>
        <v>Reviews, Research, Surveys and Surveillance</v>
      </c>
      <c r="D36" s="984"/>
      <c r="E36" s="984"/>
      <c r="F36" s="984"/>
      <c r="G36" s="984"/>
      <c r="H36" s="485"/>
      <c r="I36" s="984"/>
      <c r="J36" s="485"/>
      <c r="K36" s="985"/>
      <c r="L36" s="985"/>
      <c r="M36" s="485"/>
      <c r="N36" s="485"/>
      <c r="O36" s="485">
        <f>SUM(O37:O39)</f>
        <v>19.3</v>
      </c>
      <c r="P36" s="1046"/>
      <c r="Q36" s="99"/>
      <c r="R36" s="99">
        <f>SUM(R37:R39)</f>
        <v>0</v>
      </c>
    </row>
    <row r="37" spans="1:18" ht="30">
      <c r="A37" s="1031" t="str">
        <f>'10.Review Research &amp; Surveillen'!A25</f>
        <v>10.2.8</v>
      </c>
      <c r="B37" s="1031" t="str">
        <f>'10.Review Research &amp; Surveillen'!B25</f>
        <v>H.14</v>
      </c>
      <c r="C37" s="1002" t="str">
        <f>'10.Review Research &amp; Surveillen'!C25</f>
        <v>Research &amp; Studies &amp; Consultancy</v>
      </c>
      <c r="D37" s="1031" t="str">
        <f>'10.Review Research &amp; Surveillen'!D25</f>
        <v>NDCP</v>
      </c>
      <c r="E37" s="1031" t="str">
        <f>'10.Review Research &amp; Surveillen'!E25</f>
        <v>NTEP</v>
      </c>
      <c r="F37" s="1045">
        <f>'10.Review Research &amp; Surveillen'!F25</f>
        <v>0</v>
      </c>
      <c r="G37" s="1045">
        <f>'10.Review Research &amp; Surveillen'!G25</f>
        <v>0</v>
      </c>
      <c r="H37" s="1045">
        <f>'10.Review Research &amp; Surveillen'!H25</f>
        <v>0</v>
      </c>
      <c r="I37" s="1045">
        <f>'10.Review Research &amp; Surveillen'!I25</f>
        <v>0</v>
      </c>
      <c r="J37" s="1045">
        <f>'10.Review Research &amp; Surveillen'!J25</f>
        <v>0</v>
      </c>
      <c r="K37" s="1045">
        <f>'10.Review Research &amp; Surveillen'!K25</f>
        <v>0</v>
      </c>
      <c r="L37" s="1045">
        <f>'10.Review Research &amp; Surveillen'!L25</f>
        <v>0</v>
      </c>
      <c r="M37" s="136">
        <f>'10.Review Research &amp; Surveillen'!M25</f>
        <v>0</v>
      </c>
      <c r="N37" s="1045">
        <f>'10.Review Research &amp; Surveillen'!N25</f>
        <v>0</v>
      </c>
      <c r="O37" s="136">
        <f>'10.Review Research &amp; Surveillen'!O25</f>
        <v>0</v>
      </c>
      <c r="P37" s="1049">
        <f>'10.Review Research &amp; Surveillen'!P25</f>
        <v>0</v>
      </c>
      <c r="Q37" s="130"/>
      <c r="R37" s="124"/>
    </row>
    <row r="38" spans="1:18" ht="45">
      <c r="A38" s="1031" t="str">
        <f>'10.Review Research &amp; Surveillen'!A26</f>
        <v>10.2.9</v>
      </c>
      <c r="B38" s="1031" t="str">
        <f>'10.Review Research &amp; Surveillen'!B26</f>
        <v>H.10</v>
      </c>
      <c r="C38" s="1002" t="str">
        <f>'10.Review Research &amp; Surveillen'!C26</f>
        <v>Research for medical colleges</v>
      </c>
      <c r="D38" s="1031" t="str">
        <f>'10.Review Research &amp; Surveillen'!D26</f>
        <v>NDCP</v>
      </c>
      <c r="E38" s="1031" t="str">
        <f>'10.Review Research &amp; Surveillen'!E26</f>
        <v>NTEP</v>
      </c>
      <c r="F38" s="1045">
        <f>'10.Review Research &amp; Surveillen'!F26</f>
        <v>0</v>
      </c>
      <c r="G38" s="1045">
        <f>'10.Review Research &amp; Surveillen'!G26</f>
        <v>0</v>
      </c>
      <c r="H38" s="1045">
        <f>'10.Review Research &amp; Surveillen'!H26</f>
        <v>0</v>
      </c>
      <c r="I38" s="1045">
        <f>'10.Review Research &amp; Surveillen'!I26</f>
        <v>0</v>
      </c>
      <c r="J38" s="1045">
        <f>'10.Review Research &amp; Surveillen'!J26</f>
        <v>0</v>
      </c>
      <c r="K38" s="1045" t="str">
        <f>'10.Review Research &amp; Surveillen'!K26</f>
        <v>No. of thesis &amp; No. of OR</v>
      </c>
      <c r="L38" s="1045">
        <f>'10.Review Research &amp; Surveillen'!L26</f>
        <v>1330000</v>
      </c>
      <c r="M38" s="136">
        <f>'10.Review Research &amp; Surveillen'!M26</f>
        <v>13.3</v>
      </c>
      <c r="N38" s="1045">
        <f>'10.Review Research &amp; Surveillen'!N26</f>
        <v>1</v>
      </c>
      <c r="O38" s="136">
        <f>'10.Review Research &amp; Surveillen'!O26</f>
        <v>13.3</v>
      </c>
      <c r="P38" s="1049" t="str">
        <f>'10.Review Research &amp; Surveillen'!P26</f>
        <v>Thesis of PG Students &amp; Operational Research in medical college.</v>
      </c>
      <c r="Q38" s="130"/>
      <c r="R38" s="124"/>
    </row>
    <row r="39" spans="1:18" ht="45">
      <c r="A39" s="1031" t="str">
        <f>'10.Review Research &amp; Surveillen'!A56</f>
        <v>10.5.1</v>
      </c>
      <c r="B39" s="1031">
        <f>'10.Review Research &amp; Surveillen'!B56</f>
        <v>0</v>
      </c>
      <c r="C39" s="1002" t="str">
        <f>'10.Review Research &amp; Surveillen'!C56</f>
        <v>Sub-national Disease Free Certification: Tuberculosis</v>
      </c>
      <c r="D39" s="1031" t="str">
        <f>'10.Review Research &amp; Surveillen'!D56</f>
        <v>NDCP</v>
      </c>
      <c r="E39" s="1031" t="str">
        <f>'10.Review Research &amp; Surveillen'!E56</f>
        <v>NTEP</v>
      </c>
      <c r="F39" s="1045">
        <f>'10.Review Research &amp; Surveillen'!F56</f>
        <v>0</v>
      </c>
      <c r="G39" s="1045">
        <f>'10.Review Research &amp; Surveillen'!G56</f>
        <v>0</v>
      </c>
      <c r="H39" s="1045">
        <f>'10.Review Research &amp; Surveillen'!H56</f>
        <v>0</v>
      </c>
      <c r="I39" s="1045">
        <f>'10.Review Research &amp; Surveillen'!I56</f>
        <v>0</v>
      </c>
      <c r="J39" s="1045">
        <f>'10.Review Research &amp; Surveillen'!J56</f>
        <v>0</v>
      </c>
      <c r="K39" s="1045">
        <f>'10.Review Research &amp; Surveillen'!K56</f>
        <v>0</v>
      </c>
      <c r="L39" s="1045">
        <f>'10.Review Research &amp; Surveillen'!L56</f>
        <v>200000</v>
      </c>
      <c r="M39" s="136">
        <f>'10.Review Research &amp; Surveillen'!M56</f>
        <v>2</v>
      </c>
      <c r="N39" s="1045">
        <f>'10.Review Research &amp; Surveillen'!N56</f>
        <v>3</v>
      </c>
      <c r="O39" s="136">
        <f>'10.Review Research &amp; Surveillen'!O56</f>
        <v>6</v>
      </c>
      <c r="P39" s="1049" t="str">
        <f>'10.Review Research &amp; Surveillen'!P56</f>
        <v>Siwan,Saran,Gopalganj is recommeded for Bronze medal for subnational TB free certification</v>
      </c>
      <c r="Q39" s="130"/>
      <c r="R39" s="124"/>
    </row>
    <row r="40" spans="1:18">
      <c r="A40" s="985">
        <f>'11.IEC-BCC Annex'!A7</f>
        <v>11</v>
      </c>
      <c r="B40" s="985"/>
      <c r="C40" s="985" t="str">
        <f>'11.IEC-BCC Annex'!C7</f>
        <v>IEC/BCC</v>
      </c>
      <c r="D40" s="984"/>
      <c r="E40" s="984"/>
      <c r="F40" s="984"/>
      <c r="G40" s="984"/>
      <c r="H40" s="485"/>
      <c r="I40" s="984"/>
      <c r="J40" s="485"/>
      <c r="K40" s="985"/>
      <c r="L40" s="985"/>
      <c r="M40" s="485"/>
      <c r="N40" s="485"/>
      <c r="O40" s="485">
        <f>SUM(O41:O43)</f>
        <v>69.400000000000006</v>
      </c>
      <c r="P40" s="1046"/>
      <c r="Q40" s="99"/>
      <c r="R40" s="99">
        <f>SUM(R41:R43)</f>
        <v>0</v>
      </c>
    </row>
    <row r="41" spans="1:18" ht="30">
      <c r="A41" s="4641" t="str">
        <f>'11.IEC-BCC Annex'!A26</f>
        <v>11.3.2</v>
      </c>
      <c r="B41" s="990" t="str">
        <f>'11-A. IEC Sub-Annex'!C70</f>
        <v>H.4</v>
      </c>
      <c r="C41" s="78" t="str">
        <f>'11-A. IEC Sub-Annex'!D70</f>
        <v>ACSM (State &amp; district)</v>
      </c>
      <c r="D41" s="990" t="str">
        <f>'11-A. IEC Sub-Annex'!E70</f>
        <v>NDCP</v>
      </c>
      <c r="E41" s="990" t="str">
        <f>'11-A. IEC Sub-Annex'!F70</f>
        <v>NTEP</v>
      </c>
      <c r="F41" s="1045">
        <f>'11-A. IEC Sub-Annex'!G70</f>
        <v>0</v>
      </c>
      <c r="G41" s="1045">
        <f>'11-A. IEC Sub-Annex'!H70</f>
        <v>0</v>
      </c>
      <c r="H41" s="1045">
        <f>'11-A. IEC Sub-Annex'!I70</f>
        <v>0</v>
      </c>
      <c r="I41" s="1045">
        <f>'11-A. IEC Sub-Annex'!J70</f>
        <v>0</v>
      </c>
      <c r="J41" s="1045">
        <f>'11-A. IEC Sub-Annex'!K70</f>
        <v>0</v>
      </c>
      <c r="K41" s="1045" t="str">
        <f>'11-A. IEC Sub-Annex'!L70</f>
        <v>No. of activity</v>
      </c>
      <c r="L41" s="1045">
        <f>'11-A. IEC Sub-Annex'!M70</f>
        <v>6000000</v>
      </c>
      <c r="M41" s="136">
        <f>'11-A. IEC Sub-Annex'!N70</f>
        <v>60</v>
      </c>
      <c r="N41" s="1045">
        <f>'11-A. IEC Sub-Annex'!O70</f>
        <v>1</v>
      </c>
      <c r="O41" s="136">
        <f>'11-A. IEC Sub-Annex'!P70</f>
        <v>60</v>
      </c>
      <c r="P41" s="1049" t="str">
        <f>'11-A. IEC Sub-Annex'!Q70</f>
        <v>IEC/ BCC Activities under RNTCP State and Dist. Level .</v>
      </c>
      <c r="Q41" s="130"/>
      <c r="R41" s="124"/>
    </row>
    <row r="42" spans="1:18" ht="60">
      <c r="A42" s="4642"/>
      <c r="B42" s="990">
        <f>'11-A. IEC Sub-Annex'!C71</f>
        <v>0</v>
      </c>
      <c r="C42" s="78" t="str">
        <f>'11-A. IEC Sub-Annex'!D71</f>
        <v>TB Harega Desh Jeetega' Campaign</v>
      </c>
      <c r="D42" s="990" t="str">
        <f>'11-A. IEC Sub-Annex'!E71</f>
        <v>NDCP</v>
      </c>
      <c r="E42" s="990" t="str">
        <f>'11-A. IEC Sub-Annex'!F71</f>
        <v>NTEP</v>
      </c>
      <c r="F42" s="1045">
        <f>'11-A. IEC Sub-Annex'!G71</f>
        <v>0</v>
      </c>
      <c r="G42" s="1045">
        <f>'11-A. IEC Sub-Annex'!H71</f>
        <v>0</v>
      </c>
      <c r="H42" s="1045">
        <f>'11-A. IEC Sub-Annex'!I71</f>
        <v>0</v>
      </c>
      <c r="I42" s="1045">
        <f>'11-A. IEC Sub-Annex'!J71</f>
        <v>0</v>
      </c>
      <c r="J42" s="1045">
        <f>'11-A. IEC Sub-Annex'!K71</f>
        <v>0</v>
      </c>
      <c r="K42" s="1045" t="str">
        <f>'11-A. IEC Sub-Annex'!L71</f>
        <v>No. of activity</v>
      </c>
      <c r="L42" s="1045">
        <f>'11-A. IEC Sub-Annex'!M71</f>
        <v>940000</v>
      </c>
      <c r="M42" s="136">
        <f>'11-A. IEC Sub-Annex'!N71</f>
        <v>9.4</v>
      </c>
      <c r="N42" s="1045">
        <f>'11-A. IEC Sub-Annex'!O71</f>
        <v>1</v>
      </c>
      <c r="O42" s="136">
        <f>'11-A. IEC Sub-Annex'!P71</f>
        <v>9.4</v>
      </c>
      <c r="P42" s="1049" t="str">
        <f>'11-A. IEC Sub-Annex'!Q71</f>
        <v>State level launch of TB Free Bihar Campaign, District launch for TB Free Campaig. 
District launch for TB Free Campaign</v>
      </c>
      <c r="Q42" s="130"/>
      <c r="R42" s="124"/>
    </row>
    <row r="43" spans="1:18" ht="30">
      <c r="A43" s="4643"/>
      <c r="B43" s="990">
        <f>'11-A. IEC Sub-Annex'!C72</f>
        <v>0</v>
      </c>
      <c r="C43" s="78" t="str">
        <f>'11-A. IEC Sub-Annex'!D72</f>
        <v>Any other IEC/BCC activities (please specify)</v>
      </c>
      <c r="D43" s="990" t="str">
        <f>'11-A. IEC Sub-Annex'!E72</f>
        <v>NDCP</v>
      </c>
      <c r="E43" s="990" t="str">
        <f>'11-A. IEC Sub-Annex'!F72</f>
        <v>NTEP</v>
      </c>
      <c r="F43" s="1045">
        <f>'11-A. IEC Sub-Annex'!G72</f>
        <v>0</v>
      </c>
      <c r="G43" s="1045">
        <f>'11-A. IEC Sub-Annex'!H72</f>
        <v>0</v>
      </c>
      <c r="H43" s="1045">
        <f>'11-A. IEC Sub-Annex'!I72</f>
        <v>0</v>
      </c>
      <c r="I43" s="1045">
        <f>'11-A. IEC Sub-Annex'!J72</f>
        <v>0</v>
      </c>
      <c r="J43" s="1045">
        <f>'11-A. IEC Sub-Annex'!K72</f>
        <v>0</v>
      </c>
      <c r="K43" s="1045">
        <f>'11-A. IEC Sub-Annex'!L72</f>
        <v>0</v>
      </c>
      <c r="L43" s="1045">
        <f>'11-A. IEC Sub-Annex'!M72</f>
        <v>0</v>
      </c>
      <c r="M43" s="136">
        <f>'11-A. IEC Sub-Annex'!N72</f>
        <v>0</v>
      </c>
      <c r="N43" s="1045">
        <f>'11-A. IEC Sub-Annex'!O72</f>
        <v>0</v>
      </c>
      <c r="O43" s="136">
        <f>'11-A. IEC Sub-Annex'!P72</f>
        <v>0</v>
      </c>
      <c r="P43" s="1049">
        <f>'11-A. IEC Sub-Annex'!Q72</f>
        <v>0</v>
      </c>
      <c r="Q43" s="130"/>
      <c r="R43" s="124"/>
    </row>
    <row r="44" spans="1:18">
      <c r="A44" s="985">
        <f>'12.Printing Annex'!A7</f>
        <v>12</v>
      </c>
      <c r="B44" s="985"/>
      <c r="C44" s="985" t="str">
        <f>'12.Printing Annex'!C7</f>
        <v>Printing</v>
      </c>
      <c r="D44" s="984"/>
      <c r="E44" s="984"/>
      <c r="F44" s="984"/>
      <c r="G44" s="984"/>
      <c r="H44" s="485"/>
      <c r="I44" s="984"/>
      <c r="J44" s="485"/>
      <c r="K44" s="985"/>
      <c r="L44" s="985"/>
      <c r="M44" s="485"/>
      <c r="N44" s="485"/>
      <c r="O44" s="485">
        <f>SUM(O45:O46)</f>
        <v>46.68</v>
      </c>
      <c r="P44" s="1046"/>
      <c r="Q44" s="99"/>
      <c r="R44" s="99">
        <f>SUM(R45:R46)</f>
        <v>0</v>
      </c>
    </row>
    <row r="45" spans="1:18" ht="45">
      <c r="A45" s="4641" t="str">
        <f>'12.Printing Annex'!A28</f>
        <v>12.3.3</v>
      </c>
      <c r="B45" s="990" t="str">
        <f>'12-A. Print Sub-Annex'!C85</f>
        <v>H.4</v>
      </c>
      <c r="C45" s="78" t="str">
        <f>'12-A. Print Sub-Annex'!D85</f>
        <v>Printing (ACSM)</v>
      </c>
      <c r="D45" s="990" t="str">
        <f>'12-A. Print Sub-Annex'!E85</f>
        <v>NDCP</v>
      </c>
      <c r="E45" s="990" t="str">
        <f>'12-A. Print Sub-Annex'!F85</f>
        <v>NTEP</v>
      </c>
      <c r="F45" s="1045">
        <f>'12-A. Print Sub-Annex'!G85</f>
        <v>0</v>
      </c>
      <c r="G45" s="1045">
        <f>'12-A. Print Sub-Annex'!H85</f>
        <v>0</v>
      </c>
      <c r="H45" s="1045">
        <f>'12-A. Print Sub-Annex'!I85</f>
        <v>0</v>
      </c>
      <c r="I45" s="1045">
        <f>'12-A. Print Sub-Annex'!J85</f>
        <v>0</v>
      </c>
      <c r="J45" s="1045">
        <f>'12-A. Print Sub-Annex'!K85</f>
        <v>0</v>
      </c>
      <c r="K45" s="1045" t="str">
        <f>'12-A. Print Sub-Annex'!L85</f>
        <v>No. of printing materials</v>
      </c>
      <c r="L45" s="1045">
        <f>'12-A. Print Sub-Annex'!M85</f>
        <v>367000</v>
      </c>
      <c r="M45" s="136">
        <f>'12-A. Print Sub-Annex'!N85</f>
        <v>3.67</v>
      </c>
      <c r="N45" s="1045">
        <f>'12-A. Print Sub-Annex'!O85</f>
        <v>1</v>
      </c>
      <c r="O45" s="136">
        <f>'12-A. Print Sub-Annex'!P85</f>
        <v>3.67</v>
      </c>
      <c r="P45" s="1049" t="str">
        <f>'12-A. Print Sub-Annex'!Q85</f>
        <v xml:space="preserve">IEC printing at state level.
District level printing for IEC as per need </v>
      </c>
      <c r="Q45" s="130"/>
      <c r="R45" s="124"/>
    </row>
    <row r="46" spans="1:18" ht="105">
      <c r="A46" s="4643"/>
      <c r="B46" s="990" t="str">
        <f>'12-A. Print Sub-Annex'!C86</f>
        <v>H.13</v>
      </c>
      <c r="C46" s="78" t="str">
        <f>'12-A. Print Sub-Annex'!D86</f>
        <v>Printing</v>
      </c>
      <c r="D46" s="990" t="str">
        <f>'12-A. Print Sub-Annex'!E86</f>
        <v>NDCP</v>
      </c>
      <c r="E46" s="990" t="str">
        <f>'12-A. Print Sub-Annex'!F86</f>
        <v>NTEP</v>
      </c>
      <c r="F46" s="1045">
        <f>'12-A. Print Sub-Annex'!G86</f>
        <v>0</v>
      </c>
      <c r="G46" s="1045">
        <f>'12-A. Print Sub-Annex'!H86</f>
        <v>0</v>
      </c>
      <c r="H46" s="1045">
        <f>'12-A. Print Sub-Annex'!I86</f>
        <v>0</v>
      </c>
      <c r="I46" s="1045">
        <f>'12-A. Print Sub-Annex'!J86</f>
        <v>0</v>
      </c>
      <c r="J46" s="1045">
        <f>'12-A. Print Sub-Annex'!K86</f>
        <v>0</v>
      </c>
      <c r="K46" s="1045" t="str">
        <f>'12-A. Print Sub-Annex'!L86</f>
        <v>No. of printing materials</v>
      </c>
      <c r="L46" s="1045">
        <f>'12-A. Print Sub-Annex'!M86</f>
        <v>4301000</v>
      </c>
      <c r="M46" s="136">
        <f>'12-A. Print Sub-Annex'!N86</f>
        <v>43.01</v>
      </c>
      <c r="N46" s="1045">
        <f>'12-A. Print Sub-Annex'!O86</f>
        <v>1</v>
      </c>
      <c r="O46" s="136">
        <f>'12-A. Print Sub-Annex'!P86</f>
        <v>43.01</v>
      </c>
      <c r="P46" s="1049" t="str">
        <f>'12-A. Print Sub-Annex'!Q86</f>
        <v>Stage level planned printing for TB notification booklet for Private health care providers and other program reporting and recording formats and registers.
district level printing as per need (recording, reporting, forms)</v>
      </c>
      <c r="Q46" s="130"/>
      <c r="R46" s="124"/>
    </row>
    <row r="47" spans="1:18">
      <c r="A47" s="203">
        <f>'14.Drug warehouse &amp;Logistic Anx'!A7</f>
        <v>14</v>
      </c>
      <c r="B47" s="203"/>
      <c r="C47" s="203" t="str">
        <f>'14.Drug warehouse &amp;Logistic Anx'!C7</f>
        <v>Drug Warehousing and Logistics</v>
      </c>
      <c r="D47" s="838"/>
      <c r="E47" s="838"/>
      <c r="F47" s="838"/>
      <c r="G47" s="838"/>
      <c r="H47" s="485"/>
      <c r="I47" s="838"/>
      <c r="J47" s="485"/>
      <c r="K47" s="203"/>
      <c r="L47" s="203"/>
      <c r="M47" s="485"/>
      <c r="N47" s="485"/>
      <c r="O47" s="485">
        <f>SUM(O48:O50)</f>
        <v>36.64</v>
      </c>
      <c r="P47" s="1046"/>
      <c r="Q47" s="99"/>
      <c r="R47" s="99">
        <f>SUM(R48:R50)</f>
        <v>0</v>
      </c>
    </row>
    <row r="48" spans="1:18">
      <c r="A48" s="990" t="str">
        <f>'14.Drug warehouse &amp;Logistic Anx'!A11</f>
        <v>14.1.1.2</v>
      </c>
      <c r="B48" s="990" t="str">
        <f>'14.Drug warehouse &amp;Logistic Anx'!B11</f>
        <v>B.30.1.7/H.12</v>
      </c>
      <c r="C48" s="78" t="str">
        <f>'14.Drug warehouse &amp;Logistic Anx'!C11</f>
        <v>Human resources for NTEP drug store</v>
      </c>
      <c r="D48" s="990" t="str">
        <f>'14.Drug warehouse &amp;Logistic Anx'!D11</f>
        <v>HSS</v>
      </c>
      <c r="E48" s="990" t="str">
        <f>'14.Drug warehouse &amp;Logistic Anx'!E11</f>
        <v>NTEP/ HRH</v>
      </c>
      <c r="F48" s="1045">
        <f>'14.Drug warehouse &amp;Logistic Anx'!F11</f>
        <v>0</v>
      </c>
      <c r="G48" s="1045">
        <f>'14.Drug warehouse &amp;Logistic Anx'!G11</f>
        <v>0</v>
      </c>
      <c r="H48" s="1045">
        <f>'14.Drug warehouse &amp;Logistic Anx'!H11</f>
        <v>0</v>
      </c>
      <c r="I48" s="1045">
        <f>'14.Drug warehouse &amp;Logistic Anx'!I11</f>
        <v>0</v>
      </c>
      <c r="J48" s="1045">
        <f>'14.Drug warehouse &amp;Logistic Anx'!J11</f>
        <v>0</v>
      </c>
      <c r="K48" s="1045">
        <f>'14.Drug warehouse &amp;Logistic Anx'!K11</f>
        <v>0</v>
      </c>
      <c r="L48" s="1045">
        <f>'14.Drug warehouse &amp;Logistic Anx'!L11</f>
        <v>0</v>
      </c>
      <c r="M48" s="136">
        <f>'14.Drug warehouse &amp;Logistic Anx'!M11</f>
        <v>0</v>
      </c>
      <c r="N48" s="1045">
        <f>'14.Drug warehouse &amp;Logistic Anx'!N11</f>
        <v>0</v>
      </c>
      <c r="O48" s="136">
        <f>'14.Drug warehouse &amp;Logistic Anx'!O11</f>
        <v>0</v>
      </c>
      <c r="P48" s="1049">
        <f>'14.Drug warehouse &amp;Logistic Anx'!P11</f>
        <v>0</v>
      </c>
      <c r="Q48" s="130"/>
      <c r="R48" s="124"/>
    </row>
    <row r="49" spans="1:18" ht="30">
      <c r="A49" s="990" t="str">
        <f>'14.Drug warehouse &amp;Logistic Anx'!A29</f>
        <v>14.2.11</v>
      </c>
      <c r="B49" s="990" t="str">
        <f>'14.Drug warehouse &amp;Logistic Anx'!B29</f>
        <v>H.8</v>
      </c>
      <c r="C49" s="78" t="str">
        <f>'14.Drug warehouse &amp;Logistic Anx'!C29</f>
        <v>Vehicle hiring for drug transportation</v>
      </c>
      <c r="D49" s="990" t="str">
        <f>'14.Drug warehouse &amp;Logistic Anx'!D29</f>
        <v>NDCP</v>
      </c>
      <c r="E49" s="990" t="str">
        <f>'14.Drug warehouse &amp;Logistic Anx'!E29</f>
        <v>NTEP</v>
      </c>
      <c r="F49" s="1045">
        <f>'14.Drug warehouse &amp;Logistic Anx'!F29</f>
        <v>0</v>
      </c>
      <c r="G49" s="1045">
        <f>'14.Drug warehouse &amp;Logistic Anx'!G29</f>
        <v>0</v>
      </c>
      <c r="H49" s="1045">
        <f>'14.Drug warehouse &amp;Logistic Anx'!H29</f>
        <v>0</v>
      </c>
      <c r="I49" s="1045">
        <f>'14.Drug warehouse &amp;Logistic Anx'!I29</f>
        <v>0</v>
      </c>
      <c r="J49" s="1045">
        <f>'14.Drug warehouse &amp;Logistic Anx'!J29</f>
        <v>0</v>
      </c>
      <c r="K49" s="1045">
        <f>'14.Drug warehouse &amp;Logistic Anx'!K29</f>
        <v>0</v>
      </c>
      <c r="L49" s="1045">
        <f>'14.Drug warehouse &amp;Logistic Anx'!L29</f>
        <v>0</v>
      </c>
      <c r="M49" s="136">
        <f>'14.Drug warehouse &amp;Logistic Anx'!M29</f>
        <v>0</v>
      </c>
      <c r="N49" s="1045">
        <f>'14.Drug warehouse &amp;Logistic Anx'!N29</f>
        <v>0</v>
      </c>
      <c r="O49" s="136">
        <f>'14.Drug warehouse &amp;Logistic Anx'!O29</f>
        <v>0</v>
      </c>
      <c r="P49" s="1049">
        <f>'14.Drug warehouse &amp;Logistic Anx'!P29</f>
        <v>0</v>
      </c>
      <c r="Q49" s="130"/>
      <c r="R49" s="124"/>
    </row>
    <row r="50" spans="1:18" ht="45">
      <c r="A50" s="990" t="str">
        <f>'14.Drug warehouse &amp;Logistic Anx'!A30</f>
        <v>14.2.12</v>
      </c>
      <c r="B50" s="990" t="str">
        <f>'14.Drug warehouse &amp;Logistic Anx'!B30</f>
        <v>H.11</v>
      </c>
      <c r="C50" s="78" t="str">
        <f>'14.Drug warehouse &amp;Logistic Anx'!C30</f>
        <v>Drug transportation charges</v>
      </c>
      <c r="D50" s="990" t="str">
        <f>'14.Drug warehouse &amp;Logistic Anx'!D30</f>
        <v>NDCP</v>
      </c>
      <c r="E50" s="990" t="str">
        <f>'14.Drug warehouse &amp;Logistic Anx'!E30</f>
        <v>NTEP</v>
      </c>
      <c r="F50" s="1045">
        <f>'14.Drug warehouse &amp;Logistic Anx'!F30</f>
        <v>0</v>
      </c>
      <c r="G50" s="1045">
        <f>'14.Drug warehouse &amp;Logistic Anx'!G30</f>
        <v>0</v>
      </c>
      <c r="H50" s="1045">
        <f>'14.Drug warehouse &amp;Logistic Anx'!H30</f>
        <v>21.76</v>
      </c>
      <c r="I50" s="1045">
        <f>'14.Drug warehouse &amp;Logistic Anx'!I30</f>
        <v>0</v>
      </c>
      <c r="J50" s="1045">
        <f>'14.Drug warehouse &amp;Logistic Anx'!J30</f>
        <v>0</v>
      </c>
      <c r="K50" s="1045" t="str">
        <f>'14.Drug warehouse &amp;Logistic Anx'!K30</f>
        <v>No. of Transportation</v>
      </c>
      <c r="L50" s="1045">
        <f>'14.Drug warehouse &amp;Logistic Anx'!L30</f>
        <v>3664000</v>
      </c>
      <c r="M50" s="136">
        <f>'14.Drug warehouse &amp;Logistic Anx'!M30</f>
        <v>36.64</v>
      </c>
      <c r="N50" s="1045">
        <f>'14.Drug warehouse &amp;Logistic Anx'!N30</f>
        <v>1</v>
      </c>
      <c r="O50" s="136">
        <f>'14.Drug warehouse &amp;Logistic Anx'!O30</f>
        <v>36.64</v>
      </c>
      <c r="P50" s="1049" t="str">
        <f>'14.Drug warehouse &amp;Logistic Anx'!P30</f>
        <v>Vehicle hiring for drug transport from SDS to DDSs and DDS to TU drug stores</v>
      </c>
      <c r="Q50" s="130"/>
      <c r="R50" s="124"/>
    </row>
    <row r="51" spans="1:18">
      <c r="A51" s="985">
        <f>'15.PPP Annex'!A7</f>
        <v>15</v>
      </c>
      <c r="B51" s="985"/>
      <c r="C51" s="985" t="str">
        <f>'15.PPP Annex'!C7</f>
        <v>PPP</v>
      </c>
      <c r="D51" s="984"/>
      <c r="E51" s="984"/>
      <c r="F51" s="984"/>
      <c r="G51" s="984"/>
      <c r="H51" s="485"/>
      <c r="I51" s="984"/>
      <c r="J51" s="485"/>
      <c r="K51" s="985"/>
      <c r="L51" s="985"/>
      <c r="M51" s="485"/>
      <c r="N51" s="485"/>
      <c r="O51" s="485">
        <f>SUM(O52:O55)</f>
        <v>2756.9</v>
      </c>
      <c r="P51" s="1046"/>
      <c r="Q51" s="99"/>
      <c r="R51" s="99">
        <f>SUM(R52:R55)</f>
        <v>0</v>
      </c>
    </row>
    <row r="52" spans="1:18" ht="45">
      <c r="A52" s="990" t="str">
        <f>'15.PPP Annex'!A27</f>
        <v>15.3.3.1</v>
      </c>
      <c r="B52" s="449" t="str">
        <f>'15.PPP Annex'!B27</f>
        <v>15.5.1.1</v>
      </c>
      <c r="C52" s="91" t="str">
        <f>'15.PPP Annex'!C27</f>
        <v>Any PPM-PP/NGO Support</v>
      </c>
      <c r="D52" s="449" t="str">
        <f>'15.PPP Annex'!D27</f>
        <v>NDCP</v>
      </c>
      <c r="E52" s="449" t="str">
        <f>'15.PPP Annex'!E27</f>
        <v>NTEP</v>
      </c>
      <c r="F52" s="1050">
        <f>'15.PPP Annex'!F27</f>
        <v>0</v>
      </c>
      <c r="G52" s="1050">
        <f>'15.PPP Annex'!G27</f>
        <v>0</v>
      </c>
      <c r="H52" s="1050">
        <f>'15.PPP Annex'!H27</f>
        <v>0</v>
      </c>
      <c r="I52" s="1050">
        <f>'15.PPP Annex'!I27</f>
        <v>17.600000000000001</v>
      </c>
      <c r="J52" s="1050">
        <f>'15.PPP Annex'!J27</f>
        <v>43.41</v>
      </c>
      <c r="K52" s="1050">
        <f>'15.PPP Annex'!K27</f>
        <v>0</v>
      </c>
      <c r="L52" s="1050">
        <f>'15.PPP Annex'!L27</f>
        <v>1760000</v>
      </c>
      <c r="M52" s="476">
        <f>'15.PPP Annex'!M27</f>
        <v>17.600000000000001</v>
      </c>
      <c r="N52" s="1050">
        <f>'15.PPP Annex'!N27</f>
        <v>1</v>
      </c>
      <c r="O52" s="476">
        <f>'15.PPP Annex'!O27</f>
        <v>17.600000000000001</v>
      </c>
      <c r="P52" s="1051" t="str">
        <f>'15.PPP Annex'!P27</f>
        <v>DMC and other schemes under NGO/PP scheme as per partnership guidelines-2019</v>
      </c>
      <c r="Q52" s="130"/>
      <c r="R52" s="124"/>
    </row>
    <row r="53" spans="1:18" ht="270">
      <c r="A53" s="990" t="str">
        <f>'15.PPP Annex'!A28</f>
        <v>15.3..3.2</v>
      </c>
      <c r="B53" s="449" t="str">
        <f>'15.PPP Annex'!B28</f>
        <v>15.5.2/ H.9.1</v>
      </c>
      <c r="C53" s="91" t="str">
        <f>'15.PPP Annex'!C28</f>
        <v>Public Private Support Agency (PPSA)</v>
      </c>
      <c r="D53" s="449" t="str">
        <f>'15.PPP Annex'!D28</f>
        <v>NDCP</v>
      </c>
      <c r="E53" s="449" t="str">
        <f>'15.PPP Annex'!E28</f>
        <v>NTEP</v>
      </c>
      <c r="F53" s="1050">
        <f>'15.PPP Annex'!F28</f>
        <v>0</v>
      </c>
      <c r="G53" s="1050">
        <f>'15.PPP Annex'!G28</f>
        <v>0</v>
      </c>
      <c r="H53" s="1050">
        <f>'15.PPP Annex'!H28</f>
        <v>0</v>
      </c>
      <c r="I53" s="1050">
        <f>'15.PPP Annex'!I28</f>
        <v>1500</v>
      </c>
      <c r="J53" s="1050">
        <f>'15.PPP Annex'!J28</f>
        <v>0</v>
      </c>
      <c r="K53" s="1050">
        <f>'15.PPP Annex'!K28</f>
        <v>0</v>
      </c>
      <c r="L53" s="1050">
        <f>'15.PPP Annex'!L28</f>
        <v>2500</v>
      </c>
      <c r="M53" s="476">
        <f>'15.PPP Annex'!M28</f>
        <v>2.5000000000000001E-2</v>
      </c>
      <c r="N53" s="1050">
        <f>'15.PPP Annex'!N28</f>
        <v>97400</v>
      </c>
      <c r="O53" s="476">
        <f>'15.PPP Annex'!O28</f>
        <v>2435</v>
      </c>
      <c r="P53" s="1051" t="str">
        <f>'15.PPP Annex'!P28</f>
        <v>Total 29 districts: (9 districts Araria, Banka, Buxar, Kaimur, Khagaria, Madhepura, Nawada, Rohtas and Sitamrhi have been proposed for private sector engagement) and 6 districts under JEET project Darbhnaga, Muzaffarpur, Saran, Madhubani, East champaran and Purnia have to be proposed under PPSA as JEET project end by Mar 2021. 14 Districts (Cluster 1-Patna, Nalanda, Bhojpur, Gaya Cluster 2- Bhagalpur, Munger, Saharsa, Katihar Cluster 3 - Vaishali, Samastipur, Begusarai Cluster4 - West Champaran, Siwan, Gopalganj are running undr PPSA domestic Budget for  improvement in the public health TB case notifications and their public health action through PPSA innovation.</v>
      </c>
      <c r="Q53" s="130"/>
      <c r="R53" s="124"/>
    </row>
    <row r="54" spans="1:18" ht="60">
      <c r="A54" s="990" t="str">
        <f>'15.PPP Annex'!A29</f>
        <v>15.3..3.3</v>
      </c>
      <c r="B54" s="449" t="str">
        <f>'15.PPP Annex'!B29</f>
        <v>15.5.3/ H.9.2</v>
      </c>
      <c r="C54" s="91" t="str">
        <f>'15.PPP Annex'!C29</f>
        <v xml:space="preserve">Private Provider Incentive </v>
      </c>
      <c r="D54" s="449" t="str">
        <f>'15.PPP Annex'!D29</f>
        <v>NDCP</v>
      </c>
      <c r="E54" s="449" t="str">
        <f>'15.PPP Annex'!E29</f>
        <v>NTEP</v>
      </c>
      <c r="F54" s="1050">
        <f>'15.PPP Annex'!F29</f>
        <v>0</v>
      </c>
      <c r="G54" s="1050">
        <f>'15.PPP Annex'!G29</f>
        <v>0</v>
      </c>
      <c r="H54" s="1050">
        <f>'15.PPP Annex'!H29</f>
        <v>0</v>
      </c>
      <c r="I54" s="1050">
        <f>'15.PPP Annex'!I29</f>
        <v>0</v>
      </c>
      <c r="J54" s="1050">
        <f>'15.PPP Annex'!J29</f>
        <v>0</v>
      </c>
      <c r="K54" s="1050">
        <f>'15.PPP Annex'!K29</f>
        <v>0</v>
      </c>
      <c r="L54" s="1050">
        <f>'15.PPP Annex'!L29</f>
        <v>1000</v>
      </c>
      <c r="M54" s="476">
        <f>'15.PPP Annex'!M29</f>
        <v>0.01</v>
      </c>
      <c r="N54" s="1050">
        <f>'15.PPP Annex'!N29</f>
        <v>30000</v>
      </c>
      <c r="O54" s="476">
        <f>'15.PPP Annex'!O29</f>
        <v>300</v>
      </c>
      <c r="P54" s="1051" t="str">
        <f>'15.PPP Annex'!P29</f>
        <v>Private Provider Incentives- NTEP DBT Scheme @Rs. 500/- per notification and Rs. 500/- when treatment outcome declared.</v>
      </c>
      <c r="Q54" s="130"/>
      <c r="R54" s="124"/>
    </row>
    <row r="55" spans="1:18" ht="135">
      <c r="A55" s="990" t="str">
        <f>'15.PPP Annex'!A30</f>
        <v>15.3..3.4</v>
      </c>
      <c r="B55" s="990" t="str">
        <f>'15.PPP Annex'!B30</f>
        <v>15.5.4</v>
      </c>
      <c r="C55" s="78" t="str">
        <f>'15.PPP Annex'!C30</f>
        <v>Multi-sectoral collaboration activities</v>
      </c>
      <c r="D55" s="990" t="str">
        <f>'15.PPP Annex'!D30</f>
        <v>NDCP</v>
      </c>
      <c r="E55" s="990" t="str">
        <f>'15.PPP Annex'!E30</f>
        <v>NTEP</v>
      </c>
      <c r="F55" s="1045">
        <f>'15.PPP Annex'!F30</f>
        <v>0</v>
      </c>
      <c r="G55" s="1045">
        <f>'15.PPP Annex'!G30</f>
        <v>0</v>
      </c>
      <c r="H55" s="1045">
        <f>'15.PPP Annex'!H30</f>
        <v>0</v>
      </c>
      <c r="I55" s="1045">
        <f>'15.PPP Annex'!I30</f>
        <v>4.3</v>
      </c>
      <c r="J55" s="1045">
        <f>'15.PPP Annex'!J30</f>
        <v>0</v>
      </c>
      <c r="K55" s="1045">
        <f>'15.PPP Annex'!K30</f>
        <v>0</v>
      </c>
      <c r="L55" s="1045">
        <f>'15.PPP Annex'!L30</f>
        <v>430000</v>
      </c>
      <c r="M55" s="136">
        <f>'15.PPP Annex'!M30</f>
        <v>4.3</v>
      </c>
      <c r="N55" s="1045">
        <f>'15.PPP Annex'!N30</f>
        <v>1</v>
      </c>
      <c r="O55" s="136">
        <f>'15.PPP Annex'!O30</f>
        <v>4.3</v>
      </c>
      <c r="P55" s="1049" t="str">
        <f>'15.PPP Annex'!P30</f>
        <v>Activities for collaborating with other line departments and organizations (eg: AYUSH, Directorates of Labour, Rural Development, Urban Development, Industries, PRI, Railways, Postal Department, etc ( state level-@INR 25000/meeting, District level- @INR 5000/meeting). Meeting to be conducted Biannual.00</v>
      </c>
      <c r="Q55" s="130"/>
      <c r="R55" s="124"/>
    </row>
    <row r="56" spans="1:18">
      <c r="A56" s="888">
        <f>'16.PM Annex'!A7</f>
        <v>16</v>
      </c>
      <c r="B56" s="888"/>
      <c r="C56" s="888" t="str">
        <f>'16.PM Annex'!C7</f>
        <v>Programme Management</v>
      </c>
      <c r="D56" s="895"/>
      <c r="E56" s="895"/>
      <c r="F56" s="895"/>
      <c r="G56" s="895"/>
      <c r="H56" s="485"/>
      <c r="I56" s="895"/>
      <c r="J56" s="485"/>
      <c r="K56" s="888"/>
      <c r="L56" s="888"/>
      <c r="M56" s="485"/>
      <c r="N56" s="485"/>
      <c r="O56" s="485">
        <f>SUM(O57:O63)</f>
        <v>563.74</v>
      </c>
      <c r="P56" s="1046"/>
      <c r="Q56" s="99"/>
      <c r="R56" s="99">
        <f>SUM(R57:R63)</f>
        <v>0</v>
      </c>
    </row>
    <row r="57" spans="1:18" ht="60">
      <c r="A57" s="990" t="str">
        <f>'16-A. PM sub Annex'!B41</f>
        <v>16.1.2.1.21</v>
      </c>
      <c r="B57" s="990" t="str">
        <f>'16-A. PM sub Annex'!D41</f>
        <v>H.10</v>
      </c>
      <c r="C57" s="78" t="str">
        <f>'16-A. PM sub Annex'!E41</f>
        <v>Medical Colleges (Any meetings)</v>
      </c>
      <c r="D57" s="990" t="str">
        <f>'16-A. PM sub Annex'!F41</f>
        <v>NDCP</v>
      </c>
      <c r="E57" s="990" t="str">
        <f>'16-A. PM sub Annex'!G41</f>
        <v>HRH&amp;HPIP/NTEP</v>
      </c>
      <c r="F57" s="1045">
        <f>'16-A. PM sub Annex'!H41</f>
        <v>0</v>
      </c>
      <c r="G57" s="1045">
        <f>'16-A. PM sub Annex'!I41</f>
        <v>0</v>
      </c>
      <c r="H57" s="1045">
        <f>'16-A. PM sub Annex'!J41</f>
        <v>4.5999999999999996</v>
      </c>
      <c r="I57" s="1045">
        <f>'16-A. PM sub Annex'!K41</f>
        <v>0</v>
      </c>
      <c r="J57" s="1045">
        <f>'16-A. PM sub Annex'!L41</f>
        <v>0</v>
      </c>
      <c r="K57" s="1045" t="str">
        <f>'16-A. PM sub Annex'!M41</f>
        <v>No. of Meeting</v>
      </c>
      <c r="L57" s="1045">
        <f>'16-A. PM sub Annex'!N41</f>
        <v>400000</v>
      </c>
      <c r="M57" s="136">
        <f>'16-A. PM sub Annex'!O41</f>
        <v>4</v>
      </c>
      <c r="N57" s="1045">
        <f>'16-A. PM sub Annex'!P41</f>
        <v>1</v>
      </c>
      <c r="O57" s="136">
        <f>'16-A. PM sub Annex'!Q41</f>
        <v>4</v>
      </c>
      <c r="P57" s="1049" t="str">
        <f>'16-A. PM sub Annex'!R41</f>
        <v>Organizational cost for STF Meeting, Core Committee meeting cost, Organization of Zonal  OR Workshop (Annexture attached).</v>
      </c>
      <c r="Q57" s="130"/>
      <c r="R57" s="124"/>
    </row>
    <row r="58" spans="1:18" ht="300">
      <c r="A58" s="990" t="str">
        <f>'16-A. PM sub Annex'!B62</f>
        <v>16.1.2.2.13</v>
      </c>
      <c r="B58" s="990" t="str">
        <f>'16-A. PM sub Annex'!D62</f>
        <v>H.19</v>
      </c>
      <c r="C58" s="78" t="str">
        <f>'16-A. PM sub Annex'!E62</f>
        <v>Supervision and Monitoring</v>
      </c>
      <c r="D58" s="990" t="str">
        <f>'16-A. PM sub Annex'!F62</f>
        <v>NDCP</v>
      </c>
      <c r="E58" s="990" t="str">
        <f>'16-A. PM sub Annex'!G62</f>
        <v>HRH&amp;HPIP/NTEP</v>
      </c>
      <c r="F58" s="1045">
        <f>'16-A. PM sub Annex'!H62</f>
        <v>0</v>
      </c>
      <c r="G58" s="1045">
        <f>'16-A. PM sub Annex'!I62</f>
        <v>0</v>
      </c>
      <c r="H58" s="1045">
        <f>'16-A. PM sub Annex'!J62</f>
        <v>32.22</v>
      </c>
      <c r="I58" s="1045">
        <f>'16-A. PM sub Annex'!K62</f>
        <v>4.1500000000000004</v>
      </c>
      <c r="J58" s="1045">
        <f>'16-A. PM sub Annex'!L62</f>
        <v>0</v>
      </c>
      <c r="K58" s="1045" t="str">
        <f>'16-A. PM sub Annex'!M62</f>
        <v>No. of Visite</v>
      </c>
      <c r="L58" s="1045">
        <f>'16-A. PM sub Annex'!N62</f>
        <v>6998000</v>
      </c>
      <c r="M58" s="136">
        <f>'16-A. PM sub Annex'!O62</f>
        <v>69.98</v>
      </c>
      <c r="N58" s="1045">
        <f>'16-A. PM sub Annex'!P62</f>
        <v>1</v>
      </c>
      <c r="O58" s="136">
        <f>'16-A. PM sub Annex'!Q62</f>
        <v>69.98</v>
      </c>
      <c r="P58" s="1049" t="str">
        <f>'16-A. PM sub Annex'!R62</f>
        <v>Expenditure for State internal evaluation, State Supervisory visit, Joint supervisory visit, OSE visit etc. State Internal Evaluation @ 0.80 Lakhs.
TA of Contractual Staff- Regular Supervisory visits to districts, EQA visits etc.
DA of Contractual Staff
Review meeting expenditure- State &amp; Distrct leve. 
PMDT, TB-comorbidty committee meeting expenditure -
DA for regular employee for drugs transporation. 
District level supervisory visit by RNTCP Supervisory staff, DPC &amp; DPPM Co-ordinator etc.
TA &amp; DA of DTO/MODTC for attending the meetings, workshops etc
(Annexure attached)</v>
      </c>
      <c r="Q58" s="130"/>
      <c r="R58" s="124"/>
    </row>
    <row r="59" spans="1:18" ht="90">
      <c r="A59" s="990" t="str">
        <f>'16-A. PM sub Annex'!B81</f>
        <v>16.1.3.1.13</v>
      </c>
      <c r="B59" s="990" t="str">
        <f>'16-A. PM sub Annex'!D81</f>
        <v>H.7</v>
      </c>
      <c r="C59" s="78" t="str">
        <f>'16-A. PM sub Annex'!E81</f>
        <v>Vehicle Operation (POL)</v>
      </c>
      <c r="D59" s="990" t="str">
        <f>'16-A. PM sub Annex'!F81</f>
        <v>NDCP</v>
      </c>
      <c r="E59" s="990" t="str">
        <f>'16-A. PM sub Annex'!G81</f>
        <v>HRH&amp;HPIP/NTEP</v>
      </c>
      <c r="F59" s="1045">
        <f>'16-A. PM sub Annex'!H81</f>
        <v>0</v>
      </c>
      <c r="G59" s="1045">
        <f>'16-A. PM sub Annex'!I81</f>
        <v>0</v>
      </c>
      <c r="H59" s="1045">
        <f>'16-A. PM sub Annex'!J81</f>
        <v>0</v>
      </c>
      <c r="I59" s="1045">
        <f>'16-A. PM sub Annex'!K81</f>
        <v>0</v>
      </c>
      <c r="J59" s="1045">
        <f>'16-A. PM sub Annex'!L81</f>
        <v>0</v>
      </c>
      <c r="K59" s="1045" t="str">
        <f>'16-A. PM sub Annex'!M81</f>
        <v>No. of vehicles</v>
      </c>
      <c r="L59" s="1045">
        <f>'16-A. PM sub Annex'!N81</f>
        <v>17840000</v>
      </c>
      <c r="M59" s="136">
        <f>'16-A. PM sub Annex'!O81</f>
        <v>178.4</v>
      </c>
      <c r="N59" s="1045">
        <f>'16-A. PM sub Annex'!P81</f>
        <v>1</v>
      </c>
      <c r="O59" s="136">
        <f>'16-A. PM sub Annex'!Q81</f>
        <v>178.4</v>
      </c>
      <c r="P59" s="1049" t="str">
        <f>'16-A. PM sub Annex'!R81</f>
        <v>Vehicle Operation (POL &amp; Maintainance) for STC, STDC, DTO- Four wheeler -6 ( 3Dignostic Mobile Vans, 2Jeep, &amp;1 training Van. 
795- Two-wheelers STS, STLS &amp; DPS etc. for district level. (Annexure attached)</v>
      </c>
      <c r="Q59" s="130"/>
      <c r="R59" s="124"/>
    </row>
    <row r="60" spans="1:18" ht="45">
      <c r="A60" s="990" t="str">
        <f>'16-A. PM sub Annex'!B82</f>
        <v>16.1.3.1.14</v>
      </c>
      <c r="B60" s="990" t="str">
        <f>'16-A. PM sub Annex'!D82</f>
        <v>H.8</v>
      </c>
      <c r="C60" s="78" t="str">
        <f>'16-A. PM sub Annex'!E82</f>
        <v>Vehicle hiring</v>
      </c>
      <c r="D60" s="990" t="str">
        <f>'16-A. PM sub Annex'!F82</f>
        <v>NDCP</v>
      </c>
      <c r="E60" s="990" t="str">
        <f>'16-A. PM sub Annex'!G82</f>
        <v>HRH&amp;HPIP/NTEP</v>
      </c>
      <c r="F60" s="1045">
        <f>'16-A. PM sub Annex'!H82</f>
        <v>0</v>
      </c>
      <c r="G60" s="1045">
        <f>'16-A. PM sub Annex'!I82</f>
        <v>0</v>
      </c>
      <c r="H60" s="1045">
        <f>'16-A. PM sub Annex'!J82</f>
        <v>0</v>
      </c>
      <c r="I60" s="1045">
        <f>'16-A. PM sub Annex'!K82</f>
        <v>0</v>
      </c>
      <c r="J60" s="1045">
        <f>'16-A. PM sub Annex'!L82</f>
        <v>0</v>
      </c>
      <c r="K60" s="1045" t="str">
        <f>'16-A. PM sub Annex'!M82</f>
        <v>No. of vehicles</v>
      </c>
      <c r="L60" s="1045">
        <f>'16-A. PM sub Annex'!N82</f>
        <v>15000000</v>
      </c>
      <c r="M60" s="136">
        <f>'16-A. PM sub Annex'!O82</f>
        <v>150</v>
      </c>
      <c r="N60" s="1045">
        <f>'16-A. PM sub Annex'!P82</f>
        <v>1</v>
      </c>
      <c r="O60" s="136">
        <f>'16-A. PM sub Annex'!Q82</f>
        <v>150</v>
      </c>
      <c r="P60" s="1049" t="str">
        <f>'16-A. PM sub Annex'!R82</f>
        <v>Four Wheeler Vehicle hiring for STC-2, STDC-2, DTOs-38 @ Rs. 3.60 Lac. Each (Annexure attached).</v>
      </c>
      <c r="Q60" s="130"/>
      <c r="R60" s="124"/>
    </row>
    <row r="61" spans="1:18" ht="60">
      <c r="A61" s="990" t="str">
        <f>'16-A. PM sub Annex'!B105</f>
        <v>16.1.3.3.12</v>
      </c>
      <c r="B61" s="990" t="str">
        <f>'16-A. PM sub Annex'!D105</f>
        <v>H.10</v>
      </c>
      <c r="C61" s="78" t="str">
        <f>'16-A. PM sub Annex'!E105</f>
        <v>Medical Colleges (All service delivery to be budgeted under B.30)</v>
      </c>
      <c r="D61" s="990" t="str">
        <f>'16-A. PM sub Annex'!F105</f>
        <v>NDCP</v>
      </c>
      <c r="E61" s="990" t="str">
        <f>'16-A. PM sub Annex'!G105</f>
        <v>HRH&amp;HPIP/NTEP</v>
      </c>
      <c r="F61" s="1045">
        <f>'16-A. PM sub Annex'!H105</f>
        <v>0</v>
      </c>
      <c r="G61" s="1045">
        <f>'16-A. PM sub Annex'!I105</f>
        <v>0</v>
      </c>
      <c r="H61" s="1045">
        <f>'16-A. PM sub Annex'!J105</f>
        <v>0</v>
      </c>
      <c r="I61" s="1045">
        <f>'16-A. PM sub Annex'!K105</f>
        <v>0</v>
      </c>
      <c r="J61" s="1045">
        <f>'16-A. PM sub Annex'!L105</f>
        <v>0</v>
      </c>
      <c r="K61" s="1045" t="str">
        <f>'16-A. PM sub Annex'!M105</f>
        <v>lumpsum</v>
      </c>
      <c r="L61" s="1045">
        <f>'16-A. PM sub Annex'!N105</f>
        <v>10000</v>
      </c>
      <c r="M61" s="136">
        <f>'16-A. PM sub Annex'!O105</f>
        <v>0.1</v>
      </c>
      <c r="N61" s="1045">
        <f>'16-A. PM sub Annex'!P105</f>
        <v>11</v>
      </c>
      <c r="O61" s="136">
        <f>'16-A. PM sub Annex'!Q105</f>
        <v>1.1000000000000001</v>
      </c>
      <c r="P61" s="1049" t="str">
        <f>'16-A. PM sub Annex'!R105</f>
        <v xml:space="preserve">Postage, communication, fax, etc for Medical College @ Rs. 10000/- each medical college. (Annexure attached)
</v>
      </c>
      <c r="Q61" s="130"/>
      <c r="R61" s="124"/>
    </row>
    <row r="62" spans="1:18" ht="75">
      <c r="A62" s="990" t="str">
        <f>'16-A. PM sub Annex'!B129</f>
        <v>16.1.4.1.10</v>
      </c>
      <c r="B62" s="990" t="str">
        <f>'16-A. PM sub Annex'!D129</f>
        <v>H.11</v>
      </c>
      <c r="C62" s="78" t="str">
        <f>'16-A. PM sub Annex'!E129</f>
        <v>Office Operation (Miscellaneous)</v>
      </c>
      <c r="D62" s="990" t="str">
        <f>'16-A. PM sub Annex'!F129</f>
        <v>NDCP</v>
      </c>
      <c r="E62" s="990" t="str">
        <f>'16-A. PM sub Annex'!G129</f>
        <v>HRH&amp;HPIP/NTEP</v>
      </c>
      <c r="F62" s="1045">
        <f>'16-A. PM sub Annex'!H129</f>
        <v>0</v>
      </c>
      <c r="G62" s="1045">
        <f>'16-A. PM sub Annex'!I129</f>
        <v>0</v>
      </c>
      <c r="H62" s="1045">
        <f>'16-A. PM sub Annex'!J129</f>
        <v>0</v>
      </c>
      <c r="I62" s="1045">
        <f>'16-A. PM sub Annex'!K129</f>
        <v>0</v>
      </c>
      <c r="J62" s="1045">
        <f>'16-A. PM sub Annex'!L129</f>
        <v>0</v>
      </c>
      <c r="K62" s="1045" t="str">
        <f>'16-A. PM sub Annex'!M129</f>
        <v>lumpsum</v>
      </c>
      <c r="L62" s="1045">
        <f>'16-A. PM sub Annex'!N129</f>
        <v>16026000</v>
      </c>
      <c r="M62" s="136">
        <f>'16-A. PM sub Annex'!O129</f>
        <v>160.26</v>
      </c>
      <c r="N62" s="1045">
        <f>'16-A. PM sub Annex'!P129</f>
        <v>1</v>
      </c>
      <c r="O62" s="136">
        <f>'16-A. PM sub Annex'!Q129</f>
        <v>160.26</v>
      </c>
      <c r="P62" s="1049" t="str">
        <f>'16-A. PM sub Annex'!R129</f>
        <v>1. State and district level (IRL, SDS, DTC, C&amp;DST Lab., DR-TB Center) Stationary, Telehpone &amp; CUG SIM charge, 2- Helper for SDS, 2-Sweeper for STC &amp;  (Annexure Attached).</v>
      </c>
      <c r="Q62" s="130"/>
      <c r="R62" s="124"/>
    </row>
    <row r="63" spans="1:18" ht="30">
      <c r="A63" s="990" t="str">
        <f>'16-A. PM sub Annex'!B156</f>
        <v>16.1.5.2.4</v>
      </c>
      <c r="B63" s="990" t="str">
        <f>'16-A. PM sub Annex'!D156</f>
        <v>H.7</v>
      </c>
      <c r="C63" s="78" t="str">
        <f>'16-A. PM sub Annex'!E156</f>
        <v>Vehicle Operation (Maintenance)</v>
      </c>
      <c r="D63" s="990" t="str">
        <f>'16-A. PM sub Annex'!F156</f>
        <v>NDCP</v>
      </c>
      <c r="E63" s="990" t="str">
        <f>'16-A. PM sub Annex'!G156</f>
        <v>HRH&amp;HPIP/NTEP</v>
      </c>
      <c r="F63" s="1045">
        <f>'16-A. PM sub Annex'!H156</f>
        <v>0</v>
      </c>
      <c r="G63" s="1045">
        <f>'16-A. PM sub Annex'!I156</f>
        <v>0</v>
      </c>
      <c r="H63" s="1045">
        <f>'16-A. PM sub Annex'!J156</f>
        <v>0</v>
      </c>
      <c r="I63" s="1045">
        <f>'16-A. PM sub Annex'!K156</f>
        <v>0</v>
      </c>
      <c r="J63" s="1045">
        <f>'16-A. PM sub Annex'!L156</f>
        <v>0</v>
      </c>
      <c r="K63" s="1045">
        <f>'16-A. PM sub Annex'!M156</f>
        <v>0</v>
      </c>
      <c r="L63" s="1045">
        <f>'16-A. PM sub Annex'!N156</f>
        <v>0</v>
      </c>
      <c r="M63" s="136">
        <f>'16-A. PM sub Annex'!O156</f>
        <v>0</v>
      </c>
      <c r="N63" s="1045">
        <f>'16-A. PM sub Annex'!P156</f>
        <v>0</v>
      </c>
      <c r="O63" s="136">
        <f>'16-A. PM sub Annex'!Q156</f>
        <v>0</v>
      </c>
      <c r="P63" s="1049">
        <f>'16-A. PM sub Annex'!R156</f>
        <v>0</v>
      </c>
      <c r="Q63" s="130"/>
      <c r="R63" s="124"/>
    </row>
    <row r="64" spans="1:18">
      <c r="Q64" s="901"/>
      <c r="R64" s="1036"/>
    </row>
    <row r="65" spans="1:18">
      <c r="Q65" s="901"/>
      <c r="R65" s="1036"/>
    </row>
    <row r="66" spans="1:18" s="950" customFormat="1">
      <c r="A66" s="4635" t="s">
        <v>5704</v>
      </c>
      <c r="B66" s="4635"/>
      <c r="C66" s="4635"/>
      <c r="D66" s="334"/>
      <c r="E66" s="334"/>
      <c r="F66" s="334"/>
      <c r="G66" s="334"/>
      <c r="H66" s="240"/>
      <c r="I66" s="334"/>
      <c r="J66" s="240"/>
      <c r="K66" s="1022"/>
      <c r="L66" s="1022"/>
      <c r="M66" s="240"/>
      <c r="N66" s="1012"/>
      <c r="O66" s="969"/>
      <c r="P66" s="964"/>
      <c r="Q66" s="977"/>
      <c r="R66" s="978"/>
    </row>
    <row r="67" spans="1:18" s="950" customFormat="1">
      <c r="A67" s="970" t="str">
        <f>'NUHM-Non Metro Abst'!A14</f>
        <v>U.1.1.1.4</v>
      </c>
      <c r="B67" s="970">
        <f>'NUHM-Non Metro Abst'!B14</f>
        <v>0</v>
      </c>
      <c r="C67" s="970" t="str">
        <f>'NUHM-Non Metro Abst'!C14</f>
        <v>Support for implementation of NTEP</v>
      </c>
      <c r="D67" s="630"/>
      <c r="E67" s="970" t="str">
        <f>'NUHM-Non Metro Abst'!D14</f>
        <v>NTEP</v>
      </c>
      <c r="F67" s="970">
        <f>'NUHM-Non Metro Abst'!E14</f>
        <v>0</v>
      </c>
      <c r="G67" s="970">
        <f>'NUHM-Non Metro Abst'!F14</f>
        <v>0</v>
      </c>
      <c r="H67" s="970">
        <f>'NUHM-Non Metro Abst'!G14</f>
        <v>0</v>
      </c>
      <c r="I67" s="970">
        <f>'NUHM-Non Metro Abst'!H14</f>
        <v>0</v>
      </c>
      <c r="J67" s="970">
        <f>'NUHM-Non Metro Abst'!I14</f>
        <v>0</v>
      </c>
      <c r="K67" s="970">
        <f>'NUHM-Non Metro Abst'!J14</f>
        <v>0</v>
      </c>
      <c r="L67" s="970">
        <f>'NUHM-Non Metro Abst'!K14</f>
        <v>0</v>
      </c>
      <c r="M67" s="970">
        <f>'NUHM-Non Metro Abst'!L14</f>
        <v>0</v>
      </c>
      <c r="N67" s="970">
        <f>'NUHM-Non Metro Abst'!M14</f>
        <v>0</v>
      </c>
      <c r="O67" s="970">
        <f>'NUHM-Non Metro Abst'!N14</f>
        <v>0</v>
      </c>
      <c r="P67" s="970">
        <f>'NUHM-Non Metro Abst'!O14</f>
        <v>0</v>
      </c>
      <c r="Q67" s="63"/>
      <c r="R67" s="979"/>
    </row>
    <row r="68" spans="1:18" s="950" customFormat="1">
      <c r="A68" s="4635" t="s">
        <v>5703</v>
      </c>
      <c r="B68" s="4635"/>
      <c r="C68" s="4635"/>
      <c r="D68" s="334"/>
      <c r="E68" s="334"/>
      <c r="F68" s="334"/>
      <c r="G68" s="334"/>
      <c r="H68" s="240"/>
      <c r="I68" s="334"/>
      <c r="J68" s="240"/>
      <c r="K68" s="1022"/>
      <c r="L68" s="1022"/>
      <c r="M68" s="240"/>
      <c r="N68" s="1012"/>
      <c r="O68" s="969"/>
      <c r="P68" s="964"/>
      <c r="Q68" s="977"/>
      <c r="R68" s="978"/>
    </row>
    <row r="69" spans="1:18" s="950" customFormat="1">
      <c r="A69" s="970" t="str">
        <f>'NUHM Metro Abst'!A14</f>
        <v>U.1.1.1.4</v>
      </c>
      <c r="B69" s="970">
        <f>'NUHM Metro Abst'!B14</f>
        <v>0</v>
      </c>
      <c r="C69" s="970" t="str">
        <f>'NUHM Metro Abst'!C14</f>
        <v>Support for implementation of NTEP</v>
      </c>
      <c r="D69" s="630"/>
      <c r="E69" s="970" t="str">
        <f>'NUHM Metro Abst'!D14</f>
        <v>NTEP</v>
      </c>
      <c r="F69" s="970">
        <f>'NUHM Metro Abst'!E14</f>
        <v>0</v>
      </c>
      <c r="G69" s="970">
        <f>'NUHM Metro Abst'!F14</f>
        <v>0</v>
      </c>
      <c r="H69" s="970">
        <f>'NUHM Metro Abst'!G14</f>
        <v>0</v>
      </c>
      <c r="I69" s="970">
        <f>'NUHM Metro Abst'!H14</f>
        <v>0</v>
      </c>
      <c r="J69" s="970">
        <f>'NUHM Metro Abst'!I14</f>
        <v>0</v>
      </c>
      <c r="K69" s="970">
        <f>'NUHM Metro Abst'!J14</f>
        <v>0</v>
      </c>
      <c r="L69" s="970">
        <f>'NUHM Metro Abst'!K14</f>
        <v>0</v>
      </c>
      <c r="M69" s="970">
        <f>'NUHM Metro Abst'!L14</f>
        <v>0</v>
      </c>
      <c r="N69" s="970">
        <f>'NUHM Metro Abst'!M14</f>
        <v>0</v>
      </c>
      <c r="O69" s="970">
        <f>'NUHM Metro Abst'!N14</f>
        <v>0</v>
      </c>
      <c r="P69" s="970">
        <f>'NUHM Metro Abst'!O14</f>
        <v>0</v>
      </c>
      <c r="Q69" s="63"/>
      <c r="R69" s="63"/>
    </row>
  </sheetData>
  <sheetProtection sheet="1" formatCells="0" formatColumns="0" formatRows="0" autoFilter="0"/>
  <autoFilter ref="A5:M63"/>
  <mergeCells count="17">
    <mergeCell ref="A41:A43"/>
    <mergeCell ref="A66:C66"/>
    <mergeCell ref="A68:C68"/>
    <mergeCell ref="Q4:R4"/>
    <mergeCell ref="E4:E5"/>
    <mergeCell ref="F4:J4"/>
    <mergeCell ref="K4:P4"/>
    <mergeCell ref="A45:A46"/>
    <mergeCell ref="A21:A23"/>
    <mergeCell ref="A24:A25"/>
    <mergeCell ref="A26:A28"/>
    <mergeCell ref="A33:A35"/>
    <mergeCell ref="A1:C1"/>
    <mergeCell ref="A4:A5"/>
    <mergeCell ref="B4:B5"/>
    <mergeCell ref="C4:C5"/>
    <mergeCell ref="D4:D5"/>
  </mergeCells>
  <pageMargins left="0.7" right="0.7" top="0.75" bottom="0.75" header="0.3" footer="0.3"/>
  <pageSetup orientation="portrait" horizontalDpi="4294967295" verticalDpi="4294967295" r:id="rId1"/>
</worksheet>
</file>

<file path=xl/worksheets/sheet46.xml><?xml version="1.0" encoding="utf-8"?>
<worksheet xmlns="http://schemas.openxmlformats.org/spreadsheetml/2006/main" xmlns:r="http://schemas.openxmlformats.org/officeDocument/2006/relationships">
  <sheetPr codeName="Sheet15">
    <tabColor theme="5" tint="0.79998168889431442"/>
  </sheetPr>
  <dimension ref="A1:R50"/>
  <sheetViews>
    <sheetView zoomScale="70" zoomScaleNormal="70" workbookViewId="0">
      <pane xSplit="3" ySplit="5" topLeftCell="D33"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7109375" defaultRowHeight="15"/>
  <cols>
    <col min="1" max="1" width="10.5703125" style="1056" bestFit="1" customWidth="1"/>
    <col min="2" max="2" width="9.28515625" style="1056" customWidth="1"/>
    <col min="3" max="3" width="49.28515625" style="446" customWidth="1"/>
    <col min="4" max="4" width="16.7109375" style="877" customWidth="1"/>
    <col min="5" max="5" width="11.5703125" style="877" customWidth="1"/>
    <col min="6" max="6" width="15.140625" style="1057" customWidth="1"/>
    <col min="7" max="7" width="14.85546875" style="1057" hidden="1" customWidth="1"/>
    <col min="8" max="8" width="15.140625" style="1060" hidden="1" customWidth="1"/>
    <col min="9" max="9" width="10" style="1057" hidden="1" customWidth="1"/>
    <col min="10" max="10" width="11.5703125" style="1060" hidden="1" customWidth="1"/>
    <col min="11" max="11" width="7.5703125" style="1056" customWidth="1"/>
    <col min="12" max="12" width="12.5703125" style="1056" hidden="1" customWidth="1"/>
    <col min="13" max="13" width="11.42578125" style="1060" customWidth="1"/>
    <col min="14" max="14" width="8.7109375" style="877"/>
    <col min="15" max="15" width="13.140625" style="1053" customWidth="1"/>
    <col min="16" max="16" width="65.7109375" style="472" customWidth="1"/>
    <col min="17" max="17" width="42.85546875" style="1052" hidden="1" customWidth="1"/>
    <col min="18" max="18" width="11" style="1053" hidden="1" customWidth="1"/>
    <col min="19" max="16384" width="8.7109375" style="1052"/>
  </cols>
  <sheetData>
    <row r="1" spans="1:18" ht="30">
      <c r="A1" s="4634" t="s">
        <v>3840</v>
      </c>
      <c r="B1" s="4634"/>
      <c r="C1" s="4634"/>
      <c r="D1" s="909"/>
      <c r="E1" s="863"/>
      <c r="F1" s="74" t="s">
        <v>3964</v>
      </c>
      <c r="G1" s="995"/>
      <c r="H1" s="995"/>
      <c r="I1" s="995"/>
      <c r="J1" s="913"/>
      <c r="K1" s="995"/>
      <c r="L1" s="995"/>
      <c r="M1" s="913"/>
    </row>
    <row r="2" spans="1:18">
      <c r="A2" s="868" t="str">
        <f>HYPERLINK("#Index!F3", "Index Pg")</f>
        <v>Index Pg</v>
      </c>
      <c r="B2" s="873"/>
      <c r="C2" s="403" t="str">
        <f>HYPERLINK("#'Budget Summary I'!A1:AL1", "Budget Summary I")</f>
        <v>Budget Summary I</v>
      </c>
      <c r="D2" s="917"/>
      <c r="E2" s="713" t="s">
        <v>4599</v>
      </c>
      <c r="F2" s="135">
        <f>R6+R12+R14+R17+R22+R24+R32+R34+R36+R38+R40</f>
        <v>0</v>
      </c>
      <c r="G2" s="1054"/>
      <c r="H2" s="1054"/>
      <c r="I2" s="1054"/>
      <c r="J2" s="921"/>
      <c r="K2" s="1054"/>
      <c r="L2" s="1054"/>
      <c r="M2" s="921"/>
    </row>
    <row r="3" spans="1:18">
      <c r="A3" s="872"/>
      <c r="B3" s="873"/>
      <c r="C3" s="924" t="str">
        <f>HYPERLINK("#'Budget Summary II'!A3:B5", "Budget Summary II")</f>
        <v>Budget Summary II</v>
      </c>
      <c r="D3" s="917"/>
      <c r="E3" s="1055" t="s">
        <v>4600</v>
      </c>
      <c r="F3" s="335">
        <f>O6+O12+O14+O17+O22+O24+O32+O34+O36+O38+O40</f>
        <v>504.41764999999992</v>
      </c>
      <c r="G3" s="1054"/>
      <c r="H3" s="1054"/>
      <c r="I3" s="1054"/>
      <c r="J3" s="921"/>
      <c r="K3" s="1054"/>
      <c r="M3" s="921"/>
    </row>
    <row r="4" spans="1:18" s="1057" customFormat="1">
      <c r="A4" s="4323" t="s">
        <v>53</v>
      </c>
      <c r="B4" s="4323" t="s">
        <v>54</v>
      </c>
      <c r="C4" s="4323" t="s">
        <v>55</v>
      </c>
      <c r="D4" s="4323" t="s">
        <v>56</v>
      </c>
      <c r="E4" s="4323" t="s">
        <v>57</v>
      </c>
      <c r="F4" s="4409" t="s">
        <v>4620</v>
      </c>
      <c r="G4" s="4409"/>
      <c r="H4" s="4409"/>
      <c r="I4" s="4409"/>
      <c r="J4" s="4409"/>
      <c r="K4" s="4409" t="s">
        <v>4631</v>
      </c>
      <c r="L4" s="4409"/>
      <c r="M4" s="4646"/>
      <c r="N4" s="4409"/>
      <c r="O4" s="4646"/>
      <c r="P4" s="4409"/>
      <c r="Q4" s="4323" t="s">
        <v>4661</v>
      </c>
      <c r="R4" s="4323"/>
    </row>
    <row r="5" spans="1:18" s="1057" customFormat="1"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884">
        <f>'1.SD Facility Based Annex'!A7</f>
        <v>1</v>
      </c>
      <c r="B6" s="884"/>
      <c r="C6" s="884" t="str">
        <f>'1.SD Facility Based Annex'!C7</f>
        <v>Service Delivery - Facility Based</v>
      </c>
      <c r="D6" s="886"/>
      <c r="E6" s="886"/>
      <c r="F6" s="886"/>
      <c r="G6" s="886"/>
      <c r="H6" s="485"/>
      <c r="I6" s="886"/>
      <c r="J6" s="485"/>
      <c r="K6" s="884"/>
      <c r="L6" s="884"/>
      <c r="M6" s="485"/>
      <c r="N6" s="890"/>
      <c r="O6" s="1000">
        <f>SUM(O7:O11)</f>
        <v>39.36</v>
      </c>
      <c r="P6" s="1262"/>
      <c r="Q6" s="999"/>
      <c r="R6" s="1000">
        <f>SUM(R7:R11)</f>
        <v>0</v>
      </c>
    </row>
    <row r="7" spans="1:18" ht="45">
      <c r="A7" s="751" t="str">
        <f>'1.SD Facility Based Annex'!A99</f>
        <v>1.3.1.16</v>
      </c>
      <c r="B7" s="751">
        <f>'1.SD Facility Based Annex'!B99</f>
        <v>0</v>
      </c>
      <c r="C7" s="751" t="str">
        <f>'1.SD Facility Based Annex'!C99</f>
        <v>State lab: Meeting Costs/Office expenses/Contingency</v>
      </c>
      <c r="D7" s="1042" t="str">
        <f>'1.SD Facility Based Annex'!D99</f>
        <v>NDCP</v>
      </c>
      <c r="E7" s="1042" t="str">
        <f>'1.SD Facility Based Annex'!E99</f>
        <v>NVHCP</v>
      </c>
      <c r="F7" s="1042">
        <f>'1.SD Facility Based Annex'!F99</f>
        <v>0</v>
      </c>
      <c r="G7" s="1042">
        <f>'1.SD Facility Based Annex'!G99</f>
        <v>0</v>
      </c>
      <c r="H7" s="1042">
        <f>'1.SD Facility Based Annex'!H99</f>
        <v>4</v>
      </c>
      <c r="I7" s="1042">
        <f>'1.SD Facility Based Annex'!I99</f>
        <v>0</v>
      </c>
      <c r="J7" s="1042">
        <f>'1.SD Facility Based Annex'!J99</f>
        <v>0</v>
      </c>
      <c r="K7" s="1042" t="str">
        <f>'1.SD Facility Based Annex'!K99</f>
        <v>Per state Lab</v>
      </c>
      <c r="L7" s="1042">
        <f>'1.SD Facility Based Annex'!L99</f>
        <v>100000</v>
      </c>
      <c r="M7" s="136">
        <f>'1.SD Facility Based Annex'!M99</f>
        <v>1</v>
      </c>
      <c r="N7" s="1042">
        <f>'1.SD Facility Based Annex'!N99</f>
        <v>4</v>
      </c>
      <c r="O7" s="136">
        <f>'1.SD Facility Based Annex'!O99</f>
        <v>4</v>
      </c>
      <c r="P7" s="1261" t="str">
        <f>'1.SD Facility Based Annex'!P99</f>
        <v>Funds Proposed for 4 State Labs viz:PMCH, Patna, IGIMS, Patna, IGIMS, Patna. Last 3 identified as State Lab eecently this year as they have adeaquate infrastructre &amp; RT-PCR for Viral Load is also available.</v>
      </c>
      <c r="Q7" s="66"/>
      <c r="R7" s="979"/>
    </row>
    <row r="8" spans="1:18" ht="89.25" customHeight="1">
      <c r="A8" s="751" t="str">
        <f>'1.SD Facility Based Annex'!A101</f>
        <v>1.3.1.17.1</v>
      </c>
      <c r="B8" s="751">
        <f>'1.SD Facility Based Annex'!B101</f>
        <v>0</v>
      </c>
      <c r="C8" s="751" t="str">
        <f>'1.SD Facility Based Annex'!C101</f>
        <v>MTC: Meeting Costs/Office expenses/Contingency (photocopy, internet/communication/ Resistance testing in selected cases/ Printing M &amp; E tools/ Tablets for M &amp; E if needed) etc)</v>
      </c>
      <c r="D8" s="1042" t="str">
        <f>'1.SD Facility Based Annex'!D101</f>
        <v>NDCP</v>
      </c>
      <c r="E8" s="1042" t="str">
        <f>'1.SD Facility Based Annex'!E101</f>
        <v>NVHCP</v>
      </c>
      <c r="F8" s="1042">
        <f>'1.SD Facility Based Annex'!F101</f>
        <v>0</v>
      </c>
      <c r="G8" s="1042">
        <f>'1.SD Facility Based Annex'!G101</f>
        <v>0</v>
      </c>
      <c r="H8" s="1042">
        <f>'1.SD Facility Based Annex'!H101</f>
        <v>7.2</v>
      </c>
      <c r="I8" s="1042">
        <f>'1.SD Facility Based Annex'!I101</f>
        <v>0</v>
      </c>
      <c r="J8" s="1042">
        <f>'1.SD Facility Based Annex'!J101</f>
        <v>0</v>
      </c>
      <c r="K8" s="1042" t="str">
        <f>'1.SD Facility Based Annex'!K101</f>
        <v>Per model treatement Centre</v>
      </c>
      <c r="L8" s="1042">
        <f>'1.SD Facility Based Annex'!L101</f>
        <v>240000</v>
      </c>
      <c r="M8" s="136">
        <f>'1.SD Facility Based Annex'!M101</f>
        <v>2.4</v>
      </c>
      <c r="N8" s="1042">
        <f>'1.SD Facility Based Annex'!N101</f>
        <v>3</v>
      </c>
      <c r="O8" s="136">
        <f>'1.SD Facility Based Annex'!O101</f>
        <v>7.1999999999999993</v>
      </c>
      <c r="P8" s="1261" t="str">
        <f>'1.SD Facility Based Annex'!P101</f>
        <v>Fund proposed for 3 MTC viz: PMCH, Patna, IGIMS,Patna &amp; AIIMS, Patna.</v>
      </c>
      <c r="Q8" s="66"/>
      <c r="R8" s="979"/>
    </row>
    <row r="9" spans="1:18" ht="49.5" customHeight="1">
      <c r="A9" s="751" t="str">
        <f>'1.SD Facility Based Annex'!A102</f>
        <v>1.3.1.17.2</v>
      </c>
      <c r="B9" s="751">
        <f>'1.SD Facility Based Annex'!B102</f>
        <v>0</v>
      </c>
      <c r="C9" s="751" t="str">
        <f>'1.SD Facility Based Annex'!C102</f>
        <v>MTC: Management of Hep A &amp; E</v>
      </c>
      <c r="D9" s="1042" t="str">
        <f>'1.SD Facility Based Annex'!D102</f>
        <v>NDCP</v>
      </c>
      <c r="E9" s="1042" t="str">
        <f>'1.SD Facility Based Annex'!E102</f>
        <v>NVHCP</v>
      </c>
      <c r="F9" s="1042">
        <f>'1.SD Facility Based Annex'!F102</f>
        <v>0</v>
      </c>
      <c r="G9" s="1042">
        <f>'1.SD Facility Based Annex'!G102</f>
        <v>0</v>
      </c>
      <c r="H9" s="1042">
        <f>'1.SD Facility Based Annex'!H102</f>
        <v>1.5</v>
      </c>
      <c r="I9" s="1042">
        <f>'1.SD Facility Based Annex'!I102</f>
        <v>0</v>
      </c>
      <c r="J9" s="1042">
        <f>'1.SD Facility Based Annex'!J102</f>
        <v>0</v>
      </c>
      <c r="K9" s="1042" t="str">
        <f>'1.SD Facility Based Annex'!K102</f>
        <v>Per model treatement Centre</v>
      </c>
      <c r="L9" s="1042">
        <f>'1.SD Facility Based Annex'!L102</f>
        <v>50000</v>
      </c>
      <c r="M9" s="136">
        <f>'1.SD Facility Based Annex'!M102</f>
        <v>0.5</v>
      </c>
      <c r="N9" s="1042">
        <f>'1.SD Facility Based Annex'!N102</f>
        <v>3</v>
      </c>
      <c r="O9" s="136">
        <f>'1.SD Facility Based Annex'!O102</f>
        <v>1.5</v>
      </c>
      <c r="P9" s="1261" t="str">
        <f>'1.SD Facility Based Annex'!P102</f>
        <v>Funds proposed for 3 MTC viz: PMCH, Patna, IGIMS, Patna &amp; AIIMS, Patna.</v>
      </c>
      <c r="Q9" s="66"/>
      <c r="R9" s="979"/>
    </row>
    <row r="10" spans="1:18" ht="60">
      <c r="A10" s="751" t="str">
        <f>'1.SD Facility Based Annex'!A104</f>
        <v>1.3.1.18.1</v>
      </c>
      <c r="B10" s="751">
        <f>'1.SD Facility Based Annex'!B104</f>
        <v>0</v>
      </c>
      <c r="C10" s="751" t="str">
        <f>'1.SD Facility Based Annex'!C104</f>
        <v>TC: Meeting Costs/Office expenses/Contingency</v>
      </c>
      <c r="D10" s="1042" t="str">
        <f>'1.SD Facility Based Annex'!D104</f>
        <v>NDCP</v>
      </c>
      <c r="E10" s="1042" t="str">
        <f>'1.SD Facility Based Annex'!E104</f>
        <v>NVHCP</v>
      </c>
      <c r="F10" s="1042">
        <f>'1.SD Facility Based Annex'!F104</f>
        <v>0</v>
      </c>
      <c r="G10" s="1042">
        <f>'1.SD Facility Based Annex'!G104</f>
        <v>0</v>
      </c>
      <c r="H10" s="1042">
        <f>'1.SD Facility Based Annex'!H104</f>
        <v>5.16</v>
      </c>
      <c r="I10" s="1042">
        <f>'1.SD Facility Based Annex'!I104</f>
        <v>0</v>
      </c>
      <c r="J10" s="1042">
        <f>'1.SD Facility Based Annex'!J104</f>
        <v>0</v>
      </c>
      <c r="K10" s="1042" t="str">
        <f>'1.SD Facility Based Annex'!K104</f>
        <v>Per treatement Centre</v>
      </c>
      <c r="L10" s="1042">
        <f>'1.SD Facility Based Annex'!L104</f>
        <v>12000</v>
      </c>
      <c r="M10" s="136">
        <f>'1.SD Facility Based Annex'!M104</f>
        <v>0.12</v>
      </c>
      <c r="N10" s="1042">
        <f>'1.SD Facility Based Annex'!N104</f>
        <v>43</v>
      </c>
      <c r="O10" s="136">
        <f>'1.SD Facility Based Annex'!O104</f>
        <v>5.16</v>
      </c>
      <c r="P10" s="1261" t="str">
        <f>'1.SD Facility Based Annex'!P104</f>
        <v xml:space="preserve">Funds proposed for 43 TCs (SDH, Benipur, Darbhanga &amp; DH, GGS, Patna added in last FY) </v>
      </c>
      <c r="Q10" s="66"/>
      <c r="R10" s="979"/>
    </row>
    <row r="11" spans="1:18" ht="45">
      <c r="A11" s="751" t="str">
        <f>'1.SD Facility Based Annex'!A105</f>
        <v>1.3.1.18.2</v>
      </c>
      <c r="B11" s="751">
        <f>'1.SD Facility Based Annex'!B105</f>
        <v>0</v>
      </c>
      <c r="C11" s="751" t="str">
        <f>'1.SD Facility Based Annex'!C105</f>
        <v>TC: Management of Hep A &amp; E</v>
      </c>
      <c r="D11" s="1042" t="str">
        <f>'1.SD Facility Based Annex'!D105</f>
        <v>NDCP</v>
      </c>
      <c r="E11" s="1042" t="str">
        <f>'1.SD Facility Based Annex'!E105</f>
        <v>NVHCP</v>
      </c>
      <c r="F11" s="1042">
        <f>'1.SD Facility Based Annex'!F105</f>
        <v>0</v>
      </c>
      <c r="G11" s="1042">
        <f>'1.SD Facility Based Annex'!G105</f>
        <v>0</v>
      </c>
      <c r="H11" s="1042">
        <f>'1.SD Facility Based Annex'!H105</f>
        <v>21.5</v>
      </c>
      <c r="I11" s="1042">
        <f>'1.SD Facility Based Annex'!I105</f>
        <v>0</v>
      </c>
      <c r="J11" s="1042">
        <f>'1.SD Facility Based Annex'!J105</f>
        <v>0</v>
      </c>
      <c r="K11" s="1042" t="str">
        <f>'1.SD Facility Based Annex'!K105</f>
        <v>Pertreatement Centre</v>
      </c>
      <c r="L11" s="1042">
        <f>'1.SD Facility Based Annex'!L105</f>
        <v>50000</v>
      </c>
      <c r="M11" s="136">
        <f>'1.SD Facility Based Annex'!M105</f>
        <v>0.5</v>
      </c>
      <c r="N11" s="1042">
        <f>'1.SD Facility Based Annex'!N105</f>
        <v>43</v>
      </c>
      <c r="O11" s="136">
        <f>'1.SD Facility Based Annex'!O105</f>
        <v>21.5</v>
      </c>
      <c r="P11" s="1261" t="str">
        <f>'1.SD Facility Based Annex'!P105</f>
        <v xml:space="preserve">Funds proposed for 43 TCs (SDH, Benipur, Darbhanga &amp; DH, GGS, Patna added in last FY) </v>
      </c>
      <c r="Q11" s="66"/>
      <c r="R11" s="979"/>
    </row>
    <row r="12" spans="1:18">
      <c r="A12" s="203">
        <f>'2.SD Community Based Annex'!A7</f>
        <v>2</v>
      </c>
      <c r="B12" s="203"/>
      <c r="C12" s="203" t="str">
        <f>'2.SD Community Based Annex'!C7</f>
        <v>Service Delivery - Community Based</v>
      </c>
      <c r="D12" s="838"/>
      <c r="E12" s="838"/>
      <c r="F12" s="838"/>
      <c r="G12" s="838"/>
      <c r="H12" s="485"/>
      <c r="I12" s="838"/>
      <c r="J12" s="485"/>
      <c r="K12" s="203"/>
      <c r="L12" s="203"/>
      <c r="M12" s="485"/>
      <c r="N12" s="890"/>
      <c r="O12" s="1000">
        <f>O13</f>
        <v>0</v>
      </c>
      <c r="P12" s="1262"/>
      <c r="Q12" s="1005"/>
      <c r="R12" s="1006">
        <f>R13</f>
        <v>0</v>
      </c>
    </row>
    <row r="13" spans="1:18" ht="45">
      <c r="A13" s="751" t="str">
        <f>'2.SD Community Based Annex'!A45</f>
        <v>2.3.1.11</v>
      </c>
      <c r="B13" s="751">
        <f>'2.SD Community Based Annex'!B45</f>
        <v>0</v>
      </c>
      <c r="C13" s="889" t="str">
        <f>'2.SD Community Based Annex'!C45</f>
        <v>Outreach for demand generation, testing and treatment of Viral Hepatitis through Mobile Medical Units/NGOs/CBOs/etc</v>
      </c>
      <c r="D13" s="887" t="str">
        <f>'2.SD Community Based Annex'!D45</f>
        <v>NDCP</v>
      </c>
      <c r="E13" s="887" t="str">
        <f>'2.SD Community Based Annex'!E45</f>
        <v>NVHCP</v>
      </c>
      <c r="F13" s="887">
        <f>'2.SD Community Based Annex'!F45</f>
        <v>0</v>
      </c>
      <c r="G13" s="887">
        <f>'2.SD Community Based Annex'!G45</f>
        <v>0</v>
      </c>
      <c r="H13" s="887">
        <f>'2.SD Community Based Annex'!H45</f>
        <v>0</v>
      </c>
      <c r="I13" s="887">
        <f>'2.SD Community Based Annex'!I45</f>
        <v>0</v>
      </c>
      <c r="J13" s="887">
        <f>'2.SD Community Based Annex'!J45</f>
        <v>0</v>
      </c>
      <c r="K13" s="887">
        <f>'2.SD Community Based Annex'!K45</f>
        <v>0</v>
      </c>
      <c r="L13" s="887">
        <f>'2.SD Community Based Annex'!L45</f>
        <v>0</v>
      </c>
      <c r="M13" s="476">
        <f>'2.SD Community Based Annex'!M45</f>
        <v>0</v>
      </c>
      <c r="N13" s="887">
        <f>'2.SD Community Based Annex'!N45</f>
        <v>0</v>
      </c>
      <c r="O13" s="476">
        <f>'2.SD Community Based Annex'!O45</f>
        <v>0</v>
      </c>
      <c r="P13" s="1258">
        <f>'2.SD Community Based Annex'!P45</f>
        <v>0</v>
      </c>
      <c r="Q13" s="66"/>
      <c r="R13" s="979"/>
    </row>
    <row r="14" spans="1:18">
      <c r="A14" s="203">
        <f>'3.Community Intervention Annexn'!A7</f>
        <v>3</v>
      </c>
      <c r="B14" s="203"/>
      <c r="C14" s="203" t="str">
        <f>'3.Community Intervention Annexn'!C7</f>
        <v>Community Interventions</v>
      </c>
      <c r="D14" s="838"/>
      <c r="E14" s="838"/>
      <c r="F14" s="838"/>
      <c r="G14" s="838"/>
      <c r="H14" s="485"/>
      <c r="I14" s="838"/>
      <c r="J14" s="485"/>
      <c r="K14" s="203"/>
      <c r="L14" s="203"/>
      <c r="M14" s="485"/>
      <c r="N14" s="890"/>
      <c r="O14" s="1000">
        <f>SUM(O15:O16)</f>
        <v>17.3</v>
      </c>
      <c r="P14" s="1262"/>
      <c r="Q14" s="1005"/>
      <c r="R14" s="1006">
        <f>SUM(R15:R16)</f>
        <v>0</v>
      </c>
    </row>
    <row r="15" spans="1:18" ht="45">
      <c r="A15" s="4645" t="str">
        <f>'3.Community Intervention Annexn'!A39</f>
        <v>3.2.2.3</v>
      </c>
      <c r="B15" s="751"/>
      <c r="C15" s="751" t="str">
        <f>'3-A. CI Sub-Annex'!D113</f>
        <v>Incentives for Peer Educators under NVHCP</v>
      </c>
      <c r="D15" s="1042" t="str">
        <f>'3-A. CI Sub-Annex'!E113</f>
        <v>NDCP</v>
      </c>
      <c r="E15" s="1042" t="str">
        <f>'3-A. CI Sub-Annex'!F113</f>
        <v>NVHCP</v>
      </c>
      <c r="F15" s="1042">
        <f>'3-A. CI Sub-Annex'!G113</f>
        <v>0</v>
      </c>
      <c r="G15" s="1042">
        <f>'3-A. CI Sub-Annex'!H113</f>
        <v>0</v>
      </c>
      <c r="H15" s="1042">
        <f>'3-A. CI Sub-Annex'!I113</f>
        <v>0</v>
      </c>
      <c r="I15" s="1042">
        <f>'3-A. CI Sub-Annex'!J113</f>
        <v>0</v>
      </c>
      <c r="J15" s="1042">
        <f>'3-A. CI Sub-Annex'!K113</f>
        <v>0</v>
      </c>
      <c r="K15" s="1042">
        <f>'3-A. CI Sub-Annex'!L113</f>
        <v>0</v>
      </c>
      <c r="L15" s="1042">
        <f>'3-A. CI Sub-Annex'!M113</f>
        <v>1680000</v>
      </c>
      <c r="M15" s="136">
        <f>'3-A. CI Sub-Annex'!N113</f>
        <v>16.8</v>
      </c>
      <c r="N15" s="1042">
        <f>'3-A. CI Sub-Annex'!O113</f>
        <v>1</v>
      </c>
      <c r="O15" s="136">
        <f>'3-A. CI Sub-Annex'!P113</f>
        <v>16.8</v>
      </c>
      <c r="P15" s="1261" t="str">
        <f>'3-A. CI Sub-Annex'!Q113</f>
        <v>It is planned to utilise the existing infrastructre by incentivizing the 20 peer educators at ART centre and remaining 18 peer educators from RBSK @Rs-3600</v>
      </c>
      <c r="Q15" s="66"/>
      <c r="R15" s="979"/>
    </row>
    <row r="16" spans="1:18" ht="45">
      <c r="A16" s="4645"/>
      <c r="B16" s="751"/>
      <c r="C16" s="889" t="str">
        <f>'3-A. CI Sub-Annex'!D114</f>
        <v>Engagement with NGO CBO(Community Based Organisations) for outreach</v>
      </c>
      <c r="D16" s="887" t="str">
        <f>'3-A. CI Sub-Annex'!E114</f>
        <v>NDCP</v>
      </c>
      <c r="E16" s="887" t="str">
        <f>'3-A. CI Sub-Annex'!F114</f>
        <v>NVHCP</v>
      </c>
      <c r="F16" s="887">
        <f>'3-A. CI Sub-Annex'!G114</f>
        <v>0</v>
      </c>
      <c r="G16" s="887">
        <f>'3-A. CI Sub-Annex'!H114</f>
        <v>0</v>
      </c>
      <c r="H16" s="887">
        <f>'3-A. CI Sub-Annex'!I114</f>
        <v>0</v>
      </c>
      <c r="I16" s="887">
        <f>'3-A. CI Sub-Annex'!J114</f>
        <v>0</v>
      </c>
      <c r="J16" s="887">
        <f>'3-A. CI Sub-Annex'!K114</f>
        <v>0</v>
      </c>
      <c r="K16" s="887" t="str">
        <f>'3-A. CI Sub-Annex'!L114</f>
        <v>Per Meeting</v>
      </c>
      <c r="L16" s="887">
        <f>'3-A. CI Sub-Annex'!M114</f>
        <v>50000</v>
      </c>
      <c r="M16" s="476">
        <f>'3-A. CI Sub-Annex'!N114</f>
        <v>0.5</v>
      </c>
      <c r="N16" s="887">
        <f>'3-A. CI Sub-Annex'!O114</f>
        <v>1</v>
      </c>
      <c r="O16" s="476">
        <f>'3-A. CI Sub-Annex'!P114</f>
        <v>0.5</v>
      </c>
      <c r="P16" s="1258" t="str">
        <f>'3-A. CI Sub-Annex'!Q114</f>
        <v>Funds proposed for meeting with NGOs at State Level.</v>
      </c>
      <c r="Q16" s="66"/>
      <c r="R16" s="979"/>
    </row>
    <row r="17" spans="1:18">
      <c r="A17" s="985">
        <f>'6.Procurement Annex'!A7</f>
        <v>6</v>
      </c>
      <c r="B17" s="985"/>
      <c r="C17" s="985" t="str">
        <f>'6.Procurement Annex'!C7</f>
        <v>Procurement</v>
      </c>
      <c r="D17" s="984"/>
      <c r="E17" s="984"/>
      <c r="F17" s="984"/>
      <c r="G17" s="984"/>
      <c r="H17" s="485"/>
      <c r="I17" s="984"/>
      <c r="J17" s="485"/>
      <c r="K17" s="985"/>
      <c r="L17" s="985"/>
      <c r="M17" s="485"/>
      <c r="N17" s="890"/>
      <c r="O17" s="1000">
        <f>SUM(O18:O21)</f>
        <v>387.38364999999999</v>
      </c>
      <c r="P17" s="1262"/>
      <c r="Q17" s="1005"/>
      <c r="R17" s="1006">
        <f>SUM(R18:R21)</f>
        <v>0</v>
      </c>
    </row>
    <row r="18" spans="1:18" ht="30">
      <c r="A18" s="4246" t="str">
        <f>'6.Procurement Annex'!A75</f>
        <v>6.2.3.4</v>
      </c>
      <c r="B18" s="78">
        <f>'6-A. Proc. Sub-Annex'!C240</f>
        <v>0</v>
      </c>
      <c r="C18" s="78" t="str">
        <f>'6-A. Proc. Sub-Annex'!D240</f>
        <v>Drugs</v>
      </c>
      <c r="D18" s="990" t="str">
        <f>'6-A. Proc. Sub-Annex'!E240</f>
        <v>NDCP</v>
      </c>
      <c r="E18" s="1259" t="str">
        <f>'6-A. Proc. Sub-Annex'!F240</f>
        <v>NVHCP</v>
      </c>
      <c r="F18" s="990">
        <f>'6-A. Proc. Sub-Annex'!G240</f>
        <v>0</v>
      </c>
      <c r="G18" s="990">
        <f>'6-A. Proc. Sub-Annex'!H240</f>
        <v>0</v>
      </c>
      <c r="H18" s="990">
        <f>'6-A. Proc. Sub-Annex'!I240</f>
        <v>712.31</v>
      </c>
      <c r="I18" s="990">
        <f>'6-A. Proc. Sub-Annex'!J240</f>
        <v>0</v>
      </c>
      <c r="J18" s="990">
        <f>'6-A. Proc. Sub-Annex'!K240</f>
        <v>0</v>
      </c>
      <c r="K18" s="990" t="str">
        <f>'6-A. Proc. Sub-Annex'!L240</f>
        <v>Miss.</v>
      </c>
      <c r="L18" s="990">
        <f>'6-A. Proc. Sub-Annex'!M240</f>
        <v>12813343</v>
      </c>
      <c r="M18" s="136">
        <f>'6-A. Proc. Sub-Annex'!N240</f>
        <v>128.13343</v>
      </c>
      <c r="N18" s="1259">
        <f>'6-A. Proc. Sub-Annex'!O240</f>
        <v>1</v>
      </c>
      <c r="O18" s="136">
        <f>'6-A. Proc. Sub-Annex'!P240</f>
        <v>128.13343</v>
      </c>
      <c r="P18" s="1260" t="str">
        <f>'6-A. Proc. Sub-Annex'!Q240</f>
        <v>Funds Proposed for Hep B, HBIG &amp; Hep C Drugs. Details attached as annexure.</v>
      </c>
      <c r="Q18" s="66"/>
      <c r="R18" s="979"/>
    </row>
    <row r="19" spans="1:18" ht="60">
      <c r="A19" s="4246"/>
      <c r="B19" s="78">
        <f>'6-A. Proc. Sub-Annex'!C241</f>
        <v>0</v>
      </c>
      <c r="C19" s="78" t="str">
        <f>'6-A. Proc. Sub-Annex'!D241</f>
        <v>Kits</v>
      </c>
      <c r="D19" s="990" t="str">
        <f>'6-A. Proc. Sub-Annex'!E241</f>
        <v>NDCP</v>
      </c>
      <c r="E19" s="1259" t="str">
        <f>'6-A. Proc. Sub-Annex'!F241</f>
        <v>NVHCP</v>
      </c>
      <c r="F19" s="990">
        <f>'6-A. Proc. Sub-Annex'!G241</f>
        <v>0</v>
      </c>
      <c r="G19" s="990">
        <f>'6-A. Proc. Sub-Annex'!H241</f>
        <v>0</v>
      </c>
      <c r="H19" s="990">
        <f>'6-A. Proc. Sub-Annex'!I241</f>
        <v>978.54</v>
      </c>
      <c r="I19" s="990">
        <f>'6-A. Proc. Sub-Annex'!J241</f>
        <v>0</v>
      </c>
      <c r="J19" s="990">
        <f>'6-A. Proc. Sub-Annex'!K241</f>
        <v>0</v>
      </c>
      <c r="K19" s="990" t="str">
        <f>'6-A. Proc. Sub-Annex'!L241</f>
        <v>Miss.</v>
      </c>
      <c r="L19" s="990">
        <f>'6-A. Proc. Sub-Annex'!M241</f>
        <v>19580022</v>
      </c>
      <c r="M19" s="136">
        <f>'6-A. Proc. Sub-Annex'!N241</f>
        <v>195.80022</v>
      </c>
      <c r="N19" s="1259">
        <f>'6-A. Proc. Sub-Annex'!O241</f>
        <v>1</v>
      </c>
      <c r="O19" s="136">
        <f>'6-A. Proc. Sub-Annex'!P241</f>
        <v>195.80022</v>
      </c>
      <c r="P19" s="1260" t="str">
        <f>'6-A. Proc. Sub-Annex'!Q241</f>
        <v xml:space="preserve">Funds Proposed for screening of Hep-B &amp; C High Risk groups, HCWs, Thalassemics, Haemophiliacs, ANC registered mothers, PLHIV. For confirmatory testing Viral Load (RTPCR) , Consumable items. Details attached as annexure. </v>
      </c>
      <c r="Q19" s="66"/>
      <c r="R19" s="979"/>
    </row>
    <row r="20" spans="1:18" ht="60">
      <c r="A20" s="4246"/>
      <c r="B20" s="78">
        <f>'6-A. Proc. Sub-Annex'!C242</f>
        <v>0</v>
      </c>
      <c r="C20" s="78" t="str">
        <f>'6-A. Proc. Sub-Annex'!D242</f>
        <v>Consumables for laboratory under NVHCP (plasticware, RUP, evacuated vacuum tubes, waste disposal bags, Kit for HBsAg titre, grant for calibration of small equipment, money for EQAS)</v>
      </c>
      <c r="D20" s="990" t="str">
        <f>'6-A. Proc. Sub-Annex'!E242</f>
        <v>NDCP</v>
      </c>
      <c r="E20" s="1259" t="str">
        <f>'6-A. Proc. Sub-Annex'!F242</f>
        <v>NVHCP</v>
      </c>
      <c r="F20" s="990">
        <f>'6-A. Proc. Sub-Annex'!G242</f>
        <v>0</v>
      </c>
      <c r="G20" s="990">
        <f>'6-A. Proc. Sub-Annex'!H242</f>
        <v>0</v>
      </c>
      <c r="H20" s="990">
        <f>'6-A. Proc. Sub-Annex'!I242</f>
        <v>63</v>
      </c>
      <c r="I20" s="990">
        <f>'6-A. Proc. Sub-Annex'!J242</f>
        <v>0</v>
      </c>
      <c r="J20" s="990">
        <f>'6-A. Proc. Sub-Annex'!K242</f>
        <v>0</v>
      </c>
      <c r="K20" s="990" t="str">
        <f>'6-A. Proc. Sub-Annex'!L242</f>
        <v>per District lab</v>
      </c>
      <c r="L20" s="990">
        <f>'6-A. Proc. Sub-Annex'!M242</f>
        <v>135000</v>
      </c>
      <c r="M20" s="136">
        <f>'6-A. Proc. Sub-Annex'!N242</f>
        <v>1.35</v>
      </c>
      <c r="N20" s="1259">
        <f>'6-A. Proc. Sub-Annex'!O242</f>
        <v>47</v>
      </c>
      <c r="O20" s="136">
        <f>'6-A. Proc. Sub-Annex'!P242</f>
        <v>63.45</v>
      </c>
      <c r="P20" s="1260" t="str">
        <f>'6-A. Proc. Sub-Annex'!Q242</f>
        <v>Funds Proposed for 4 state lab(PMCH,AIIMS,IGIMS &amp; RMRI)+ 38 District Labs+5MCH, Total-47 Labs</v>
      </c>
      <c r="Q20" s="66"/>
      <c r="R20" s="979"/>
    </row>
    <row r="21" spans="1:18" ht="30">
      <c r="A21" s="4246"/>
      <c r="B21" s="78">
        <f>'6-A. Proc. Sub-Annex'!C243</f>
        <v>0</v>
      </c>
      <c r="C21" s="78" t="str">
        <f>'6-A. Proc. Sub-Annex'!D243</f>
        <v>Consumables for treatment sites (plasticware, RUP, evacuated vacuum tubes, waste disposal bags etc)</v>
      </c>
      <c r="D21" s="990" t="str">
        <f>'6-A. Proc. Sub-Annex'!E243</f>
        <v>NDCP</v>
      </c>
      <c r="E21" s="1259" t="str">
        <f>'6-A. Proc. Sub-Annex'!F243</f>
        <v>NVHCP</v>
      </c>
      <c r="F21" s="990">
        <f>'6-A. Proc. Sub-Annex'!G243</f>
        <v>0</v>
      </c>
      <c r="G21" s="990">
        <f>'6-A. Proc. Sub-Annex'!H243</f>
        <v>0</v>
      </c>
      <c r="H21" s="990">
        <f>'6-A. Proc. Sub-Annex'!I243</f>
        <v>0</v>
      </c>
      <c r="I21" s="990">
        <f>'6-A. Proc. Sub-Annex'!J243</f>
        <v>0</v>
      </c>
      <c r="J21" s="990">
        <f>'6-A. Proc. Sub-Annex'!K243</f>
        <v>0</v>
      </c>
      <c r="K21" s="990">
        <f>'6-A. Proc. Sub-Annex'!L243</f>
        <v>0</v>
      </c>
      <c r="L21" s="990">
        <f>'6-A. Proc. Sub-Annex'!M243</f>
        <v>0</v>
      </c>
      <c r="M21" s="136">
        <f>'6-A. Proc. Sub-Annex'!N243</f>
        <v>0</v>
      </c>
      <c r="N21" s="1259">
        <f>'6-A. Proc. Sub-Annex'!O243</f>
        <v>0</v>
      </c>
      <c r="O21" s="136">
        <f>'6-A. Proc. Sub-Annex'!P243</f>
        <v>0</v>
      </c>
      <c r="P21" s="1260">
        <f>'6-A. Proc. Sub-Annex'!Q243</f>
        <v>0</v>
      </c>
      <c r="Q21" s="66"/>
      <c r="R21" s="979"/>
    </row>
    <row r="22" spans="1:18">
      <c r="A22" s="985">
        <f>'8.Human Resources (SD) Annex'!A7</f>
        <v>8</v>
      </c>
      <c r="B22" s="985"/>
      <c r="C22" s="985" t="str">
        <f>'8.Human Resources (SD) Annex'!C7</f>
        <v>Human Resources</v>
      </c>
      <c r="D22" s="984"/>
      <c r="E22" s="984"/>
      <c r="F22" s="984"/>
      <c r="G22" s="984"/>
      <c r="H22" s="485"/>
      <c r="I22" s="984"/>
      <c r="J22" s="485"/>
      <c r="K22" s="985"/>
      <c r="L22" s="985"/>
      <c r="M22" s="485"/>
      <c r="N22" s="890"/>
      <c r="O22" s="1000">
        <f>O23</f>
        <v>24.9</v>
      </c>
      <c r="P22" s="1262"/>
      <c r="Q22" s="1005"/>
      <c r="R22" s="1006">
        <f>R23</f>
        <v>0</v>
      </c>
    </row>
    <row r="23" spans="1:18" ht="45">
      <c r="A23" s="970" t="str">
        <f>'8.Human Resources (SD) Annex'!A174</f>
        <v>8.4.11</v>
      </c>
      <c r="B23" s="970">
        <f>'8.Human Resources (SD) Annex'!B174</f>
        <v>0</v>
      </c>
      <c r="C23" s="970" t="str">
        <f>'8.Human Resources (SD) Annex'!C174</f>
        <v>Incentives under NVHCP for MO, Pharmacist and LT</v>
      </c>
      <c r="D23" s="989" t="str">
        <f>'8.Human Resources (SD) Annex'!D174</f>
        <v>HSS</v>
      </c>
      <c r="E23" s="1259" t="str">
        <f>'8.Human Resources (SD) Annex'!E174</f>
        <v>NVHCP</v>
      </c>
      <c r="F23" s="989">
        <f>'8.Human Resources (SD) Annex'!F174</f>
        <v>0</v>
      </c>
      <c r="G23" s="989">
        <f>'8.Human Resources (SD) Annex'!G174</f>
        <v>0</v>
      </c>
      <c r="H23" s="989">
        <f>'8.Human Resources (SD) Annex'!H174</f>
        <v>0</v>
      </c>
      <c r="I23" s="989">
        <f>'8.Human Resources (SD) Annex'!I174</f>
        <v>0</v>
      </c>
      <c r="J23" s="989">
        <f>'8.Human Resources (SD) Annex'!J174</f>
        <v>0</v>
      </c>
      <c r="K23" s="989" t="str">
        <f>'8.Human Resources (SD) Annex'!L174</f>
        <v>Miss.(Incentives)</v>
      </c>
      <c r="L23" s="989">
        <f>'8.Human Resources (SD) Annex'!M174</f>
        <v>2490000</v>
      </c>
      <c r="M23" s="945">
        <f>'8.Human Resources (SD) Annex'!N174</f>
        <v>24.9</v>
      </c>
      <c r="N23" s="1259">
        <f>'8.Human Resources (SD) Annex'!O174</f>
        <v>1</v>
      </c>
      <c r="O23" s="945">
        <f>'8.Human Resources (SD) Annex'!P174</f>
        <v>24.9</v>
      </c>
      <c r="P23" s="1260" t="str">
        <f>'8.Human Resources (SD) Annex'!Q174</f>
        <v>Funds Proposed for incentives for Medical officers 400*10*12*46 and Lab technicians 500*12*47. Post of Pharmacist and Lab Technician is approved and recruitment is under process.</v>
      </c>
      <c r="Q23" s="66"/>
      <c r="R23" s="979"/>
    </row>
    <row r="24" spans="1:18">
      <c r="A24" s="985">
        <f>'9.Training Annex'!A7</f>
        <v>9</v>
      </c>
      <c r="B24" s="985"/>
      <c r="C24" s="985" t="str">
        <f>'9.Training Annex'!C7</f>
        <v>Training and Capacity Building</v>
      </c>
      <c r="D24" s="984"/>
      <c r="E24" s="984"/>
      <c r="F24" s="984"/>
      <c r="G24" s="984"/>
      <c r="H24" s="485"/>
      <c r="I24" s="984"/>
      <c r="J24" s="485"/>
      <c r="K24" s="985"/>
      <c r="L24" s="985"/>
      <c r="M24" s="485"/>
      <c r="N24" s="890"/>
      <c r="O24" s="1000">
        <f>SUM(O25:O31)</f>
        <v>14</v>
      </c>
      <c r="P24" s="1262"/>
      <c r="Q24" s="1005"/>
      <c r="R24" s="1006">
        <f>SUM(R25:R31)</f>
        <v>0</v>
      </c>
    </row>
    <row r="25" spans="1:18" ht="45">
      <c r="A25" s="4633" t="str">
        <f>'9.Training Annex'!A51</f>
        <v>9.2.3.5</v>
      </c>
      <c r="B25" s="78"/>
      <c r="C25" s="78" t="str">
        <f>'9-A.Training Sub-Annex'!D236</f>
        <v>3 day training of Medical Officer of the Model Treatment Centre  (15 Medical officers in each batch)</v>
      </c>
      <c r="D25" s="990" t="str">
        <f>'9-A.Training Sub-Annex'!E236</f>
        <v>NDCP</v>
      </c>
      <c r="E25" s="1259" t="str">
        <f>'9-A.Training Sub-Annex'!F236</f>
        <v>NVHCP</v>
      </c>
      <c r="F25" s="990">
        <f>'9-A.Training Sub-Annex'!G236</f>
        <v>0</v>
      </c>
      <c r="G25" s="990">
        <f>'9-A.Training Sub-Annex'!H236</f>
        <v>0</v>
      </c>
      <c r="H25" s="990">
        <f>'9-A.Training Sub-Annex'!I236</f>
        <v>5</v>
      </c>
      <c r="I25" s="990">
        <f>'9-A.Training Sub-Annex'!J236</f>
        <v>0</v>
      </c>
      <c r="J25" s="990">
        <f>'9-A.Training Sub-Annex'!K236</f>
        <v>0</v>
      </c>
      <c r="K25" s="990" t="str">
        <f>'9-A.Training Sub-Annex'!L236</f>
        <v>Per Training</v>
      </c>
      <c r="L25" s="990">
        <f>'9-A.Training Sub-Annex'!M236</f>
        <v>250000</v>
      </c>
      <c r="M25" s="136">
        <f>'9-A.Training Sub-Annex'!N236</f>
        <v>2.5</v>
      </c>
      <c r="N25" s="1259">
        <f>'9-A.Training Sub-Annex'!O236</f>
        <v>2</v>
      </c>
      <c r="O25" s="136">
        <f>'9-A.Training Sub-Annex'!P236</f>
        <v>5</v>
      </c>
      <c r="P25" s="1260" t="str">
        <f>'9-A.Training Sub-Annex'!Q236</f>
        <v>Funds proposed for Mos Training in 2 batches statev level.</v>
      </c>
      <c r="Q25" s="66"/>
      <c r="R25" s="979"/>
    </row>
    <row r="26" spans="1:18" ht="45">
      <c r="A26" s="4633"/>
      <c r="B26" s="78"/>
      <c r="C26" s="78" t="str">
        <f>'9-A.Training Sub-Annex'!D237</f>
        <v>5 day training of the lab technicians (15 Lab Technicians in each batch)</v>
      </c>
      <c r="D26" s="990" t="str">
        <f>'9-A.Training Sub-Annex'!E237</f>
        <v>NDCP</v>
      </c>
      <c r="E26" s="1259" t="str">
        <f>'9-A.Training Sub-Annex'!F237</f>
        <v>NVHCP</v>
      </c>
      <c r="F26" s="990">
        <f>'9-A.Training Sub-Annex'!G237</f>
        <v>0</v>
      </c>
      <c r="G26" s="990">
        <f>'9-A.Training Sub-Annex'!H237</f>
        <v>0</v>
      </c>
      <c r="H26" s="990">
        <f>'9-A.Training Sub-Annex'!I237</f>
        <v>5</v>
      </c>
      <c r="I26" s="990">
        <f>'9-A.Training Sub-Annex'!J237</f>
        <v>0</v>
      </c>
      <c r="J26" s="990">
        <f>'9-A.Training Sub-Annex'!K237</f>
        <v>0</v>
      </c>
      <c r="K26" s="990" t="str">
        <f>'9-A.Training Sub-Annex'!L237</f>
        <v>Per Training</v>
      </c>
      <c r="L26" s="990">
        <f>'9-A.Training Sub-Annex'!M237</f>
        <v>250000</v>
      </c>
      <c r="M26" s="136">
        <f>'9-A.Training Sub-Annex'!N237</f>
        <v>2.5</v>
      </c>
      <c r="N26" s="1259">
        <f>'9-A.Training Sub-Annex'!O237</f>
        <v>2</v>
      </c>
      <c r="O26" s="136">
        <f>'9-A.Training Sub-Annex'!P237</f>
        <v>5</v>
      </c>
      <c r="P26" s="1260" t="str">
        <f>'9-A.Training Sub-Annex'!Q237</f>
        <v>Funds proposed for LTs Training in 2 batches statev level.</v>
      </c>
      <c r="Q26" s="66"/>
      <c r="R26" s="979"/>
    </row>
    <row r="27" spans="1:18" ht="45">
      <c r="A27" s="4633"/>
      <c r="B27" s="78"/>
      <c r="C27" s="78" t="str">
        <f>'9-A.Training Sub-Annex'!D238</f>
        <v xml:space="preserve">1 day training of Peer support of the Treatment sites (MTC/TCs) </v>
      </c>
      <c r="D27" s="990" t="str">
        <f>'9-A.Training Sub-Annex'!E238</f>
        <v>NDCP</v>
      </c>
      <c r="E27" s="1259" t="str">
        <f>'9-A.Training Sub-Annex'!F238</f>
        <v>NVHCP</v>
      </c>
      <c r="F27" s="990">
        <f>'9-A.Training Sub-Annex'!G238</f>
        <v>0</v>
      </c>
      <c r="G27" s="990">
        <f>'9-A.Training Sub-Annex'!H238</f>
        <v>0</v>
      </c>
      <c r="H27" s="990">
        <f>'9-A.Training Sub-Annex'!I238</f>
        <v>1</v>
      </c>
      <c r="I27" s="990">
        <f>'9-A.Training Sub-Annex'!J238</f>
        <v>0</v>
      </c>
      <c r="J27" s="990">
        <f>'9-A.Training Sub-Annex'!K238</f>
        <v>0</v>
      </c>
      <c r="K27" s="990" t="str">
        <f>'9-A.Training Sub-Annex'!L238</f>
        <v>Per Training</v>
      </c>
      <c r="L27" s="990">
        <f>'9-A.Training Sub-Annex'!M238</f>
        <v>50000</v>
      </c>
      <c r="M27" s="136">
        <f>'9-A.Training Sub-Annex'!N238</f>
        <v>0.5</v>
      </c>
      <c r="N27" s="1259">
        <f>'9-A.Training Sub-Annex'!O238</f>
        <v>2</v>
      </c>
      <c r="O27" s="136">
        <f>'9-A.Training Sub-Annex'!P238</f>
        <v>1</v>
      </c>
      <c r="P27" s="1260" t="str">
        <f>'9-A.Training Sub-Annex'!Q238</f>
        <v>Funds Proposed for Peer support Training in 2 batches at state level.</v>
      </c>
      <c r="Q27" s="66"/>
      <c r="R27" s="979"/>
    </row>
    <row r="28" spans="1:18" ht="45">
      <c r="A28" s="4633"/>
      <c r="B28" s="78"/>
      <c r="C28" s="78" t="str">
        <f>'9-A.Training Sub-Annex'!D239</f>
        <v xml:space="preserve">1 day training of pharmacist of the Treatment sites (MTC/TCs) </v>
      </c>
      <c r="D28" s="990" t="str">
        <f>'9-A.Training Sub-Annex'!E239</f>
        <v>NDCP</v>
      </c>
      <c r="E28" s="1259" t="str">
        <f>'9-A.Training Sub-Annex'!F239</f>
        <v>NVHCP</v>
      </c>
      <c r="F28" s="990">
        <f>'9-A.Training Sub-Annex'!G239</f>
        <v>0</v>
      </c>
      <c r="G28" s="990">
        <f>'9-A.Training Sub-Annex'!H239</f>
        <v>0</v>
      </c>
      <c r="H28" s="990">
        <f>'9-A.Training Sub-Annex'!I239</f>
        <v>1</v>
      </c>
      <c r="I28" s="990">
        <f>'9-A.Training Sub-Annex'!J239</f>
        <v>0</v>
      </c>
      <c r="J28" s="990">
        <f>'9-A.Training Sub-Annex'!K239</f>
        <v>0</v>
      </c>
      <c r="K28" s="990" t="str">
        <f>'9-A.Training Sub-Annex'!L239</f>
        <v>Per Training</v>
      </c>
      <c r="L28" s="990">
        <f>'9-A.Training Sub-Annex'!M239</f>
        <v>50000</v>
      </c>
      <c r="M28" s="136">
        <f>'9-A.Training Sub-Annex'!N239</f>
        <v>0.5</v>
      </c>
      <c r="N28" s="1259">
        <f>'9-A.Training Sub-Annex'!O239</f>
        <v>2</v>
      </c>
      <c r="O28" s="136">
        <f>'9-A.Training Sub-Annex'!P239</f>
        <v>1</v>
      </c>
      <c r="P28" s="1260" t="str">
        <f>'9-A.Training Sub-Annex'!Q239</f>
        <v>Funds Proposed for Pharmacist Training in 2 batches at state level.</v>
      </c>
      <c r="Q28" s="66"/>
      <c r="R28" s="979"/>
    </row>
    <row r="29" spans="1:18" ht="45">
      <c r="A29" s="4633"/>
      <c r="B29" s="78"/>
      <c r="C29" s="78" t="str">
        <f>'9-A.Training Sub-Annex'!D240</f>
        <v xml:space="preserve">1 day training of DEO of the Treatment sites (MTC/TCs) </v>
      </c>
      <c r="D29" s="990" t="str">
        <f>'9-A.Training Sub-Annex'!E240</f>
        <v>NDCP</v>
      </c>
      <c r="E29" s="1259" t="str">
        <f>'9-A.Training Sub-Annex'!F240</f>
        <v>NVHCP</v>
      </c>
      <c r="F29" s="990">
        <f>'9-A.Training Sub-Annex'!G240</f>
        <v>0</v>
      </c>
      <c r="G29" s="990">
        <f>'9-A.Training Sub-Annex'!H240</f>
        <v>0</v>
      </c>
      <c r="H29" s="990">
        <f>'9-A.Training Sub-Annex'!I240</f>
        <v>1</v>
      </c>
      <c r="I29" s="990">
        <f>'9-A.Training Sub-Annex'!J240</f>
        <v>0</v>
      </c>
      <c r="J29" s="990">
        <f>'9-A.Training Sub-Annex'!K240</f>
        <v>0</v>
      </c>
      <c r="K29" s="990" t="str">
        <f>'9-A.Training Sub-Annex'!L240</f>
        <v>Per Training</v>
      </c>
      <c r="L29" s="990">
        <f>'9-A.Training Sub-Annex'!M240</f>
        <v>50000</v>
      </c>
      <c r="M29" s="136">
        <f>'9-A.Training Sub-Annex'!N240</f>
        <v>0.5</v>
      </c>
      <c r="N29" s="1259">
        <f>'9-A.Training Sub-Annex'!O240</f>
        <v>2</v>
      </c>
      <c r="O29" s="136">
        <f>'9-A.Training Sub-Annex'!P240</f>
        <v>1</v>
      </c>
      <c r="P29" s="1260" t="str">
        <f>'9-A.Training Sub-Annex'!Q240</f>
        <v>Funds Proposed for DEOsTraining in 2 batches at state level.</v>
      </c>
      <c r="Q29" s="66"/>
      <c r="R29" s="979"/>
    </row>
    <row r="30" spans="1:18" ht="44.25" customHeight="1">
      <c r="A30" s="4633"/>
      <c r="B30" s="78">
        <f>'9-A.Training Sub-Annex'!C241</f>
        <v>0</v>
      </c>
      <c r="C30" s="78" t="str">
        <f>'9-A.Training Sub-Annex'!D241</f>
        <v>Training for Community Volunteers</v>
      </c>
      <c r="D30" s="990" t="str">
        <f>'9-A.Training Sub-Annex'!E241</f>
        <v>NDCP</v>
      </c>
      <c r="E30" s="1259" t="str">
        <f>'9-A.Training Sub-Annex'!F241</f>
        <v>NVHCP</v>
      </c>
      <c r="F30" s="990">
        <f>'9-A.Training Sub-Annex'!G241</f>
        <v>0</v>
      </c>
      <c r="G30" s="990">
        <f>'9-A.Training Sub-Annex'!H241</f>
        <v>0</v>
      </c>
      <c r="H30" s="990">
        <f>'9-A.Training Sub-Annex'!I241</f>
        <v>1</v>
      </c>
      <c r="I30" s="990">
        <f>'9-A.Training Sub-Annex'!J241</f>
        <v>0</v>
      </c>
      <c r="J30" s="990">
        <f>'9-A.Training Sub-Annex'!K241</f>
        <v>0</v>
      </c>
      <c r="K30" s="990" t="str">
        <f>'9-A.Training Sub-Annex'!L241</f>
        <v>Per Training</v>
      </c>
      <c r="L30" s="990">
        <f>'9-A.Training Sub-Annex'!M241</f>
        <v>50000</v>
      </c>
      <c r="M30" s="136">
        <f>'9-A.Training Sub-Annex'!N241</f>
        <v>0.5</v>
      </c>
      <c r="N30" s="1259">
        <f>'9-A.Training Sub-Annex'!O241</f>
        <v>2</v>
      </c>
      <c r="O30" s="136">
        <f>'9-A.Training Sub-Annex'!P241</f>
        <v>1</v>
      </c>
      <c r="P30" s="1260" t="str">
        <f>'9-A.Training Sub-Annex'!Q241</f>
        <v xml:space="preserve"> Funds proposed for Training for Community leaders (Cured patient, Close contact, FSW/MSM/IDU representative 
</v>
      </c>
      <c r="Q30" s="66"/>
      <c r="R30" s="979"/>
    </row>
    <row r="31" spans="1:18">
      <c r="A31" s="4633"/>
      <c r="B31" s="78">
        <f>'9-A.Training Sub-Annex'!C242</f>
        <v>0</v>
      </c>
      <c r="C31" s="78" t="str">
        <f>'9-A.Training Sub-Annex'!D242</f>
        <v>Any other (please specify)</v>
      </c>
      <c r="D31" s="990" t="str">
        <f>'9-A.Training Sub-Annex'!E242</f>
        <v>NDCP</v>
      </c>
      <c r="E31" s="1259" t="str">
        <f>'9-A.Training Sub-Annex'!F242</f>
        <v>NVHCP</v>
      </c>
      <c r="F31" s="990">
        <f>'9-A.Training Sub-Annex'!G242</f>
        <v>0</v>
      </c>
      <c r="G31" s="990">
        <f>'9-A.Training Sub-Annex'!H242</f>
        <v>0</v>
      </c>
      <c r="H31" s="990">
        <f>'9-A.Training Sub-Annex'!I242</f>
        <v>0</v>
      </c>
      <c r="I31" s="990">
        <f>'9-A.Training Sub-Annex'!J242</f>
        <v>0</v>
      </c>
      <c r="J31" s="990">
        <f>'9-A.Training Sub-Annex'!K242</f>
        <v>0</v>
      </c>
      <c r="K31" s="990">
        <f>'9-A.Training Sub-Annex'!L242</f>
        <v>0</v>
      </c>
      <c r="L31" s="990">
        <f>'9-A.Training Sub-Annex'!M242</f>
        <v>0</v>
      </c>
      <c r="M31" s="136">
        <f>'9-A.Training Sub-Annex'!N242</f>
        <v>0</v>
      </c>
      <c r="N31" s="1259">
        <f>'9-A.Training Sub-Annex'!O242</f>
        <v>0</v>
      </c>
      <c r="O31" s="136">
        <f>'9-A.Training Sub-Annex'!P242</f>
        <v>0</v>
      </c>
      <c r="P31" s="1260">
        <f>'9-A.Training Sub-Annex'!Q242</f>
        <v>0</v>
      </c>
      <c r="Q31" s="66"/>
      <c r="R31" s="979"/>
    </row>
    <row r="32" spans="1:18">
      <c r="A32" s="985">
        <f>'11.IEC-BCC Annex'!A7</f>
        <v>11</v>
      </c>
      <c r="B32" s="985"/>
      <c r="C32" s="985" t="str">
        <f>'11.IEC-BCC Annex'!C7</f>
        <v>IEC/BCC</v>
      </c>
      <c r="D32" s="984"/>
      <c r="E32" s="984"/>
      <c r="F32" s="984"/>
      <c r="G32" s="984"/>
      <c r="H32" s="485"/>
      <c r="I32" s="984"/>
      <c r="J32" s="485"/>
      <c r="K32" s="985"/>
      <c r="L32" s="985"/>
      <c r="M32" s="485"/>
      <c r="N32" s="890"/>
      <c r="O32" s="1000">
        <f>SUM(O33:O33)</f>
        <v>5</v>
      </c>
      <c r="P32" s="1262"/>
      <c r="Q32" s="1005"/>
      <c r="R32" s="1006">
        <f>SUM(R33:R33)</f>
        <v>0</v>
      </c>
    </row>
    <row r="33" spans="1:18" ht="30">
      <c r="A33" s="970">
        <f>'11-A. IEC Sub-Annex'!B75</f>
        <v>0</v>
      </c>
      <c r="B33" s="970">
        <f>'11-A. IEC Sub-Annex'!C75</f>
        <v>0</v>
      </c>
      <c r="C33" s="970" t="str">
        <f>'11-A. IEC Sub-Annex'!D75</f>
        <v>IEC under NVHCP</v>
      </c>
      <c r="D33" s="970" t="str">
        <f>'11-A. IEC Sub-Annex'!E75</f>
        <v>NDCP</v>
      </c>
      <c r="E33" s="1260" t="str">
        <f>'11-A. IEC Sub-Annex'!F75</f>
        <v>NVHCP</v>
      </c>
      <c r="F33" s="970">
        <f>'11-A. IEC Sub-Annex'!G75</f>
        <v>0</v>
      </c>
      <c r="G33" s="970">
        <f>'11-A. IEC Sub-Annex'!H75</f>
        <v>0</v>
      </c>
      <c r="H33" s="970">
        <f>'11-A. IEC Sub-Annex'!I75</f>
        <v>5</v>
      </c>
      <c r="I33" s="970">
        <f>'11-A. IEC Sub-Annex'!J75</f>
        <v>0</v>
      </c>
      <c r="J33" s="970">
        <f>'11-A. IEC Sub-Annex'!K75</f>
        <v>0</v>
      </c>
      <c r="K33" s="970">
        <f>'11-A. IEC Sub-Annex'!L75</f>
        <v>0</v>
      </c>
      <c r="L33" s="970">
        <f>'11-A. IEC Sub-Annex'!M75</f>
        <v>500000</v>
      </c>
      <c r="M33" s="1257">
        <f>'11-A. IEC Sub-Annex'!N75</f>
        <v>5</v>
      </c>
      <c r="N33" s="1259">
        <f>'11-A. IEC Sub-Annex'!O75</f>
        <v>1</v>
      </c>
      <c r="O33" s="970">
        <f>'11-A. IEC Sub-Annex'!P75</f>
        <v>5</v>
      </c>
      <c r="P33" s="1260" t="str">
        <f>'11-A. IEC Sub-Annex'!Q75</f>
        <v xml:space="preserve">Funds Proposed for Radio jingles/spots , Newspaper advertisement,Bannners/Hoardings in each MTC(3),TC(43) and SL(4) </v>
      </c>
      <c r="Q33" s="66"/>
      <c r="R33" s="979"/>
    </row>
    <row r="34" spans="1:18">
      <c r="A34" s="985">
        <f>'12.Printing Annex'!A7</f>
        <v>12</v>
      </c>
      <c r="B34" s="985"/>
      <c r="C34" s="985" t="str">
        <f>'12.Printing Annex'!C7</f>
        <v>Printing</v>
      </c>
      <c r="D34" s="984"/>
      <c r="E34" s="984"/>
      <c r="F34" s="984"/>
      <c r="G34" s="984"/>
      <c r="H34" s="485"/>
      <c r="I34" s="984"/>
      <c r="J34" s="485"/>
      <c r="K34" s="985"/>
      <c r="L34" s="985"/>
      <c r="M34" s="485"/>
      <c r="N34" s="890"/>
      <c r="O34" s="1000">
        <f>O35</f>
        <v>5</v>
      </c>
      <c r="P34" s="1262"/>
      <c r="Q34" s="1005"/>
      <c r="R34" s="1006">
        <f>R35</f>
        <v>0</v>
      </c>
    </row>
    <row r="35" spans="1:18" ht="45">
      <c r="A35" s="970" t="str">
        <f>'12.Printing Annex'!A29</f>
        <v>12.3.4</v>
      </c>
      <c r="B35" s="970">
        <f>'12-A. Print Sub-Annex'!C87</f>
        <v>0</v>
      </c>
      <c r="C35" s="970" t="str">
        <f>'12-A. Print Sub-Annex'!D87</f>
        <v>Printing for formats/registers under NVHCP</v>
      </c>
      <c r="D35" s="989" t="str">
        <f>'12-A. Print Sub-Annex'!E87</f>
        <v>NDCP</v>
      </c>
      <c r="E35" s="1259" t="str">
        <f>'12-A. Print Sub-Annex'!F87</f>
        <v>NVHCP</v>
      </c>
      <c r="F35" s="989">
        <f>'12-A. Print Sub-Annex'!G87</f>
        <v>0</v>
      </c>
      <c r="G35" s="989">
        <f>'12-A. Print Sub-Annex'!H87</f>
        <v>0</v>
      </c>
      <c r="H35" s="989">
        <f>'12-A. Print Sub-Annex'!I87</f>
        <v>3</v>
      </c>
      <c r="I35" s="989">
        <f>'12-A. Print Sub-Annex'!J87</f>
        <v>0</v>
      </c>
      <c r="J35" s="989">
        <f>'12-A. Print Sub-Annex'!K87</f>
        <v>0</v>
      </c>
      <c r="K35" s="989" t="str">
        <f>'12-A. Print Sub-Annex'!L87</f>
        <v>Miss.</v>
      </c>
      <c r="L35" s="989">
        <f>'12-A. Print Sub-Annex'!M87</f>
        <v>500000</v>
      </c>
      <c r="M35" s="945">
        <f>'12-A. Print Sub-Annex'!N87</f>
        <v>5</v>
      </c>
      <c r="N35" s="1259">
        <f>'12-A. Print Sub-Annex'!O87</f>
        <v>1</v>
      </c>
      <c r="O35" s="945">
        <f>'12-A. Print Sub-Annex'!P87</f>
        <v>5</v>
      </c>
      <c r="P35" s="1260" t="str">
        <f>'12-A. Print Sub-Annex'!Q87</f>
        <v>Budget Proposed for Printing of Treatment cards for Viral Hepatitis Patient, Referral form for Viral Load samples, Stock Registers, Papers and Misc.</v>
      </c>
      <c r="Q35" s="66"/>
      <c r="R35" s="979"/>
    </row>
    <row r="36" spans="1:18">
      <c r="A36" s="1058">
        <f>'14.Drug warehouse &amp;Logistic Anx'!A7</f>
        <v>14</v>
      </c>
      <c r="B36" s="939"/>
      <c r="C36" s="1058" t="str">
        <f>'14.Drug warehouse &amp;Logistic Anx'!C7</f>
        <v>Drug Warehousing and Logistics</v>
      </c>
      <c r="D36" s="838"/>
      <c r="E36" s="838"/>
      <c r="F36" s="1059"/>
      <c r="G36" s="1059"/>
      <c r="H36" s="936"/>
      <c r="I36" s="1059"/>
      <c r="J36" s="936"/>
      <c r="K36" s="1058"/>
      <c r="L36" s="1058"/>
      <c r="M36" s="936"/>
      <c r="N36" s="890"/>
      <c r="O36" s="1000">
        <f>O37</f>
        <v>5.0739999999999998</v>
      </c>
      <c r="P36" s="1262"/>
      <c r="Q36" s="1005"/>
      <c r="R36" s="1006">
        <f>R37</f>
        <v>0</v>
      </c>
    </row>
    <row r="37" spans="1:18" ht="30">
      <c r="A37" s="970" t="str">
        <f>'14.Drug warehouse &amp;Logistic Anx'!A31</f>
        <v>14.2.13</v>
      </c>
      <c r="B37" s="970"/>
      <c r="C37" s="970" t="str">
        <f>'14.Drug warehouse &amp;Logistic Anx'!C31</f>
        <v>Sample transportation cost under NVHCP</v>
      </c>
      <c r="D37" s="989" t="str">
        <f>'14.Drug warehouse &amp;Logistic Anx'!D31</f>
        <v>NDCP</v>
      </c>
      <c r="E37" s="1259" t="str">
        <f>'14.Drug warehouse &amp;Logistic Anx'!E31</f>
        <v>NVHCP</v>
      </c>
      <c r="F37" s="989">
        <f>'14.Drug warehouse &amp;Logistic Anx'!F31</f>
        <v>0</v>
      </c>
      <c r="G37" s="989">
        <f>'14.Drug warehouse &amp;Logistic Anx'!G31</f>
        <v>0</v>
      </c>
      <c r="H37" s="989">
        <f>'14.Drug warehouse &amp;Logistic Anx'!H31</f>
        <v>5</v>
      </c>
      <c r="I37" s="989">
        <f>'14.Drug warehouse &amp;Logistic Anx'!I31</f>
        <v>0</v>
      </c>
      <c r="J37" s="989">
        <f>'14.Drug warehouse &amp;Logistic Anx'!J31</f>
        <v>0</v>
      </c>
      <c r="K37" s="989" t="str">
        <f>'14.Drug warehouse &amp;Logistic Anx'!K31</f>
        <v>Lumsum</v>
      </c>
      <c r="L37" s="989">
        <f>'14.Drug warehouse &amp;Logistic Anx'!L31</f>
        <v>507400</v>
      </c>
      <c r="M37" s="945">
        <f>'14.Drug warehouse &amp;Logistic Anx'!M31</f>
        <v>5.0739999999999998</v>
      </c>
      <c r="N37" s="1259">
        <f>'14.Drug warehouse &amp;Logistic Anx'!N31</f>
        <v>1</v>
      </c>
      <c r="O37" s="945">
        <f>'14.Drug warehouse &amp;Logistic Anx'!O31</f>
        <v>5.0739999999999998</v>
      </c>
      <c r="P37" s="1260" t="str">
        <f>'14.Drug warehouse &amp;Logistic Anx'!P31</f>
        <v>Funds Proposed for transportation of Viral Load samples and transportation of Drugs 10000/MTCs and TCs.</v>
      </c>
      <c r="Q37" s="66"/>
      <c r="R37" s="979"/>
    </row>
    <row r="38" spans="1:18">
      <c r="A38" s="985">
        <f>'15.PPP Annex'!A7</f>
        <v>15</v>
      </c>
      <c r="B38" s="985"/>
      <c r="C38" s="985" t="str">
        <f>'15.PPP Annex'!C7</f>
        <v>PPP</v>
      </c>
      <c r="D38" s="984"/>
      <c r="E38" s="984"/>
      <c r="F38" s="984"/>
      <c r="G38" s="984"/>
      <c r="H38" s="485"/>
      <c r="I38" s="984"/>
      <c r="J38" s="485"/>
      <c r="K38" s="985"/>
      <c r="L38" s="985"/>
      <c r="M38" s="485"/>
      <c r="N38" s="890"/>
      <c r="O38" s="1000">
        <f>SUM(O39)</f>
        <v>0</v>
      </c>
      <c r="P38" s="1262"/>
      <c r="Q38" s="1005"/>
      <c r="R38" s="1006">
        <f>SUM(R39)</f>
        <v>0</v>
      </c>
    </row>
    <row r="39" spans="1:18">
      <c r="A39" s="970" t="str">
        <f>'15.PPP Annex'!A32</f>
        <v>15.3.4.1</v>
      </c>
      <c r="B39" s="970" t="str">
        <f>'15.PPP Annex'!B18</f>
        <v>15.9.7</v>
      </c>
      <c r="C39" s="970" t="str">
        <f>'15.PPP Annex'!C32</f>
        <v>PPP initiative under NVHCP</v>
      </c>
      <c r="D39" s="989" t="str">
        <f>'15.PPP Annex'!D32</f>
        <v>NDCP</v>
      </c>
      <c r="E39" s="1259" t="str">
        <f>'15.PPP Annex'!E32</f>
        <v>NVHCP</v>
      </c>
      <c r="F39" s="989">
        <f>'15.PPP Annex'!F32</f>
        <v>0</v>
      </c>
      <c r="G39" s="989">
        <f>'15.PPP Annex'!G32</f>
        <v>0</v>
      </c>
      <c r="H39" s="989">
        <f>'15.PPP Annex'!H32</f>
        <v>0</v>
      </c>
      <c r="I39" s="989">
        <f>'15.PPP Annex'!I32</f>
        <v>0</v>
      </c>
      <c r="J39" s="989">
        <f>'15.PPP Annex'!J32</f>
        <v>0</v>
      </c>
      <c r="K39" s="989">
        <f>'15.PPP Annex'!K32</f>
        <v>0</v>
      </c>
      <c r="L39" s="989">
        <f>'15.PPP Annex'!L32</f>
        <v>0</v>
      </c>
      <c r="M39" s="945">
        <f>'15.PPP Annex'!M32</f>
        <v>0</v>
      </c>
      <c r="N39" s="1259">
        <f>'15.PPP Annex'!N32</f>
        <v>0</v>
      </c>
      <c r="O39" s="945">
        <f>'15.PPP Annex'!O32</f>
        <v>0</v>
      </c>
      <c r="P39" s="1260">
        <f>'15.PPP Annex'!P32</f>
        <v>0</v>
      </c>
      <c r="Q39" s="66"/>
      <c r="R39" s="979"/>
    </row>
    <row r="40" spans="1:18">
      <c r="A40" s="1058">
        <f>'16.PM Annex'!A7</f>
        <v>16</v>
      </c>
      <c r="B40" s="1058"/>
      <c r="C40" s="1058" t="str">
        <f>'16.PM Annex'!C7</f>
        <v>Programme Management</v>
      </c>
      <c r="D40" s="895"/>
      <c r="E40" s="895"/>
      <c r="F40" s="1059"/>
      <c r="G40" s="1059"/>
      <c r="H40" s="936"/>
      <c r="I40" s="1059"/>
      <c r="J40" s="936"/>
      <c r="K40" s="1058"/>
      <c r="L40" s="1058"/>
      <c r="M40" s="936"/>
      <c r="N40" s="890"/>
      <c r="O40" s="1000">
        <f>SUM(O41:O44)</f>
        <v>6.3999999999999995</v>
      </c>
      <c r="P40" s="1262"/>
      <c r="Q40" s="1005"/>
      <c r="R40" s="1006">
        <f>SUM(R41:R44)</f>
        <v>0</v>
      </c>
    </row>
    <row r="41" spans="1:18" ht="30">
      <c r="A41" s="970" t="str">
        <f>'16-A. PM sub Annex'!B45</f>
        <v>16.1.2.1.25</v>
      </c>
      <c r="B41" s="970">
        <f>'16-A. PM sub Annex'!D45</f>
        <v>0</v>
      </c>
      <c r="C41" s="970" t="str">
        <f>'16-A. PM sub Annex'!E45</f>
        <v>State level review meeting under NVHCP</v>
      </c>
      <c r="D41" s="989" t="str">
        <f>'16-A. PM sub Annex'!F45</f>
        <v>NDCP</v>
      </c>
      <c r="E41" s="1259" t="str">
        <f>'16-A. PM sub Annex'!G45</f>
        <v>HRH&amp;HPIP/NVHCP</v>
      </c>
      <c r="F41" s="989">
        <f>'16-A. PM sub Annex'!H45</f>
        <v>0</v>
      </c>
      <c r="G41" s="989">
        <f>'16-A. PM sub Annex'!I45</f>
        <v>0</v>
      </c>
      <c r="H41" s="989">
        <f>'16-A. PM sub Annex'!J45</f>
        <v>0</v>
      </c>
      <c r="I41" s="989">
        <f>'16-A. PM sub Annex'!K45</f>
        <v>0</v>
      </c>
      <c r="J41" s="989">
        <f>'16-A. PM sub Annex'!L45</f>
        <v>0</v>
      </c>
      <c r="K41" s="989" t="str">
        <f>'16-A. PM sub Annex'!M45</f>
        <v>Per Meeting</v>
      </c>
      <c r="L41" s="989">
        <f>'16-A. PM sub Annex'!N45</f>
        <v>10000</v>
      </c>
      <c r="M41" s="945">
        <f>'16-A. PM sub Annex'!O45</f>
        <v>0.1</v>
      </c>
      <c r="N41" s="1259">
        <f>'16-A. PM sub Annex'!P45</f>
        <v>4</v>
      </c>
      <c r="O41" s="945">
        <f>'16-A. PM sub Annex'!Q45</f>
        <v>0.4</v>
      </c>
      <c r="P41" s="1260" t="str">
        <f>'16-A. PM sub Annex'!R45</f>
        <v>Funds proposed for Quarterly meeting of NVHCP.</v>
      </c>
      <c r="Q41" s="66"/>
      <c r="R41" s="979"/>
    </row>
    <row r="42" spans="1:18" ht="30">
      <c r="A42" s="970" t="str">
        <f>'16-A. PM sub Annex'!B84</f>
        <v>16.1.3.1.17</v>
      </c>
      <c r="B42" s="970">
        <f>'16-A. PM sub Annex'!D84</f>
        <v>0</v>
      </c>
      <c r="C42" s="970" t="str">
        <f>'16-A. PM sub Annex'!E84</f>
        <v>SVHMU: Cost of travel for supervision and monitoring</v>
      </c>
      <c r="D42" s="989" t="str">
        <f>'16-A. PM sub Annex'!F84</f>
        <v>NDCP</v>
      </c>
      <c r="E42" s="1259" t="str">
        <f>'16-A. PM sub Annex'!G84</f>
        <v>HRH&amp;HPIP/NVHCP</v>
      </c>
      <c r="F42" s="989">
        <f>'16-A. PM sub Annex'!H84</f>
        <v>0</v>
      </c>
      <c r="G42" s="989">
        <f>'16-A. PM sub Annex'!I84</f>
        <v>0</v>
      </c>
      <c r="H42" s="989">
        <f>'16-A. PM sub Annex'!J84</f>
        <v>0</v>
      </c>
      <c r="I42" s="989">
        <f>'16-A. PM sub Annex'!K84</f>
        <v>0</v>
      </c>
      <c r="J42" s="989">
        <f>'16-A. PM sub Annex'!L84</f>
        <v>0</v>
      </c>
      <c r="K42" s="989" t="str">
        <f>'16-A. PM sub Annex'!M84</f>
        <v>Per Month</v>
      </c>
      <c r="L42" s="989">
        <f>'16-A. PM sub Annex'!N84</f>
        <v>35000</v>
      </c>
      <c r="M42" s="945">
        <f>'16-A. PM sub Annex'!O84</f>
        <v>0.35</v>
      </c>
      <c r="N42" s="1259">
        <f>'16-A. PM sub Annex'!P84</f>
        <v>12</v>
      </c>
      <c r="O42" s="945">
        <f>'16-A. PM sub Annex'!Q84</f>
        <v>4.1999999999999993</v>
      </c>
      <c r="P42" s="1260" t="str">
        <f>'16-A. PM sub Annex'!R84</f>
        <v>Funds proposed for hiring Vehicle at SHSB rate for montioring of NVHCP Programme.</v>
      </c>
      <c r="Q42" s="66"/>
      <c r="R42" s="979"/>
    </row>
    <row r="43" spans="1:18" ht="30">
      <c r="A43" s="970" t="str">
        <f>'16-A. PM sub Annex'!B133</f>
        <v>16.1.4.1.14</v>
      </c>
      <c r="B43" s="970">
        <f>'16-A. PM sub Annex'!D133</f>
        <v>0</v>
      </c>
      <c r="C43" s="970" t="str">
        <f>'16-A. PM sub Annex'!E133</f>
        <v>SVHMU: Meeting Costs/Office expenses/Contingency</v>
      </c>
      <c r="D43" s="989" t="str">
        <f>'16-A. PM sub Annex'!F133</f>
        <v>NDCP</v>
      </c>
      <c r="E43" s="1259" t="str">
        <f>'16-A. PM sub Annex'!G133</f>
        <v>HRH&amp;HPIP/NVHCP</v>
      </c>
      <c r="F43" s="989">
        <f>'16-A. PM sub Annex'!H133</f>
        <v>0</v>
      </c>
      <c r="G43" s="989">
        <f>'16-A. PM sub Annex'!I133</f>
        <v>0</v>
      </c>
      <c r="H43" s="989">
        <f>'16-A. PM sub Annex'!J133</f>
        <v>0</v>
      </c>
      <c r="I43" s="989">
        <f>'16-A. PM sub Annex'!K133</f>
        <v>0</v>
      </c>
      <c r="J43" s="989">
        <f>'16-A. PM sub Annex'!L133</f>
        <v>0</v>
      </c>
      <c r="K43" s="989">
        <f>'16-A. PM sub Annex'!M133</f>
        <v>0</v>
      </c>
      <c r="L43" s="989">
        <f>'16-A. PM sub Annex'!N133</f>
        <v>0</v>
      </c>
      <c r="M43" s="945">
        <f>'16-A. PM sub Annex'!O133</f>
        <v>0</v>
      </c>
      <c r="N43" s="1259">
        <f>'16-A. PM sub Annex'!P133</f>
        <v>0</v>
      </c>
      <c r="O43" s="945">
        <f>'16-A. PM sub Annex'!Q133</f>
        <v>0</v>
      </c>
      <c r="P43" s="1260">
        <f>'16-A. PM sub Annex'!R133</f>
        <v>0</v>
      </c>
      <c r="Q43" s="66"/>
      <c r="R43" s="979"/>
    </row>
    <row r="44" spans="1:18" ht="60">
      <c r="A44" s="970" t="str">
        <f>'16-A. PM sub Annex'!B160</f>
        <v>16.1.5.2.6</v>
      </c>
      <c r="B44" s="970">
        <f>'16-A. PM sub Annex'!D160</f>
        <v>0</v>
      </c>
      <c r="C44" s="1260" t="str">
        <f>'16-A. PM sub Annex'!E160</f>
        <v>SVHMU: Non-recurring Equipment- (computer, printer photocopier scanner etc)</v>
      </c>
      <c r="D44" s="989" t="str">
        <f>'16-A. PM sub Annex'!F160</f>
        <v>NDCP</v>
      </c>
      <c r="E44" s="1259" t="str">
        <f>'16-A. PM sub Annex'!G160</f>
        <v>HRH&amp;HPIP/NVHCP</v>
      </c>
      <c r="F44" s="989">
        <f>'16-A. PM sub Annex'!H160</f>
        <v>0</v>
      </c>
      <c r="G44" s="989">
        <f>'16-A. PM sub Annex'!I160</f>
        <v>0</v>
      </c>
      <c r="H44" s="989">
        <f>'16-A. PM sub Annex'!J160</f>
        <v>0</v>
      </c>
      <c r="I44" s="989">
        <f>'16-A. PM sub Annex'!K160</f>
        <v>0</v>
      </c>
      <c r="J44" s="989">
        <f>'16-A. PM sub Annex'!L160</f>
        <v>0</v>
      </c>
      <c r="K44" s="989" t="str">
        <f>'16-A. PM sub Annex'!M160</f>
        <v>Miss.</v>
      </c>
      <c r="L44" s="989">
        <f>'16-A. PM sub Annex'!N160</f>
        <v>60000</v>
      </c>
      <c r="M44" s="945">
        <f>'16-A. PM sub Annex'!O160</f>
        <v>0.6</v>
      </c>
      <c r="N44" s="1259">
        <f>'16-A. PM sub Annex'!P160</f>
        <v>3</v>
      </c>
      <c r="O44" s="945">
        <f>'16-A. PM sub Annex'!Q160</f>
        <v>1.7999999999999998</v>
      </c>
      <c r="P44" s="1260" t="str">
        <f>'16-A. PM sub Annex'!R160</f>
        <v xml:space="preserve">Funds proposed for computer printer scanner photocopier for Data entry operators at SVHMU.
</v>
      </c>
      <c r="Q44" s="66"/>
      <c r="R44" s="979"/>
    </row>
    <row r="45" spans="1:18">
      <c r="Q45" s="1061"/>
      <c r="R45" s="1062"/>
    </row>
    <row r="46" spans="1:18">
      <c r="Q46" s="1061"/>
      <c r="R46" s="1062"/>
    </row>
    <row r="47" spans="1:18" s="950" customFormat="1">
      <c r="A47" s="4635" t="s">
        <v>5704</v>
      </c>
      <c r="B47" s="4635"/>
      <c r="C47" s="4635"/>
      <c r="D47" s="334"/>
      <c r="E47" s="334"/>
      <c r="F47" s="334"/>
      <c r="G47" s="334"/>
      <c r="H47" s="240"/>
      <c r="I47" s="334"/>
      <c r="J47" s="240"/>
      <c r="K47" s="1022"/>
      <c r="L47" s="1022"/>
      <c r="M47" s="240"/>
      <c r="N47" s="1089"/>
      <c r="O47" s="969"/>
      <c r="P47" s="1111"/>
      <c r="Q47" s="977"/>
      <c r="R47" s="978"/>
    </row>
    <row r="48" spans="1:18" s="950" customFormat="1">
      <c r="A48" s="970" t="str">
        <f>'NUHM-Non Metro Abst'!A15</f>
        <v>U.1.1.1.5</v>
      </c>
      <c r="B48" s="970">
        <f>'NUHM-Non Metro Abst'!B15</f>
        <v>0</v>
      </c>
      <c r="C48" s="970" t="str">
        <f>'NUHM-Non Metro Abst'!C15</f>
        <v>Support for implementation of NVHCP</v>
      </c>
      <c r="E48" s="1260" t="str">
        <f>'NUHM-Non Metro Abst'!D15</f>
        <v>NVHCP</v>
      </c>
      <c r="F48" s="970">
        <f>'NUHM-Non Metro Abst'!E15</f>
        <v>0</v>
      </c>
      <c r="G48" s="970">
        <f>'NUHM-Non Metro Abst'!F15</f>
        <v>0</v>
      </c>
      <c r="H48" s="970">
        <f>'NUHM-Non Metro Abst'!G15</f>
        <v>0</v>
      </c>
      <c r="I48" s="970">
        <f>'NUHM-Non Metro Abst'!H15</f>
        <v>0</v>
      </c>
      <c r="J48" s="970">
        <f>'NUHM-Non Metro Abst'!I15</f>
        <v>0</v>
      </c>
      <c r="K48" s="970">
        <f>'NUHM-Non Metro Abst'!J15</f>
        <v>0</v>
      </c>
      <c r="L48" s="970">
        <f>'NUHM-Non Metro Abst'!K15</f>
        <v>0</v>
      </c>
      <c r="M48" s="1257">
        <f>'NUHM-Non Metro Abst'!L15</f>
        <v>0</v>
      </c>
      <c r="N48" s="1259">
        <f>'NUHM-Non Metro Abst'!M15</f>
        <v>0</v>
      </c>
      <c r="O48" s="970">
        <f>'NUHM-Non Metro Abst'!N15</f>
        <v>0</v>
      </c>
      <c r="P48" s="1260">
        <f>'NUHM-Non Metro Abst'!O15</f>
        <v>0</v>
      </c>
      <c r="Q48" s="63"/>
      <c r="R48" s="979"/>
    </row>
    <row r="49" spans="1:18" s="950" customFormat="1">
      <c r="A49" s="4635" t="s">
        <v>5703</v>
      </c>
      <c r="B49" s="4635"/>
      <c r="C49" s="4635"/>
      <c r="D49" s="334"/>
      <c r="E49" s="334"/>
      <c r="F49" s="334"/>
      <c r="G49" s="334"/>
      <c r="H49" s="334"/>
      <c r="I49" s="334"/>
      <c r="J49" s="334"/>
      <c r="K49" s="334"/>
      <c r="L49" s="334"/>
      <c r="M49" s="334"/>
      <c r="N49" s="334"/>
      <c r="O49" s="334"/>
      <c r="P49" s="334"/>
      <c r="Q49" s="977"/>
      <c r="R49" s="978"/>
    </row>
    <row r="50" spans="1:18" s="950" customFormat="1">
      <c r="A50" s="970" t="str">
        <f>'NUHM Metro Abst'!A15</f>
        <v>U.1.1.1.5</v>
      </c>
      <c r="B50" s="970">
        <f>'NUHM Metro Abst'!B15</f>
        <v>0</v>
      </c>
      <c r="C50" s="970" t="str">
        <f>'NUHM Metro Abst'!C15</f>
        <v>Support for implementation of NVHCP</v>
      </c>
      <c r="E50" s="1260" t="str">
        <f>'NUHM Metro Abst'!D15</f>
        <v>NVHCP</v>
      </c>
      <c r="F50" s="970">
        <f>'NUHM Metro Abst'!E15</f>
        <v>0</v>
      </c>
      <c r="G50" s="970">
        <f>'NUHM Metro Abst'!F15</f>
        <v>0</v>
      </c>
      <c r="H50" s="970">
        <f>'NUHM Metro Abst'!G15</f>
        <v>0</v>
      </c>
      <c r="I50" s="970">
        <f>'NUHM Metro Abst'!H15</f>
        <v>0</v>
      </c>
      <c r="J50" s="970">
        <f>'NUHM Metro Abst'!I15</f>
        <v>0</v>
      </c>
      <c r="K50" s="970">
        <f>'NUHM Metro Abst'!J15</f>
        <v>0</v>
      </c>
      <c r="L50" s="970">
        <f>'NUHM Metro Abst'!K15</f>
        <v>0</v>
      </c>
      <c r="M50" s="1257">
        <f>'NUHM Metro Abst'!L15</f>
        <v>0</v>
      </c>
      <c r="N50" s="1259">
        <f>'NUHM Metro Abst'!M15</f>
        <v>0</v>
      </c>
      <c r="O50" s="970">
        <f>'NUHM Metro Abst'!N15</f>
        <v>0</v>
      </c>
      <c r="P50" s="1260">
        <f>'NUHM Metro Abst'!O15</f>
        <v>0</v>
      </c>
      <c r="Q50" s="63"/>
      <c r="R50" s="63"/>
    </row>
  </sheetData>
  <sheetProtection sheet="1" formatCells="0" formatColumns="0" formatRows="0" autoFilter="0"/>
  <autoFilter ref="A5:M44"/>
  <mergeCells count="14">
    <mergeCell ref="D4:D5"/>
    <mergeCell ref="A15:A16"/>
    <mergeCell ref="A18:A21"/>
    <mergeCell ref="A25:A31"/>
    <mergeCell ref="Q4:R4"/>
    <mergeCell ref="E4:E5"/>
    <mergeCell ref="F4:J4"/>
    <mergeCell ref="K4:P4"/>
    <mergeCell ref="A47:C47"/>
    <mergeCell ref="A49:C49"/>
    <mergeCell ref="A1:C1"/>
    <mergeCell ref="A4:A5"/>
    <mergeCell ref="B4:B5"/>
    <mergeCell ref="C4:C5"/>
  </mergeCells>
  <pageMargins left="0.26" right="0.16" top="0.31" bottom="0.25" header="0.3" footer="0.3"/>
  <pageSetup paperSize="9" scale="70" orientation="landscape" r:id="rId1"/>
</worksheet>
</file>

<file path=xl/worksheets/sheet47.xml><?xml version="1.0" encoding="utf-8"?>
<worksheet xmlns="http://schemas.openxmlformats.org/spreadsheetml/2006/main" xmlns:r="http://schemas.openxmlformats.org/officeDocument/2006/relationships">
  <sheetPr>
    <tabColor theme="5" tint="0.79998168889431442"/>
  </sheetPr>
  <dimension ref="A1:R22"/>
  <sheetViews>
    <sheetView zoomScale="50" zoomScaleNormal="50" zoomScaleSheetLayoutView="80" workbookViewId="0">
      <pane xSplit="3" ySplit="5" topLeftCell="D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7109375" defaultRowHeight="15"/>
  <cols>
    <col min="1" max="1" width="11.85546875" style="1093" customWidth="1"/>
    <col min="2" max="2" width="20.5703125" style="1093" customWidth="1"/>
    <col min="3" max="3" width="40.85546875" style="1093" customWidth="1"/>
    <col min="4" max="4" width="9.7109375" style="1069" customWidth="1"/>
    <col min="5" max="5" width="15.5703125" style="1069" customWidth="1"/>
    <col min="6" max="6" width="17.140625" style="1069" bestFit="1" customWidth="1"/>
    <col min="7" max="7" width="20.85546875" style="1069" bestFit="1" customWidth="1"/>
    <col min="8" max="8" width="23.7109375" style="1094" bestFit="1" customWidth="1"/>
    <col min="9" max="9" width="13.42578125" style="1069" customWidth="1"/>
    <col min="10" max="10" width="12.42578125" style="1094" customWidth="1"/>
    <col min="11" max="11" width="18.140625" style="1093" customWidth="1"/>
    <col min="12" max="12" width="16" style="1093" customWidth="1"/>
    <col min="13" max="13" width="16.5703125" style="1094" customWidth="1"/>
    <col min="14" max="14" width="8.7109375" style="1066"/>
    <col min="15" max="15" width="10.7109375" style="1066" customWidth="1"/>
    <col min="16" max="16" width="27.28515625" style="1066" customWidth="1"/>
    <col min="17" max="17" width="24" style="1066" customWidth="1"/>
    <col min="18" max="16384" width="8.7109375" style="1066"/>
  </cols>
  <sheetData>
    <row r="1" spans="1:18" ht="14.45" customHeight="1">
      <c r="A1" s="4648" t="s">
        <v>3987</v>
      </c>
      <c r="B1" s="4648"/>
      <c r="C1" s="4648"/>
      <c r="D1" s="1063"/>
      <c r="E1" s="454"/>
      <c r="F1" s="1015" t="s">
        <v>3988</v>
      </c>
      <c r="G1" s="1064"/>
      <c r="H1" s="1064"/>
      <c r="I1" s="1064"/>
      <c r="J1" s="1064"/>
      <c r="K1" s="1064"/>
      <c r="L1" s="1064"/>
      <c r="M1" s="1065"/>
    </row>
    <row r="2" spans="1:18">
      <c r="A2" s="868" t="str">
        <f>HYPERLINK("#Index!F3", "Index Pg")</f>
        <v>Index Pg</v>
      </c>
      <c r="B2" s="873"/>
      <c r="C2" s="403" t="str">
        <f>HYPERLINK("#'Budget Summary I'!A1:AL1", "Budget Summary I")</f>
        <v>Budget Summary I</v>
      </c>
      <c r="D2" s="1067"/>
      <c r="E2" s="713" t="s">
        <v>4599</v>
      </c>
      <c r="F2" s="135">
        <f>R6+R9+R11+R13+R15</f>
        <v>0</v>
      </c>
      <c r="G2" s="996"/>
      <c r="H2" s="996"/>
      <c r="I2" s="996"/>
      <c r="J2" s="996"/>
      <c r="K2" s="996"/>
      <c r="L2" s="996"/>
      <c r="M2" s="867"/>
    </row>
    <row r="3" spans="1:18" s="1068" customFormat="1">
      <c r="A3" s="872"/>
      <c r="B3" s="873"/>
      <c r="C3" s="403" t="str">
        <f>HYPERLINK("#'Budget Summary II'!A3:B5", "Budget Summary II")</f>
        <v>Budget Summary II</v>
      </c>
      <c r="D3" s="1067"/>
      <c r="E3" s="713" t="s">
        <v>4600</v>
      </c>
      <c r="F3" s="135">
        <f>O6+O9+O11+O13+O15</f>
        <v>209.52600000000001</v>
      </c>
      <c r="G3" s="996"/>
      <c r="H3" s="996"/>
      <c r="I3" s="996"/>
      <c r="J3" s="996"/>
      <c r="K3" s="996"/>
      <c r="L3" s="996"/>
      <c r="M3" s="867"/>
    </row>
    <row r="4" spans="1:18" s="1069" customFormat="1" ht="14.45" customHeight="1">
      <c r="A4" s="4323" t="s">
        <v>53</v>
      </c>
      <c r="B4" s="4323" t="s">
        <v>54</v>
      </c>
      <c r="C4" s="4323" t="s">
        <v>55</v>
      </c>
      <c r="D4" s="4323" t="s">
        <v>56</v>
      </c>
      <c r="E4" s="4323" t="s">
        <v>57</v>
      </c>
      <c r="F4" s="4632" t="s">
        <v>4620</v>
      </c>
      <c r="G4" s="4632"/>
      <c r="H4" s="4632"/>
      <c r="I4" s="4632"/>
      <c r="J4" s="4632"/>
      <c r="K4" s="4632" t="s">
        <v>4631</v>
      </c>
      <c r="L4" s="4632"/>
      <c r="M4" s="4632"/>
      <c r="N4" s="4632"/>
      <c r="O4" s="4632"/>
      <c r="P4" s="4632"/>
      <c r="Q4" s="4628" t="s">
        <v>4661</v>
      </c>
      <c r="R4" s="4628"/>
    </row>
    <row r="5" spans="1:18" s="1069" customFormat="1" ht="60">
      <c r="A5" s="4647"/>
      <c r="B5" s="4647"/>
      <c r="C5" s="4647"/>
      <c r="D5" s="4647"/>
      <c r="E5" s="4647"/>
      <c r="F5" s="1070" t="s">
        <v>4621</v>
      </c>
      <c r="G5" s="1070" t="s">
        <v>4629</v>
      </c>
      <c r="H5" s="1070" t="s">
        <v>4622</v>
      </c>
      <c r="I5" s="1070" t="s">
        <v>4630</v>
      </c>
      <c r="J5" s="1070" t="s">
        <v>2534</v>
      </c>
      <c r="K5" s="1071" t="s">
        <v>58</v>
      </c>
      <c r="L5" s="1071" t="s">
        <v>59</v>
      </c>
      <c r="M5" s="1072" t="s">
        <v>60</v>
      </c>
      <c r="N5" s="1071" t="s">
        <v>61</v>
      </c>
      <c r="O5" s="1072" t="s">
        <v>62</v>
      </c>
      <c r="P5" s="465" t="s">
        <v>63</v>
      </c>
      <c r="Q5" s="467" t="s">
        <v>2536</v>
      </c>
      <c r="R5" s="468" t="s">
        <v>4662</v>
      </c>
    </row>
    <row r="6" spans="1:18">
      <c r="A6" s="1022">
        <f>'6.Procurement Annex'!A7</f>
        <v>6</v>
      </c>
      <c r="B6" s="1022"/>
      <c r="C6" s="1022" t="str">
        <f>'6.Procurement Annex'!C7</f>
        <v>Procurement</v>
      </c>
      <c r="D6" s="334"/>
      <c r="E6" s="334"/>
      <c r="F6" s="334"/>
      <c r="G6" s="334"/>
      <c r="H6" s="240"/>
      <c r="I6" s="334"/>
      <c r="J6" s="240"/>
      <c r="K6" s="1022"/>
      <c r="L6" s="1022"/>
      <c r="M6" s="240"/>
      <c r="N6" s="1073"/>
      <c r="O6" s="1074">
        <f>SUM(O7:O8)</f>
        <v>200</v>
      </c>
      <c r="P6" s="1073"/>
      <c r="Q6" s="1073"/>
      <c r="R6" s="1074">
        <f>SUM(R7:R8)</f>
        <v>0</v>
      </c>
    </row>
    <row r="7" spans="1:18" s="1079" customFormat="1" ht="45">
      <c r="A7" s="1075" t="str">
        <f>'6.Procurement Annex'!A34</f>
        <v>6.1.4.5</v>
      </c>
      <c r="B7" s="1076">
        <f>'6-A. Proc. Sub-Annex'!C91</f>
        <v>0</v>
      </c>
      <c r="C7" s="1075" t="str">
        <f>'6-A. Proc. Sub-Annex'!D91</f>
        <v>Procurement of equipment &amp; computer for district level Model Anti Rabies Clinics in existing health facilities</v>
      </c>
      <c r="D7" s="1077" t="str">
        <f>'6-A. Proc. Sub-Annex'!E91</f>
        <v>NDCP</v>
      </c>
      <c r="E7" s="1077" t="str">
        <f>'6-A. Proc. Sub-Annex'!F91</f>
        <v>NRCP</v>
      </c>
      <c r="F7" s="1077">
        <f>'6-A. Proc. Sub-Annex'!G91</f>
        <v>0</v>
      </c>
      <c r="G7" s="1077">
        <f>'6-A. Proc. Sub-Annex'!H91</f>
        <v>0</v>
      </c>
      <c r="H7" s="1077">
        <f>'6-A. Proc. Sub-Annex'!I91</f>
        <v>0</v>
      </c>
      <c r="I7" s="1077">
        <f>'6-A. Proc. Sub-Annex'!J91</f>
        <v>0</v>
      </c>
      <c r="J7" s="1077">
        <f>'6-A. Proc. Sub-Annex'!K91</f>
        <v>0</v>
      </c>
      <c r="K7" s="1077">
        <f>'6-A. Proc. Sub-Annex'!L91</f>
        <v>0</v>
      </c>
      <c r="L7" s="1077">
        <f>'6-A. Proc. Sub-Annex'!M91</f>
        <v>0</v>
      </c>
      <c r="M7" s="1078">
        <f>'6-A. Proc. Sub-Annex'!N91</f>
        <v>0</v>
      </c>
      <c r="N7" s="1077">
        <f>'6-A. Proc. Sub-Annex'!O91</f>
        <v>0</v>
      </c>
      <c r="O7" s="1078">
        <f>'6-A. Proc. Sub-Annex'!P91</f>
        <v>0</v>
      </c>
      <c r="P7" s="986">
        <f>'6-A. Proc. Sub-Annex'!Q91</f>
        <v>0</v>
      </c>
      <c r="Q7" s="1098"/>
      <c r="R7" s="1099"/>
    </row>
    <row r="8" spans="1:18" ht="90">
      <c r="A8" s="1080" t="str">
        <f>'6.Procurement Annex'!A76</f>
        <v>6.2.3.5</v>
      </c>
      <c r="B8" s="1080">
        <f>'6-A. Proc. Sub-Annex'!C245</f>
        <v>0</v>
      </c>
      <c r="C8" s="1080" t="str">
        <f>'6-A. Proc. Sub-Annex'!D245</f>
        <v>Provision of Anti-Rabies Vaccine/Anti-Rabies Serum for animal bite victims</v>
      </c>
      <c r="D8" s="1081" t="str">
        <f>'6-A. Proc. Sub-Annex'!E245</f>
        <v>NDCP</v>
      </c>
      <c r="E8" s="1081" t="str">
        <f>'6-A. Proc. Sub-Annex'!F245</f>
        <v>NRCP</v>
      </c>
      <c r="F8" s="1081">
        <f>'6-A. Proc. Sub-Annex'!G245</f>
        <v>0</v>
      </c>
      <c r="G8" s="1081">
        <f>'6-A. Proc. Sub-Annex'!H245</f>
        <v>0</v>
      </c>
      <c r="H8" s="1081">
        <f>'6-A. Proc. Sub-Annex'!I245</f>
        <v>0</v>
      </c>
      <c r="I8" s="1081">
        <f>'6-A. Proc. Sub-Annex'!J245</f>
        <v>0</v>
      </c>
      <c r="J8" s="1081">
        <f>'6-A. Proc. Sub-Annex'!K245</f>
        <v>0</v>
      </c>
      <c r="K8" s="1081" t="str">
        <f>'6-A. Proc. Sub-Annex'!L245</f>
        <v>Drugs Indent</v>
      </c>
      <c r="L8" s="1081">
        <f>'6-A. Proc. Sub-Annex'!M245</f>
        <v>20000000</v>
      </c>
      <c r="M8" s="1082">
        <f>'6-A. Proc. Sub-Annex'!N245</f>
        <v>200</v>
      </c>
      <c r="N8" s="1081">
        <f>'6-A. Proc. Sub-Annex'!O245</f>
        <v>1</v>
      </c>
      <c r="O8" s="1082">
        <f>'6-A. Proc. Sub-Annex'!P245</f>
        <v>200</v>
      </c>
      <c r="P8" s="1083" t="str">
        <f>'6-A. Proc. Sub-Annex'!Q245</f>
        <v xml:space="preserve">Approximately, 2.5 Lakhs Dog bite cases reported in the State annually. Based on indents, Fund proposed for ARV@Rs 144/vial and ARS@3800/vial </v>
      </c>
      <c r="Q8" s="1100"/>
      <c r="R8" s="1101"/>
    </row>
    <row r="9" spans="1:18">
      <c r="A9" s="1022">
        <f>'9.Training Annex'!A7</f>
        <v>9</v>
      </c>
      <c r="B9" s="1022"/>
      <c r="C9" s="1022" t="str">
        <f>'9.Training Annex'!C7</f>
        <v>Training and Capacity Building</v>
      </c>
      <c r="D9" s="334"/>
      <c r="E9" s="334"/>
      <c r="F9" s="334"/>
      <c r="G9" s="334"/>
      <c r="H9" s="240"/>
      <c r="I9" s="334"/>
      <c r="J9" s="240"/>
      <c r="K9" s="1022"/>
      <c r="L9" s="1022"/>
      <c r="M9" s="240"/>
      <c r="N9" s="1073"/>
      <c r="O9" s="1084">
        <f>O10</f>
        <v>2.1360000000000001</v>
      </c>
      <c r="P9" s="1085"/>
      <c r="Q9" s="1102"/>
      <c r="R9" s="1103">
        <f>R10</f>
        <v>0</v>
      </c>
    </row>
    <row r="10" spans="1:18" ht="45">
      <c r="A10" s="1086" t="str">
        <f>'9-A.Training Sub-Annex'!B244</f>
        <v>9.5.29.7</v>
      </c>
      <c r="B10" s="1086"/>
      <c r="C10" s="1086" t="str">
        <f>'9-A.Training Sub-Annex'!D244</f>
        <v>Trainings of Medical Officers and Health Workers under NRCP</v>
      </c>
      <c r="D10" s="1087" t="str">
        <f>'9-A.Training Sub-Annex'!E244</f>
        <v>NDCP</v>
      </c>
      <c r="E10" s="1087" t="str">
        <f>'9-A.Training Sub-Annex'!F244</f>
        <v>NRCP</v>
      </c>
      <c r="F10" s="1087">
        <f>'9-A.Training Sub-Annex'!G244</f>
        <v>0</v>
      </c>
      <c r="G10" s="1087">
        <f>'9-A.Training Sub-Annex'!H244</f>
        <v>0</v>
      </c>
      <c r="H10" s="1087">
        <f>'9-A.Training Sub-Annex'!I244</f>
        <v>0</v>
      </c>
      <c r="I10" s="1087">
        <f>'9-A.Training Sub-Annex'!J244</f>
        <v>0</v>
      </c>
      <c r="J10" s="1087">
        <f>'9-A.Training Sub-Annex'!K244</f>
        <v>0</v>
      </c>
      <c r="K10" s="1087" t="str">
        <f>'9-A.Training Sub-Annex'!L244</f>
        <v>Per District</v>
      </c>
      <c r="L10" s="1087">
        <f>'9-A.Training Sub-Annex'!M244</f>
        <v>400</v>
      </c>
      <c r="M10" s="1088">
        <f>'9-A.Training Sub-Annex'!N244</f>
        <v>4.0000000000000001E-3</v>
      </c>
      <c r="N10" s="1087">
        <f>'9-A.Training Sub-Annex'!O244</f>
        <v>534</v>
      </c>
      <c r="O10" s="1088">
        <f>'9-A.Training Sub-Annex'!P244</f>
        <v>2.1360000000000001</v>
      </c>
      <c r="P10" s="78" t="str">
        <f>'9-A.Training Sub-Annex'!Q244</f>
        <v>1 day District level Training of medical officer and health worker from each block.</v>
      </c>
      <c r="Q10" s="1100"/>
      <c r="R10" s="1101"/>
    </row>
    <row r="11" spans="1:18">
      <c r="A11" s="1022">
        <f>'11.IEC-BCC Annex'!A7</f>
        <v>11</v>
      </c>
      <c r="B11" s="1022"/>
      <c r="C11" s="1022" t="str">
        <f>'11.IEC-BCC Annex'!C7</f>
        <v>IEC/BCC</v>
      </c>
      <c r="D11" s="334"/>
      <c r="E11" s="334"/>
      <c r="F11" s="334"/>
      <c r="G11" s="334"/>
      <c r="H11" s="240"/>
      <c r="I11" s="334"/>
      <c r="J11" s="240"/>
      <c r="K11" s="1022"/>
      <c r="L11" s="1022"/>
      <c r="M11" s="240"/>
      <c r="N11" s="1073"/>
      <c r="O11" s="1084">
        <f>O12</f>
        <v>3.8000000000000003</v>
      </c>
      <c r="P11" s="1085"/>
      <c r="Q11" s="1102"/>
      <c r="R11" s="1103">
        <f>R12</f>
        <v>0</v>
      </c>
    </row>
    <row r="12" spans="1:18" ht="30">
      <c r="A12" s="1086" t="str">
        <f>'11.IEC-BCC Annex'!A30</f>
        <v>11.3.6</v>
      </c>
      <c r="B12" s="1086"/>
      <c r="C12" s="1086" t="str">
        <f>'11-A. IEC Sub-Annex'!D73</f>
        <v>IEC/BCC under NRCP: Rabies Awareness and Do's and Don'ts in the event of Animal Bites</v>
      </c>
      <c r="D12" s="1087" t="str">
        <f>'11-A. IEC Sub-Annex'!E73</f>
        <v>NDCP</v>
      </c>
      <c r="E12" s="1087" t="str">
        <f>'11-A. IEC Sub-Annex'!F73</f>
        <v>NRCP</v>
      </c>
      <c r="F12" s="1087">
        <f>'11-A. IEC Sub-Annex'!G73</f>
        <v>0</v>
      </c>
      <c r="G12" s="1087">
        <f>'11-A. IEC Sub-Annex'!H73</f>
        <v>0</v>
      </c>
      <c r="H12" s="1087">
        <f>'11-A. IEC Sub-Annex'!I73</f>
        <v>0</v>
      </c>
      <c r="I12" s="1087">
        <f>'11-A. IEC Sub-Annex'!J73</f>
        <v>0</v>
      </c>
      <c r="J12" s="1087">
        <f>'11-A. IEC Sub-Annex'!K73</f>
        <v>0</v>
      </c>
      <c r="K12" s="1087">
        <f>'11-A. IEC Sub-Annex'!L73</f>
        <v>0</v>
      </c>
      <c r="L12" s="1087">
        <f>'11-A. IEC Sub-Annex'!M73</f>
        <v>10000</v>
      </c>
      <c r="M12" s="1088">
        <f>'11-A. IEC Sub-Annex'!N73</f>
        <v>0.1</v>
      </c>
      <c r="N12" s="1087">
        <f>'11-A. IEC Sub-Annex'!O73</f>
        <v>38</v>
      </c>
      <c r="O12" s="1088">
        <f>'11-A. IEC Sub-Annex'!P73</f>
        <v>3.8000000000000003</v>
      </c>
      <c r="P12" s="78" t="str">
        <f>'11-A. IEC Sub-Annex'!Q73</f>
        <v>For printing of banner and poster under IEC activities.</v>
      </c>
      <c r="Q12" s="1100"/>
      <c r="R12" s="1101"/>
    </row>
    <row r="13" spans="1:18">
      <c r="A13" s="1022">
        <f>'12.Printing Annex'!A7</f>
        <v>12</v>
      </c>
      <c r="B13" s="1022"/>
      <c r="C13" s="1022" t="str">
        <f>'12.Printing Annex'!C7</f>
        <v>Printing</v>
      </c>
      <c r="D13" s="334"/>
      <c r="E13" s="334"/>
      <c r="F13" s="334"/>
      <c r="G13" s="334"/>
      <c r="H13" s="240"/>
      <c r="I13" s="334"/>
      <c r="J13" s="240"/>
      <c r="K13" s="1022"/>
      <c r="L13" s="1022"/>
      <c r="M13" s="240"/>
      <c r="N13" s="1073"/>
      <c r="O13" s="1084">
        <f>O14</f>
        <v>0</v>
      </c>
      <c r="P13" s="1085"/>
      <c r="Q13" s="1102"/>
      <c r="R13" s="1103">
        <f>R14</f>
        <v>0</v>
      </c>
    </row>
    <row r="14" spans="1:18" ht="30">
      <c r="A14" s="1086" t="str">
        <f>'12.Printing Annex'!A31</f>
        <v>12.3.6</v>
      </c>
      <c r="B14" s="1086"/>
      <c r="C14" s="1086" t="str">
        <f>'12-A. Print Sub-Annex'!D89</f>
        <v>Printing of formats for Monitoring and Surveillance under NRCP</v>
      </c>
      <c r="D14" s="1087" t="str">
        <f>'12-A. Print Sub-Annex'!E89</f>
        <v>NDCP</v>
      </c>
      <c r="E14" s="1087" t="str">
        <f>'12-A. Print Sub-Annex'!F89</f>
        <v>NRCP</v>
      </c>
      <c r="F14" s="1087">
        <f>'12-A. Print Sub-Annex'!G89</f>
        <v>0</v>
      </c>
      <c r="G14" s="1087">
        <f>'12-A. Print Sub-Annex'!H89</f>
        <v>0</v>
      </c>
      <c r="H14" s="1087">
        <f>'12-A. Print Sub-Annex'!I89</f>
        <v>0</v>
      </c>
      <c r="I14" s="1087">
        <f>'12-A. Print Sub-Annex'!J89</f>
        <v>0</v>
      </c>
      <c r="J14" s="1087">
        <f>'12-A. Print Sub-Annex'!K89</f>
        <v>0</v>
      </c>
      <c r="K14" s="1087">
        <f>'12-A. Print Sub-Annex'!L89</f>
        <v>0</v>
      </c>
      <c r="L14" s="1087">
        <f>'12-A. Print Sub-Annex'!M89</f>
        <v>0</v>
      </c>
      <c r="M14" s="1088">
        <f>'12-A. Print Sub-Annex'!N89</f>
        <v>0</v>
      </c>
      <c r="N14" s="1087">
        <f>'12-A. Print Sub-Annex'!O89</f>
        <v>0</v>
      </c>
      <c r="O14" s="1088">
        <f>'12-A. Print Sub-Annex'!P89</f>
        <v>0</v>
      </c>
      <c r="P14" s="78">
        <f>'12-A. Print Sub-Annex'!Q89</f>
        <v>0</v>
      </c>
      <c r="Q14" s="1100"/>
      <c r="R14" s="1101"/>
    </row>
    <row r="15" spans="1:18">
      <c r="A15" s="416">
        <f>'16.PM Annex'!A7</f>
        <v>16</v>
      </c>
      <c r="B15" s="416"/>
      <c r="C15" s="416" t="str">
        <f>'16.PM Annex'!C7</f>
        <v>Programme Management</v>
      </c>
      <c r="D15" s="1089"/>
      <c r="E15" s="1089"/>
      <c r="F15" s="1089"/>
      <c r="G15" s="1089"/>
      <c r="H15" s="1010"/>
      <c r="I15" s="1089"/>
      <c r="J15" s="240"/>
      <c r="K15" s="416"/>
      <c r="L15" s="416"/>
      <c r="M15" s="240"/>
      <c r="N15" s="1073"/>
      <c r="O15" s="1084">
        <f>O16</f>
        <v>3.59</v>
      </c>
      <c r="P15" s="1085"/>
      <c r="Q15" s="1102"/>
      <c r="R15" s="1103">
        <f>R16</f>
        <v>0</v>
      </c>
    </row>
    <row r="16" spans="1:18" ht="105">
      <c r="A16" s="1090" t="str">
        <f>'16-A. PM sub Annex'!B64</f>
        <v>16.1.2.2.16</v>
      </c>
      <c r="B16" s="1090"/>
      <c r="C16" s="1090" t="str">
        <f>'16-A. PM sub Annex'!E64</f>
        <v>Monitoring and Surveillance (review meetings , Travel) under NRCP</v>
      </c>
      <c r="D16" s="1091" t="str">
        <f>'16-A. PM sub Annex'!F64</f>
        <v>NDCP</v>
      </c>
      <c r="E16" s="1091" t="str">
        <f>'16-A. PM sub Annex'!G64</f>
        <v>HRH&amp;HPIP/NRCP</v>
      </c>
      <c r="F16" s="1091">
        <f>'16-A. PM sub Annex'!H64</f>
        <v>0</v>
      </c>
      <c r="G16" s="1091">
        <f>'16-A. PM sub Annex'!I64</f>
        <v>0</v>
      </c>
      <c r="H16" s="1091">
        <f>'16-A. PM sub Annex'!J64</f>
        <v>0</v>
      </c>
      <c r="I16" s="1091">
        <f>'16-A. PM sub Annex'!K64</f>
        <v>0</v>
      </c>
      <c r="J16" s="1091">
        <f>'16-A. PM sub Annex'!L64</f>
        <v>0</v>
      </c>
      <c r="K16" s="1091" t="str">
        <f>'16-A. PM sub Annex'!M64</f>
        <v>Miscellaneous</v>
      </c>
      <c r="L16" s="1091">
        <f>'16-A. PM sub Annex'!N64</f>
        <v>359000</v>
      </c>
      <c r="M16" s="1092">
        <f>'16-A. PM sub Annex'!O64</f>
        <v>3.59</v>
      </c>
      <c r="N16" s="1091">
        <f>'16-A. PM sub Annex'!P64</f>
        <v>1</v>
      </c>
      <c r="O16" s="1092">
        <f>'16-A. PM sub Annex'!Q64</f>
        <v>3.59</v>
      </c>
      <c r="P16" s="78" t="str">
        <f>'16-A. PM sub Annex'!R64</f>
        <v>8000 per district for NRCP review meeting, 25,000 for State level Review meeting , 30000/year/state for vehicle hiring under NRCP monitoring and Surveillance .</v>
      </c>
      <c r="Q16" s="1100"/>
      <c r="R16" s="1101"/>
    </row>
    <row r="17" spans="1:18">
      <c r="K17" s="1095"/>
      <c r="L17" s="1095"/>
      <c r="M17" s="1096"/>
      <c r="O17" s="1097"/>
      <c r="Q17" s="1104"/>
      <c r="R17" s="1104"/>
    </row>
    <row r="18" spans="1:18">
      <c r="K18" s="1095"/>
      <c r="L18" s="1095"/>
      <c r="M18" s="1096"/>
      <c r="Q18" s="1104"/>
      <c r="R18" s="1104"/>
    </row>
    <row r="19" spans="1:18" s="950" customFormat="1">
      <c r="A19" s="4635" t="s">
        <v>5704</v>
      </c>
      <c r="B19" s="4635"/>
      <c r="C19" s="4635"/>
      <c r="D19" s="334"/>
      <c r="E19" s="334"/>
      <c r="F19" s="334"/>
      <c r="G19" s="334"/>
      <c r="H19" s="240"/>
      <c r="I19" s="334"/>
      <c r="J19" s="240"/>
      <c r="K19" s="1022"/>
      <c r="L19" s="1022"/>
      <c r="M19" s="240"/>
      <c r="N19" s="1012"/>
      <c r="O19" s="969"/>
      <c r="P19" s="964"/>
      <c r="Q19" s="977"/>
      <c r="R19" s="978"/>
    </row>
    <row r="20" spans="1:18" s="950" customFormat="1">
      <c r="A20" s="970" t="str">
        <f>'NUHM-Non Metro Abst'!A16</f>
        <v>U.1.1.1.6</v>
      </c>
      <c r="B20" s="970">
        <f>'NUHM-Non Metro Abst'!B16</f>
        <v>0</v>
      </c>
      <c r="C20" s="970" t="str">
        <f>'NUHM-Non Metro Abst'!C16</f>
        <v>Support for implementation of NRCP</v>
      </c>
      <c r="E20" s="970" t="str">
        <f>'NUHM-Non Metro Abst'!D16</f>
        <v>NRCP</v>
      </c>
      <c r="F20" s="970">
        <f>'NUHM-Non Metro Abst'!E16</f>
        <v>0</v>
      </c>
      <c r="G20" s="970">
        <f>'NUHM-Non Metro Abst'!F16</f>
        <v>0</v>
      </c>
      <c r="H20" s="970">
        <f>'NUHM-Non Metro Abst'!G16</f>
        <v>0</v>
      </c>
      <c r="I20" s="970">
        <f>'NUHM-Non Metro Abst'!H16</f>
        <v>0</v>
      </c>
      <c r="J20" s="970">
        <f>'NUHM-Non Metro Abst'!I16</f>
        <v>0</v>
      </c>
      <c r="K20" s="970">
        <f>'NUHM-Non Metro Abst'!J16</f>
        <v>0</v>
      </c>
      <c r="L20" s="970">
        <f>'NUHM-Non Metro Abst'!K16</f>
        <v>0</v>
      </c>
      <c r="M20" s="970">
        <f>'NUHM-Non Metro Abst'!L16</f>
        <v>0</v>
      </c>
      <c r="N20" s="970">
        <f>'NUHM-Non Metro Abst'!M16</f>
        <v>0</v>
      </c>
      <c r="O20" s="970">
        <f>'NUHM-Non Metro Abst'!N16</f>
        <v>0</v>
      </c>
      <c r="P20" s="970">
        <f>'NUHM-Non Metro Abst'!O16</f>
        <v>0</v>
      </c>
      <c r="Q20" s="63"/>
      <c r="R20" s="979"/>
    </row>
    <row r="21" spans="1:18" s="950" customFormat="1">
      <c r="A21" s="4635" t="s">
        <v>5703</v>
      </c>
      <c r="B21" s="4635"/>
      <c r="C21" s="4635"/>
      <c r="D21" s="334"/>
      <c r="E21" s="334"/>
      <c r="F21" s="334"/>
      <c r="G21" s="334"/>
      <c r="H21" s="334"/>
      <c r="I21" s="334"/>
      <c r="J21" s="334"/>
      <c r="K21" s="334"/>
      <c r="L21" s="334"/>
      <c r="M21" s="334"/>
      <c r="N21" s="334"/>
      <c r="O21" s="334"/>
      <c r="P21" s="334"/>
      <c r="Q21" s="977"/>
      <c r="R21" s="978"/>
    </row>
    <row r="22" spans="1:18" s="950" customFormat="1">
      <c r="A22" s="970" t="str">
        <f>'NUHM Metro Abst'!A16</f>
        <v>U.1.1.1.6</v>
      </c>
      <c r="B22" s="970">
        <f>'NUHM Metro Abst'!B16</f>
        <v>0</v>
      </c>
      <c r="C22" s="970" t="str">
        <f>'NUHM Metro Abst'!C16</f>
        <v>Support for implementation of NRCP</v>
      </c>
      <c r="E22" s="970" t="str">
        <f>'NUHM Metro Abst'!D16</f>
        <v>NRCP</v>
      </c>
      <c r="F22" s="970">
        <f>'NUHM Metro Abst'!E16</f>
        <v>0</v>
      </c>
      <c r="G22" s="970">
        <f>'NUHM Metro Abst'!F16</f>
        <v>0</v>
      </c>
      <c r="H22" s="970">
        <f>'NUHM Metro Abst'!G16</f>
        <v>0</v>
      </c>
      <c r="I22" s="970">
        <f>'NUHM Metro Abst'!H16</f>
        <v>0</v>
      </c>
      <c r="J22" s="970">
        <f>'NUHM Metro Abst'!I16</f>
        <v>0</v>
      </c>
      <c r="K22" s="970">
        <f>'NUHM Metro Abst'!J16</f>
        <v>0</v>
      </c>
      <c r="L22" s="970">
        <f>'NUHM Metro Abst'!K16</f>
        <v>0</v>
      </c>
      <c r="M22" s="970">
        <f>'NUHM Metro Abst'!L16</f>
        <v>0</v>
      </c>
      <c r="N22" s="970">
        <f>'NUHM Metro Abst'!M16</f>
        <v>0</v>
      </c>
      <c r="O22" s="970">
        <f>'NUHM Metro Abst'!N16</f>
        <v>0</v>
      </c>
      <c r="P22" s="970">
        <f>'NUHM Metro Abst'!O16</f>
        <v>0</v>
      </c>
      <c r="Q22" s="970"/>
      <c r="R22" s="970"/>
    </row>
  </sheetData>
  <sheetProtection sheet="1" formatCells="0" formatColumns="0" autoFilter="0"/>
  <autoFilter ref="A5:M16"/>
  <mergeCells count="11">
    <mergeCell ref="A19:C19"/>
    <mergeCell ref="A21:C21"/>
    <mergeCell ref="Q4:R4"/>
    <mergeCell ref="E4:E5"/>
    <mergeCell ref="A1:C1"/>
    <mergeCell ref="A4:A5"/>
    <mergeCell ref="B4:B5"/>
    <mergeCell ref="C4:C5"/>
    <mergeCell ref="D4:D5"/>
    <mergeCell ref="F4:J4"/>
    <mergeCell ref="K4:P4"/>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sheetPr>
    <tabColor theme="5" tint="0.79998168889431442"/>
  </sheetPr>
  <dimension ref="A1:R23"/>
  <sheetViews>
    <sheetView zoomScale="70" zoomScaleNormal="70" workbookViewId="0">
      <pane xSplit="3" ySplit="5" topLeftCell="F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7109375" defaultRowHeight="15"/>
  <cols>
    <col min="1" max="1" width="10.5703125" style="453" bestFit="1" customWidth="1"/>
    <col min="2" max="2" width="16.42578125" style="453" customWidth="1"/>
    <col min="3" max="3" width="40.85546875" style="453" customWidth="1"/>
    <col min="4" max="4" width="5.5703125" style="407" bestFit="1" customWidth="1"/>
    <col min="5" max="5" width="16.7109375" style="407" customWidth="1"/>
    <col min="6" max="6" width="17.28515625" style="407" bestFit="1" customWidth="1"/>
    <col min="7" max="7" width="13.42578125" style="407" customWidth="1"/>
    <col min="8" max="8" width="15.85546875" style="479" bestFit="1" customWidth="1"/>
    <col min="9" max="9" width="9.85546875" style="407" customWidth="1"/>
    <col min="10" max="10" width="11.28515625" style="479" customWidth="1"/>
    <col min="11" max="11" width="9.42578125" style="453" customWidth="1"/>
    <col min="12" max="12" width="12.140625" style="453" customWidth="1"/>
    <col min="13" max="13" width="9.85546875" style="479" customWidth="1"/>
    <col min="14" max="14" width="8.7109375" style="398"/>
    <col min="15" max="15" width="8.7109375" style="614"/>
    <col min="16" max="16" width="24.5703125" style="398" customWidth="1"/>
    <col min="17" max="17" width="27.28515625" style="398" customWidth="1"/>
    <col min="18" max="18" width="8.7109375" style="614"/>
    <col min="19" max="16384" width="8.7109375" style="398"/>
  </cols>
  <sheetData>
    <row r="1" spans="1:18">
      <c r="A1" s="4648" t="s">
        <v>4494</v>
      </c>
      <c r="B1" s="4648"/>
      <c r="C1" s="4648"/>
      <c r="D1" s="1105"/>
      <c r="E1" s="1106"/>
      <c r="F1" s="74" t="s">
        <v>4597</v>
      </c>
      <c r="G1" s="873"/>
      <c r="H1" s="873"/>
      <c r="I1" s="873"/>
      <c r="J1" s="1107"/>
      <c r="K1" s="1108"/>
      <c r="L1" s="1108"/>
      <c r="M1" s="1107"/>
    </row>
    <row r="2" spans="1:18">
      <c r="A2" s="868" t="str">
        <f>HYPERLINK("#Index!F3", "Index Pg")</f>
        <v>Index Pg</v>
      </c>
      <c r="B2" s="873"/>
      <c r="C2" s="403" t="str">
        <f>HYPERLINK("#'Budget Summary I'!A1:AL1", "Budget Summary I")</f>
        <v>Budget Summary I</v>
      </c>
      <c r="D2" s="600"/>
      <c r="E2" s="713" t="s">
        <v>4599</v>
      </c>
      <c r="F2" s="479">
        <f>R6+R9+R11+R15</f>
        <v>0</v>
      </c>
      <c r="G2" s="873"/>
      <c r="H2" s="873"/>
      <c r="I2" s="873"/>
      <c r="J2" s="599"/>
      <c r="K2" s="1039"/>
      <c r="L2" s="1039"/>
      <c r="M2" s="599"/>
    </row>
    <row r="3" spans="1:18">
      <c r="A3" s="872"/>
      <c r="B3" s="873"/>
      <c r="C3" s="924" t="str">
        <f>HYPERLINK("#'Budget Summary II'!A3:B5", "Budget Summary II")</f>
        <v>Budget Summary II</v>
      </c>
      <c r="D3" s="600"/>
      <c r="E3" s="1055" t="s">
        <v>4600</v>
      </c>
      <c r="F3" s="335">
        <f>O6+O9+O11+O15</f>
        <v>0</v>
      </c>
      <c r="G3" s="873"/>
      <c r="H3" s="873"/>
      <c r="I3" s="873"/>
      <c r="J3" s="599"/>
      <c r="K3" s="1039"/>
      <c r="L3" s="1039"/>
      <c r="M3" s="599"/>
    </row>
    <row r="4" spans="1:18" s="407" customFormat="1" ht="14.45" customHeigh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407" customFormat="1"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1022">
        <f>'6.Procurement Annex'!A7</f>
        <v>6</v>
      </c>
      <c r="B6" s="1022"/>
      <c r="C6" s="1022" t="str">
        <f>'6.Procurement Annex'!C7</f>
        <v>Procurement</v>
      </c>
      <c r="D6" s="334"/>
      <c r="E6" s="334"/>
      <c r="F6" s="334"/>
      <c r="G6" s="334"/>
      <c r="H6" s="240"/>
      <c r="I6" s="334"/>
      <c r="J6" s="240"/>
      <c r="K6" s="1022"/>
      <c r="L6" s="1022"/>
      <c r="M6" s="240"/>
      <c r="N6" s="1109"/>
      <c r="O6" s="1110">
        <f>SUM(O7:O8)</f>
        <v>0</v>
      </c>
      <c r="P6" s="1109"/>
      <c r="Q6" s="1109"/>
      <c r="R6" s="1110">
        <f>SUM(R7:R8)</f>
        <v>0</v>
      </c>
    </row>
    <row r="7" spans="1:18" ht="45">
      <c r="A7" s="4649" t="str">
        <f>'6.Procurement Annex'!A77</f>
        <v>6.2.3.6</v>
      </c>
      <c r="B7" s="79"/>
      <c r="C7" s="76" t="str">
        <f>'6-A. Proc. Sub-Annex'!D247</f>
        <v xml:space="preserve">Procurement of drugs, diagnostic kits, supplies etc under Programme for Prevention and Control of Leptospirosis </v>
      </c>
      <c r="D7" s="134" t="str">
        <f>'6-A. Proc. Sub-Annex'!E247</f>
        <v>NDCP</v>
      </c>
      <c r="E7" s="134" t="str">
        <f>'6-A. Proc. Sub-Annex'!F247</f>
        <v>PPCL</v>
      </c>
      <c r="F7" s="134">
        <f>'6-A. Proc. Sub-Annex'!G247</f>
        <v>0</v>
      </c>
      <c r="G7" s="134">
        <f>'6-A. Proc. Sub-Annex'!H247</f>
        <v>0</v>
      </c>
      <c r="H7" s="134">
        <f>'6-A. Proc. Sub-Annex'!I247</f>
        <v>0</v>
      </c>
      <c r="I7" s="134">
        <f>'6-A. Proc. Sub-Annex'!J247</f>
        <v>0</v>
      </c>
      <c r="J7" s="134">
        <f>'6-A. Proc. Sub-Annex'!K247</f>
        <v>0</v>
      </c>
      <c r="K7" s="134">
        <f>'6-A. Proc. Sub-Annex'!L247</f>
        <v>0</v>
      </c>
      <c r="L7" s="134">
        <f>'6-A. Proc. Sub-Annex'!M247</f>
        <v>0</v>
      </c>
      <c r="M7" s="336">
        <f>'6-A. Proc. Sub-Annex'!N247</f>
        <v>0</v>
      </c>
      <c r="N7" s="134">
        <f>'6-A. Proc. Sub-Annex'!O247</f>
        <v>0</v>
      </c>
      <c r="O7" s="336">
        <f>'6-A. Proc. Sub-Annex'!P247</f>
        <v>0</v>
      </c>
      <c r="P7" s="76">
        <f>'6-A. Proc. Sub-Annex'!Q247</f>
        <v>0</v>
      </c>
      <c r="Q7" s="62"/>
      <c r="R7" s="318"/>
    </row>
    <row r="8" spans="1:18" ht="30">
      <c r="A8" s="4649"/>
      <c r="B8" s="79"/>
      <c r="C8" s="76" t="str">
        <f>'6-A. Proc. Sub-Annex'!D248</f>
        <v>Any other (please specify)</v>
      </c>
      <c r="D8" s="134" t="str">
        <f>'6-A. Proc. Sub-Annex'!E248</f>
        <v>NDCP</v>
      </c>
      <c r="E8" s="134" t="str">
        <f>'6-A. Proc. Sub-Annex'!F248</f>
        <v>PPCL</v>
      </c>
      <c r="F8" s="134">
        <f>'6-A. Proc. Sub-Annex'!G248</f>
        <v>0</v>
      </c>
      <c r="G8" s="134">
        <f>'6-A. Proc. Sub-Annex'!H248</f>
        <v>0</v>
      </c>
      <c r="H8" s="134">
        <f>'6-A. Proc. Sub-Annex'!I248</f>
        <v>0</v>
      </c>
      <c r="I8" s="134">
        <f>'6-A. Proc. Sub-Annex'!J248</f>
        <v>0</v>
      </c>
      <c r="J8" s="134">
        <f>'6-A. Proc. Sub-Annex'!K248</f>
        <v>0</v>
      </c>
      <c r="K8" s="134">
        <f>'6-A. Proc. Sub-Annex'!L248</f>
        <v>0</v>
      </c>
      <c r="L8" s="134">
        <f>'6-A. Proc. Sub-Annex'!M248</f>
        <v>0</v>
      </c>
      <c r="M8" s="336">
        <f>'6-A. Proc. Sub-Annex'!N248</f>
        <v>0</v>
      </c>
      <c r="N8" s="134">
        <f>'6-A. Proc. Sub-Annex'!O248</f>
        <v>0</v>
      </c>
      <c r="O8" s="336">
        <f>'6-A. Proc. Sub-Annex'!P248</f>
        <v>0</v>
      </c>
      <c r="P8" s="76">
        <f>'6-A. Proc. Sub-Annex'!Q248</f>
        <v>0</v>
      </c>
      <c r="Q8" s="62"/>
      <c r="R8" s="318"/>
    </row>
    <row r="9" spans="1:18">
      <c r="A9" s="1022">
        <f>'9.Training Annex'!A7</f>
        <v>9</v>
      </c>
      <c r="B9" s="1022"/>
      <c r="C9" s="1022" t="str">
        <f>'9.Training Annex'!C7</f>
        <v>Training and Capacity Building</v>
      </c>
      <c r="D9" s="334"/>
      <c r="E9" s="334"/>
      <c r="F9" s="334"/>
      <c r="G9" s="334"/>
      <c r="H9" s="240"/>
      <c r="I9" s="334"/>
      <c r="J9" s="240"/>
      <c r="K9" s="1022"/>
      <c r="L9" s="1022"/>
      <c r="M9" s="240"/>
      <c r="N9" s="1109"/>
      <c r="O9" s="1110">
        <f>O10</f>
        <v>0</v>
      </c>
      <c r="P9" s="1111"/>
      <c r="Q9" s="1112"/>
      <c r="R9" s="1113">
        <f>R10</f>
        <v>0</v>
      </c>
    </row>
    <row r="10" spans="1:18" ht="45">
      <c r="A10" s="78" t="str">
        <f>'9.Training Annex'!A53</f>
        <v>9.2.3.7</v>
      </c>
      <c r="B10" s="78"/>
      <c r="C10" s="78" t="str">
        <f>'9-A.Training Sub-Annex'!D246</f>
        <v>Training at State and District level under Programme for Prevention and Control of Leptospirosis</v>
      </c>
      <c r="D10" s="990" t="str">
        <f>'9-A.Training Sub-Annex'!E246</f>
        <v>NDCP</v>
      </c>
      <c r="E10" s="990" t="str">
        <f>'9-A.Training Sub-Annex'!F246</f>
        <v>PPCL</v>
      </c>
      <c r="F10" s="990">
        <f>'9-A.Training Sub-Annex'!G246</f>
        <v>0</v>
      </c>
      <c r="G10" s="990">
        <f>'9-A.Training Sub-Annex'!H246</f>
        <v>0</v>
      </c>
      <c r="H10" s="990">
        <f>'9-A.Training Sub-Annex'!I246</f>
        <v>0</v>
      </c>
      <c r="I10" s="990">
        <f>'9-A.Training Sub-Annex'!J246</f>
        <v>0</v>
      </c>
      <c r="J10" s="990">
        <f>'9-A.Training Sub-Annex'!K246</f>
        <v>0</v>
      </c>
      <c r="K10" s="990">
        <f>'9-A.Training Sub-Annex'!L246</f>
        <v>0</v>
      </c>
      <c r="L10" s="990">
        <f>'9-A.Training Sub-Annex'!M246</f>
        <v>0</v>
      </c>
      <c r="M10" s="136">
        <f>'9-A.Training Sub-Annex'!N246</f>
        <v>0</v>
      </c>
      <c r="N10" s="990">
        <f>'9-A.Training Sub-Annex'!O246</f>
        <v>0</v>
      </c>
      <c r="O10" s="136">
        <f>'9-A.Training Sub-Annex'!P246</f>
        <v>0</v>
      </c>
      <c r="P10" s="78">
        <f>'9-A.Training Sub-Annex'!Q246</f>
        <v>0</v>
      </c>
      <c r="Q10" s="62"/>
      <c r="R10" s="318"/>
    </row>
    <row r="11" spans="1:18">
      <c r="A11" s="1022">
        <f>'11.IEC-BCC Annex'!A7</f>
        <v>11</v>
      </c>
      <c r="B11" s="1022"/>
      <c r="C11" s="1022" t="str">
        <f>'11.IEC-BCC Annex'!C7</f>
        <v>IEC/BCC</v>
      </c>
      <c r="D11" s="334"/>
      <c r="E11" s="334"/>
      <c r="F11" s="334"/>
      <c r="G11" s="334"/>
      <c r="H11" s="240"/>
      <c r="I11" s="334"/>
      <c r="J11" s="240"/>
      <c r="K11" s="1022"/>
      <c r="L11" s="1022"/>
      <c r="M11" s="240"/>
      <c r="N11" s="1109"/>
      <c r="O11" s="1110">
        <f>O12</f>
        <v>0</v>
      </c>
      <c r="P11" s="1111"/>
      <c r="Q11" s="1112"/>
      <c r="R11" s="1113">
        <f>R12</f>
        <v>0</v>
      </c>
    </row>
    <row r="12" spans="1:18" ht="30">
      <c r="A12" s="78" t="str">
        <f>'11.IEC-BCC Annex'!A29</f>
        <v>11.3.5</v>
      </c>
      <c r="B12" s="78"/>
      <c r="C12" s="78" t="str">
        <f>'11-A. IEC Sub-Annex'!D74</f>
        <v>IEC under Programme for Prevention and Control of Leptospirosis</v>
      </c>
      <c r="D12" s="990" t="str">
        <f>'11-A. IEC Sub-Annex'!E74</f>
        <v>NDCP</v>
      </c>
      <c r="E12" s="990" t="str">
        <f>'11-A. IEC Sub-Annex'!F74</f>
        <v>PPCL</v>
      </c>
      <c r="F12" s="990">
        <f>'11-A. IEC Sub-Annex'!G74</f>
        <v>0</v>
      </c>
      <c r="G12" s="990">
        <f>'11-A. IEC Sub-Annex'!H74</f>
        <v>0</v>
      </c>
      <c r="H12" s="990">
        <f>'11-A. IEC Sub-Annex'!I74</f>
        <v>0</v>
      </c>
      <c r="I12" s="990">
        <f>'11-A. IEC Sub-Annex'!J74</f>
        <v>0</v>
      </c>
      <c r="J12" s="990">
        <f>'11-A. IEC Sub-Annex'!K74</f>
        <v>0</v>
      </c>
      <c r="K12" s="990">
        <f>'11-A. IEC Sub-Annex'!L74</f>
        <v>0</v>
      </c>
      <c r="L12" s="990">
        <f>'11-A. IEC Sub-Annex'!M74</f>
        <v>0</v>
      </c>
      <c r="M12" s="136">
        <f>'11-A. IEC Sub-Annex'!N74</f>
        <v>0</v>
      </c>
      <c r="N12" s="990">
        <f>'11-A. IEC Sub-Annex'!O74</f>
        <v>0</v>
      </c>
      <c r="O12" s="136">
        <f>'11-A. IEC Sub-Annex'!P74</f>
        <v>0</v>
      </c>
      <c r="P12" s="78">
        <f>'11-A. IEC Sub-Annex'!Q74</f>
        <v>0</v>
      </c>
      <c r="Q12" s="62"/>
      <c r="R12" s="318"/>
    </row>
    <row r="13" spans="1:18">
      <c r="A13" s="1022">
        <f>'12.Printing Annex'!A7</f>
        <v>12</v>
      </c>
      <c r="B13" s="1022"/>
      <c r="C13" s="1022" t="str">
        <f>'12.Printing Annex'!C7</f>
        <v>Printing</v>
      </c>
      <c r="D13" s="334"/>
      <c r="E13" s="334"/>
      <c r="F13" s="334"/>
      <c r="G13" s="334"/>
      <c r="H13" s="240"/>
      <c r="I13" s="334"/>
      <c r="J13" s="240"/>
      <c r="K13" s="1022"/>
      <c r="L13" s="1022"/>
      <c r="M13" s="240"/>
      <c r="N13" s="1109"/>
      <c r="O13" s="1110">
        <f>O14</f>
        <v>0</v>
      </c>
      <c r="P13" s="1111"/>
      <c r="Q13" s="1112"/>
      <c r="R13" s="1113">
        <f>R14</f>
        <v>0</v>
      </c>
    </row>
    <row r="14" spans="1:18" ht="30">
      <c r="A14" s="78" t="str">
        <f>'12.Printing Annex'!A32</f>
        <v>12.3.7</v>
      </c>
      <c r="B14" s="78"/>
      <c r="C14" s="78" t="str">
        <f>'12.Printing Annex'!C32</f>
        <v>Printing activities under PPCL</v>
      </c>
      <c r="D14" s="78" t="str">
        <f>'12.Printing Annex'!D32</f>
        <v>NDCP</v>
      </c>
      <c r="E14" s="990" t="str">
        <f>'12.Printing Annex'!E32</f>
        <v>PPCL</v>
      </c>
      <c r="F14" s="990">
        <f>'12.Printing Annex'!F32</f>
        <v>0</v>
      </c>
      <c r="G14" s="990">
        <f>'12.Printing Annex'!G32</f>
        <v>0</v>
      </c>
      <c r="H14" s="990">
        <f>'12.Printing Annex'!H32</f>
        <v>0</v>
      </c>
      <c r="I14" s="990">
        <f>'12.Printing Annex'!I32</f>
        <v>0</v>
      </c>
      <c r="J14" s="990">
        <f>'12.Printing Annex'!J32</f>
        <v>0</v>
      </c>
      <c r="K14" s="990">
        <f>'12.Printing Annex'!K32</f>
        <v>0</v>
      </c>
      <c r="L14" s="990">
        <f>'12.Printing Annex'!L32</f>
        <v>0</v>
      </c>
      <c r="M14" s="136">
        <f>'12.Printing Annex'!M32</f>
        <v>0</v>
      </c>
      <c r="N14" s="990">
        <f>'12.Printing Annex'!N32</f>
        <v>0</v>
      </c>
      <c r="O14" s="136">
        <f>'12.Printing Annex'!O32</f>
        <v>0</v>
      </c>
      <c r="P14" s="78">
        <f>'12.Printing Annex'!P32</f>
        <v>0</v>
      </c>
      <c r="Q14" s="62"/>
      <c r="R14" s="318"/>
    </row>
    <row r="15" spans="1:18">
      <c r="A15" s="416">
        <f>'16.PM Annex'!A7</f>
        <v>16</v>
      </c>
      <c r="B15" s="416"/>
      <c r="C15" s="416" t="str">
        <f>'16.PM Annex'!C7</f>
        <v>Programme Management</v>
      </c>
      <c r="D15" s="1089"/>
      <c r="E15" s="1089"/>
      <c r="F15" s="1089"/>
      <c r="G15" s="1089"/>
      <c r="H15" s="1010"/>
      <c r="I15" s="1089"/>
      <c r="J15" s="240"/>
      <c r="K15" s="1111"/>
      <c r="L15" s="1111"/>
      <c r="M15" s="240"/>
      <c r="N15" s="1109"/>
      <c r="O15" s="1110">
        <f>SUM(O16:O17)</f>
        <v>0</v>
      </c>
      <c r="P15" s="1111"/>
      <c r="Q15" s="1112"/>
      <c r="R15" s="1113">
        <f>SUM(R16:R17)</f>
        <v>0</v>
      </c>
    </row>
    <row r="16" spans="1:18" ht="30">
      <c r="A16" s="78" t="str">
        <f>'16-A. PM sub Annex'!B47</f>
        <v>16.1.2.1.27</v>
      </c>
      <c r="B16" s="78"/>
      <c r="C16" s="78" t="str">
        <f>'16-A. PM sub Annex'!E47</f>
        <v>Review meetings under Programme for Prevention and Control of Leptospirosis</v>
      </c>
      <c r="D16" s="990" t="str">
        <f>'16-A. PM sub Annex'!F47</f>
        <v>NDCP</v>
      </c>
      <c r="E16" s="990" t="str">
        <f>'16-A. PM sub Annex'!G47</f>
        <v>HRH&amp;HPIP/PPCL</v>
      </c>
      <c r="F16" s="990">
        <f>'16-A. PM sub Annex'!H47</f>
        <v>0</v>
      </c>
      <c r="G16" s="990">
        <f>'16-A. PM sub Annex'!I47</f>
        <v>0</v>
      </c>
      <c r="H16" s="990">
        <f>'16-A. PM sub Annex'!J47</f>
        <v>0</v>
      </c>
      <c r="I16" s="990">
        <f>'16-A. PM sub Annex'!K47</f>
        <v>0</v>
      </c>
      <c r="J16" s="990">
        <f>'16-A. PM sub Annex'!L47</f>
        <v>0</v>
      </c>
      <c r="K16" s="990">
        <f>'16-A. PM sub Annex'!M47</f>
        <v>0</v>
      </c>
      <c r="L16" s="990">
        <f>'16-A. PM sub Annex'!N47</f>
        <v>0</v>
      </c>
      <c r="M16" s="136">
        <f>'16-A. PM sub Annex'!O47</f>
        <v>0</v>
      </c>
      <c r="N16" s="990">
        <f>'16-A. PM sub Annex'!P47</f>
        <v>0</v>
      </c>
      <c r="O16" s="136">
        <f>'16-A. PM sub Annex'!Q47</f>
        <v>0</v>
      </c>
      <c r="P16" s="78">
        <f>'16-A. PM sub Annex'!R47</f>
        <v>0</v>
      </c>
      <c r="Q16" s="62"/>
      <c r="R16" s="318"/>
    </row>
    <row r="17" spans="1:18" ht="30">
      <c r="A17" s="78" t="str">
        <f>'16-A. PM sub Annex'!B88</f>
        <v>16.1.3.1.20</v>
      </c>
      <c r="B17" s="78"/>
      <c r="C17" s="78" t="str">
        <f>'16-A. PM sub Annex'!E88</f>
        <v>Mobility support under Programme for Prevention and Control of Leptospirosis</v>
      </c>
      <c r="D17" s="990" t="str">
        <f>'16-A. PM sub Annex'!F88</f>
        <v>NDCP</v>
      </c>
      <c r="E17" s="990" t="str">
        <f>'16-A. PM sub Annex'!G88</f>
        <v>HRH&amp;HPIP/PPCL</v>
      </c>
      <c r="F17" s="990">
        <f>'16-A. PM sub Annex'!H88</f>
        <v>0</v>
      </c>
      <c r="G17" s="990">
        <f>'16-A. PM sub Annex'!I88</f>
        <v>0</v>
      </c>
      <c r="H17" s="990">
        <f>'16-A. PM sub Annex'!J88</f>
        <v>0</v>
      </c>
      <c r="I17" s="990">
        <f>'16-A. PM sub Annex'!K88</f>
        <v>0</v>
      </c>
      <c r="J17" s="990">
        <f>'16-A. PM sub Annex'!L88</f>
        <v>0</v>
      </c>
      <c r="K17" s="990">
        <f>'16-A. PM sub Annex'!M88</f>
        <v>0</v>
      </c>
      <c r="L17" s="990">
        <f>'16-A. PM sub Annex'!N88</f>
        <v>0</v>
      </c>
      <c r="M17" s="136">
        <f>'16-A. PM sub Annex'!O88</f>
        <v>0</v>
      </c>
      <c r="N17" s="990">
        <f>'16-A. PM sub Annex'!P88</f>
        <v>0</v>
      </c>
      <c r="O17" s="136">
        <f>'16-A. PM sub Annex'!Q88</f>
        <v>0</v>
      </c>
      <c r="P17" s="78">
        <f>'16-A. PM sub Annex'!R88</f>
        <v>0</v>
      </c>
      <c r="Q17" s="62"/>
      <c r="R17" s="318"/>
    </row>
    <row r="18" spans="1:18">
      <c r="Q18" s="256"/>
      <c r="R18" s="1033"/>
    </row>
    <row r="19" spans="1:18">
      <c r="Q19" s="256"/>
      <c r="R19" s="1033"/>
    </row>
    <row r="20" spans="1:18" s="950" customFormat="1">
      <c r="A20" s="4635" t="s">
        <v>5704</v>
      </c>
      <c r="B20" s="4635"/>
      <c r="C20" s="4635"/>
      <c r="D20" s="334"/>
      <c r="E20" s="334"/>
      <c r="F20" s="334"/>
      <c r="G20" s="334"/>
      <c r="H20" s="240"/>
      <c r="I20" s="334"/>
      <c r="J20" s="240"/>
      <c r="K20" s="1022"/>
      <c r="L20" s="1022"/>
      <c r="M20" s="240"/>
      <c r="N20" s="1012"/>
      <c r="O20" s="969"/>
      <c r="P20" s="964"/>
      <c r="Q20" s="977"/>
      <c r="R20" s="978"/>
    </row>
    <row r="21" spans="1:18" s="950" customFormat="1">
      <c r="A21" s="970" t="str">
        <f>'NUHM-Non Metro Abst'!A17</f>
        <v>U.1.1.1.7</v>
      </c>
      <c r="B21" s="970">
        <f>'NUHM-Non Metro Abst'!B17</f>
        <v>0</v>
      </c>
      <c r="C21" s="970" t="str">
        <f>'NUHM-Non Metro Abst'!C17</f>
        <v>Support for implementation of PPCL</v>
      </c>
      <c r="E21" s="970" t="str">
        <f>'NUHM-Non Metro Abst'!D17</f>
        <v>PPCL</v>
      </c>
      <c r="F21" s="970">
        <f>'NUHM-Non Metro Abst'!E17</f>
        <v>0</v>
      </c>
      <c r="G21" s="970">
        <f>'NUHM-Non Metro Abst'!F17</f>
        <v>0</v>
      </c>
      <c r="H21" s="970">
        <f>'NUHM-Non Metro Abst'!G17</f>
        <v>0</v>
      </c>
      <c r="I21" s="970">
        <f>'NUHM-Non Metro Abst'!H17</f>
        <v>0</v>
      </c>
      <c r="J21" s="970">
        <f>'NUHM-Non Metro Abst'!I17</f>
        <v>0</v>
      </c>
      <c r="K21" s="970">
        <f>'NUHM-Non Metro Abst'!J17</f>
        <v>0</v>
      </c>
      <c r="L21" s="970">
        <f>'NUHM-Non Metro Abst'!K17</f>
        <v>0</v>
      </c>
      <c r="M21" s="970">
        <f>'NUHM-Non Metro Abst'!L17</f>
        <v>0</v>
      </c>
      <c r="N21" s="970">
        <f>'NUHM-Non Metro Abst'!M17</f>
        <v>0</v>
      </c>
      <c r="O21" s="970">
        <f>'NUHM-Non Metro Abst'!N17</f>
        <v>0</v>
      </c>
      <c r="P21" s="970">
        <f>'NUHM-Non Metro Abst'!O17</f>
        <v>0</v>
      </c>
      <c r="Q21" s="63"/>
      <c r="R21" s="979"/>
    </row>
    <row r="22" spans="1:18" s="950" customFormat="1">
      <c r="A22" s="4635" t="s">
        <v>5703</v>
      </c>
      <c r="B22" s="4635"/>
      <c r="C22" s="4635"/>
      <c r="D22" s="334"/>
      <c r="E22" s="334"/>
      <c r="F22" s="334"/>
      <c r="G22" s="334"/>
      <c r="H22" s="334"/>
      <c r="I22" s="334"/>
      <c r="J22" s="334"/>
      <c r="K22" s="334"/>
      <c r="L22" s="334"/>
      <c r="M22" s="334"/>
      <c r="N22" s="334"/>
      <c r="O22" s="334"/>
      <c r="P22" s="334"/>
      <c r="Q22" s="977"/>
      <c r="R22" s="978"/>
    </row>
    <row r="23" spans="1:18" s="950" customFormat="1">
      <c r="A23" s="970" t="str">
        <f>'NUHM Metro Abst'!A17</f>
        <v>U.1.1.1.7</v>
      </c>
      <c r="B23" s="970">
        <f>'NUHM Metro Abst'!B17</f>
        <v>0</v>
      </c>
      <c r="C23" s="970" t="str">
        <f>'NUHM Metro Abst'!C17</f>
        <v>Support for implementation of PPCL</v>
      </c>
      <c r="E23" s="970" t="str">
        <f>'NUHM Metro Abst'!D17</f>
        <v>PPCL</v>
      </c>
      <c r="F23" s="970">
        <f>'NUHM Metro Abst'!E17</f>
        <v>0</v>
      </c>
      <c r="G23" s="970">
        <f>'NUHM Metro Abst'!F17</f>
        <v>0</v>
      </c>
      <c r="H23" s="970">
        <f>'NUHM Metro Abst'!G17</f>
        <v>0</v>
      </c>
      <c r="I23" s="970">
        <f>'NUHM Metro Abst'!H17</f>
        <v>0</v>
      </c>
      <c r="J23" s="970">
        <f>'NUHM Metro Abst'!I17</f>
        <v>0</v>
      </c>
      <c r="K23" s="970">
        <f>'NUHM Metro Abst'!J17</f>
        <v>0</v>
      </c>
      <c r="L23" s="970">
        <f>'NUHM Metro Abst'!K17</f>
        <v>0</v>
      </c>
      <c r="M23" s="970">
        <f>'NUHM Metro Abst'!L17</f>
        <v>0</v>
      </c>
      <c r="N23" s="970">
        <f>'NUHM Metro Abst'!M17</f>
        <v>0</v>
      </c>
      <c r="O23" s="970">
        <f>'NUHM Metro Abst'!N17</f>
        <v>0</v>
      </c>
      <c r="P23" s="970">
        <f>'NUHM Metro Abst'!O17</f>
        <v>0</v>
      </c>
      <c r="Q23" s="63"/>
      <c r="R23" s="63"/>
    </row>
  </sheetData>
  <sheetProtection sheet="1" formatCells="0" formatColumns="0" formatRows="0" autoFilter="0"/>
  <autoFilter ref="A5:M17"/>
  <mergeCells count="12">
    <mergeCell ref="A1:C1"/>
    <mergeCell ref="A4:A5"/>
    <mergeCell ref="B4:B5"/>
    <mergeCell ref="C4:C5"/>
    <mergeCell ref="D4:D5"/>
    <mergeCell ref="A20:C20"/>
    <mergeCell ref="A22:C22"/>
    <mergeCell ref="A7:A8"/>
    <mergeCell ref="Q4:R4"/>
    <mergeCell ref="E4:E5"/>
    <mergeCell ref="F4:J4"/>
    <mergeCell ref="K4:P4"/>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37">
    <tabColor theme="7" tint="0.79998168889431442"/>
  </sheetPr>
  <dimension ref="A1:R34"/>
  <sheetViews>
    <sheetView zoomScale="70" zoomScaleNormal="70" workbookViewId="0">
      <pane xSplit="3" ySplit="5" topLeftCell="I20"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9.140625" defaultRowHeight="15"/>
  <cols>
    <col min="1" max="1" width="11.42578125" style="453" customWidth="1"/>
    <col min="2" max="2" width="15.7109375" style="453" bestFit="1" customWidth="1"/>
    <col min="3" max="3" width="52.85546875" style="453" bestFit="1" customWidth="1"/>
    <col min="4" max="4" width="4.5703125" style="407" bestFit="1" customWidth="1"/>
    <col min="5" max="5" width="16.140625" style="407" bestFit="1" customWidth="1"/>
    <col min="6" max="6" width="17.42578125" style="407" customWidth="1"/>
    <col min="7" max="7" width="16.140625" style="407" bestFit="1" customWidth="1"/>
    <col min="8" max="8" width="17.140625" style="479" bestFit="1" customWidth="1"/>
    <col min="9" max="9" width="16.7109375" style="407" bestFit="1" customWidth="1"/>
    <col min="10" max="10" width="17.140625" style="479" bestFit="1" customWidth="1"/>
    <col min="11" max="11" width="13.85546875" style="407" customWidth="1"/>
    <col min="12" max="12" width="13.140625" style="407" customWidth="1"/>
    <col min="13" max="13" width="19.85546875" style="479" bestFit="1" customWidth="1"/>
    <col min="14" max="14" width="9.140625" style="407"/>
    <col min="15" max="15" width="10.42578125" style="479" customWidth="1"/>
    <col min="16" max="16" width="40.42578125" style="453" customWidth="1"/>
    <col min="17" max="17" width="32.5703125" style="453" customWidth="1"/>
    <col min="18" max="18" width="9.140625" style="614"/>
    <col min="19" max="16384" width="9.140625" style="398"/>
  </cols>
  <sheetData>
    <row r="1" spans="1:18" s="477" customFormat="1" ht="30">
      <c r="A1" s="4648" t="s">
        <v>2130</v>
      </c>
      <c r="B1" s="4648"/>
      <c r="C1" s="4648"/>
      <c r="D1" s="1114"/>
      <c r="E1" s="1115"/>
      <c r="F1" s="74" t="s">
        <v>3977</v>
      </c>
      <c r="G1" s="1065"/>
      <c r="H1" s="1065"/>
      <c r="I1" s="1065"/>
      <c r="J1" s="1065"/>
      <c r="K1" s="1063"/>
      <c r="L1" s="1063"/>
      <c r="M1" s="1065"/>
      <c r="N1" s="1116"/>
      <c r="O1" s="1117"/>
      <c r="P1" s="1118"/>
      <c r="Q1" s="1118"/>
      <c r="R1" s="1119"/>
    </row>
    <row r="2" spans="1:18" s="1125" customFormat="1">
      <c r="A2" s="868" t="str">
        <f>HYPERLINK("#Index!F3", "Index Pg")</f>
        <v>Index Pg</v>
      </c>
      <c r="B2" s="873"/>
      <c r="C2" s="403" t="str">
        <f>HYPERLINK("#'Budget Summary I'!A1:AL1", "Budget Summary I")</f>
        <v>Budget Summary I</v>
      </c>
      <c r="D2" s="1120"/>
      <c r="E2" s="710" t="s">
        <v>4599</v>
      </c>
      <c r="F2" s="135">
        <f>R6+R8+R10+R20+R25+R27+R30+R32</f>
        <v>0</v>
      </c>
      <c r="G2" s="599"/>
      <c r="H2" s="599"/>
      <c r="I2" s="599"/>
      <c r="J2" s="599"/>
      <c r="K2" s="600"/>
      <c r="L2" s="600"/>
      <c r="M2" s="599"/>
      <c r="N2" s="1121"/>
      <c r="O2" s="1122"/>
      <c r="P2" s="1123"/>
      <c r="Q2" s="1123"/>
      <c r="R2" s="1124"/>
    </row>
    <row r="3" spans="1:18" s="1134" customFormat="1">
      <c r="A3" s="872"/>
      <c r="B3" s="873"/>
      <c r="C3" s="924" t="str">
        <f>HYPERLINK("#'Budget Summary II'!A3:B5", "Budget Summary II")</f>
        <v>Budget Summary II</v>
      </c>
      <c r="D3" s="1126"/>
      <c r="E3" s="1127" t="s">
        <v>4600</v>
      </c>
      <c r="F3" s="335">
        <f>O6+O8+O10+O20+O25+O27+O30+O32</f>
        <v>16.750080000000001</v>
      </c>
      <c r="G3" s="599"/>
      <c r="H3" s="599"/>
      <c r="I3" s="599"/>
      <c r="J3" s="599"/>
      <c r="K3" s="1128"/>
      <c r="L3" s="1129"/>
      <c r="M3" s="1130"/>
      <c r="N3" s="1129"/>
      <c r="O3" s="1131"/>
      <c r="P3" s="1132"/>
      <c r="Q3" s="1132"/>
      <c r="R3" s="1133"/>
    </row>
    <row r="4" spans="1:18" s="407" customFormat="1" ht="14.45" customHeigh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407" customFormat="1" ht="45">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1022">
        <f>'2.SD Community Based Annex'!A7</f>
        <v>2</v>
      </c>
      <c r="B6" s="1022"/>
      <c r="C6" s="1022" t="str">
        <f>'2.SD Community Based Annex'!C7</f>
        <v>Service Delivery - Community Based</v>
      </c>
      <c r="D6" s="334"/>
      <c r="E6" s="334"/>
      <c r="F6" s="334"/>
      <c r="G6" s="334"/>
      <c r="H6" s="240"/>
      <c r="I6" s="334"/>
      <c r="J6" s="240"/>
      <c r="K6" s="334"/>
      <c r="L6" s="334"/>
      <c r="M6" s="240"/>
      <c r="N6" s="1089"/>
      <c r="O6" s="1010">
        <f>O7</f>
        <v>0</v>
      </c>
      <c r="P6" s="1111"/>
      <c r="Q6" s="1111"/>
      <c r="R6" s="1010">
        <f>R7</f>
        <v>0</v>
      </c>
    </row>
    <row r="7" spans="1:18" ht="30">
      <c r="A7" s="1135" t="str">
        <f>'2.SD Community Based Annex'!A52</f>
        <v>2.3.2.6</v>
      </c>
      <c r="B7" s="1135"/>
      <c r="C7" s="986" t="str">
        <f>'2.SD Community Based Annex'!C52</f>
        <v>Home based care for bed-ridden elderly under NPHCE</v>
      </c>
      <c r="D7" s="490" t="str">
        <f>'2.SD Community Based Annex'!D52</f>
        <v>NCD</v>
      </c>
      <c r="E7" s="490" t="str">
        <f>'2.SD Community Based Annex'!E52</f>
        <v>NPHCE</v>
      </c>
      <c r="F7" s="490">
        <f>'2.SD Community Based Annex'!F52</f>
        <v>0</v>
      </c>
      <c r="G7" s="490">
        <f>'2.SD Community Based Annex'!G52</f>
        <v>0</v>
      </c>
      <c r="H7" s="490">
        <f>'2.SD Community Based Annex'!H52</f>
        <v>0</v>
      </c>
      <c r="I7" s="490">
        <f>'2.SD Community Based Annex'!I52</f>
        <v>0</v>
      </c>
      <c r="J7" s="490">
        <f>'2.SD Community Based Annex'!J52</f>
        <v>0</v>
      </c>
      <c r="K7" s="490">
        <f>'2.SD Community Based Annex'!K52</f>
        <v>0</v>
      </c>
      <c r="L7" s="490">
        <f>'2.SD Community Based Annex'!L52</f>
        <v>0</v>
      </c>
      <c r="M7" s="476">
        <f>'2.SD Community Based Annex'!M52</f>
        <v>0</v>
      </c>
      <c r="N7" s="490">
        <f>'2.SD Community Based Annex'!N52</f>
        <v>0</v>
      </c>
      <c r="O7" s="476">
        <f>'2.SD Community Based Annex'!O52</f>
        <v>0</v>
      </c>
      <c r="P7" s="986">
        <f>'2.SD Community Based Annex'!P52</f>
        <v>0</v>
      </c>
      <c r="Q7" s="62"/>
      <c r="R7" s="318"/>
    </row>
    <row r="8" spans="1:18">
      <c r="A8" s="1022">
        <f>'5.Infrastructure Annex'!A7</f>
        <v>5</v>
      </c>
      <c r="B8" s="1022"/>
      <c r="C8" s="1022" t="str">
        <f>'5.Infrastructure Annex'!C7</f>
        <v>Infrastructure</v>
      </c>
      <c r="D8" s="334"/>
      <c r="E8" s="334"/>
      <c r="F8" s="334"/>
      <c r="G8" s="334"/>
      <c r="H8" s="240"/>
      <c r="I8" s="334"/>
      <c r="J8" s="240"/>
      <c r="K8" s="334"/>
      <c r="L8" s="334"/>
      <c r="M8" s="240"/>
      <c r="N8" s="1089"/>
      <c r="O8" s="1010">
        <f>O9</f>
        <v>0</v>
      </c>
      <c r="P8" s="1111"/>
      <c r="Q8" s="1112"/>
      <c r="R8" s="1136">
        <f>R9</f>
        <v>0</v>
      </c>
    </row>
    <row r="9" spans="1:18" ht="60">
      <c r="A9" s="78" t="str">
        <f>'5.Infrastructure Annex'!A96</f>
        <v>5.3.16</v>
      </c>
      <c r="B9" s="78" t="str">
        <f>'5.Infrastructure Annex'!B96</f>
        <v>K.2.1.1</v>
      </c>
      <c r="C9" s="78" t="str">
        <f>'5.Infrastructure Annex'!C96</f>
        <v>Non-recurring GIA: New Construction @80  lakh/ Extension of existing ward @ 40 lakh/ Renovation @20 lakh/ for Geriatrics Unit with 10 beds and OPD facilities at DH</v>
      </c>
      <c r="D9" s="990" t="str">
        <f>'5.Infrastructure Annex'!D96</f>
        <v>NCD</v>
      </c>
      <c r="E9" s="990" t="str">
        <f>'5.Infrastructure Annex'!E96</f>
        <v>NPHCE</v>
      </c>
      <c r="F9" s="990">
        <f>'5.Infrastructure Annex'!F96</f>
        <v>0</v>
      </c>
      <c r="G9" s="990">
        <f>'5.Infrastructure Annex'!G96</f>
        <v>0</v>
      </c>
      <c r="H9" s="990">
        <f>'5.Infrastructure Annex'!H96</f>
        <v>0</v>
      </c>
      <c r="I9" s="990">
        <f>'5.Infrastructure Annex'!I96</f>
        <v>0</v>
      </c>
      <c r="J9" s="990">
        <f>'5.Infrastructure Annex'!J96</f>
        <v>0</v>
      </c>
      <c r="K9" s="990">
        <f>'5.Infrastructure Annex'!K96</f>
        <v>0</v>
      </c>
      <c r="L9" s="990">
        <f>'5.Infrastructure Annex'!L96</f>
        <v>0</v>
      </c>
      <c r="M9" s="136">
        <f>'5.Infrastructure Annex'!M96</f>
        <v>0</v>
      </c>
      <c r="N9" s="990">
        <f>'5.Infrastructure Annex'!N96</f>
        <v>0</v>
      </c>
      <c r="O9" s="136">
        <f>'5.Infrastructure Annex'!O96</f>
        <v>0</v>
      </c>
      <c r="P9" s="78">
        <f>'5.Infrastructure Annex'!P96</f>
        <v>0</v>
      </c>
      <c r="Q9" s="62"/>
      <c r="R9" s="318"/>
    </row>
    <row r="10" spans="1:18">
      <c r="A10" s="1022">
        <f>'6.Procurement Annex'!A7</f>
        <v>6</v>
      </c>
      <c r="B10" s="1022"/>
      <c r="C10" s="1022" t="str">
        <f>'6.Procurement Annex'!C7</f>
        <v>Procurement</v>
      </c>
      <c r="D10" s="334"/>
      <c r="E10" s="334"/>
      <c r="F10" s="334"/>
      <c r="G10" s="334"/>
      <c r="H10" s="240"/>
      <c r="I10" s="334"/>
      <c r="J10" s="240"/>
      <c r="K10" s="334"/>
      <c r="L10" s="334"/>
      <c r="M10" s="240"/>
      <c r="N10" s="1089"/>
      <c r="O10" s="1010">
        <f>SUM(O11:O19)</f>
        <v>0</v>
      </c>
      <c r="P10" s="1111"/>
      <c r="Q10" s="1112"/>
      <c r="R10" s="1136">
        <f>SUM(R11:R19)</f>
        <v>0</v>
      </c>
    </row>
    <row r="11" spans="1:18" ht="30">
      <c r="A11" s="4633" t="str">
        <f>'6.Procurement Annex'!A38</f>
        <v>6.1.5.3</v>
      </c>
      <c r="B11" s="78" t="str">
        <f>'6-A. Proc. Sub-Annex'!C102</f>
        <v>K.1.1.1</v>
      </c>
      <c r="C11" s="78" t="str">
        <f>'6-A. Proc. Sub-Annex'!D102</f>
        <v>Recurring GIA: Machinery &amp; Equipment for DH @ 3 lakh/ CHC @ 0.50 lakh/ PHC @ 0.20 lakh</v>
      </c>
      <c r="D11" s="990" t="str">
        <f>'6-A. Proc. Sub-Annex'!E102</f>
        <v>NCD</v>
      </c>
      <c r="E11" s="990" t="str">
        <f>'6-A. Proc. Sub-Annex'!F102</f>
        <v>NPHCE</v>
      </c>
      <c r="F11" s="990">
        <f>'6-A. Proc. Sub-Annex'!G102</f>
        <v>0</v>
      </c>
      <c r="G11" s="990">
        <f>'6-A. Proc. Sub-Annex'!H102</f>
        <v>0</v>
      </c>
      <c r="H11" s="990">
        <f>'6-A. Proc. Sub-Annex'!I102</f>
        <v>0</v>
      </c>
      <c r="I11" s="990">
        <f>'6-A. Proc. Sub-Annex'!J102</f>
        <v>0</v>
      </c>
      <c r="J11" s="990">
        <f>'6-A. Proc. Sub-Annex'!K102</f>
        <v>0</v>
      </c>
      <c r="K11" s="990">
        <f>'6-A. Proc. Sub-Annex'!L102</f>
        <v>0</v>
      </c>
      <c r="L11" s="990">
        <f>'6-A. Proc. Sub-Annex'!M102</f>
        <v>0</v>
      </c>
      <c r="M11" s="136">
        <f>'6-A. Proc. Sub-Annex'!N102</f>
        <v>0</v>
      </c>
      <c r="N11" s="990">
        <f>'6-A. Proc. Sub-Annex'!O102</f>
        <v>0</v>
      </c>
      <c r="O11" s="136">
        <f>'6-A. Proc. Sub-Annex'!P102</f>
        <v>0</v>
      </c>
      <c r="P11" s="78">
        <f>'6-A. Proc. Sub-Annex'!Q102</f>
        <v>0</v>
      </c>
      <c r="Q11" s="62"/>
      <c r="R11" s="318"/>
    </row>
    <row r="12" spans="1:18" ht="30">
      <c r="A12" s="4633"/>
      <c r="B12" s="78" t="str">
        <f>'6-A. Proc. Sub-Annex'!C103</f>
        <v>K.1.4.1</v>
      </c>
      <c r="C12" s="78" t="str">
        <f>'6-A. Proc. Sub-Annex'!D103</f>
        <v>Aids and Appliances for Sub-Centre/HWC Sub Centre</v>
      </c>
      <c r="D12" s="990" t="str">
        <f>'6-A. Proc. Sub-Annex'!E103</f>
        <v>NCD</v>
      </c>
      <c r="E12" s="990" t="str">
        <f>'6-A. Proc. Sub-Annex'!F103</f>
        <v>NPHCE</v>
      </c>
      <c r="F12" s="990">
        <f>'6-A. Proc. Sub-Annex'!G103</f>
        <v>0</v>
      </c>
      <c r="G12" s="990">
        <f>'6-A. Proc. Sub-Annex'!H103</f>
        <v>0</v>
      </c>
      <c r="H12" s="990">
        <f>'6-A. Proc. Sub-Annex'!I103</f>
        <v>0</v>
      </c>
      <c r="I12" s="990">
        <f>'6-A. Proc. Sub-Annex'!J103</f>
        <v>0</v>
      </c>
      <c r="J12" s="990">
        <f>'6-A. Proc. Sub-Annex'!K103</f>
        <v>0</v>
      </c>
      <c r="K12" s="990">
        <f>'6-A. Proc. Sub-Annex'!L103</f>
        <v>0</v>
      </c>
      <c r="L12" s="990">
        <f>'6-A. Proc. Sub-Annex'!M103</f>
        <v>0</v>
      </c>
      <c r="M12" s="136">
        <f>'6-A. Proc. Sub-Annex'!N103</f>
        <v>0</v>
      </c>
      <c r="N12" s="990">
        <f>'6-A. Proc. Sub-Annex'!O103</f>
        <v>0</v>
      </c>
      <c r="O12" s="136">
        <f>'6-A. Proc. Sub-Annex'!P103</f>
        <v>0</v>
      </c>
      <c r="P12" s="78">
        <f>'6-A. Proc. Sub-Annex'!Q103</f>
        <v>0</v>
      </c>
      <c r="Q12" s="62"/>
      <c r="R12" s="318"/>
    </row>
    <row r="13" spans="1:18" ht="30">
      <c r="A13" s="4633"/>
      <c r="B13" s="78" t="str">
        <f>'6-A. Proc. Sub-Annex'!C104</f>
        <v>K.2.1.2</v>
      </c>
      <c r="C13" s="78" t="str">
        <f>'6-A. Proc. Sub-Annex'!D104</f>
        <v>Non-recurring GIA: Machinery &amp; Equipment for DH</v>
      </c>
      <c r="D13" s="990" t="str">
        <f>'6-A. Proc. Sub-Annex'!E104</f>
        <v>NCD</v>
      </c>
      <c r="E13" s="990" t="str">
        <f>'6-A. Proc. Sub-Annex'!F104</f>
        <v>NPHCE</v>
      </c>
      <c r="F13" s="990">
        <f>'6-A. Proc. Sub-Annex'!G104</f>
        <v>31</v>
      </c>
      <c r="G13" s="990">
        <f>'6-A. Proc. Sub-Annex'!H104</f>
        <v>0</v>
      </c>
      <c r="H13" s="990">
        <f>'6-A. Proc. Sub-Annex'!I104</f>
        <v>62</v>
      </c>
      <c r="I13" s="990">
        <f>'6-A. Proc. Sub-Annex'!J104</f>
        <v>0</v>
      </c>
      <c r="J13" s="990">
        <f>'6-A. Proc. Sub-Annex'!K104</f>
        <v>0</v>
      </c>
      <c r="K13" s="990">
        <f>'6-A. Proc. Sub-Annex'!L104</f>
        <v>0</v>
      </c>
      <c r="L13" s="990">
        <f>'6-A. Proc. Sub-Annex'!M104</f>
        <v>0</v>
      </c>
      <c r="M13" s="136">
        <f>'6-A. Proc. Sub-Annex'!N104</f>
        <v>0</v>
      </c>
      <c r="N13" s="990">
        <f>'6-A. Proc. Sub-Annex'!O104</f>
        <v>0</v>
      </c>
      <c r="O13" s="136">
        <f>'6-A. Proc. Sub-Annex'!P104</f>
        <v>0</v>
      </c>
      <c r="P13" s="78">
        <f>'6-A. Proc. Sub-Annex'!Q104</f>
        <v>0</v>
      </c>
      <c r="Q13" s="62"/>
      <c r="R13" s="318"/>
    </row>
    <row r="14" spans="1:18" ht="30">
      <c r="A14" s="4633"/>
      <c r="B14" s="78" t="str">
        <f>'6-A. Proc. Sub-Annex'!C105</f>
        <v>K.2.2</v>
      </c>
      <c r="C14" s="78" t="str">
        <f>'6-A. Proc. Sub-Annex'!D105</f>
        <v>Non-recurring GIA: Machinery &amp; Equipment for CHC</v>
      </c>
      <c r="D14" s="990" t="str">
        <f>'6-A. Proc. Sub-Annex'!E105</f>
        <v>NCD</v>
      </c>
      <c r="E14" s="990" t="str">
        <f>'6-A. Proc. Sub-Annex'!F105</f>
        <v>NPHCE</v>
      </c>
      <c r="F14" s="990">
        <f>'6-A. Proc. Sub-Annex'!G105</f>
        <v>0</v>
      </c>
      <c r="G14" s="990">
        <f>'6-A. Proc. Sub-Annex'!H105</f>
        <v>0</v>
      </c>
      <c r="H14" s="990">
        <f>'6-A. Proc. Sub-Annex'!I105</f>
        <v>0</v>
      </c>
      <c r="I14" s="990">
        <f>'6-A. Proc. Sub-Annex'!J105</f>
        <v>0</v>
      </c>
      <c r="J14" s="990">
        <f>'6-A. Proc. Sub-Annex'!K105</f>
        <v>0</v>
      </c>
      <c r="K14" s="990">
        <f>'6-A. Proc. Sub-Annex'!L105</f>
        <v>0</v>
      </c>
      <c r="L14" s="990">
        <f>'6-A. Proc. Sub-Annex'!M105</f>
        <v>0</v>
      </c>
      <c r="M14" s="136">
        <f>'6-A. Proc. Sub-Annex'!N105</f>
        <v>0</v>
      </c>
      <c r="N14" s="990">
        <f>'6-A. Proc. Sub-Annex'!O105</f>
        <v>0</v>
      </c>
      <c r="O14" s="136">
        <f>'6-A. Proc. Sub-Annex'!P105</f>
        <v>0</v>
      </c>
      <c r="P14" s="78">
        <f>'6-A. Proc. Sub-Annex'!Q105</f>
        <v>0</v>
      </c>
      <c r="Q14" s="62"/>
      <c r="R14" s="318"/>
    </row>
    <row r="15" spans="1:18" ht="30">
      <c r="A15" s="4633"/>
      <c r="B15" s="78" t="str">
        <f>'6-A. Proc. Sub-Annex'!C106</f>
        <v>K.2.3</v>
      </c>
      <c r="C15" s="78" t="str">
        <f>'6-A. Proc. Sub-Annex'!D106</f>
        <v>Non-recurring GIA: Machinery &amp; Equipment for PHC</v>
      </c>
      <c r="D15" s="990" t="str">
        <f>'6-A. Proc. Sub-Annex'!E106</f>
        <v>NCD</v>
      </c>
      <c r="E15" s="990" t="str">
        <f>'6-A. Proc. Sub-Annex'!F106</f>
        <v>NPHCE</v>
      </c>
      <c r="F15" s="990">
        <f>'6-A. Proc. Sub-Annex'!G106</f>
        <v>0</v>
      </c>
      <c r="G15" s="990">
        <f>'6-A. Proc. Sub-Annex'!H106</f>
        <v>0</v>
      </c>
      <c r="H15" s="990">
        <f>'6-A. Proc. Sub-Annex'!I106</f>
        <v>0</v>
      </c>
      <c r="I15" s="990">
        <f>'6-A. Proc. Sub-Annex'!J106</f>
        <v>0</v>
      </c>
      <c r="J15" s="990">
        <f>'6-A. Proc. Sub-Annex'!K106</f>
        <v>0</v>
      </c>
      <c r="K15" s="990">
        <f>'6-A. Proc. Sub-Annex'!L106</f>
        <v>0</v>
      </c>
      <c r="L15" s="990">
        <f>'6-A. Proc. Sub-Annex'!M106</f>
        <v>0</v>
      </c>
      <c r="M15" s="136">
        <f>'6-A. Proc. Sub-Annex'!N106</f>
        <v>0</v>
      </c>
      <c r="N15" s="990">
        <f>'6-A. Proc. Sub-Annex'!O106</f>
        <v>0</v>
      </c>
      <c r="O15" s="136">
        <f>'6-A. Proc. Sub-Annex'!P106</f>
        <v>0</v>
      </c>
      <c r="P15" s="78">
        <f>'6-A. Proc. Sub-Annex'!Q106</f>
        <v>0</v>
      </c>
      <c r="Q15" s="62"/>
      <c r="R15" s="318"/>
    </row>
    <row r="16" spans="1:18" ht="30">
      <c r="A16" s="4633"/>
      <c r="B16" s="78" t="str">
        <f>'6-A. Proc. Sub-Annex'!C107</f>
        <v>K.2.1.1</v>
      </c>
      <c r="C16" s="78" t="str">
        <f>'6-A. Proc. Sub-Annex'!D107</f>
        <v>Non-recurring GIA: Furniture of Geriatrics Unit with 10 beds and OPD facilities at DH</v>
      </c>
      <c r="D16" s="990" t="str">
        <f>'6-A. Proc. Sub-Annex'!E107</f>
        <v>NCD</v>
      </c>
      <c r="E16" s="990" t="str">
        <f>'6-A. Proc. Sub-Annex'!F107</f>
        <v>NPHCE</v>
      </c>
      <c r="F16" s="990">
        <f>'6-A. Proc. Sub-Annex'!G107</f>
        <v>0</v>
      </c>
      <c r="G16" s="990">
        <f>'6-A. Proc. Sub-Annex'!H107</f>
        <v>0</v>
      </c>
      <c r="H16" s="990">
        <f>'6-A. Proc. Sub-Annex'!I107</f>
        <v>0</v>
      </c>
      <c r="I16" s="990">
        <f>'6-A. Proc. Sub-Annex'!J107</f>
        <v>0</v>
      </c>
      <c r="J16" s="990">
        <f>'6-A. Proc. Sub-Annex'!K107</f>
        <v>0</v>
      </c>
      <c r="K16" s="990">
        <f>'6-A. Proc. Sub-Annex'!L107</f>
        <v>0</v>
      </c>
      <c r="L16" s="990">
        <f>'6-A. Proc. Sub-Annex'!M107</f>
        <v>0</v>
      </c>
      <c r="M16" s="136">
        <f>'6-A. Proc. Sub-Annex'!N107</f>
        <v>0</v>
      </c>
      <c r="N16" s="990">
        <f>'6-A. Proc. Sub-Annex'!O107</f>
        <v>0</v>
      </c>
      <c r="O16" s="136">
        <f>'6-A. Proc. Sub-Annex'!P107</f>
        <v>0</v>
      </c>
      <c r="P16" s="78">
        <f>'6-A. Proc. Sub-Annex'!Q107</f>
        <v>0</v>
      </c>
      <c r="Q16" s="62"/>
      <c r="R16" s="318"/>
    </row>
    <row r="17" spans="1:18" ht="30">
      <c r="A17" s="4633"/>
      <c r="B17" s="78">
        <f>'6-A. Proc. Sub-Annex'!C108</f>
        <v>0</v>
      </c>
      <c r="C17" s="78" t="str">
        <f>'6-A. Proc. Sub-Annex'!D108</f>
        <v>Any other equipment (please specify)</v>
      </c>
      <c r="D17" s="990" t="str">
        <f>'6-A. Proc. Sub-Annex'!E108</f>
        <v>NCD</v>
      </c>
      <c r="E17" s="990" t="str">
        <f>'6-A. Proc. Sub-Annex'!F108</f>
        <v>NPHCE</v>
      </c>
      <c r="F17" s="990">
        <f>'6-A. Proc. Sub-Annex'!G108</f>
        <v>0</v>
      </c>
      <c r="G17" s="990">
        <f>'6-A. Proc. Sub-Annex'!H108</f>
        <v>0</v>
      </c>
      <c r="H17" s="990">
        <f>'6-A. Proc. Sub-Annex'!I108</f>
        <v>0</v>
      </c>
      <c r="I17" s="990">
        <f>'6-A. Proc. Sub-Annex'!J108</f>
        <v>0</v>
      </c>
      <c r="J17" s="990">
        <f>'6-A. Proc. Sub-Annex'!K108</f>
        <v>0</v>
      </c>
      <c r="K17" s="990">
        <f>'6-A. Proc. Sub-Annex'!L108</f>
        <v>0</v>
      </c>
      <c r="L17" s="990">
        <f>'6-A. Proc. Sub-Annex'!M108</f>
        <v>0</v>
      </c>
      <c r="M17" s="136">
        <f>'6-A. Proc. Sub-Annex'!N108</f>
        <v>0</v>
      </c>
      <c r="N17" s="990">
        <f>'6-A. Proc. Sub-Annex'!O108</f>
        <v>0</v>
      </c>
      <c r="O17" s="136">
        <f>'6-A. Proc. Sub-Annex'!P108</f>
        <v>0</v>
      </c>
      <c r="P17" s="78">
        <f>'6-A. Proc. Sub-Annex'!Q108</f>
        <v>0</v>
      </c>
      <c r="Q17" s="62"/>
      <c r="R17" s="318"/>
    </row>
    <row r="18" spans="1:18" ht="30">
      <c r="A18" s="4633" t="str">
        <f>'6.Procurement Annex'!A81</f>
        <v>6.2.4.3</v>
      </c>
      <c r="B18" s="78"/>
      <c r="C18" s="78" t="str">
        <f>'6-A. Proc. Sub-Annex'!D257</f>
        <v>Drugs and supplies for NPHCE</v>
      </c>
      <c r="D18" s="990" t="str">
        <f>'6-A. Proc. Sub-Annex'!E257</f>
        <v>NCD</v>
      </c>
      <c r="E18" s="990" t="str">
        <f>'6-A. Proc. Sub-Annex'!F257</f>
        <v>NPHCE</v>
      </c>
      <c r="F18" s="990">
        <f>'6-A. Proc. Sub-Annex'!G257</f>
        <v>38</v>
      </c>
      <c r="G18" s="990">
        <f>'6-A. Proc. Sub-Annex'!H257</f>
        <v>38</v>
      </c>
      <c r="H18" s="990">
        <f>'6-A. Proc. Sub-Annex'!I257</f>
        <v>38</v>
      </c>
      <c r="I18" s="990">
        <f>'6-A. Proc. Sub-Annex'!J257</f>
        <v>0</v>
      </c>
      <c r="J18" s="990">
        <f>'6-A. Proc. Sub-Annex'!K257</f>
        <v>0</v>
      </c>
      <c r="K18" s="990">
        <f>'6-A. Proc. Sub-Annex'!L257</f>
        <v>0</v>
      </c>
      <c r="L18" s="990">
        <f>'6-A. Proc. Sub-Annex'!M257</f>
        <v>0</v>
      </c>
      <c r="M18" s="136">
        <f>'6-A. Proc. Sub-Annex'!N257</f>
        <v>0</v>
      </c>
      <c r="N18" s="990">
        <f>'6-A. Proc. Sub-Annex'!O257</f>
        <v>0</v>
      </c>
      <c r="O18" s="136">
        <f>'6-A. Proc. Sub-Annex'!P257</f>
        <v>0</v>
      </c>
      <c r="P18" s="78">
        <f>'6-A. Proc. Sub-Annex'!Q257</f>
        <v>0</v>
      </c>
      <c r="Q18" s="62"/>
      <c r="R18" s="318"/>
    </row>
    <row r="19" spans="1:18" ht="30">
      <c r="A19" s="4633"/>
      <c r="B19" s="78"/>
      <c r="C19" s="78">
        <f>'6-A. Proc. Sub-Annex'!D258</f>
        <v>0</v>
      </c>
      <c r="D19" s="990" t="str">
        <f>'6-A. Proc. Sub-Annex'!E258</f>
        <v>NCD</v>
      </c>
      <c r="E19" s="990" t="str">
        <f>'6-A. Proc. Sub-Annex'!F258</f>
        <v>NPHCE</v>
      </c>
      <c r="F19" s="990">
        <f>'6-A. Proc. Sub-Annex'!G258</f>
        <v>0</v>
      </c>
      <c r="G19" s="990">
        <f>'6-A. Proc. Sub-Annex'!H258</f>
        <v>0</v>
      </c>
      <c r="H19" s="990">
        <f>'6-A. Proc. Sub-Annex'!I258</f>
        <v>0</v>
      </c>
      <c r="I19" s="990">
        <f>'6-A. Proc. Sub-Annex'!J258</f>
        <v>0</v>
      </c>
      <c r="J19" s="990">
        <f>'6-A. Proc. Sub-Annex'!K258</f>
        <v>0</v>
      </c>
      <c r="K19" s="990">
        <f>'6-A. Proc. Sub-Annex'!L258</f>
        <v>0</v>
      </c>
      <c r="L19" s="990">
        <f>'6-A. Proc. Sub-Annex'!M258</f>
        <v>0</v>
      </c>
      <c r="M19" s="136">
        <f>'6-A. Proc. Sub-Annex'!N258</f>
        <v>0</v>
      </c>
      <c r="N19" s="990">
        <f>'6-A. Proc. Sub-Annex'!O258</f>
        <v>0</v>
      </c>
      <c r="O19" s="136">
        <f>'6-A. Proc. Sub-Annex'!P258</f>
        <v>0</v>
      </c>
      <c r="P19" s="78">
        <f>'6-A. Proc. Sub-Annex'!Q258</f>
        <v>0</v>
      </c>
      <c r="Q19" s="62"/>
      <c r="R19" s="318"/>
    </row>
    <row r="20" spans="1:18">
      <c r="A20" s="1022">
        <f>'9.Training Annex'!A7</f>
        <v>9</v>
      </c>
      <c r="B20" s="1022"/>
      <c r="C20" s="1022" t="str">
        <f>'9.Training Annex'!C7</f>
        <v>Training and Capacity Building</v>
      </c>
      <c r="D20" s="334"/>
      <c r="E20" s="334"/>
      <c r="F20" s="334"/>
      <c r="G20" s="334"/>
      <c r="H20" s="240"/>
      <c r="I20" s="334"/>
      <c r="J20" s="240"/>
      <c r="K20" s="334"/>
      <c r="L20" s="334"/>
      <c r="M20" s="240"/>
      <c r="N20" s="1089"/>
      <c r="O20" s="1010">
        <f>SUM(O21:O24)</f>
        <v>0</v>
      </c>
      <c r="P20" s="1111"/>
      <c r="Q20" s="1112"/>
      <c r="R20" s="1136">
        <f>SUM(R21:R24)</f>
        <v>0</v>
      </c>
    </row>
    <row r="21" spans="1:18" ht="30">
      <c r="A21" s="4633" t="str">
        <f>'9.Training Annex'!A57</f>
        <v>9.2.4.3</v>
      </c>
      <c r="B21" s="78" t="str">
        <f>'9-A.Training Sub-Annex'!C255</f>
        <v>K.1.1.2</v>
      </c>
      <c r="C21" s="78" t="str">
        <f>'9-A.Training Sub-Annex'!D255</f>
        <v>Training of doctors and staff at DH level under NPHCE</v>
      </c>
      <c r="D21" s="990" t="str">
        <f>'9-A.Training Sub-Annex'!E255</f>
        <v>NCD</v>
      </c>
      <c r="E21" s="990" t="str">
        <f>'9-A.Training Sub-Annex'!F255</f>
        <v>NPHCE</v>
      </c>
      <c r="F21" s="990">
        <f>'9-A.Training Sub-Annex'!G255</f>
        <v>0</v>
      </c>
      <c r="G21" s="990">
        <f>'9-A.Training Sub-Annex'!H255</f>
        <v>0</v>
      </c>
      <c r="H21" s="990">
        <f>'9-A.Training Sub-Annex'!I255</f>
        <v>0</v>
      </c>
      <c r="I21" s="990">
        <f>'9-A.Training Sub-Annex'!J255</f>
        <v>0</v>
      </c>
      <c r="J21" s="990">
        <f>'9-A.Training Sub-Annex'!K255</f>
        <v>0</v>
      </c>
      <c r="K21" s="990">
        <f>'9-A.Training Sub-Annex'!L255</f>
        <v>0</v>
      </c>
      <c r="L21" s="990">
        <f>'9-A.Training Sub-Annex'!M255</f>
        <v>0</v>
      </c>
      <c r="M21" s="136">
        <f>'9-A.Training Sub-Annex'!N255</f>
        <v>0</v>
      </c>
      <c r="N21" s="990">
        <f>'9-A.Training Sub-Annex'!O255</f>
        <v>0</v>
      </c>
      <c r="O21" s="136">
        <f>'9-A.Training Sub-Annex'!P255</f>
        <v>0</v>
      </c>
      <c r="P21" s="78">
        <f>'9-A.Training Sub-Annex'!Q255</f>
        <v>0</v>
      </c>
      <c r="Q21" s="62"/>
      <c r="R21" s="318"/>
    </row>
    <row r="22" spans="1:18" ht="30">
      <c r="A22" s="4633"/>
      <c r="B22" s="78" t="str">
        <f>'9-A.Training Sub-Annex'!C256</f>
        <v>K.1.2.1</v>
      </c>
      <c r="C22" s="78" t="str">
        <f>'9-A.Training Sub-Annex'!D256</f>
        <v>Training of doctors and staff at CHC level under NPHCE</v>
      </c>
      <c r="D22" s="990" t="str">
        <f>'9-A.Training Sub-Annex'!E256</f>
        <v>NCD</v>
      </c>
      <c r="E22" s="990" t="str">
        <f>'9-A.Training Sub-Annex'!F256</f>
        <v>NPHCE</v>
      </c>
      <c r="F22" s="990">
        <f>'9-A.Training Sub-Annex'!G256</f>
        <v>0</v>
      </c>
      <c r="G22" s="990">
        <f>'9-A.Training Sub-Annex'!H256</f>
        <v>0</v>
      </c>
      <c r="H22" s="990">
        <f>'9-A.Training Sub-Annex'!I256</f>
        <v>0</v>
      </c>
      <c r="I22" s="990">
        <f>'9-A.Training Sub-Annex'!J256</f>
        <v>0</v>
      </c>
      <c r="J22" s="990">
        <f>'9-A.Training Sub-Annex'!K256</f>
        <v>0</v>
      </c>
      <c r="K22" s="990">
        <f>'9-A.Training Sub-Annex'!L256</f>
        <v>0</v>
      </c>
      <c r="L22" s="990">
        <f>'9-A.Training Sub-Annex'!M256</f>
        <v>0</v>
      </c>
      <c r="M22" s="136">
        <f>'9-A.Training Sub-Annex'!N256</f>
        <v>0</v>
      </c>
      <c r="N22" s="990">
        <f>'9-A.Training Sub-Annex'!O256</f>
        <v>0</v>
      </c>
      <c r="O22" s="136">
        <f>'9-A.Training Sub-Annex'!P256</f>
        <v>0</v>
      </c>
      <c r="P22" s="78">
        <f>'9-A.Training Sub-Annex'!Q256</f>
        <v>0</v>
      </c>
      <c r="Q22" s="62"/>
      <c r="R22" s="318"/>
    </row>
    <row r="23" spans="1:18" ht="30">
      <c r="A23" s="4633"/>
      <c r="B23" s="78" t="str">
        <f>'9-A.Training Sub-Annex'!C257</f>
        <v>K.1.3.1.</v>
      </c>
      <c r="C23" s="78" t="str">
        <f>'9-A.Training Sub-Annex'!D257</f>
        <v>Training of doctors and staff at PHC level under NPHCE</v>
      </c>
      <c r="D23" s="990" t="str">
        <f>'9-A.Training Sub-Annex'!E257</f>
        <v>NCD</v>
      </c>
      <c r="E23" s="990" t="str">
        <f>'9-A.Training Sub-Annex'!F257</f>
        <v>NPHCE</v>
      </c>
      <c r="F23" s="990">
        <f>'9-A.Training Sub-Annex'!G257</f>
        <v>0</v>
      </c>
      <c r="G23" s="990">
        <f>'9-A.Training Sub-Annex'!H257</f>
        <v>0</v>
      </c>
      <c r="H23" s="990">
        <f>'9-A.Training Sub-Annex'!I257</f>
        <v>0</v>
      </c>
      <c r="I23" s="990">
        <f>'9-A.Training Sub-Annex'!J257</f>
        <v>0</v>
      </c>
      <c r="J23" s="990">
        <f>'9-A.Training Sub-Annex'!K257</f>
        <v>0</v>
      </c>
      <c r="K23" s="990">
        <f>'9-A.Training Sub-Annex'!L257</f>
        <v>0</v>
      </c>
      <c r="L23" s="990">
        <f>'9-A.Training Sub-Annex'!M257</f>
        <v>0</v>
      </c>
      <c r="M23" s="136">
        <f>'9-A.Training Sub-Annex'!N257</f>
        <v>0</v>
      </c>
      <c r="N23" s="990">
        <f>'9-A.Training Sub-Annex'!O257</f>
        <v>0</v>
      </c>
      <c r="O23" s="136">
        <f>'9-A.Training Sub-Annex'!P257</f>
        <v>0</v>
      </c>
      <c r="P23" s="78">
        <f>'9-A.Training Sub-Annex'!Q257</f>
        <v>0</v>
      </c>
      <c r="Q23" s="62"/>
      <c r="R23" s="318"/>
    </row>
    <row r="24" spans="1:18" ht="30">
      <c r="A24" s="4633"/>
      <c r="B24" s="78"/>
      <c r="C24" s="78" t="str">
        <f>'9-A.Training Sub-Annex'!D258</f>
        <v>Any other (please specify)</v>
      </c>
      <c r="D24" s="990" t="str">
        <f>'9-A.Training Sub-Annex'!E258</f>
        <v>NCD</v>
      </c>
      <c r="E24" s="990" t="str">
        <f>'9-A.Training Sub-Annex'!F258</f>
        <v>NPHCE</v>
      </c>
      <c r="F24" s="990">
        <f>'9-A.Training Sub-Annex'!G258</f>
        <v>0</v>
      </c>
      <c r="G24" s="990">
        <f>'9-A.Training Sub-Annex'!H258</f>
        <v>0</v>
      </c>
      <c r="H24" s="990">
        <f>'9-A.Training Sub-Annex'!I258</f>
        <v>0</v>
      </c>
      <c r="I24" s="990">
        <f>'9-A.Training Sub-Annex'!J258</f>
        <v>0</v>
      </c>
      <c r="J24" s="990">
        <f>'9-A.Training Sub-Annex'!K258</f>
        <v>0</v>
      </c>
      <c r="K24" s="990">
        <f>'9-A.Training Sub-Annex'!L258</f>
        <v>0</v>
      </c>
      <c r="L24" s="990">
        <f>'9-A.Training Sub-Annex'!M258</f>
        <v>0</v>
      </c>
      <c r="M24" s="136">
        <f>'9-A.Training Sub-Annex'!N258</f>
        <v>0</v>
      </c>
      <c r="N24" s="990">
        <f>'9-A.Training Sub-Annex'!O258</f>
        <v>0</v>
      </c>
      <c r="O24" s="136">
        <f>'9-A.Training Sub-Annex'!P258</f>
        <v>0</v>
      </c>
      <c r="P24" s="78">
        <f>'9-A.Training Sub-Annex'!Q258</f>
        <v>0</v>
      </c>
      <c r="Q24" s="62"/>
      <c r="R24" s="318"/>
    </row>
    <row r="25" spans="1:18">
      <c r="A25" s="1022">
        <f>'10.Review Research &amp; Surveillen'!A7</f>
        <v>10</v>
      </c>
      <c r="B25" s="1022"/>
      <c r="C25" s="1022" t="str">
        <f>'10.Review Research &amp; Surveillen'!C7</f>
        <v>Reviews, Research, Surveys and Surveillance</v>
      </c>
      <c r="D25" s="693"/>
      <c r="E25" s="693"/>
      <c r="F25" s="334"/>
      <c r="G25" s="334"/>
      <c r="H25" s="240"/>
      <c r="I25" s="334"/>
      <c r="J25" s="240"/>
      <c r="K25" s="334"/>
      <c r="L25" s="334"/>
      <c r="M25" s="240"/>
      <c r="N25" s="1089"/>
      <c r="O25" s="1010">
        <f>O26</f>
        <v>0</v>
      </c>
      <c r="P25" s="1111"/>
      <c r="Q25" s="1112"/>
      <c r="R25" s="1136">
        <f>R26</f>
        <v>0</v>
      </c>
    </row>
    <row r="26" spans="1:18" ht="30">
      <c r="A26" s="1002" t="str">
        <f>'10.Review Research &amp; Surveillen'!A32</f>
        <v>10.2.15</v>
      </c>
      <c r="B26" s="78"/>
      <c r="C26" s="78" t="str">
        <f>'10.Review Research &amp; Surveillen'!C32</f>
        <v>Research in the field of Geriatric health</v>
      </c>
      <c r="D26" s="990" t="str">
        <f>'10.Review Research &amp; Surveillen'!D32</f>
        <v>NCD</v>
      </c>
      <c r="E26" s="990" t="str">
        <f>'10.Review Research &amp; Surveillen'!E32</f>
        <v>NPHCE</v>
      </c>
      <c r="F26" s="990">
        <f>'10.Review Research &amp; Surveillen'!F32</f>
        <v>0</v>
      </c>
      <c r="G26" s="990">
        <f>'10.Review Research &amp; Surveillen'!G32</f>
        <v>0</v>
      </c>
      <c r="H26" s="990">
        <f>'10.Review Research &amp; Surveillen'!H32</f>
        <v>0</v>
      </c>
      <c r="I26" s="990">
        <f>'10.Review Research &amp; Surveillen'!I32</f>
        <v>0</v>
      </c>
      <c r="J26" s="990">
        <f>'10.Review Research &amp; Surveillen'!J32</f>
        <v>0</v>
      </c>
      <c r="K26" s="990">
        <f>'10.Review Research &amp; Surveillen'!K32</f>
        <v>0</v>
      </c>
      <c r="L26" s="990">
        <f>'10.Review Research &amp; Surveillen'!L32</f>
        <v>0</v>
      </c>
      <c r="M26" s="136">
        <f>'10.Review Research &amp; Surveillen'!M32</f>
        <v>0</v>
      </c>
      <c r="N26" s="990">
        <f>'10.Review Research &amp; Surveillen'!N32</f>
        <v>0</v>
      </c>
      <c r="O26" s="136">
        <f>'10.Review Research &amp; Surveillen'!O32</f>
        <v>0</v>
      </c>
      <c r="P26" s="78">
        <f>'10.Review Research &amp; Surveillen'!P32</f>
        <v>0</v>
      </c>
      <c r="Q26" s="62"/>
      <c r="R26" s="318"/>
    </row>
    <row r="27" spans="1:18">
      <c r="A27" s="1022">
        <f>'11.IEC-BCC Annex'!A7</f>
        <v>11</v>
      </c>
      <c r="B27" s="1022"/>
      <c r="C27" s="1022" t="str">
        <f>'11.IEC-BCC Annex'!C7</f>
        <v>IEC/BCC</v>
      </c>
      <c r="D27" s="334"/>
      <c r="E27" s="334"/>
      <c r="F27" s="334"/>
      <c r="G27" s="334"/>
      <c r="H27" s="240"/>
      <c r="I27" s="334"/>
      <c r="J27" s="240"/>
      <c r="K27" s="334"/>
      <c r="L27" s="334"/>
      <c r="M27" s="240"/>
      <c r="N27" s="1089"/>
      <c r="O27" s="1010">
        <f>SUM(O28:O29)</f>
        <v>15.750080000000001</v>
      </c>
      <c r="P27" s="1111"/>
      <c r="Q27" s="1112"/>
      <c r="R27" s="1136">
        <f>SUM(R28:R29)</f>
        <v>0</v>
      </c>
    </row>
    <row r="28" spans="1:18" ht="195">
      <c r="A28" s="4637" t="str">
        <f>'11.IEC-BCC Annex'!A34</f>
        <v>11.4.3</v>
      </c>
      <c r="B28" s="78" t="str">
        <f>'11-A. IEC Sub-Annex'!C85</f>
        <v>B.10.6.13</v>
      </c>
      <c r="C28" s="78" t="str">
        <f>'11-A. IEC Sub-Annex'!D85</f>
        <v>IPC,Group activities and mass media for NPHCE</v>
      </c>
      <c r="D28" s="990" t="str">
        <f>'11-A. IEC Sub-Annex'!E85</f>
        <v>NCD</v>
      </c>
      <c r="E28" s="990" t="str">
        <f>'11-A. IEC Sub-Annex'!F85</f>
        <v>NPHCE</v>
      </c>
      <c r="F28" s="990">
        <f>'11-A. IEC Sub-Annex'!G85</f>
        <v>0</v>
      </c>
      <c r="G28" s="990">
        <f>'11-A. IEC Sub-Annex'!H85</f>
        <v>0</v>
      </c>
      <c r="H28" s="990">
        <f>'11-A. IEC Sub-Annex'!I85</f>
        <v>0</v>
      </c>
      <c r="I28" s="990">
        <f>'11-A. IEC Sub-Annex'!J85</f>
        <v>0</v>
      </c>
      <c r="J28" s="990">
        <f>'11-A. IEC Sub-Annex'!K85</f>
        <v>0</v>
      </c>
      <c r="K28" s="990">
        <f>'11-A. IEC Sub-Annex'!L85</f>
        <v>1</v>
      </c>
      <c r="L28" s="990">
        <f>'11-A. IEC Sub-Annex'!M85</f>
        <v>800000</v>
      </c>
      <c r="M28" s="136">
        <f>'11-A. IEC Sub-Annex'!N85</f>
        <v>8</v>
      </c>
      <c r="N28" s="990">
        <f>'11-A. IEC Sub-Annex'!O85</f>
        <v>1</v>
      </c>
      <c r="O28" s="136">
        <f>'11-A. IEC Sub-Annex'!P85</f>
        <v>8</v>
      </c>
      <c r="P28" s="78" t="str">
        <f>'11-A. IEC Sub-Annex'!Q85</f>
        <v xml:space="preserve">Continued activity:
Various Awareness Generation Activities related to elderly program.
1. Publication of Advt.  (1 time) - Rs. 200000 (In 3 daily newspaper in Hindi, English &amp; Urdu).
2. Broadcasting of Audio/Jingle - Rs. 300000 (In Local Radio Channels)
3. Advt. on Bus Panel Hoarding etc. - Rs. 300000
Total Fund Required = Rs. 200000+300000+300000=800000 
</v>
      </c>
      <c r="Q28" s="62"/>
      <c r="R28" s="318"/>
    </row>
    <row r="29" spans="1:18" ht="135">
      <c r="A29" s="4637"/>
      <c r="B29" s="78"/>
      <c r="C29" s="78" t="str">
        <f>'11-A. IEC Sub-Annex'!D86</f>
        <v>Celebration of days-ie International Day for older persons</v>
      </c>
      <c r="D29" s="990" t="str">
        <f>'11-A. IEC Sub-Annex'!E86</f>
        <v>NCD</v>
      </c>
      <c r="E29" s="990" t="str">
        <f>'11-A. IEC Sub-Annex'!F86</f>
        <v>NPHCE</v>
      </c>
      <c r="F29" s="990">
        <f>'11-A. IEC Sub-Annex'!G86</f>
        <v>0</v>
      </c>
      <c r="G29" s="990">
        <f>'11-A. IEC Sub-Annex'!H86</f>
        <v>0</v>
      </c>
      <c r="H29" s="990">
        <f>'11-A. IEC Sub-Annex'!I86</f>
        <v>0</v>
      </c>
      <c r="I29" s="990">
        <f>'11-A. IEC Sub-Annex'!J86</f>
        <v>0</v>
      </c>
      <c r="J29" s="990">
        <f>'11-A. IEC Sub-Annex'!K86</f>
        <v>0</v>
      </c>
      <c r="K29" s="990" t="str">
        <f>'11-A. IEC Sub-Annex'!L86</f>
        <v>Per Unit</v>
      </c>
      <c r="L29" s="990">
        <f>'11-A. IEC Sub-Annex'!M86</f>
        <v>19872</v>
      </c>
      <c r="M29" s="136">
        <f>'11-A. IEC Sub-Annex'!N86</f>
        <v>0.19872000000000001</v>
      </c>
      <c r="N29" s="990">
        <f>'11-A. IEC Sub-Annex'!O86</f>
        <v>39</v>
      </c>
      <c r="O29" s="136">
        <f>'11-A. IEC Sub-Annex'!P86</f>
        <v>7.7500800000000005</v>
      </c>
      <c r="P29" s="78" t="str">
        <f>'11-A. IEC Sub-Annex'!Q86</f>
        <v>Continued activity:
Fund Required for Celebration of International Elderly Day
1. State Level Celebration - Rs. 300000
2. District Level Celebration @ Rs. 12500/- Per District.
Rs. 12500x38 = 475000
Total Fund Required - Rs. 475000+300000 = Rs. 775000.00</v>
      </c>
      <c r="Q29" s="62"/>
      <c r="R29" s="318"/>
    </row>
    <row r="30" spans="1:18">
      <c r="A30" s="1022">
        <f>'12.Printing Annex'!A7</f>
        <v>12</v>
      </c>
      <c r="B30" s="1022"/>
      <c r="C30" s="1022" t="str">
        <f>'12.Printing Annex'!C7</f>
        <v>Printing</v>
      </c>
      <c r="D30" s="693"/>
      <c r="E30" s="693"/>
      <c r="F30" s="334"/>
      <c r="G30" s="334"/>
      <c r="H30" s="240"/>
      <c r="I30" s="334"/>
      <c r="J30" s="240"/>
      <c r="K30" s="334"/>
      <c r="L30" s="334"/>
      <c r="M30" s="240"/>
      <c r="N30" s="1089"/>
      <c r="O30" s="1010">
        <f>O31</f>
        <v>0</v>
      </c>
      <c r="P30" s="1111"/>
      <c r="Q30" s="1112"/>
      <c r="R30" s="1136">
        <f>R31</f>
        <v>0</v>
      </c>
    </row>
    <row r="31" spans="1:18" ht="30">
      <c r="A31" s="1002" t="str">
        <f>'12.Printing Annex'!A36</f>
        <v>12.4.3</v>
      </c>
      <c r="B31" s="78">
        <f>'12-A. Print Sub-Annex'!C94</f>
        <v>0</v>
      </c>
      <c r="C31" s="78" t="str">
        <f>'12-A. Print Sub-Annex'!D94</f>
        <v>Printing activities under NPHCE</v>
      </c>
      <c r="D31" s="990" t="str">
        <f>'12-A. Print Sub-Annex'!E94</f>
        <v>NCD</v>
      </c>
      <c r="E31" s="990" t="str">
        <f>'12-A. Print Sub-Annex'!F94</f>
        <v>NPHCE</v>
      </c>
      <c r="F31" s="990">
        <f>'12-A. Print Sub-Annex'!G94</f>
        <v>0</v>
      </c>
      <c r="G31" s="990">
        <f>'12-A. Print Sub-Annex'!H94</f>
        <v>0</v>
      </c>
      <c r="H31" s="990">
        <f>'12-A. Print Sub-Annex'!I94</f>
        <v>0</v>
      </c>
      <c r="I31" s="990">
        <f>'12-A. Print Sub-Annex'!J94</f>
        <v>0</v>
      </c>
      <c r="J31" s="990">
        <f>'12-A. Print Sub-Annex'!K94</f>
        <v>0</v>
      </c>
      <c r="K31" s="990">
        <f>'12-A. Print Sub-Annex'!L94</f>
        <v>0</v>
      </c>
      <c r="L31" s="990">
        <f>'12-A. Print Sub-Annex'!M94</f>
        <v>0</v>
      </c>
      <c r="M31" s="136">
        <f>'12-A. Print Sub-Annex'!N94</f>
        <v>0</v>
      </c>
      <c r="N31" s="990">
        <f>'12-A. Print Sub-Annex'!O94</f>
        <v>0</v>
      </c>
      <c r="O31" s="136">
        <f>'12-A. Print Sub-Annex'!P94</f>
        <v>0</v>
      </c>
      <c r="P31" s="78">
        <f>'12-A. Print Sub-Annex'!Q94</f>
        <v>0</v>
      </c>
      <c r="Q31" s="62"/>
      <c r="R31" s="318"/>
    </row>
    <row r="32" spans="1:18">
      <c r="A32" s="416">
        <f>'16.PM Annex'!A7</f>
        <v>16</v>
      </c>
      <c r="B32" s="416"/>
      <c r="C32" s="416" t="str">
        <f>'16.PM Annex'!C7</f>
        <v>Programme Management</v>
      </c>
      <c r="D32" s="417"/>
      <c r="E32" s="417"/>
      <c r="F32" s="417"/>
      <c r="G32" s="417"/>
      <c r="H32" s="240"/>
      <c r="I32" s="417"/>
      <c r="J32" s="240"/>
      <c r="K32" s="417"/>
      <c r="L32" s="417"/>
      <c r="M32" s="240"/>
      <c r="N32" s="1089"/>
      <c r="O32" s="1010">
        <f>SUM(O33:O33)</f>
        <v>1</v>
      </c>
      <c r="P32" s="1111"/>
      <c r="Q32" s="1112"/>
      <c r="R32" s="1136">
        <f>SUM(R33:R33)</f>
        <v>0</v>
      </c>
    </row>
    <row r="33" spans="1:18" ht="45">
      <c r="A33" s="78" t="str">
        <f>'16-A. PM sub Annex'!B46</f>
        <v>16.1.2.1.26</v>
      </c>
      <c r="B33" s="78">
        <f>'16-A. PM sub Annex'!D46</f>
        <v>0</v>
      </c>
      <c r="C33" s="78" t="str">
        <f>'16-A. PM sub Annex'!E46</f>
        <v>Workshops, Conferences &amp; review meetings under NPHCE</v>
      </c>
      <c r="D33" s="990" t="str">
        <f>'16-A. PM sub Annex'!F46</f>
        <v>NCD</v>
      </c>
      <c r="E33" s="990" t="str">
        <f>'16-A. PM sub Annex'!G46</f>
        <v>HRH&amp;HPIP/NPHCE</v>
      </c>
      <c r="F33" s="990">
        <f>'16-A. PM sub Annex'!H46</f>
        <v>1</v>
      </c>
      <c r="G33" s="990">
        <f>'16-A. PM sub Annex'!I46</f>
        <v>0</v>
      </c>
      <c r="H33" s="990">
        <f>'16-A. PM sub Annex'!J46</f>
        <v>1</v>
      </c>
      <c r="I33" s="990">
        <f>'16-A. PM sub Annex'!K46</f>
        <v>0</v>
      </c>
      <c r="J33" s="990">
        <f>'16-A. PM sub Annex'!L46</f>
        <v>0</v>
      </c>
      <c r="K33" s="990">
        <f>'16-A. PM sub Annex'!M46</f>
        <v>1</v>
      </c>
      <c r="L33" s="990">
        <f>'16-A. PM sub Annex'!N46</f>
        <v>100000</v>
      </c>
      <c r="M33" s="136">
        <f>'16-A. PM sub Annex'!O46</f>
        <v>1</v>
      </c>
      <c r="N33" s="990">
        <f>'16-A. PM sub Annex'!P46</f>
        <v>1</v>
      </c>
      <c r="O33" s="136">
        <f>'16-A. PM sub Annex'!Q46</f>
        <v>1</v>
      </c>
      <c r="P33" s="78" t="str">
        <f>'16-A. PM sub Annex'!R46</f>
        <v xml:space="preserve"> Continiued Activites:-State level   Quartly  Review  Meeting
 </v>
      </c>
      <c r="Q33" s="62"/>
      <c r="R33" s="318"/>
    </row>
    <row r="34" spans="1:18">
      <c r="Q34" s="1032"/>
      <c r="R34" s="1033"/>
    </row>
  </sheetData>
  <sheetProtection sheet="1" formatCells="0" formatColumns="0" formatRows="0" autoFilter="0"/>
  <autoFilter ref="A5:M33"/>
  <mergeCells count="13">
    <mergeCell ref="A18:A19"/>
    <mergeCell ref="A11:A17"/>
    <mergeCell ref="A21:A24"/>
    <mergeCell ref="A28:A29"/>
    <mergeCell ref="Q4:R4"/>
    <mergeCell ref="E4:E5"/>
    <mergeCell ref="F4:J4"/>
    <mergeCell ref="K4:P4"/>
    <mergeCell ref="A1:C1"/>
    <mergeCell ref="A4:A5"/>
    <mergeCell ref="B4:B5"/>
    <mergeCell ref="C4:C5"/>
    <mergeCell ref="D4:D5"/>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B0F0"/>
  </sheetPr>
  <dimension ref="A1:R59"/>
  <sheetViews>
    <sheetView topLeftCell="A43" zoomScale="80" zoomScaleNormal="80" workbookViewId="0">
      <selection activeCell="Q172" sqref="A1:BE179"/>
    </sheetView>
  </sheetViews>
  <sheetFormatPr defaultRowHeight="12.75"/>
  <cols>
    <col min="1" max="1" width="25.5703125" bestFit="1" customWidth="1"/>
    <col min="2" max="2" width="60.5703125" style="312" bestFit="1" customWidth="1"/>
    <col min="3" max="3" width="16.5703125" style="299" bestFit="1" customWidth="1"/>
    <col min="4" max="4" width="15.42578125" style="299" bestFit="1" customWidth="1"/>
    <col min="5" max="6" width="15.85546875" bestFit="1" customWidth="1"/>
    <col min="7" max="7" width="14" bestFit="1" customWidth="1"/>
    <col min="8" max="8" width="13.7109375" bestFit="1" customWidth="1"/>
    <col min="9" max="9" width="14" bestFit="1" customWidth="1"/>
    <col min="10" max="10" width="13.7109375" bestFit="1" customWidth="1"/>
    <col min="11" max="11" width="14" bestFit="1" customWidth="1"/>
    <col min="12" max="12" width="13.7109375" bestFit="1" customWidth="1"/>
    <col min="13" max="13" width="14" bestFit="1" customWidth="1"/>
    <col min="14" max="14" width="13.7109375" bestFit="1" customWidth="1"/>
    <col min="15" max="15" width="14" bestFit="1" customWidth="1"/>
    <col min="16" max="16" width="13.7109375" bestFit="1" customWidth="1"/>
    <col min="17" max="17" width="14.85546875" bestFit="1" customWidth="1"/>
    <col min="18" max="18" width="14.42578125" bestFit="1" customWidth="1"/>
  </cols>
  <sheetData>
    <row r="1" spans="1:18" ht="21">
      <c r="A1" s="4254" t="s">
        <v>4699</v>
      </c>
      <c r="B1" s="4254"/>
      <c r="C1" s="4254"/>
      <c r="D1" s="4254"/>
      <c r="E1" s="4254"/>
      <c r="F1" s="4254"/>
      <c r="G1" s="4254"/>
      <c r="H1" s="4254"/>
      <c r="I1" s="4254"/>
      <c r="J1" s="4254"/>
      <c r="K1" s="4254"/>
      <c r="L1" s="4254"/>
      <c r="M1" s="4254"/>
      <c r="N1" s="4254"/>
      <c r="O1" s="4254"/>
      <c r="P1" s="4254"/>
      <c r="Q1" s="4254"/>
      <c r="R1" s="4254"/>
    </row>
    <row r="2" spans="1:18" ht="15">
      <c r="A2" s="180" t="str">
        <f>HYPERLINK("#Index!B1", "Index Pg")</f>
        <v>Index Pg</v>
      </c>
      <c r="B2" s="311" t="str">
        <f>HYPERLINK("#'Budget Summary II'!A2:B2", "Budget Summary II")</f>
        <v>Budget Summary II</v>
      </c>
      <c r="C2" s="4224" t="s">
        <v>4709</v>
      </c>
      <c r="D2" s="4224"/>
      <c r="E2" s="4224" t="s">
        <v>5</v>
      </c>
      <c r="F2" s="4224"/>
      <c r="G2" s="4224" t="s">
        <v>4678</v>
      </c>
      <c r="H2" s="4224"/>
      <c r="I2" s="4224" t="s">
        <v>4679</v>
      </c>
      <c r="J2" s="4224"/>
      <c r="K2" s="4224" t="s">
        <v>4689</v>
      </c>
      <c r="L2" s="4224"/>
      <c r="M2" s="4224" t="s">
        <v>4690</v>
      </c>
      <c r="N2" s="4224"/>
      <c r="O2" s="4224" t="s">
        <v>4680</v>
      </c>
      <c r="P2" s="4224"/>
      <c r="Q2" s="4224" t="s">
        <v>2344</v>
      </c>
      <c r="R2" s="4224"/>
    </row>
    <row r="3" spans="1:18" ht="15">
      <c r="A3" s="172"/>
      <c r="B3" s="172"/>
      <c r="C3" s="186" t="s">
        <v>4600</v>
      </c>
      <c r="D3" s="186" t="s">
        <v>4599</v>
      </c>
      <c r="E3" s="186" t="s">
        <v>4600</v>
      </c>
      <c r="F3" s="186" t="s">
        <v>4599</v>
      </c>
      <c r="G3" s="186" t="s">
        <v>4600</v>
      </c>
      <c r="H3" s="186" t="s">
        <v>4599</v>
      </c>
      <c r="I3" s="186" t="s">
        <v>4600</v>
      </c>
      <c r="J3" s="186" t="s">
        <v>4599</v>
      </c>
      <c r="K3" s="186" t="s">
        <v>4600</v>
      </c>
      <c r="L3" s="186" t="s">
        <v>4599</v>
      </c>
      <c r="M3" s="186" t="s">
        <v>4600</v>
      </c>
      <c r="N3" s="186" t="s">
        <v>4599</v>
      </c>
      <c r="O3" s="186" t="s">
        <v>4600</v>
      </c>
      <c r="P3" s="186" t="s">
        <v>4599</v>
      </c>
      <c r="Q3" s="186" t="s">
        <v>4600</v>
      </c>
      <c r="R3" s="186" t="s">
        <v>4599</v>
      </c>
    </row>
    <row r="4" spans="1:18" ht="15">
      <c r="A4" s="4251" t="s">
        <v>4709</v>
      </c>
      <c r="B4" s="172" t="s">
        <v>4726</v>
      </c>
      <c r="C4" s="1248">
        <f>SUM(C6:C56)</f>
        <v>504857.90432982671</v>
      </c>
      <c r="D4" s="1248">
        <f t="shared" ref="D4:R4" si="0">SUM(D6:D56)</f>
        <v>0</v>
      </c>
      <c r="E4" s="1248">
        <f t="shared" si="0"/>
        <v>250580.36807126392</v>
      </c>
      <c r="F4" s="1248">
        <f t="shared" si="0"/>
        <v>0</v>
      </c>
      <c r="G4" s="1248">
        <f t="shared" si="0"/>
        <v>16874.895178000002</v>
      </c>
      <c r="H4" s="1248">
        <f t="shared" si="0"/>
        <v>0</v>
      </c>
      <c r="I4" s="1248">
        <f t="shared" si="0"/>
        <v>52896.733962419981</v>
      </c>
      <c r="J4" s="1248">
        <f t="shared" si="0"/>
        <v>0</v>
      </c>
      <c r="K4" s="1248">
        <f t="shared" si="0"/>
        <v>112262.71687480001</v>
      </c>
      <c r="L4" s="1248">
        <f t="shared" si="0"/>
        <v>0</v>
      </c>
      <c r="M4" s="1248">
        <f t="shared" si="0"/>
        <v>33681.205715590004</v>
      </c>
      <c r="N4" s="1248">
        <f t="shared" si="0"/>
        <v>0</v>
      </c>
      <c r="O4" s="1248">
        <f t="shared" si="0"/>
        <v>34401.888129753002</v>
      </c>
      <c r="P4" s="1248">
        <f t="shared" si="0"/>
        <v>0</v>
      </c>
      <c r="Q4" s="1248">
        <f t="shared" si="0"/>
        <v>4160.0963979999997</v>
      </c>
      <c r="R4" s="1248">
        <f t="shared" si="0"/>
        <v>0</v>
      </c>
    </row>
    <row r="5" spans="1:18" ht="15">
      <c r="A5" s="4252"/>
      <c r="B5" s="172" t="s">
        <v>4727</v>
      </c>
      <c r="C5" s="1248">
        <f>SUM(C57:C59)</f>
        <v>5437.438874200001</v>
      </c>
      <c r="D5" s="1248">
        <f t="shared" ref="D5:R5" si="1">SUM(D57:D59)</f>
        <v>0</v>
      </c>
      <c r="E5" s="1248">
        <f t="shared" si="1"/>
        <v>1235.4659636000001</v>
      </c>
      <c r="F5" s="1248">
        <f t="shared" si="1"/>
        <v>0</v>
      </c>
      <c r="G5" s="1248">
        <f t="shared" si="1"/>
        <v>162.15</v>
      </c>
      <c r="H5" s="1248">
        <f t="shared" si="1"/>
        <v>0</v>
      </c>
      <c r="I5" s="1248">
        <f t="shared" si="1"/>
        <v>564.86967000000004</v>
      </c>
      <c r="J5" s="1248">
        <f t="shared" si="1"/>
        <v>0</v>
      </c>
      <c r="K5" s="1248">
        <f t="shared" si="1"/>
        <v>3056.0128646000003</v>
      </c>
      <c r="L5" s="1248">
        <f t="shared" si="1"/>
        <v>0</v>
      </c>
      <c r="M5" s="1248">
        <f t="shared" si="1"/>
        <v>389.140376</v>
      </c>
      <c r="N5" s="1248">
        <f t="shared" si="1"/>
        <v>0</v>
      </c>
      <c r="O5" s="1248">
        <f t="shared" si="1"/>
        <v>0</v>
      </c>
      <c r="P5" s="1248">
        <f t="shared" si="1"/>
        <v>0</v>
      </c>
      <c r="Q5" s="1248">
        <f t="shared" si="1"/>
        <v>29.8</v>
      </c>
      <c r="R5" s="1248">
        <f t="shared" si="1"/>
        <v>0</v>
      </c>
    </row>
    <row r="6" spans="1:18" ht="14.45" customHeight="1">
      <c r="A6" s="4253" t="s">
        <v>4349</v>
      </c>
      <c r="B6" s="296" t="s">
        <v>4677</v>
      </c>
      <c r="C6" s="300">
        <f>E6+G6+I6+K6+M6+O6+Q6</f>
        <v>66863.811522687465</v>
      </c>
      <c r="D6" s="300">
        <f>F6+H6+J6+L6+N6+P6+R6</f>
        <v>0</v>
      </c>
      <c r="E6" s="164">
        <f>'Budget Summary I'!E8+'Budget Summary I'!G8+'Budget Summary I'!I8+'Budget Summary I'!K8+'Budget Summary I'!M8+'Budget Summary I'!O8+'Budget Summary I'!Q8+'Budget Summary I'!S8</f>
        <v>59172.484302687473</v>
      </c>
      <c r="F6" s="164">
        <f>'Budget Summary I'!F8+'Budget Summary I'!H8+'Budget Summary I'!J8+'Budget Summary I'!L8+'Budget Summary I'!N8+'Budget Summary I'!P8+'Budget Summary I'!R8+'Budget Summary I'!T8</f>
        <v>0</v>
      </c>
      <c r="G6" s="165">
        <f>'Budget Summary I'!U8+'Budget Summary I'!W8</f>
        <v>0</v>
      </c>
      <c r="H6" s="165">
        <f>'Budget Summary I'!V8+'Budget Summary I'!X8</f>
        <v>0</v>
      </c>
      <c r="I6" s="164">
        <f>'Budget Summary I'!Y8+'Budget Summary I'!AA8</f>
        <v>6390.0212199999996</v>
      </c>
      <c r="J6" s="164">
        <f>'Budget Summary I'!Z8+'Budget Summary I'!AB8</f>
        <v>0</v>
      </c>
      <c r="K6" s="165">
        <f>'Budget Summary I'!AC8+'Budget Summary I'!AE8</f>
        <v>1229.4960000000001</v>
      </c>
      <c r="L6" s="165">
        <f>'Budget Summary I'!AD8+'Budget Summary I'!AF8</f>
        <v>0</v>
      </c>
      <c r="M6" s="165">
        <f>'Budget Summary I'!AG8</f>
        <v>0</v>
      </c>
      <c r="N6" s="165">
        <f>'Budget Summary I'!AH8</f>
        <v>0</v>
      </c>
      <c r="O6" s="165">
        <f>'Budget Summary I'!AI8+'Budget Summary I'!AK8</f>
        <v>71.81</v>
      </c>
      <c r="P6" s="165">
        <f>'Budget Summary I'!AJ8+'Budget Summary I'!AL8</f>
        <v>0</v>
      </c>
      <c r="Q6" s="165">
        <f>'Budget Summary I'!AM8</f>
        <v>0</v>
      </c>
      <c r="R6" s="165">
        <f>'Budget Summary I'!AN8</f>
        <v>0</v>
      </c>
    </row>
    <row r="7" spans="1:18" ht="15">
      <c r="A7" s="4253"/>
      <c r="B7" s="296" t="s">
        <v>4063</v>
      </c>
      <c r="C7" s="300">
        <f t="shared" ref="C7:D59" si="2">E7+G7+I7+K7+M7+O7+Q7</f>
        <v>15187.641351934373</v>
      </c>
      <c r="D7" s="300">
        <f t="shared" si="2"/>
        <v>0</v>
      </c>
      <c r="E7" s="164">
        <f>'Budget Summary I'!E9+'Budget Summary I'!G9+'Budget Summary I'!I9+'Budget Summary I'!K9+'Budget Summary I'!M9+'Budget Summary I'!O9+'Budget Summary I'!Q9+'Budget Summary I'!S9</f>
        <v>7513.4033969343745</v>
      </c>
      <c r="F7" s="164">
        <f>'Budget Summary I'!F9+'Budget Summary I'!H9+'Budget Summary I'!J9+'Budget Summary I'!L9+'Budget Summary I'!N9+'Budget Summary I'!P9+'Budget Summary I'!R9+'Budget Summary I'!T9</f>
        <v>0</v>
      </c>
      <c r="G7" s="165">
        <f>'Budget Summary I'!U9+'Budget Summary I'!W9</f>
        <v>0</v>
      </c>
      <c r="H7" s="165">
        <f>'Budget Summary I'!V9+'Budget Summary I'!X9</f>
        <v>0</v>
      </c>
      <c r="I7" s="164">
        <f>'Budget Summary I'!Y9+'Budget Summary I'!AA9</f>
        <v>6769.5305049999988</v>
      </c>
      <c r="J7" s="164">
        <f>'Budget Summary I'!Z9+'Budget Summary I'!AB9</f>
        <v>0</v>
      </c>
      <c r="K7" s="165">
        <f>'Budget Summary I'!AC9+'Budget Summary I'!AE9</f>
        <v>864.70744999999977</v>
      </c>
      <c r="L7" s="165">
        <f>'Budget Summary I'!AD9+'Budget Summary I'!AF9</f>
        <v>0</v>
      </c>
      <c r="M7" s="165">
        <f>'Budget Summary I'!AG9</f>
        <v>0</v>
      </c>
      <c r="N7" s="165">
        <f>'Budget Summary I'!AH9</f>
        <v>0</v>
      </c>
      <c r="O7" s="165">
        <f>'Budget Summary I'!AI9+'Budget Summary I'!AK9</f>
        <v>40</v>
      </c>
      <c r="P7" s="165">
        <f>'Budget Summary I'!AJ9+'Budget Summary I'!AL9</f>
        <v>0</v>
      </c>
      <c r="Q7" s="165">
        <f>'Budget Summary I'!AM9</f>
        <v>0</v>
      </c>
      <c r="R7" s="165">
        <f>'Budget Summary I'!AN9</f>
        <v>0</v>
      </c>
    </row>
    <row r="8" spans="1:18" ht="15">
      <c r="A8" s="4253"/>
      <c r="B8" s="296" t="s">
        <v>2941</v>
      </c>
      <c r="C8" s="300">
        <f t="shared" si="2"/>
        <v>19309.831709100003</v>
      </c>
      <c r="D8" s="300">
        <f t="shared" si="2"/>
        <v>0</v>
      </c>
      <c r="E8" s="164">
        <f>'Budget Summary I'!E10+'Budget Summary I'!G10+'Budget Summary I'!I10+'Budget Summary I'!K10+'Budget Summary I'!M10+'Budget Summary I'!O10+'Budget Summary I'!Q10+'Budget Summary I'!S10</f>
        <v>17642.058939100003</v>
      </c>
      <c r="F8" s="164">
        <f>'Budget Summary I'!F10+'Budget Summary I'!H10+'Budget Summary I'!J10+'Budget Summary I'!L10+'Budget Summary I'!N10+'Budget Summary I'!P10+'Budget Summary I'!R10+'Budget Summary I'!T10</f>
        <v>0</v>
      </c>
      <c r="G8" s="165">
        <f>'Budget Summary I'!U10+'Budget Summary I'!W10</f>
        <v>2.5</v>
      </c>
      <c r="H8" s="165">
        <f>'Budget Summary I'!V10+'Budget Summary I'!X10</f>
        <v>0</v>
      </c>
      <c r="I8" s="164">
        <f>'Budget Summary I'!Y10+'Budget Summary I'!AA10</f>
        <v>746.57607000000007</v>
      </c>
      <c r="J8" s="164">
        <f>'Budget Summary I'!Z10+'Budget Summary I'!AB10</f>
        <v>0</v>
      </c>
      <c r="K8" s="165">
        <f>'Budget Summary I'!AC10+'Budget Summary I'!AE10</f>
        <v>918.69670000000008</v>
      </c>
      <c r="L8" s="165">
        <f>'Budget Summary I'!AD10+'Budget Summary I'!AF10</f>
        <v>0</v>
      </c>
      <c r="M8" s="165">
        <f>'Budget Summary I'!AG10</f>
        <v>0</v>
      </c>
      <c r="N8" s="165">
        <f>'Budget Summary I'!AH10</f>
        <v>0</v>
      </c>
      <c r="O8" s="165">
        <f>'Budget Summary I'!AI10+'Budget Summary I'!AK10</f>
        <v>0</v>
      </c>
      <c r="P8" s="165">
        <f>'Budget Summary I'!AJ10+'Budget Summary I'!AL10</f>
        <v>0</v>
      </c>
      <c r="Q8" s="165">
        <f>'Budget Summary I'!AM10</f>
        <v>0</v>
      </c>
      <c r="R8" s="165">
        <f>'Budget Summary I'!AN10</f>
        <v>0</v>
      </c>
    </row>
    <row r="9" spans="1:18" ht="15">
      <c r="A9" s="4253"/>
      <c r="B9" s="296" t="s">
        <v>4071</v>
      </c>
      <c r="C9" s="300">
        <f t="shared" si="2"/>
        <v>2663.0975215999997</v>
      </c>
      <c r="D9" s="300">
        <f t="shared" si="2"/>
        <v>0</v>
      </c>
      <c r="E9" s="164">
        <f>'Budget Summary I'!E11+'Budget Summary I'!G11+'Budget Summary I'!I11+'Budget Summary I'!K11+'Budget Summary I'!M11+'Budget Summary I'!O11+'Budget Summary I'!Q11+'Budget Summary I'!S11</f>
        <v>965.48300000000006</v>
      </c>
      <c r="F9" s="164">
        <f>'Budget Summary I'!F11+'Budget Summary I'!H11+'Budget Summary I'!J11+'Budget Summary I'!L11+'Budget Summary I'!N11+'Budget Summary I'!P11+'Budget Summary I'!R11+'Budget Summary I'!T11</f>
        <v>0</v>
      </c>
      <c r="G9" s="165">
        <f>'Budget Summary I'!U11+'Budget Summary I'!W11</f>
        <v>0</v>
      </c>
      <c r="H9" s="165">
        <f>'Budget Summary I'!V11+'Budget Summary I'!X11</f>
        <v>0</v>
      </c>
      <c r="I9" s="164">
        <f>'Budget Summary I'!Y11+'Budget Summary I'!AA11</f>
        <v>1040.8356415999999</v>
      </c>
      <c r="J9" s="164">
        <f>'Budget Summary I'!Z11+'Budget Summary I'!AB11</f>
        <v>0</v>
      </c>
      <c r="K9" s="165">
        <f>'Budget Summary I'!AC11+'Budget Summary I'!AE11</f>
        <v>656.77887999999996</v>
      </c>
      <c r="L9" s="165">
        <f>'Budget Summary I'!AD11+'Budget Summary I'!AF11</f>
        <v>0</v>
      </c>
      <c r="M9" s="165">
        <f>'Budget Summary I'!AG11</f>
        <v>0</v>
      </c>
      <c r="N9" s="165">
        <f>'Budget Summary I'!AH11</f>
        <v>0</v>
      </c>
      <c r="O9" s="165">
        <f>'Budget Summary I'!AI11+'Budget Summary I'!AK11</f>
        <v>0</v>
      </c>
      <c r="P9" s="165">
        <f>'Budget Summary I'!AJ11+'Budget Summary I'!AL11</f>
        <v>0</v>
      </c>
      <c r="Q9" s="165">
        <f>'Budget Summary I'!AM11</f>
        <v>0</v>
      </c>
      <c r="R9" s="165">
        <f>'Budget Summary I'!AN11</f>
        <v>0</v>
      </c>
    </row>
    <row r="10" spans="1:18" ht="15">
      <c r="A10" s="4253"/>
      <c r="B10" s="296" t="s">
        <v>96</v>
      </c>
      <c r="C10" s="300">
        <f t="shared" si="2"/>
        <v>4309.6365481761877</v>
      </c>
      <c r="D10" s="300">
        <f t="shared" si="2"/>
        <v>0</v>
      </c>
      <c r="E10" s="164">
        <f>'Budget Summary I'!E12+'Budget Summary I'!G12+'Budget Summary I'!I12+'Budget Summary I'!K12+'Budget Summary I'!M12+'Budget Summary I'!O12+'Budget Summary I'!Q12+'Budget Summary I'!S12</f>
        <v>3881.8156123761878</v>
      </c>
      <c r="F10" s="164">
        <f>'Budget Summary I'!F12+'Budget Summary I'!H12+'Budget Summary I'!J12+'Budget Summary I'!L12+'Budget Summary I'!N12+'Budget Summary I'!P12+'Budget Summary I'!R12+'Budget Summary I'!T12</f>
        <v>0</v>
      </c>
      <c r="G10" s="165">
        <f>'Budget Summary I'!U12+'Budget Summary I'!W12</f>
        <v>0</v>
      </c>
      <c r="H10" s="165">
        <f>'Budget Summary I'!V12+'Budget Summary I'!X12</f>
        <v>0</v>
      </c>
      <c r="I10" s="164">
        <f>'Budget Summary I'!Y12+'Budget Summary I'!AA12</f>
        <v>322.08622079999998</v>
      </c>
      <c r="J10" s="164">
        <f>'Budget Summary I'!Z12+'Budget Summary I'!AB12</f>
        <v>0</v>
      </c>
      <c r="K10" s="165">
        <f>'Budget Summary I'!AC12+'Budget Summary I'!AE12</f>
        <v>105.73471499999999</v>
      </c>
      <c r="L10" s="165">
        <f>'Budget Summary I'!AD12+'Budget Summary I'!AF12</f>
        <v>0</v>
      </c>
      <c r="M10" s="165">
        <f>'Budget Summary I'!AG12</f>
        <v>0</v>
      </c>
      <c r="N10" s="165">
        <f>'Budget Summary I'!AH12</f>
        <v>0</v>
      </c>
      <c r="O10" s="165">
        <f>'Budget Summary I'!AI12+'Budget Summary I'!AK12</f>
        <v>0</v>
      </c>
      <c r="P10" s="165">
        <f>'Budget Summary I'!AJ12+'Budget Summary I'!AL12</f>
        <v>0</v>
      </c>
      <c r="Q10" s="165">
        <f>'Budget Summary I'!AM12</f>
        <v>0</v>
      </c>
      <c r="R10" s="165">
        <f>'Budget Summary I'!AN12</f>
        <v>0</v>
      </c>
    </row>
    <row r="11" spans="1:18" ht="15">
      <c r="A11" s="4253"/>
      <c r="B11" s="296" t="s">
        <v>4064</v>
      </c>
      <c r="C11" s="300">
        <f t="shared" si="2"/>
        <v>901.69999999999993</v>
      </c>
      <c r="D11" s="300">
        <f>F11+H11+J11+L11+N11+P11+R11</f>
        <v>0</v>
      </c>
      <c r="E11" s="164">
        <f>'Budget Summary I'!E13+'Budget Summary I'!G13+'Budget Summary I'!I13+'Budget Summary I'!K13+'Budget Summary I'!M13+'Budget Summary I'!O13+'Budget Summary I'!Q13+'Budget Summary I'!S13</f>
        <v>16.8</v>
      </c>
      <c r="F11" s="164">
        <f>'Budget Summary I'!F13+'Budget Summary I'!H13+'Budget Summary I'!J13+'Budget Summary I'!L13+'Budget Summary I'!N13+'Budget Summary I'!P13+'Budget Summary I'!R13+'Budget Summary I'!T13</f>
        <v>0</v>
      </c>
      <c r="G11" s="165">
        <f>'Budget Summary I'!U13+'Budget Summary I'!W13</f>
        <v>0</v>
      </c>
      <c r="H11" s="165">
        <f>'Budget Summary I'!V13+'Budget Summary I'!X13</f>
        <v>0</v>
      </c>
      <c r="I11" s="164">
        <f>'Budget Summary I'!Y13+'Budget Summary I'!AA13</f>
        <v>0</v>
      </c>
      <c r="J11" s="164">
        <f>'Budget Summary I'!Z13+'Budget Summary I'!AB13</f>
        <v>0</v>
      </c>
      <c r="K11" s="165">
        <f>'Budget Summary I'!AC13+'Budget Summary I'!AE13</f>
        <v>7.5</v>
      </c>
      <c r="L11" s="165">
        <f>'Budget Summary I'!AD13+'Budget Summary I'!AF13</f>
        <v>0</v>
      </c>
      <c r="M11" s="165">
        <f>'Budget Summary I'!AG13</f>
        <v>877.4</v>
      </c>
      <c r="N11" s="165">
        <f>'Budget Summary I'!AH13</f>
        <v>0</v>
      </c>
      <c r="O11" s="165">
        <f>'Budget Summary I'!AI13+'Budget Summary I'!AK13</f>
        <v>0</v>
      </c>
      <c r="P11" s="165">
        <f>'Budget Summary I'!AJ13+'Budget Summary I'!AL13</f>
        <v>0</v>
      </c>
      <c r="Q11" s="165">
        <f>'Budget Summary I'!AM13</f>
        <v>0</v>
      </c>
      <c r="R11" s="165">
        <f>'Budget Summary I'!AN13</f>
        <v>0</v>
      </c>
    </row>
    <row r="12" spans="1:18" ht="15">
      <c r="A12" s="4253"/>
      <c r="B12" s="296" t="s">
        <v>4065</v>
      </c>
      <c r="C12" s="300">
        <f t="shared" si="2"/>
        <v>19397.230112919999</v>
      </c>
      <c r="D12" s="300">
        <f t="shared" si="2"/>
        <v>0</v>
      </c>
      <c r="E12" s="164">
        <f>'Budget Summary I'!E14+'Budget Summary I'!G14+'Budget Summary I'!I14+'Budget Summary I'!K14+'Budget Summary I'!M14+'Budget Summary I'!O14+'Budget Summary I'!Q14+'Budget Summary I'!S14</f>
        <v>16078.623123199999</v>
      </c>
      <c r="F12" s="164">
        <f>'Budget Summary I'!F14+'Budget Summary I'!H14+'Budget Summary I'!J14+'Budget Summary I'!L14+'Budget Summary I'!N14+'Budget Summary I'!P14+'Budget Summary I'!R14+'Budget Summary I'!T14</f>
        <v>0</v>
      </c>
      <c r="G12" s="165">
        <f>'Budget Summary I'!U14+'Budget Summary I'!W14</f>
        <v>0</v>
      </c>
      <c r="H12" s="165">
        <f>'Budget Summary I'!V14+'Budget Summary I'!X14</f>
        <v>0</v>
      </c>
      <c r="I12" s="164">
        <f>'Budget Summary I'!Y14+'Budget Summary I'!AA14</f>
        <v>3205.51946972</v>
      </c>
      <c r="J12" s="164">
        <f>'Budget Summary I'!Z14+'Budget Summary I'!AB14</f>
        <v>0</v>
      </c>
      <c r="K12" s="165">
        <f>'Budget Summary I'!AC14+'Budget Summary I'!AE14</f>
        <v>113.08752</v>
      </c>
      <c r="L12" s="165">
        <f>'Budget Summary I'!AD14+'Budget Summary I'!AF14</f>
        <v>0</v>
      </c>
      <c r="M12" s="165">
        <f>'Budget Summary I'!AG14</f>
        <v>0</v>
      </c>
      <c r="N12" s="165">
        <f>'Budget Summary I'!AH14</f>
        <v>0</v>
      </c>
      <c r="O12" s="165">
        <f>'Budget Summary I'!AI14+'Budget Summary I'!AK14</f>
        <v>0</v>
      </c>
      <c r="P12" s="165">
        <f>'Budget Summary I'!AJ14+'Budget Summary I'!AL14</f>
        <v>0</v>
      </c>
      <c r="Q12" s="165">
        <f>'Budget Summary I'!AM14</f>
        <v>0</v>
      </c>
      <c r="R12" s="165">
        <f>'Budget Summary I'!AN14</f>
        <v>0</v>
      </c>
    </row>
    <row r="13" spans="1:18" ht="15">
      <c r="A13" s="4253"/>
      <c r="B13" s="296" t="s">
        <v>5268</v>
      </c>
      <c r="C13" s="300">
        <f t="shared" si="2"/>
        <v>0</v>
      </c>
      <c r="D13" s="300">
        <f t="shared" si="2"/>
        <v>0</v>
      </c>
      <c r="E13" s="164">
        <f>'Budget Summary I'!E15+'Budget Summary I'!G15+'Budget Summary I'!I15+'Budget Summary I'!K15+'Budget Summary I'!M15+'Budget Summary I'!O15+'Budget Summary I'!Q15+'Budget Summary I'!S15</f>
        <v>0</v>
      </c>
      <c r="F13" s="164">
        <f>'Budget Summary I'!F15+'Budget Summary I'!H15+'Budget Summary I'!J15+'Budget Summary I'!L15+'Budget Summary I'!N15+'Budget Summary I'!P15+'Budget Summary I'!R15+'Budget Summary I'!T15</f>
        <v>0</v>
      </c>
      <c r="G13" s="165">
        <f>'Budget Summary I'!U15+'Budget Summary I'!W15</f>
        <v>0</v>
      </c>
      <c r="H13" s="165">
        <f>'Budget Summary I'!V15+'Budget Summary I'!X15</f>
        <v>0</v>
      </c>
      <c r="I13" s="164">
        <f>'Budget Summary I'!Y15+'Budget Summary I'!AA15</f>
        <v>0</v>
      </c>
      <c r="J13" s="164">
        <f>'Budget Summary I'!Z15+'Budget Summary I'!AB15</f>
        <v>0</v>
      </c>
      <c r="K13" s="165">
        <f>'Budget Summary I'!AC15+'Budget Summary I'!AE15</f>
        <v>0</v>
      </c>
      <c r="L13" s="165">
        <f>'Budget Summary I'!AD15+'Budget Summary I'!AF15</f>
        <v>0</v>
      </c>
      <c r="M13" s="165">
        <f>'Budget Summary I'!AG15</f>
        <v>0</v>
      </c>
      <c r="N13" s="165">
        <f>'Budget Summary I'!AH15</f>
        <v>0</v>
      </c>
      <c r="O13" s="165">
        <f>'Budget Summary I'!AI15+'Budget Summary I'!AK15</f>
        <v>0</v>
      </c>
      <c r="P13" s="165">
        <f>'Budget Summary I'!AJ15+'Budget Summary I'!AL15</f>
        <v>0</v>
      </c>
      <c r="Q13" s="165">
        <f>'Budget Summary I'!AM15</f>
        <v>0</v>
      </c>
      <c r="R13" s="165">
        <f>'Budget Summary I'!AN15</f>
        <v>0</v>
      </c>
    </row>
    <row r="14" spans="1:18" ht="15">
      <c r="A14" s="4253"/>
      <c r="B14" s="296" t="s">
        <v>5269</v>
      </c>
      <c r="C14" s="300">
        <f t="shared" si="2"/>
        <v>4529.0968635899999</v>
      </c>
      <c r="D14" s="300">
        <f t="shared" si="2"/>
        <v>0</v>
      </c>
      <c r="E14" s="164">
        <f>'Budget Summary I'!E16+'Budget Summary I'!G16+'Budget Summary I'!I16+'Budget Summary I'!K16+'Budget Summary I'!M16+'Budget Summary I'!O16+'Budget Summary I'!Q16+'Budget Summary I'!S16</f>
        <v>0</v>
      </c>
      <c r="F14" s="164">
        <f>'Budget Summary I'!F16+'Budget Summary I'!H16+'Budget Summary I'!J16+'Budget Summary I'!L16+'Budget Summary I'!N16+'Budget Summary I'!P16+'Budget Summary I'!R16+'Budget Summary I'!T16</f>
        <v>0</v>
      </c>
      <c r="G14" s="165">
        <f>'Budget Summary I'!U16+'Budget Summary I'!W16</f>
        <v>0</v>
      </c>
      <c r="H14" s="165">
        <f>'Budget Summary I'!V16+'Budget Summary I'!X16</f>
        <v>0</v>
      </c>
      <c r="I14" s="164">
        <f>'Budget Summary I'!Y16+'Budget Summary I'!AA16</f>
        <v>0</v>
      </c>
      <c r="J14" s="164">
        <f>'Budget Summary I'!Z16+'Budget Summary I'!AB16</f>
        <v>0</v>
      </c>
      <c r="K14" s="165">
        <f>'Budget Summary I'!AC16+'Budget Summary I'!AE16</f>
        <v>0</v>
      </c>
      <c r="L14" s="165">
        <f>'Budget Summary I'!AD16+'Budget Summary I'!AF16</f>
        <v>0</v>
      </c>
      <c r="M14" s="165">
        <f>'Budget Summary I'!AG16</f>
        <v>1395.64698559</v>
      </c>
      <c r="N14" s="165">
        <f>'Budget Summary I'!AH16</f>
        <v>0</v>
      </c>
      <c r="O14" s="165">
        <f>'Budget Summary I'!AI16+'Budget Summary I'!AK16</f>
        <v>0</v>
      </c>
      <c r="P14" s="165">
        <f>'Budget Summary I'!AJ16+'Budget Summary I'!AL16</f>
        <v>0</v>
      </c>
      <c r="Q14" s="165">
        <f>'Budget Summary I'!AM16</f>
        <v>3133.4498779999999</v>
      </c>
      <c r="R14" s="165">
        <f>'Budget Summary I'!AN16</f>
        <v>0</v>
      </c>
    </row>
    <row r="15" spans="1:18" ht="30">
      <c r="A15" s="4253"/>
      <c r="B15" s="296" t="s">
        <v>3877</v>
      </c>
      <c r="C15" s="300">
        <f t="shared" si="2"/>
        <v>96.241</v>
      </c>
      <c r="D15" s="300">
        <f>F15+H15+J15+L15+N15+P15+R15</f>
        <v>0</v>
      </c>
      <c r="E15" s="164">
        <f>'Budget Summary I'!E17+'Budget Summary I'!G17+'Budget Summary I'!I17+'Budget Summary I'!K17+'Budget Summary I'!M17+'Budget Summary I'!O17+'Budget Summary I'!Q17+'Budget Summary I'!S17</f>
        <v>48.270500000000006</v>
      </c>
      <c r="F15" s="164">
        <f>'Budget Summary I'!F17+'Budget Summary I'!H17+'Budget Summary I'!J17+'Budget Summary I'!L17+'Budget Summary I'!N17+'Budget Summary I'!P17+'Budget Summary I'!R17+'Budget Summary I'!T17</f>
        <v>0</v>
      </c>
      <c r="G15" s="165">
        <f>'Budget Summary I'!U17+'Budget Summary I'!W17</f>
        <v>0</v>
      </c>
      <c r="H15" s="165">
        <f>'Budget Summary I'!V17+'Budget Summary I'!X17</f>
        <v>0</v>
      </c>
      <c r="I15" s="164">
        <f>'Budget Summary I'!Y17+'Budget Summary I'!AA17</f>
        <v>34.3705</v>
      </c>
      <c r="J15" s="164">
        <f>'Budget Summary I'!Z17+'Budget Summary I'!AB17</f>
        <v>0</v>
      </c>
      <c r="K15" s="165">
        <f>'Budget Summary I'!AC17+'Budget Summary I'!AE17</f>
        <v>0</v>
      </c>
      <c r="L15" s="165">
        <f>'Budget Summary I'!AD17+'Budget Summary I'!AF17</f>
        <v>0</v>
      </c>
      <c r="M15" s="165">
        <f>'Budget Summary I'!AG17</f>
        <v>0</v>
      </c>
      <c r="N15" s="165">
        <f>'Budget Summary I'!AH17</f>
        <v>0</v>
      </c>
      <c r="O15" s="165">
        <f>'Budget Summary I'!AI17+'Budget Summary I'!AK17</f>
        <v>13.6</v>
      </c>
      <c r="P15" s="165">
        <f>'Budget Summary I'!AJ17+'Budget Summary I'!AL17</f>
        <v>0</v>
      </c>
      <c r="Q15" s="165">
        <f>'Budget Summary I'!AM17</f>
        <v>0</v>
      </c>
      <c r="R15" s="165">
        <f>'Budget Summary I'!AN17</f>
        <v>0</v>
      </c>
    </row>
    <row r="16" spans="1:18" ht="15">
      <c r="A16" s="4253" t="s">
        <v>4704</v>
      </c>
      <c r="B16" s="296" t="s">
        <v>4698</v>
      </c>
      <c r="C16" s="300">
        <f t="shared" si="2"/>
        <v>58498.912039999996</v>
      </c>
      <c r="D16" s="300">
        <f t="shared" si="2"/>
        <v>0</v>
      </c>
      <c r="E16" s="164">
        <f>'Budget Summary I'!E18+'Budget Summary I'!G18+'Budget Summary I'!I18+'Budget Summary I'!K18+'Budget Summary I'!M18+'Budget Summary I'!O18+'Budget Summary I'!Q18+'Budget Summary I'!S18</f>
        <v>30215.399999999998</v>
      </c>
      <c r="F16" s="164">
        <f>'Budget Summary I'!F18+'Budget Summary I'!H18+'Budget Summary I'!J18+'Budget Summary I'!L18+'Budget Summary I'!N18+'Budget Summary I'!P18+'Budget Summary I'!R18+'Budget Summary I'!T18</f>
        <v>0</v>
      </c>
      <c r="G16" s="165">
        <f>'Budget Summary I'!U18+'Budget Summary I'!W18</f>
        <v>3671.4</v>
      </c>
      <c r="H16" s="165">
        <f>'Budget Summary I'!V18+'Budget Summary I'!X18</f>
        <v>0</v>
      </c>
      <c r="I16" s="164">
        <f>'Budget Summary I'!Y18+'Budget Summary I'!AA18</f>
        <v>439.34999999999997</v>
      </c>
      <c r="J16" s="164">
        <f>'Budget Summary I'!Z18+'Budget Summary I'!AB18</f>
        <v>0</v>
      </c>
      <c r="K16" s="165">
        <f>'Budget Summary I'!AC18+'Budget Summary I'!AE18</f>
        <v>22220.019</v>
      </c>
      <c r="L16" s="165">
        <f>'Budget Summary I'!AD18+'Budget Summary I'!AF18</f>
        <v>0</v>
      </c>
      <c r="M16" s="165">
        <f>'Budget Summary I'!AG18</f>
        <v>0</v>
      </c>
      <c r="N16" s="165">
        <f>'Budget Summary I'!AH18</f>
        <v>0</v>
      </c>
      <c r="O16" s="165">
        <f>'Budget Summary I'!AI18+'Budget Summary I'!AK18</f>
        <v>1952.7430400000001</v>
      </c>
      <c r="P16" s="165">
        <f>'Budget Summary I'!AJ18+'Budget Summary I'!AL18</f>
        <v>0</v>
      </c>
      <c r="Q16" s="165">
        <f>'Budget Summary I'!AM18</f>
        <v>0</v>
      </c>
      <c r="R16" s="165">
        <f>'Budget Summary I'!AN18</f>
        <v>0</v>
      </c>
    </row>
    <row r="17" spans="1:18" ht="15">
      <c r="A17" s="4253"/>
      <c r="B17" s="296" t="s">
        <v>3848</v>
      </c>
      <c r="C17" s="300">
        <f t="shared" si="2"/>
        <v>33809.324340000006</v>
      </c>
      <c r="D17" s="300">
        <f t="shared" si="2"/>
        <v>0</v>
      </c>
      <c r="E17" s="164">
        <f>'Budget Summary I'!E19+'Budget Summary I'!G19+'Budget Summary I'!I19+'Budget Summary I'!K19+'Budget Summary I'!M19+'Budget Summary I'!O19+'Budget Summary I'!Q19+'Budget Summary I'!S19</f>
        <v>33600.524340000004</v>
      </c>
      <c r="F17" s="164">
        <f>'Budget Summary I'!F19+'Budget Summary I'!H19+'Budget Summary I'!J19+'Budget Summary I'!L19+'Budget Summary I'!N19+'Budget Summary I'!P19+'Budget Summary I'!R19+'Budget Summary I'!T19</f>
        <v>0</v>
      </c>
      <c r="G17" s="165">
        <f>'Budget Summary I'!U19+'Budget Summary I'!W19</f>
        <v>0</v>
      </c>
      <c r="H17" s="165">
        <f>'Budget Summary I'!V19+'Budget Summary I'!X19</f>
        <v>0</v>
      </c>
      <c r="I17" s="164">
        <f>'Budget Summary I'!Y19+'Budget Summary I'!AA19</f>
        <v>151.14000000000001</v>
      </c>
      <c r="J17" s="164">
        <f>'Budget Summary I'!Z19+'Budget Summary I'!AB19</f>
        <v>0</v>
      </c>
      <c r="K17" s="165">
        <f>'Budget Summary I'!AC19+'Budget Summary I'!AE19</f>
        <v>57.66</v>
      </c>
      <c r="L17" s="165">
        <f>'Budget Summary I'!AD19+'Budget Summary I'!AF19</f>
        <v>0</v>
      </c>
      <c r="M17" s="165">
        <f>'Budget Summary I'!AG19</f>
        <v>0</v>
      </c>
      <c r="N17" s="165">
        <f>'Budget Summary I'!AH19</f>
        <v>0</v>
      </c>
      <c r="O17" s="165">
        <f>'Budget Summary I'!AI19+'Budget Summary I'!AK19</f>
        <v>0</v>
      </c>
      <c r="P17" s="165">
        <f>'Budget Summary I'!AJ19+'Budget Summary I'!AL19</f>
        <v>0</v>
      </c>
      <c r="Q17" s="165">
        <f>'Budget Summary I'!AM19</f>
        <v>0</v>
      </c>
      <c r="R17" s="165">
        <f>'Budget Summary I'!AN19</f>
        <v>0</v>
      </c>
    </row>
    <row r="18" spans="1:18" ht="15">
      <c r="A18" s="4253"/>
      <c r="B18" s="296" t="s">
        <v>14</v>
      </c>
      <c r="C18" s="300">
        <f t="shared" si="2"/>
        <v>41403.155630000001</v>
      </c>
      <c r="D18" s="300">
        <f>F18+H18+J18+L18+N18+P18+R18</f>
        <v>0</v>
      </c>
      <c r="E18" s="164">
        <f>'Budget Summary I'!E20+'Budget Summary I'!G20+'Budget Summary I'!I20+'Budget Summary I'!K20+'Budget Summary I'!M20+'Budget Summary I'!O20+'Budget Summary I'!Q20+'Budget Summary I'!S20</f>
        <v>41403.155630000001</v>
      </c>
      <c r="F18" s="164">
        <f>'Budget Summary I'!F20+'Budget Summary I'!H20+'Budget Summary I'!J20+'Budget Summary I'!L20+'Budget Summary I'!N20+'Budget Summary I'!P20+'Budget Summary I'!R20+'Budget Summary I'!T20</f>
        <v>0</v>
      </c>
      <c r="G18" s="165">
        <f>'Budget Summary I'!U20+'Budget Summary I'!W20</f>
        <v>0</v>
      </c>
      <c r="H18" s="165">
        <f>'Budget Summary I'!V20+'Budget Summary I'!X20</f>
        <v>0</v>
      </c>
      <c r="I18" s="164">
        <f>'Budget Summary I'!Y20+'Budget Summary I'!AA20</f>
        <v>0</v>
      </c>
      <c r="J18" s="164">
        <f>'Budget Summary I'!Z20+'Budget Summary I'!AB20</f>
        <v>0</v>
      </c>
      <c r="K18" s="165">
        <f>'Budget Summary I'!AC20+'Budget Summary I'!AE20</f>
        <v>0</v>
      </c>
      <c r="L18" s="165">
        <f>'Budget Summary I'!AD20+'Budget Summary I'!AF20</f>
        <v>0</v>
      </c>
      <c r="M18" s="165">
        <f>'Budget Summary I'!AG20</f>
        <v>0</v>
      </c>
      <c r="N18" s="165">
        <f>'Budget Summary I'!AH20</f>
        <v>0</v>
      </c>
      <c r="O18" s="165">
        <f>'Budget Summary I'!AI20+'Budget Summary I'!AK20</f>
        <v>0</v>
      </c>
      <c r="P18" s="165">
        <f>'Budget Summary I'!AJ20+'Budget Summary I'!AL20</f>
        <v>0</v>
      </c>
      <c r="Q18" s="165">
        <f>'Budget Summary I'!AM20</f>
        <v>0</v>
      </c>
      <c r="R18" s="165">
        <f>'Budget Summary I'!AN20</f>
        <v>0</v>
      </c>
    </row>
    <row r="19" spans="1:18" ht="15">
      <c r="A19" s="4253"/>
      <c r="B19" s="296" t="s">
        <v>4692</v>
      </c>
      <c r="C19" s="300">
        <f t="shared" si="2"/>
        <v>15775.56</v>
      </c>
      <c r="D19" s="300">
        <f t="shared" si="2"/>
        <v>0</v>
      </c>
      <c r="E19" s="164">
        <f>'Budget Summary I'!E21+'Budget Summary I'!G21+'Budget Summary I'!I21+'Budget Summary I'!K21+'Budget Summary I'!M21+'Budget Summary I'!O21+'Budget Summary I'!Q21+'Budget Summary I'!S21</f>
        <v>15775.56</v>
      </c>
      <c r="F19" s="164">
        <f>'Budget Summary I'!F21+'Budget Summary I'!H21+'Budget Summary I'!J21+'Budget Summary I'!L21+'Budget Summary I'!N21+'Budget Summary I'!P21+'Budget Summary I'!R21+'Budget Summary I'!T21</f>
        <v>0</v>
      </c>
      <c r="G19" s="165">
        <f>'Budget Summary I'!U21+'Budget Summary I'!W21</f>
        <v>0</v>
      </c>
      <c r="H19" s="165">
        <f>'Budget Summary I'!V21+'Budget Summary I'!X21</f>
        <v>0</v>
      </c>
      <c r="I19" s="164">
        <f>'Budget Summary I'!Y21+'Budget Summary I'!AA21</f>
        <v>0</v>
      </c>
      <c r="J19" s="164">
        <f>'Budget Summary I'!Z21+'Budget Summary I'!AB21</f>
        <v>0</v>
      </c>
      <c r="K19" s="165">
        <f>'Budget Summary I'!AC21+'Budget Summary I'!AE21</f>
        <v>0</v>
      </c>
      <c r="L19" s="165">
        <f>'Budget Summary I'!AD21+'Budget Summary I'!AF21</f>
        <v>0</v>
      </c>
      <c r="M19" s="165">
        <f>'Budget Summary I'!AG21</f>
        <v>0</v>
      </c>
      <c r="N19" s="165">
        <f>'Budget Summary I'!AH21</f>
        <v>0</v>
      </c>
      <c r="O19" s="165">
        <f>'Budget Summary I'!AI21+'Budget Summary I'!AK21</f>
        <v>0</v>
      </c>
      <c r="P19" s="165">
        <f>'Budget Summary I'!AJ21+'Budget Summary I'!AL21</f>
        <v>0</v>
      </c>
      <c r="Q19" s="165">
        <f>'Budget Summary I'!AM21</f>
        <v>0</v>
      </c>
      <c r="R19" s="165">
        <f>'Budget Summary I'!AN21</f>
        <v>0</v>
      </c>
    </row>
    <row r="20" spans="1:18" ht="15">
      <c r="A20" s="4253"/>
      <c r="B20" s="296" t="s">
        <v>4693</v>
      </c>
      <c r="C20" s="300">
        <f t="shared" si="2"/>
        <v>144</v>
      </c>
      <c r="D20" s="300">
        <f t="shared" si="2"/>
        <v>0</v>
      </c>
      <c r="E20" s="164">
        <f>'Budget Summary I'!E22+'Budget Summary I'!G22+'Budget Summary I'!I22+'Budget Summary I'!K22+'Budget Summary I'!M22+'Budget Summary I'!O22+'Budget Summary I'!Q22+'Budget Summary I'!S22</f>
        <v>144</v>
      </c>
      <c r="F20" s="164">
        <f>'Budget Summary I'!F22+'Budget Summary I'!H22+'Budget Summary I'!J22+'Budget Summary I'!L22+'Budget Summary I'!N22+'Budget Summary I'!P22+'Budget Summary I'!R22+'Budget Summary I'!T22</f>
        <v>0</v>
      </c>
      <c r="G20" s="165">
        <f>'Budget Summary I'!U22+'Budget Summary I'!W22</f>
        <v>0</v>
      </c>
      <c r="H20" s="165">
        <f>'Budget Summary I'!V22+'Budget Summary I'!X22</f>
        <v>0</v>
      </c>
      <c r="I20" s="164">
        <f>'Budget Summary I'!Y22+'Budget Summary I'!AA22</f>
        <v>0</v>
      </c>
      <c r="J20" s="164">
        <f>'Budget Summary I'!Z22+'Budget Summary I'!AB22</f>
        <v>0</v>
      </c>
      <c r="K20" s="165">
        <f>'Budget Summary I'!AC22+'Budget Summary I'!AE22</f>
        <v>0</v>
      </c>
      <c r="L20" s="165">
        <f>'Budget Summary I'!AD22+'Budget Summary I'!AF22</f>
        <v>0</v>
      </c>
      <c r="M20" s="165">
        <f>'Budget Summary I'!AG22</f>
        <v>0</v>
      </c>
      <c r="N20" s="165">
        <f>'Budget Summary I'!AH22</f>
        <v>0</v>
      </c>
      <c r="O20" s="165">
        <f>'Budget Summary I'!AI22+'Budget Summary I'!AK22</f>
        <v>0</v>
      </c>
      <c r="P20" s="165">
        <f>'Budget Summary I'!AJ22+'Budget Summary I'!AL22</f>
        <v>0</v>
      </c>
      <c r="Q20" s="165">
        <f>'Budget Summary I'!AM22</f>
        <v>0</v>
      </c>
      <c r="R20" s="165">
        <f>'Budget Summary I'!AN22</f>
        <v>0</v>
      </c>
    </row>
    <row r="21" spans="1:18" ht="15">
      <c r="A21" s="4253"/>
      <c r="B21" s="296" t="s">
        <v>4694</v>
      </c>
      <c r="C21" s="300">
        <f t="shared" si="2"/>
        <v>20.75</v>
      </c>
      <c r="D21" s="300">
        <f t="shared" si="2"/>
        <v>0</v>
      </c>
      <c r="E21" s="164">
        <f>'Budget Summary I'!E23+'Budget Summary I'!G23+'Budget Summary I'!I23+'Budget Summary I'!K23+'Budget Summary I'!M23+'Budget Summary I'!O23+'Budget Summary I'!Q23+'Budget Summary I'!S23</f>
        <v>20.75</v>
      </c>
      <c r="F21" s="164">
        <f>'Budget Summary I'!F23+'Budget Summary I'!H23+'Budget Summary I'!J23+'Budget Summary I'!L23+'Budget Summary I'!N23+'Budget Summary I'!P23+'Budget Summary I'!R23+'Budget Summary I'!T23</f>
        <v>0</v>
      </c>
      <c r="G21" s="165">
        <f>'Budget Summary I'!U23+'Budget Summary I'!W23</f>
        <v>0</v>
      </c>
      <c r="H21" s="165">
        <f>'Budget Summary I'!V23+'Budget Summary I'!X23</f>
        <v>0</v>
      </c>
      <c r="I21" s="164">
        <f>'Budget Summary I'!Y23+'Budget Summary I'!AA23</f>
        <v>0</v>
      </c>
      <c r="J21" s="164">
        <f>'Budget Summary I'!Z23+'Budget Summary I'!AB23</f>
        <v>0</v>
      </c>
      <c r="K21" s="165">
        <f>'Budget Summary I'!AC23+'Budget Summary I'!AE23</f>
        <v>0</v>
      </c>
      <c r="L21" s="165">
        <f>'Budget Summary I'!AD23+'Budget Summary I'!AF23</f>
        <v>0</v>
      </c>
      <c r="M21" s="165">
        <f>'Budget Summary I'!AG23</f>
        <v>0</v>
      </c>
      <c r="N21" s="165">
        <f>'Budget Summary I'!AH23</f>
        <v>0</v>
      </c>
      <c r="O21" s="165">
        <f>'Budget Summary I'!AI23+'Budget Summary I'!AK23</f>
        <v>0</v>
      </c>
      <c r="P21" s="165">
        <f>'Budget Summary I'!AJ23+'Budget Summary I'!AL23</f>
        <v>0</v>
      </c>
      <c r="Q21" s="165">
        <f>'Budget Summary I'!AM23</f>
        <v>0</v>
      </c>
      <c r="R21" s="165">
        <f>'Budget Summary I'!AN23</f>
        <v>0</v>
      </c>
    </row>
    <row r="22" spans="1:18" ht="15">
      <c r="A22" s="4253"/>
      <c r="B22" s="296" t="s">
        <v>30</v>
      </c>
      <c r="C22" s="300">
        <f t="shared" si="2"/>
        <v>22246.94311</v>
      </c>
      <c r="D22" s="300">
        <f t="shared" si="2"/>
        <v>0</v>
      </c>
      <c r="E22" s="164">
        <f>'Budget Summary I'!E24+'Budget Summary I'!G24+'Budget Summary I'!I24+'Budget Summary I'!K24+'Budget Summary I'!M24+'Budget Summary I'!O24+'Budget Summary I'!Q24+'Budget Summary I'!S24</f>
        <v>1467.3675000000001</v>
      </c>
      <c r="F22" s="164">
        <f>'Budget Summary I'!F24+'Budget Summary I'!H24+'Budget Summary I'!J24+'Budget Summary I'!L24+'Budget Summary I'!N24+'Budget Summary I'!P24+'Budget Summary I'!R24+'Budget Summary I'!T24</f>
        <v>0</v>
      </c>
      <c r="G22" s="165">
        <f>'Budget Summary I'!U24+'Budget Summary I'!W24</f>
        <v>0</v>
      </c>
      <c r="H22" s="165">
        <f>'Budget Summary I'!V24+'Budget Summary I'!X24</f>
        <v>0</v>
      </c>
      <c r="I22" s="164">
        <f>'Budget Summary I'!Y24+'Budget Summary I'!AA24</f>
        <v>0</v>
      </c>
      <c r="J22" s="164">
        <f>'Budget Summary I'!Z24+'Budget Summary I'!AB24</f>
        <v>0</v>
      </c>
      <c r="K22" s="165">
        <f>'Budget Summary I'!AC24+'Budget Summary I'!AE24</f>
        <v>79.8</v>
      </c>
      <c r="L22" s="165">
        <f>'Budget Summary I'!AD24+'Budget Summary I'!AF24</f>
        <v>0</v>
      </c>
      <c r="M22" s="165">
        <f>'Budget Summary I'!AG24</f>
        <v>0</v>
      </c>
      <c r="N22" s="165">
        <f>'Budget Summary I'!AH24</f>
        <v>0</v>
      </c>
      <c r="O22" s="165">
        <f>'Budget Summary I'!AI24+'Budget Summary I'!AK24</f>
        <v>20699.775610000001</v>
      </c>
      <c r="P22" s="165">
        <f>'Budget Summary I'!AJ24+'Budget Summary I'!AL24</f>
        <v>0</v>
      </c>
      <c r="Q22" s="165">
        <f>'Budget Summary I'!AM24</f>
        <v>0</v>
      </c>
      <c r="R22" s="165">
        <f>'Budget Summary I'!AN24</f>
        <v>0</v>
      </c>
    </row>
    <row r="23" spans="1:18" ht="15">
      <c r="A23" s="4253"/>
      <c r="B23" s="296" t="s">
        <v>4695</v>
      </c>
      <c r="C23" s="300">
        <f t="shared" si="2"/>
        <v>248.43906947890821</v>
      </c>
      <c r="D23" s="300">
        <f t="shared" si="2"/>
        <v>0</v>
      </c>
      <c r="E23" s="164">
        <f>'Budget Summary I'!E25+'Budget Summary I'!G25+'Budget Summary I'!I25+'Budget Summary I'!K25+'Budget Summary I'!M25+'Budget Summary I'!O25+'Budget Summary I'!Q25+'Budget Summary I'!S25</f>
        <v>248.43906947890821</v>
      </c>
      <c r="F23" s="164">
        <f>'Budget Summary I'!F25+'Budget Summary I'!H25+'Budget Summary I'!J25+'Budget Summary I'!L25+'Budget Summary I'!N25+'Budget Summary I'!P25+'Budget Summary I'!R25+'Budget Summary I'!T25</f>
        <v>0</v>
      </c>
      <c r="G23" s="165">
        <f>'Budget Summary I'!U25+'Budget Summary I'!W25</f>
        <v>0</v>
      </c>
      <c r="H23" s="165">
        <f>'Budget Summary I'!V25+'Budget Summary I'!X25</f>
        <v>0</v>
      </c>
      <c r="I23" s="164">
        <f>'Budget Summary I'!Y25+'Budget Summary I'!AA25</f>
        <v>0</v>
      </c>
      <c r="J23" s="164">
        <f>'Budget Summary I'!Z25+'Budget Summary I'!AB25</f>
        <v>0</v>
      </c>
      <c r="K23" s="165">
        <f>'Budget Summary I'!AC25+'Budget Summary I'!AE25</f>
        <v>0</v>
      </c>
      <c r="L23" s="165">
        <f>'Budget Summary I'!AD25+'Budget Summary I'!AF25</f>
        <v>0</v>
      </c>
      <c r="M23" s="165">
        <f>'Budget Summary I'!AG25</f>
        <v>0</v>
      </c>
      <c r="N23" s="165">
        <f>'Budget Summary I'!AH25</f>
        <v>0</v>
      </c>
      <c r="O23" s="165">
        <f>'Budget Summary I'!AI25+'Budget Summary I'!AK25</f>
        <v>0</v>
      </c>
      <c r="P23" s="165">
        <f>'Budget Summary I'!AJ25+'Budget Summary I'!AL25</f>
        <v>0</v>
      </c>
      <c r="Q23" s="165">
        <f>'Budget Summary I'!AM25</f>
        <v>0</v>
      </c>
      <c r="R23" s="165">
        <f>'Budget Summary I'!AN25</f>
        <v>0</v>
      </c>
    </row>
    <row r="24" spans="1:18" ht="15">
      <c r="A24" s="4253"/>
      <c r="B24" s="296" t="s">
        <v>2722</v>
      </c>
      <c r="C24" s="300">
        <f t="shared" si="2"/>
        <v>7413.8649999999998</v>
      </c>
      <c r="D24" s="300">
        <f t="shared" si="2"/>
        <v>0</v>
      </c>
      <c r="E24" s="164">
        <f>'Budget Summary I'!E26+'Budget Summary I'!G26+'Budget Summary I'!I26+'Budget Summary I'!K26+'Budget Summary I'!M26+'Budget Summary I'!O26+'Budget Summary I'!Q26+'Budget Summary I'!S26</f>
        <v>0</v>
      </c>
      <c r="F24" s="164">
        <f>'Budget Summary I'!F26+'Budget Summary I'!H26+'Budget Summary I'!J26+'Budget Summary I'!L26+'Budget Summary I'!N26+'Budget Summary I'!P26+'Budget Summary I'!R26+'Budget Summary I'!T26</f>
        <v>0</v>
      </c>
      <c r="G24" s="165">
        <f>'Budget Summary I'!U26+'Budget Summary I'!W26</f>
        <v>7413.8649999999998</v>
      </c>
      <c r="H24" s="165">
        <f>'Budget Summary I'!V26+'Budget Summary I'!X26</f>
        <v>0</v>
      </c>
      <c r="I24" s="164">
        <f>'Budget Summary I'!Y26+'Budget Summary I'!AA26</f>
        <v>0</v>
      </c>
      <c r="J24" s="164">
        <f>'Budget Summary I'!Z26+'Budget Summary I'!AB26</f>
        <v>0</v>
      </c>
      <c r="K24" s="165">
        <f>'Budget Summary I'!AC26+'Budget Summary I'!AE26</f>
        <v>0</v>
      </c>
      <c r="L24" s="165">
        <f>'Budget Summary I'!AD26+'Budget Summary I'!AF26</f>
        <v>0</v>
      </c>
      <c r="M24" s="165">
        <f>'Budget Summary I'!AG26</f>
        <v>0</v>
      </c>
      <c r="N24" s="165">
        <f>'Budget Summary I'!AH26</f>
        <v>0</v>
      </c>
      <c r="O24" s="165">
        <f>'Budget Summary I'!AI26+'Budget Summary I'!AK26</f>
        <v>0</v>
      </c>
      <c r="P24" s="165">
        <f>'Budget Summary I'!AJ26+'Budget Summary I'!AL26</f>
        <v>0</v>
      </c>
      <c r="Q24" s="165">
        <f>'Budget Summary I'!AM26</f>
        <v>0</v>
      </c>
      <c r="R24" s="165">
        <f>'Budget Summary I'!AN26</f>
        <v>0</v>
      </c>
    </row>
    <row r="25" spans="1:18" ht="15">
      <c r="A25" s="4253"/>
      <c r="B25" s="296" t="s">
        <v>33</v>
      </c>
      <c r="C25" s="300">
        <f t="shared" si="2"/>
        <v>0</v>
      </c>
      <c r="D25" s="300">
        <f t="shared" si="2"/>
        <v>0</v>
      </c>
      <c r="E25" s="164">
        <f>'Budget Summary I'!E27+'Budget Summary I'!G27+'Budget Summary I'!I27+'Budget Summary I'!K27+'Budget Summary I'!M27+'Budget Summary I'!O27+'Budget Summary I'!Q27+'Budget Summary I'!S27</f>
        <v>0</v>
      </c>
      <c r="F25" s="164">
        <f>'Budget Summary I'!F27+'Budget Summary I'!H27+'Budget Summary I'!J27+'Budget Summary I'!L27+'Budget Summary I'!N27+'Budget Summary I'!P27+'Budget Summary I'!R27+'Budget Summary I'!T27</f>
        <v>0</v>
      </c>
      <c r="G25" s="165">
        <f>'Budget Summary I'!U27+'Budget Summary I'!W27</f>
        <v>0</v>
      </c>
      <c r="H25" s="165">
        <f>'Budget Summary I'!V27+'Budget Summary I'!X27</f>
        <v>0</v>
      </c>
      <c r="I25" s="164">
        <f>'Budget Summary I'!Y27+'Budget Summary I'!AA27</f>
        <v>0</v>
      </c>
      <c r="J25" s="164">
        <f>'Budget Summary I'!Z27+'Budget Summary I'!AB27</f>
        <v>0</v>
      </c>
      <c r="K25" s="165">
        <f>'Budget Summary I'!AC27+'Budget Summary I'!AE27</f>
        <v>0</v>
      </c>
      <c r="L25" s="165">
        <f>'Budget Summary I'!AD27+'Budget Summary I'!AF27</f>
        <v>0</v>
      </c>
      <c r="M25" s="165">
        <f>'Budget Summary I'!AG27</f>
        <v>0</v>
      </c>
      <c r="N25" s="165">
        <f>'Budget Summary I'!AH27</f>
        <v>0</v>
      </c>
      <c r="O25" s="165">
        <f>'Budget Summary I'!AI27+'Budget Summary I'!AK27</f>
        <v>0</v>
      </c>
      <c r="P25" s="165">
        <f>'Budget Summary I'!AJ27+'Budget Summary I'!AL27</f>
        <v>0</v>
      </c>
      <c r="Q25" s="165">
        <f>'Budget Summary I'!AM27</f>
        <v>0</v>
      </c>
      <c r="R25" s="165">
        <f>'Budget Summary I'!AN27</f>
        <v>0</v>
      </c>
    </row>
    <row r="26" spans="1:18" ht="15">
      <c r="A26" s="4253"/>
      <c r="B26" s="296" t="s">
        <v>4712</v>
      </c>
      <c r="C26" s="300">
        <f t="shared" si="2"/>
        <v>16000</v>
      </c>
      <c r="D26" s="300">
        <f t="shared" si="2"/>
        <v>0</v>
      </c>
      <c r="E26" s="164">
        <f>'Budget Summary I'!E28+'Budget Summary I'!G28+'Budget Summary I'!I28+'Budget Summary I'!K28+'Budget Summary I'!M28+'Budget Summary I'!O28+'Budget Summary I'!Q28+'Budget Summary I'!S28</f>
        <v>0</v>
      </c>
      <c r="F26" s="164">
        <f>'Budget Summary I'!F28+'Budget Summary I'!H28+'Budget Summary I'!J28+'Budget Summary I'!L28+'Budget Summary I'!N28+'Budget Summary I'!P28+'Budget Summary I'!R28+'Budget Summary I'!T28</f>
        <v>0</v>
      </c>
      <c r="G26" s="165">
        <f>'Budget Summary I'!U28+'Budget Summary I'!W28</f>
        <v>0</v>
      </c>
      <c r="H26" s="165">
        <f>'Budget Summary I'!V28+'Budget Summary I'!X28</f>
        <v>0</v>
      </c>
      <c r="I26" s="164">
        <f>'Budget Summary I'!Y28+'Budget Summary I'!AA28</f>
        <v>16000</v>
      </c>
      <c r="J26" s="164">
        <f>'Budget Summary I'!Z28+'Budget Summary I'!AB28</f>
        <v>0</v>
      </c>
      <c r="K26" s="165">
        <f>'Budget Summary I'!AC28+'Budget Summary I'!AE28</f>
        <v>0</v>
      </c>
      <c r="L26" s="165">
        <f>'Budget Summary I'!AD28+'Budget Summary I'!AF28</f>
        <v>0</v>
      </c>
      <c r="M26" s="165">
        <f>'Budget Summary I'!AG28</f>
        <v>0</v>
      </c>
      <c r="N26" s="165">
        <f>'Budget Summary I'!AH28</f>
        <v>0</v>
      </c>
      <c r="O26" s="165">
        <f>'Budget Summary I'!AI28+'Budget Summary I'!AK28</f>
        <v>0</v>
      </c>
      <c r="P26" s="165">
        <f>'Budget Summary I'!AJ28+'Budget Summary I'!AL28</f>
        <v>0</v>
      </c>
      <c r="Q26" s="165">
        <f>'Budget Summary I'!AM28</f>
        <v>0</v>
      </c>
      <c r="R26" s="165">
        <f>'Budget Summary I'!AN28</f>
        <v>0</v>
      </c>
    </row>
    <row r="27" spans="1:18" ht="15">
      <c r="A27" s="4253"/>
      <c r="B27" s="296" t="s">
        <v>4696</v>
      </c>
      <c r="C27" s="300">
        <f t="shared" si="2"/>
        <v>7444.8819999999996</v>
      </c>
      <c r="D27" s="300">
        <f t="shared" si="2"/>
        <v>0</v>
      </c>
      <c r="E27" s="164">
        <f>'Budget Summary I'!E29+'Budget Summary I'!G29+'Budget Summary I'!I29+'Budget Summary I'!K29+'Budget Summary I'!M29+'Budget Summary I'!O29+'Budget Summary I'!Q29+'Budget Summary I'!S29</f>
        <v>20</v>
      </c>
      <c r="F27" s="164">
        <f>'Budget Summary I'!F29+'Budget Summary I'!H29+'Budget Summary I'!J29+'Budget Summary I'!L29+'Budget Summary I'!N29+'Budget Summary I'!P29+'Budget Summary I'!R29+'Budget Summary I'!T29</f>
        <v>0</v>
      </c>
      <c r="G27" s="165">
        <f>'Budget Summary I'!U29+'Budget Summary I'!W29</f>
        <v>0</v>
      </c>
      <c r="H27" s="165">
        <f>'Budget Summary I'!V29+'Budget Summary I'!X29</f>
        <v>0</v>
      </c>
      <c r="I27" s="164">
        <f>'Budget Summary I'!Y29+'Budget Summary I'!AA29</f>
        <v>7424.8819999999996</v>
      </c>
      <c r="J27" s="164">
        <f>'Budget Summary I'!Z29+'Budget Summary I'!AB29</f>
        <v>0</v>
      </c>
      <c r="K27" s="165">
        <f>'Budget Summary I'!AC29+'Budget Summary I'!AE29</f>
        <v>0</v>
      </c>
      <c r="L27" s="165">
        <f>'Budget Summary I'!AD29+'Budget Summary I'!AF29</f>
        <v>0</v>
      </c>
      <c r="M27" s="165">
        <f>'Budget Summary I'!AG29</f>
        <v>0</v>
      </c>
      <c r="N27" s="165">
        <f>'Budget Summary I'!AH29</f>
        <v>0</v>
      </c>
      <c r="O27" s="165">
        <f>'Budget Summary I'!AI29+'Budget Summary I'!AK29</f>
        <v>0</v>
      </c>
      <c r="P27" s="165">
        <f>'Budget Summary I'!AJ29+'Budget Summary I'!AL29</f>
        <v>0</v>
      </c>
      <c r="Q27" s="165">
        <f>'Budget Summary I'!AM29</f>
        <v>0</v>
      </c>
      <c r="R27" s="165">
        <f>'Budget Summary I'!AN29</f>
        <v>0</v>
      </c>
    </row>
    <row r="28" spans="1:18" ht="15">
      <c r="A28" s="4253"/>
      <c r="B28" s="296" t="s">
        <v>4697</v>
      </c>
      <c r="C28" s="300">
        <f t="shared" si="2"/>
        <v>81783.322999800002</v>
      </c>
      <c r="D28" s="300">
        <f>F28+H28+J28+L28+N28+P28+R28</f>
        <v>0</v>
      </c>
      <c r="E28" s="164">
        <f>'Budget Summary I'!E30+'Budget Summary I'!G30+'Budget Summary I'!I30+'Budget Summary I'!K30+'Budget Summary I'!M30+'Budget Summary I'!O30+'Budget Summary I'!Q30+'Budget Summary I'!S30</f>
        <v>0</v>
      </c>
      <c r="F28" s="164">
        <f>'Budget Summary I'!F30+'Budget Summary I'!H30+'Budget Summary I'!J30+'Budget Summary I'!L30+'Budget Summary I'!N30+'Budget Summary I'!P30+'Budget Summary I'!R30+'Budget Summary I'!T30</f>
        <v>0</v>
      </c>
      <c r="G28" s="165">
        <f>'Budget Summary I'!U30+'Budget Summary I'!W30</f>
        <v>0</v>
      </c>
      <c r="H28" s="165">
        <f>'Budget Summary I'!V30+'Budget Summary I'!X30</f>
        <v>0</v>
      </c>
      <c r="I28" s="164">
        <f>'Budget Summary I'!Y30+'Budget Summary I'!AA30</f>
        <v>0</v>
      </c>
      <c r="J28" s="164">
        <f>'Budget Summary I'!Z30+'Budget Summary I'!AB30</f>
        <v>0</v>
      </c>
      <c r="K28" s="165">
        <f>'Budget Summary I'!AC30+'Budget Summary I'!AE30</f>
        <v>81706.930999799995</v>
      </c>
      <c r="L28" s="165">
        <f>'Budget Summary I'!AD30+'Budget Summary I'!AF30</f>
        <v>0</v>
      </c>
      <c r="M28" s="165">
        <f>'Budget Summary I'!AG30</f>
        <v>0</v>
      </c>
      <c r="N28" s="165">
        <f>'Budget Summary I'!AH30</f>
        <v>0</v>
      </c>
      <c r="O28" s="165">
        <f>'Budget Summary I'!AI30+'Budget Summary I'!AK30</f>
        <v>76.391999999999996</v>
      </c>
      <c r="P28" s="165">
        <f>'Budget Summary I'!AJ30+'Budget Summary I'!AL30</f>
        <v>0</v>
      </c>
      <c r="Q28" s="165">
        <f>'Budget Summary I'!AM30</f>
        <v>0</v>
      </c>
      <c r="R28" s="165">
        <f>'Budget Summary I'!AN30</f>
        <v>0</v>
      </c>
    </row>
    <row r="29" spans="1:18" ht="15">
      <c r="A29" s="4253"/>
      <c r="B29" s="296" t="s">
        <v>742</v>
      </c>
      <c r="C29" s="300">
        <f t="shared" si="2"/>
        <v>0</v>
      </c>
      <c r="D29" s="300">
        <f t="shared" si="2"/>
        <v>0</v>
      </c>
      <c r="E29" s="164">
        <f>'Budget Summary I'!E31+'Budget Summary I'!G31+'Budget Summary I'!I31+'Budget Summary I'!K31+'Budget Summary I'!M31+'Budget Summary I'!O31+'Budget Summary I'!Q31+'Budget Summary I'!S31</f>
        <v>0</v>
      </c>
      <c r="F29" s="164">
        <f>'Budget Summary I'!F31+'Budget Summary I'!H31+'Budget Summary I'!J31+'Budget Summary I'!L31+'Budget Summary I'!N31+'Budget Summary I'!P31+'Budget Summary I'!R31+'Budget Summary I'!T31</f>
        <v>0</v>
      </c>
      <c r="G29" s="165">
        <f>'Budget Summary I'!U31+'Budget Summary I'!W31</f>
        <v>0</v>
      </c>
      <c r="H29" s="165">
        <f>'Budget Summary I'!V31+'Budget Summary I'!X31</f>
        <v>0</v>
      </c>
      <c r="I29" s="164">
        <f>'Budget Summary I'!Y31+'Budget Summary I'!AA31</f>
        <v>0</v>
      </c>
      <c r="J29" s="164">
        <f>'Budget Summary I'!Z31+'Budget Summary I'!AB31</f>
        <v>0</v>
      </c>
      <c r="K29" s="165">
        <f>'Budget Summary I'!AC31+'Budget Summary I'!AE31</f>
        <v>0</v>
      </c>
      <c r="L29" s="165">
        <f>'Budget Summary I'!AD31+'Budget Summary I'!AF31</f>
        <v>0</v>
      </c>
      <c r="M29" s="165">
        <f>'Budget Summary I'!AG31</f>
        <v>0</v>
      </c>
      <c r="N29" s="165">
        <f>'Budget Summary I'!AH31</f>
        <v>0</v>
      </c>
      <c r="O29" s="165">
        <f>'Budget Summary I'!AI31+'Budget Summary I'!AK31</f>
        <v>0</v>
      </c>
      <c r="P29" s="165">
        <f>'Budget Summary I'!AJ31+'Budget Summary I'!AL31</f>
        <v>0</v>
      </c>
      <c r="Q29" s="165">
        <f>'Budget Summary I'!AM31</f>
        <v>0</v>
      </c>
      <c r="R29" s="165">
        <f>'Budget Summary I'!AN31</f>
        <v>0</v>
      </c>
    </row>
    <row r="30" spans="1:18" ht="15">
      <c r="A30" s="4253"/>
      <c r="B30" s="296" t="s">
        <v>34</v>
      </c>
      <c r="C30" s="300">
        <f t="shared" si="2"/>
        <v>21337.704000000002</v>
      </c>
      <c r="D30" s="300">
        <f t="shared" si="2"/>
        <v>0</v>
      </c>
      <c r="E30" s="164">
        <f>'Budget Summary I'!E32+'Budget Summary I'!G32+'Budget Summary I'!I32+'Budget Summary I'!K32+'Budget Summary I'!M32+'Budget Summary I'!O32+'Budget Summary I'!Q32+'Budget Summary I'!S32</f>
        <v>0</v>
      </c>
      <c r="F30" s="164">
        <f>'Budget Summary I'!F32+'Budget Summary I'!H32+'Budget Summary I'!J32+'Budget Summary I'!L32+'Budget Summary I'!N32+'Budget Summary I'!P32+'Budget Summary I'!R32+'Budget Summary I'!T32</f>
        <v>0</v>
      </c>
      <c r="G30" s="165">
        <f>'Budget Summary I'!U32+'Budget Summary I'!W32</f>
        <v>0</v>
      </c>
      <c r="H30" s="165">
        <f>'Budget Summary I'!V32+'Budget Summary I'!X32</f>
        <v>0</v>
      </c>
      <c r="I30" s="164">
        <f>'Budget Summary I'!Y32+'Budget Summary I'!AA32</f>
        <v>0</v>
      </c>
      <c r="J30" s="164">
        <f>'Budget Summary I'!Z32+'Budget Summary I'!AB32</f>
        <v>0</v>
      </c>
      <c r="K30" s="165">
        <f>'Budget Summary I'!AC32+'Budget Summary I'!AE32</f>
        <v>0</v>
      </c>
      <c r="L30" s="165">
        <f>'Budget Summary I'!AD32+'Budget Summary I'!AF32</f>
        <v>0</v>
      </c>
      <c r="M30" s="165">
        <f>'Budget Summary I'!AG32</f>
        <v>21337.704000000002</v>
      </c>
      <c r="N30" s="165">
        <f>'Budget Summary I'!AH32</f>
        <v>0</v>
      </c>
      <c r="O30" s="165">
        <f>'Budget Summary I'!AI32+'Budget Summary I'!AK32</f>
        <v>0</v>
      </c>
      <c r="P30" s="165">
        <f>'Budget Summary I'!AJ32+'Budget Summary I'!AL32</f>
        <v>0</v>
      </c>
      <c r="Q30" s="165">
        <f>'Budget Summary I'!AM32</f>
        <v>0</v>
      </c>
      <c r="R30" s="165">
        <f>'Budget Summary I'!AN32</f>
        <v>0</v>
      </c>
    </row>
    <row r="31" spans="1:18" ht="15">
      <c r="A31" s="4253"/>
      <c r="B31" s="296" t="s">
        <v>3116</v>
      </c>
      <c r="C31" s="300">
        <f t="shared" si="2"/>
        <v>656.05600000000004</v>
      </c>
      <c r="D31" s="300">
        <f t="shared" si="2"/>
        <v>0</v>
      </c>
      <c r="E31" s="164">
        <f>'Budget Summary I'!E33+'Budget Summary I'!G33+'Budget Summary I'!I33+'Budget Summary I'!K33+'Budget Summary I'!M33+'Budget Summary I'!O33+'Budget Summary I'!Q33+'Budget Summary I'!S33</f>
        <v>0</v>
      </c>
      <c r="F31" s="164">
        <f>'Budget Summary I'!F33+'Budget Summary I'!H33+'Budget Summary I'!J33+'Budget Summary I'!L33+'Budget Summary I'!N33+'Budget Summary I'!P33+'Budget Summary I'!R33+'Budget Summary I'!T33</f>
        <v>0</v>
      </c>
      <c r="G31" s="165">
        <f>'Budget Summary I'!U33+'Budget Summary I'!W33</f>
        <v>0</v>
      </c>
      <c r="H31" s="165">
        <f>'Budget Summary I'!V33+'Budget Summary I'!X33</f>
        <v>0</v>
      </c>
      <c r="I31" s="164">
        <f>'Budget Summary I'!Y33+'Budget Summary I'!AA33</f>
        <v>0</v>
      </c>
      <c r="J31" s="164">
        <f>'Budget Summary I'!Z33+'Budget Summary I'!AB33</f>
        <v>0</v>
      </c>
      <c r="K31" s="165">
        <f>'Budget Summary I'!AC33+'Budget Summary I'!AE33</f>
        <v>0</v>
      </c>
      <c r="L31" s="165">
        <f>'Budget Summary I'!AD33+'Budget Summary I'!AF33</f>
        <v>0</v>
      </c>
      <c r="M31" s="165">
        <f>'Budget Summary I'!AG33</f>
        <v>0</v>
      </c>
      <c r="N31" s="165">
        <f>'Budget Summary I'!AH33</f>
        <v>0</v>
      </c>
      <c r="O31" s="165">
        <f>'Budget Summary I'!AI33+'Budget Summary I'!AK33</f>
        <v>0</v>
      </c>
      <c r="P31" s="165">
        <f>'Budget Summary I'!AJ33+'Budget Summary I'!AL33</f>
        <v>0</v>
      </c>
      <c r="Q31" s="165">
        <f>'Budget Summary I'!AM33</f>
        <v>656.05600000000004</v>
      </c>
      <c r="R31" s="165">
        <f>'Budget Summary I'!AN33</f>
        <v>0</v>
      </c>
    </row>
    <row r="32" spans="1:18" ht="15">
      <c r="A32" s="4253"/>
      <c r="B32" s="296" t="s">
        <v>2379</v>
      </c>
      <c r="C32" s="300">
        <f t="shared" si="2"/>
        <v>6562.3012799999997</v>
      </c>
      <c r="D32" s="300">
        <f t="shared" si="2"/>
        <v>0</v>
      </c>
      <c r="E32" s="164">
        <f>'Budget Summary I'!E34+'Budget Summary I'!G34+'Budget Summary I'!I34+'Budget Summary I'!K34+'Budget Summary I'!M34+'Budget Summary I'!O34+'Budget Summary I'!Q34+'Budget Summary I'!S34</f>
        <v>15.120000000000001</v>
      </c>
      <c r="F32" s="164">
        <f>'Budget Summary I'!F34+'Budget Summary I'!H34+'Budget Summary I'!J34+'Budget Summary I'!L34+'Budget Summary I'!N34+'Budget Summary I'!P34+'Budget Summary I'!R34+'Budget Summary I'!T34</f>
        <v>0</v>
      </c>
      <c r="G32" s="165">
        <f>'Budget Summary I'!U34+'Budget Summary I'!W34</f>
        <v>0</v>
      </c>
      <c r="H32" s="165">
        <f>'Budget Summary I'!V34+'Budget Summary I'!X34</f>
        <v>0</v>
      </c>
      <c r="I32" s="164">
        <f>'Budget Summary I'!Y34+'Budget Summary I'!AA34</f>
        <v>211.14</v>
      </c>
      <c r="J32" s="164">
        <f>'Budget Summary I'!Z34+'Budget Summary I'!AB34</f>
        <v>0</v>
      </c>
      <c r="K32" s="165">
        <f>'Budget Summary I'!AC34+'Budget Summary I'!AE34</f>
        <v>1025.4760000000001</v>
      </c>
      <c r="L32" s="165">
        <f>'Budget Summary I'!AD34+'Budget Summary I'!AF34</f>
        <v>0</v>
      </c>
      <c r="M32" s="165">
        <f>'Budget Summary I'!AG34</f>
        <v>3029.9084000000003</v>
      </c>
      <c r="N32" s="165">
        <f>'Budget Summary I'!AH34</f>
        <v>0</v>
      </c>
      <c r="O32" s="165">
        <f>'Budget Summary I'!AI34+'Budget Summary I'!AK34</f>
        <v>2280.65688</v>
      </c>
      <c r="P32" s="165">
        <f>'Budget Summary I'!AJ34+'Budget Summary I'!AL34</f>
        <v>0</v>
      </c>
      <c r="Q32" s="165">
        <f>'Budget Summary I'!AM34</f>
        <v>0</v>
      </c>
      <c r="R32" s="165">
        <f>'Budget Summary I'!AN34</f>
        <v>0</v>
      </c>
    </row>
    <row r="33" spans="1:18" ht="15">
      <c r="A33" s="4253"/>
      <c r="B33" s="296" t="s">
        <v>3845</v>
      </c>
      <c r="C33" s="300">
        <f t="shared" si="2"/>
        <v>317.90999999999997</v>
      </c>
      <c r="D33" s="300">
        <f t="shared" si="2"/>
        <v>0</v>
      </c>
      <c r="E33" s="164">
        <f>'Budget Summary I'!E35+'Budget Summary I'!G35+'Budget Summary I'!I35+'Budget Summary I'!K35+'Budget Summary I'!M35+'Budget Summary I'!O35+'Budget Summary I'!Q35+'Budget Summary I'!S35</f>
        <v>71</v>
      </c>
      <c r="F33" s="164">
        <f>'Budget Summary I'!F35+'Budget Summary I'!H35+'Budget Summary I'!J35+'Budget Summary I'!L35+'Budget Summary I'!N35+'Budget Summary I'!P35+'Budget Summary I'!R35+'Budget Summary I'!T35</f>
        <v>0</v>
      </c>
      <c r="G33" s="165">
        <f>'Budget Summary I'!U35+'Budget Summary I'!W35</f>
        <v>0</v>
      </c>
      <c r="H33" s="165">
        <f>'Budget Summary I'!V35+'Budget Summary I'!X35</f>
        <v>0</v>
      </c>
      <c r="I33" s="164">
        <f>'Budget Summary I'!Y35+'Budget Summary I'!AA35</f>
        <v>186.95</v>
      </c>
      <c r="J33" s="164">
        <f>'Budget Summary I'!Z35+'Budget Summary I'!AB35</f>
        <v>0</v>
      </c>
      <c r="K33" s="165">
        <f>'Budget Summary I'!AC35+'Budget Summary I'!AE35</f>
        <v>47.5</v>
      </c>
      <c r="L33" s="165">
        <f>'Budget Summary I'!AD35+'Budget Summary I'!AF35</f>
        <v>0</v>
      </c>
      <c r="M33" s="165">
        <f>'Budget Summary I'!AG35</f>
        <v>0</v>
      </c>
      <c r="N33" s="165">
        <f>'Budget Summary I'!AH35</f>
        <v>0</v>
      </c>
      <c r="O33" s="165">
        <f>'Budget Summary I'!AI35+'Budget Summary I'!AK35</f>
        <v>12.46</v>
      </c>
      <c r="P33" s="165">
        <f>'Budget Summary I'!AJ35+'Budget Summary I'!AL35</f>
        <v>0</v>
      </c>
      <c r="Q33" s="165">
        <f>'Budget Summary I'!AM35</f>
        <v>0</v>
      </c>
      <c r="R33" s="165">
        <f>'Budget Summary I'!AN35</f>
        <v>0</v>
      </c>
    </row>
    <row r="34" spans="1:18" ht="15">
      <c r="A34" s="4253"/>
      <c r="B34" s="296" t="s">
        <v>3847</v>
      </c>
      <c r="C34" s="300">
        <f t="shared" si="2"/>
        <v>0</v>
      </c>
      <c r="D34" s="300">
        <f t="shared" si="2"/>
        <v>0</v>
      </c>
      <c r="E34" s="164">
        <f>'Budget Summary I'!E36+'Budget Summary I'!G36+'Budget Summary I'!I36+'Budget Summary I'!K36+'Budget Summary I'!M36+'Budget Summary I'!O36+'Budget Summary I'!Q36+'Budget Summary I'!S36</f>
        <v>0</v>
      </c>
      <c r="F34" s="164">
        <f>'Budget Summary I'!F36+'Budget Summary I'!H36+'Budget Summary I'!J36+'Budget Summary I'!L36+'Budget Summary I'!N36+'Budget Summary I'!P36+'Budget Summary I'!R36+'Budget Summary I'!T36</f>
        <v>0</v>
      </c>
      <c r="G34" s="165">
        <f>'Budget Summary I'!U36+'Budget Summary I'!W36</f>
        <v>0</v>
      </c>
      <c r="H34" s="165">
        <f>'Budget Summary I'!V36+'Budget Summary I'!X36</f>
        <v>0</v>
      </c>
      <c r="I34" s="164">
        <f>'Budget Summary I'!Y36+'Budget Summary I'!AA36</f>
        <v>0</v>
      </c>
      <c r="J34" s="164">
        <f>'Budget Summary I'!Z36+'Budget Summary I'!AB36</f>
        <v>0</v>
      </c>
      <c r="K34" s="165">
        <f>'Budget Summary I'!AC36+'Budget Summary I'!AE36</f>
        <v>0</v>
      </c>
      <c r="L34" s="165">
        <f>'Budget Summary I'!AD36+'Budget Summary I'!AF36</f>
        <v>0</v>
      </c>
      <c r="M34" s="165">
        <f>'Budget Summary I'!AG36</f>
        <v>0</v>
      </c>
      <c r="N34" s="165">
        <f>'Budget Summary I'!AH36</f>
        <v>0</v>
      </c>
      <c r="O34" s="165">
        <f>'Budget Summary I'!AI36+'Budget Summary I'!AK36</f>
        <v>0</v>
      </c>
      <c r="P34" s="165">
        <f>'Budget Summary I'!AJ36+'Budget Summary I'!AL36</f>
        <v>0</v>
      </c>
      <c r="Q34" s="165">
        <f>'Budget Summary I'!AM36</f>
        <v>0</v>
      </c>
      <c r="R34" s="165">
        <f>'Budget Summary I'!AN36</f>
        <v>0</v>
      </c>
    </row>
    <row r="35" spans="1:18" ht="15">
      <c r="A35" s="4253"/>
      <c r="B35" s="296" t="s">
        <v>4725</v>
      </c>
      <c r="C35" s="300">
        <f t="shared" si="2"/>
        <v>15307.55080854</v>
      </c>
      <c r="D35" s="300">
        <f t="shared" si="2"/>
        <v>0</v>
      </c>
      <c r="E35" s="164">
        <f>'Budget Summary I'!E37+'Budget Summary I'!G37+'Budget Summary I'!I37+'Budget Summary I'!K37+'Budget Summary I'!M37+'Budget Summary I'!O37+'Budget Summary I'!Q37+'Budget Summary I'!S37</f>
        <v>838.87983748700003</v>
      </c>
      <c r="F35" s="164">
        <f>'Budget Summary I'!F37+'Budget Summary I'!H37+'Budget Summary I'!J37+'Budget Summary I'!L37+'Budget Summary I'!N37+'Budget Summary I'!P37+'Budget Summary I'!R37+'Budget Summary I'!T37</f>
        <v>0</v>
      </c>
      <c r="G35" s="165">
        <f>'Budget Summary I'!U37+'Budget Summary I'!W37</f>
        <v>0</v>
      </c>
      <c r="H35" s="165">
        <f>'Budget Summary I'!V37+'Budget Summary I'!X37</f>
        <v>0</v>
      </c>
      <c r="I35" s="164">
        <f>'Budget Summary I'!Y37+'Budget Summary I'!AA37</f>
        <v>4590.1239612999998</v>
      </c>
      <c r="J35" s="164">
        <f>'Budget Summary I'!Z37+'Budget Summary I'!AB37</f>
        <v>0</v>
      </c>
      <c r="K35" s="165">
        <f>'Budget Summary I'!AC37+'Budget Summary I'!AE37</f>
        <v>892.63236999999992</v>
      </c>
      <c r="L35" s="165">
        <f>'Budget Summary I'!AD37+'Budget Summary I'!AF37</f>
        <v>0</v>
      </c>
      <c r="M35" s="165">
        <f>'Budget Summary I'!AG37</f>
        <v>0</v>
      </c>
      <c r="N35" s="165">
        <f>'Budget Summary I'!AH37</f>
        <v>0</v>
      </c>
      <c r="O35" s="165">
        <f>'Budget Summary I'!AI37+'Budget Summary I'!AK37</f>
        <v>8985.9146397530003</v>
      </c>
      <c r="P35" s="165">
        <f>'Budget Summary I'!AJ37+'Budget Summary I'!AL37</f>
        <v>0</v>
      </c>
      <c r="Q35" s="165">
        <f>'Budget Summary I'!AM37</f>
        <v>0</v>
      </c>
      <c r="R35" s="165">
        <f>'Budget Summary I'!AN37</f>
        <v>0</v>
      </c>
    </row>
    <row r="36" spans="1:18" ht="15">
      <c r="A36" s="4253" t="s">
        <v>4681</v>
      </c>
      <c r="B36" s="296" t="s">
        <v>3872</v>
      </c>
      <c r="C36" s="300">
        <f t="shared" si="2"/>
        <v>46.108000000000004</v>
      </c>
      <c r="D36" s="300">
        <f t="shared" si="2"/>
        <v>0</v>
      </c>
      <c r="E36" s="164">
        <f>'Budget Summary I'!E38+'Budget Summary I'!G38+'Budget Summary I'!I38+'Budget Summary I'!K38+'Budget Summary I'!M38+'Budget Summary I'!O38+'Budget Summary I'!Q38+'Budget Summary I'!S38</f>
        <v>3.8000000000000003</v>
      </c>
      <c r="F36" s="164">
        <f>'Budget Summary I'!F38+'Budget Summary I'!H38+'Budget Summary I'!J38+'Budget Summary I'!L38+'Budget Summary I'!N38+'Budget Summary I'!P38+'Budget Summary I'!R38+'Budget Summary I'!T38</f>
        <v>0</v>
      </c>
      <c r="G36" s="165">
        <f>'Budget Summary I'!U38+'Budget Summary I'!W38</f>
        <v>0</v>
      </c>
      <c r="H36" s="165">
        <f>'Budget Summary I'!V38+'Budget Summary I'!X38</f>
        <v>0</v>
      </c>
      <c r="I36" s="164">
        <f>'Budget Summary I'!Y38+'Budget Summary I'!AA38</f>
        <v>0</v>
      </c>
      <c r="J36" s="164">
        <f>'Budget Summary I'!Z38+'Budget Summary I'!AB38</f>
        <v>0</v>
      </c>
      <c r="K36" s="165">
        <f>'Budget Summary I'!AC38+'Budget Summary I'!AE38</f>
        <v>20.808</v>
      </c>
      <c r="L36" s="165">
        <f>'Budget Summary I'!AD38+'Budget Summary I'!AF38</f>
        <v>0</v>
      </c>
      <c r="M36" s="165">
        <f>'Budget Summary I'!AG38</f>
        <v>0</v>
      </c>
      <c r="N36" s="165">
        <f>'Budget Summary I'!AH38</f>
        <v>0</v>
      </c>
      <c r="O36" s="165">
        <f>'Budget Summary I'!AI38+'Budget Summary I'!AK38</f>
        <v>21.5</v>
      </c>
      <c r="P36" s="165">
        <f>'Budget Summary I'!AJ38+'Budget Summary I'!AL38</f>
        <v>0</v>
      </c>
      <c r="Q36" s="165">
        <f>'Budget Summary I'!AM38</f>
        <v>0</v>
      </c>
      <c r="R36" s="165">
        <f>'Budget Summary I'!AN38</f>
        <v>0</v>
      </c>
    </row>
    <row r="37" spans="1:18" ht="15">
      <c r="A37" s="4253"/>
      <c r="B37" s="296" t="s">
        <v>3873</v>
      </c>
      <c r="C37" s="300">
        <f t="shared" si="2"/>
        <v>8654.3667040000018</v>
      </c>
      <c r="D37" s="300">
        <f t="shared" si="2"/>
        <v>0</v>
      </c>
      <c r="E37" s="164">
        <f>'Budget Summary I'!E39+'Budget Summary I'!G39+'Budget Summary I'!I39+'Budget Summary I'!K39+'Budget Summary I'!M39+'Budget Summary I'!O39+'Budget Summary I'!Q39+'Budget Summary I'!S39</f>
        <v>7618.4891000000007</v>
      </c>
      <c r="F37" s="164">
        <f>'Budget Summary I'!F39+'Budget Summary I'!H39+'Budget Summary I'!J39+'Budget Summary I'!L39+'Budget Summary I'!N39+'Budget Summary I'!P39+'Budget Summary I'!R39+'Budget Summary I'!T39</f>
        <v>0</v>
      </c>
      <c r="G37" s="165">
        <f>'Budget Summary I'!U39+'Budget Summary I'!W39</f>
        <v>8.6301799999999993</v>
      </c>
      <c r="H37" s="165">
        <f>'Budget Summary I'!V39+'Budget Summary I'!X39</f>
        <v>0</v>
      </c>
      <c r="I37" s="164">
        <f>'Budget Summary I'!Y39+'Budget Summary I'!AA39</f>
        <v>145.10816400000002</v>
      </c>
      <c r="J37" s="164">
        <f>'Budget Summary I'!Z39+'Budget Summary I'!AB39</f>
        <v>0</v>
      </c>
      <c r="K37" s="165">
        <f>'Budget Summary I'!AC39+'Budget Summary I'!AE39</f>
        <v>656.40329999999994</v>
      </c>
      <c r="L37" s="165">
        <f>'Budget Summary I'!AD39+'Budget Summary I'!AF39</f>
        <v>0</v>
      </c>
      <c r="M37" s="165">
        <f>'Budget Summary I'!AG39</f>
        <v>0</v>
      </c>
      <c r="N37" s="165">
        <f>'Budget Summary I'!AH39</f>
        <v>0</v>
      </c>
      <c r="O37" s="165">
        <f>'Budget Summary I'!AI39+'Budget Summary I'!AK39</f>
        <v>225.73596000000001</v>
      </c>
      <c r="P37" s="165">
        <f>'Budget Summary I'!AJ39+'Budget Summary I'!AL39</f>
        <v>0</v>
      </c>
      <c r="Q37" s="165">
        <f>'Budget Summary I'!AM39</f>
        <v>0</v>
      </c>
      <c r="R37" s="165">
        <f>'Budget Summary I'!AN39</f>
        <v>0</v>
      </c>
    </row>
    <row r="38" spans="1:18" ht="15">
      <c r="A38" s="4253"/>
      <c r="B38" s="296" t="s">
        <v>3874</v>
      </c>
      <c r="C38" s="300">
        <f t="shared" si="2"/>
        <v>2449.1824399999996</v>
      </c>
      <c r="D38" s="300">
        <f t="shared" si="2"/>
        <v>0</v>
      </c>
      <c r="E38" s="164">
        <f>'Budget Summary I'!E40+'Budget Summary I'!G40+'Budget Summary I'!I40+'Budget Summary I'!K40+'Budget Summary I'!M40+'Budget Summary I'!O40+'Budget Summary I'!Q40+'Budget Summary I'!S40</f>
        <v>2274.0624399999997</v>
      </c>
      <c r="F38" s="164">
        <f>'Budget Summary I'!F40+'Budget Summary I'!H40+'Budget Summary I'!J40+'Budget Summary I'!L40+'Budget Summary I'!N40+'Budget Summary I'!P40+'Budget Summary I'!R40+'Budget Summary I'!T40</f>
        <v>0</v>
      </c>
      <c r="G38" s="165">
        <f>'Budget Summary I'!U40+'Budget Summary I'!W40</f>
        <v>0</v>
      </c>
      <c r="H38" s="165">
        <f>'Budget Summary I'!V40+'Budget Summary I'!X40</f>
        <v>0</v>
      </c>
      <c r="I38" s="164">
        <f>'Budget Summary I'!Y40+'Budget Summary I'!AA40</f>
        <v>126.35</v>
      </c>
      <c r="J38" s="164">
        <f>'Budget Summary I'!Z40+'Budget Summary I'!AB40</f>
        <v>0</v>
      </c>
      <c r="K38" s="165">
        <f>'Budget Summary I'!AC40+'Budget Summary I'!AE40</f>
        <v>48.77</v>
      </c>
      <c r="L38" s="165">
        <f>'Budget Summary I'!AD40+'Budget Summary I'!AF40</f>
        <v>0</v>
      </c>
      <c r="M38" s="165">
        <f>'Budget Summary I'!AG40</f>
        <v>0</v>
      </c>
      <c r="N38" s="165">
        <f>'Budget Summary I'!AH40</f>
        <v>0</v>
      </c>
      <c r="O38" s="165">
        <f>'Budget Summary I'!AI40+'Budget Summary I'!AK40</f>
        <v>0</v>
      </c>
      <c r="P38" s="165">
        <f>'Budget Summary I'!AJ40+'Budget Summary I'!AL40</f>
        <v>0</v>
      </c>
      <c r="Q38" s="165">
        <f>'Budget Summary I'!AM40</f>
        <v>0</v>
      </c>
      <c r="R38" s="165">
        <f>'Budget Summary I'!AN40</f>
        <v>0</v>
      </c>
    </row>
    <row r="39" spans="1:18" ht="15">
      <c r="A39" s="4253"/>
      <c r="B39" s="296" t="s">
        <v>4619</v>
      </c>
      <c r="C39" s="300">
        <f t="shared" si="2"/>
        <v>10919.386639999999</v>
      </c>
      <c r="D39" s="300">
        <f>F39+H39+J39+L39+N39+P39+R39</f>
        <v>0</v>
      </c>
      <c r="E39" s="164">
        <f>'Budget Summary I'!E41+'Budget Summary I'!G41+'Budget Summary I'!I41+'Budget Summary I'!K41+'Budget Summary I'!M41+'Budget Summary I'!O41+'Budget Summary I'!Q41+'Budget Summary I'!S41</f>
        <v>6035.7066400000003</v>
      </c>
      <c r="F39" s="164">
        <f>'Budget Summary I'!F41+'Budget Summary I'!H41+'Budget Summary I'!J41+'Budget Summary I'!L41+'Budget Summary I'!N41+'Budget Summary I'!P41+'Budget Summary I'!R41+'Budget Summary I'!T41</f>
        <v>0</v>
      </c>
      <c r="G39" s="165">
        <f>'Budget Summary I'!U41+'Budget Summary I'!W41</f>
        <v>2756.9</v>
      </c>
      <c r="H39" s="165">
        <f>'Budget Summary I'!V41+'Budget Summary I'!X41</f>
        <v>0</v>
      </c>
      <c r="I39" s="164">
        <f>'Budget Summary I'!Y41+'Budget Summary I'!AA41</f>
        <v>1884.06</v>
      </c>
      <c r="J39" s="164">
        <f>'Budget Summary I'!Z41+'Budget Summary I'!AB41</f>
        <v>0</v>
      </c>
      <c r="K39" s="165">
        <f>'Budget Summary I'!AC41+'Budget Summary I'!AE41</f>
        <v>223.42</v>
      </c>
      <c r="L39" s="165">
        <f>'Budget Summary I'!AD41+'Budget Summary I'!AF41</f>
        <v>0</v>
      </c>
      <c r="M39" s="165">
        <f>'Budget Summary I'!AG41</f>
        <v>0</v>
      </c>
      <c r="N39" s="165">
        <f>'Budget Summary I'!AH41</f>
        <v>0</v>
      </c>
      <c r="O39" s="165">
        <f>'Budget Summary I'!AI41+'Budget Summary I'!AK41</f>
        <v>19.3</v>
      </c>
      <c r="P39" s="165">
        <f>'Budget Summary I'!AJ41+'Budget Summary I'!AL41</f>
        <v>0</v>
      </c>
      <c r="Q39" s="165">
        <f>'Budget Summary I'!AM41</f>
        <v>0</v>
      </c>
      <c r="R39" s="165">
        <f>'Budget Summary I'!AN41</f>
        <v>0</v>
      </c>
    </row>
    <row r="40" spans="1:18" ht="15">
      <c r="A40" s="4253"/>
      <c r="B40" s="296" t="s">
        <v>3875</v>
      </c>
      <c r="C40" s="300">
        <f t="shared" si="2"/>
        <v>473.11765000000003</v>
      </c>
      <c r="D40" s="300">
        <f t="shared" si="2"/>
        <v>0</v>
      </c>
      <c r="E40" s="164">
        <f>'Budget Summary I'!E42+'Budget Summary I'!G42+'Budget Summary I'!I42+'Budget Summary I'!K42+'Budget Summary I'!M42+'Budget Summary I'!O42+'Budget Summary I'!Q42+'Budget Summary I'!S42</f>
        <v>66.66</v>
      </c>
      <c r="F40" s="164">
        <f>'Budget Summary I'!F42+'Budget Summary I'!H42+'Budget Summary I'!J42+'Budget Summary I'!L42+'Budget Summary I'!N42+'Budget Summary I'!P42+'Budget Summary I'!R42+'Budget Summary I'!T42</f>
        <v>0</v>
      </c>
      <c r="G40" s="165">
        <f>'Budget Summary I'!U42+'Budget Summary I'!W42</f>
        <v>0</v>
      </c>
      <c r="H40" s="165">
        <f>'Budget Summary I'!V42+'Budget Summary I'!X42</f>
        <v>0</v>
      </c>
      <c r="I40" s="164">
        <f>'Budget Summary I'!Y42+'Budget Summary I'!AA42</f>
        <v>392.45765</v>
      </c>
      <c r="J40" s="164">
        <f>'Budget Summary I'!Z42+'Budget Summary I'!AB42</f>
        <v>0</v>
      </c>
      <c r="K40" s="165">
        <f>'Budget Summary I'!AC42+'Budget Summary I'!AE42</f>
        <v>14</v>
      </c>
      <c r="L40" s="165">
        <f>'Budget Summary I'!AD42+'Budget Summary I'!AF42</f>
        <v>0</v>
      </c>
      <c r="M40" s="165">
        <f>'Budget Summary I'!AG42</f>
        <v>0</v>
      </c>
      <c r="N40" s="165">
        <f>'Budget Summary I'!AH42</f>
        <v>0</v>
      </c>
      <c r="O40" s="165">
        <f>'Budget Summary I'!AI42+'Budget Summary I'!AK42</f>
        <v>0</v>
      </c>
      <c r="P40" s="165">
        <f>'Budget Summary I'!AJ42+'Budget Summary I'!AL42</f>
        <v>0</v>
      </c>
      <c r="Q40" s="165">
        <f>'Budget Summary I'!AM42</f>
        <v>0</v>
      </c>
      <c r="R40" s="165">
        <f>'Budget Summary I'!AN42</f>
        <v>0</v>
      </c>
    </row>
    <row r="41" spans="1:18" ht="15">
      <c r="A41" s="4253"/>
      <c r="B41" s="296" t="s">
        <v>3893</v>
      </c>
      <c r="C41" s="300">
        <f t="shared" si="2"/>
        <v>205.93600000000001</v>
      </c>
      <c r="D41" s="300">
        <f t="shared" si="2"/>
        <v>0</v>
      </c>
      <c r="E41" s="164">
        <f>'Budget Summary I'!E43+'Budget Summary I'!G43+'Budget Summary I'!I43+'Budget Summary I'!K43+'Budget Summary I'!M43+'Budget Summary I'!O43+'Budget Summary I'!Q43+'Budget Summary I'!S43</f>
        <v>3.8000000000000003</v>
      </c>
      <c r="F41" s="164">
        <f>'Budget Summary I'!F43+'Budget Summary I'!H43+'Budget Summary I'!J43+'Budget Summary I'!L43+'Budget Summary I'!N43+'Budget Summary I'!P43+'Budget Summary I'!R43+'Budget Summary I'!T43</f>
        <v>0</v>
      </c>
      <c r="G41" s="165">
        <f>'Budget Summary I'!U43+'Budget Summary I'!W43</f>
        <v>0</v>
      </c>
      <c r="H41" s="165">
        <f>'Budget Summary I'!V43+'Budget Summary I'!X43</f>
        <v>0</v>
      </c>
      <c r="I41" s="164">
        <f>'Budget Summary I'!Y43+'Budget Summary I'!AA43</f>
        <v>200</v>
      </c>
      <c r="J41" s="164">
        <f>'Budget Summary I'!Z43+'Budget Summary I'!AB43</f>
        <v>0</v>
      </c>
      <c r="K41" s="165">
        <f>'Budget Summary I'!AC43+'Budget Summary I'!AE43</f>
        <v>2.1360000000000001</v>
      </c>
      <c r="L41" s="165">
        <f>'Budget Summary I'!AD43+'Budget Summary I'!AF43</f>
        <v>0</v>
      </c>
      <c r="M41" s="165">
        <f>'Budget Summary I'!AG43</f>
        <v>0</v>
      </c>
      <c r="N41" s="165">
        <f>'Budget Summary I'!AH43</f>
        <v>0</v>
      </c>
      <c r="O41" s="165">
        <f>'Budget Summary I'!AI43+'Budget Summary I'!AK43</f>
        <v>0</v>
      </c>
      <c r="P41" s="165">
        <f>'Budget Summary I'!AJ43+'Budget Summary I'!AL43</f>
        <v>0</v>
      </c>
      <c r="Q41" s="165">
        <f>'Budget Summary I'!AM43</f>
        <v>0</v>
      </c>
      <c r="R41" s="165">
        <f>'Budget Summary I'!AN43</f>
        <v>0</v>
      </c>
    </row>
    <row r="42" spans="1:18" ht="15">
      <c r="A42" s="4253"/>
      <c r="B42" s="296" t="s">
        <v>4687</v>
      </c>
      <c r="C42" s="300">
        <f t="shared" si="2"/>
        <v>0</v>
      </c>
      <c r="D42" s="300">
        <f t="shared" si="2"/>
        <v>0</v>
      </c>
      <c r="E42" s="164">
        <f>'Budget Summary I'!E44+'Budget Summary I'!G44+'Budget Summary I'!I44+'Budget Summary I'!K44+'Budget Summary I'!M44+'Budget Summary I'!O44+'Budget Summary I'!Q44+'Budget Summary I'!S44</f>
        <v>0</v>
      </c>
      <c r="F42" s="164">
        <f>'Budget Summary I'!F44+'Budget Summary I'!H44+'Budget Summary I'!J44+'Budget Summary I'!L44+'Budget Summary I'!N44+'Budget Summary I'!P44+'Budget Summary I'!R44+'Budget Summary I'!T44</f>
        <v>0</v>
      </c>
      <c r="G42" s="165">
        <f>'Budget Summary I'!U44+'Budget Summary I'!W44</f>
        <v>0</v>
      </c>
      <c r="H42" s="165">
        <f>'Budget Summary I'!V44+'Budget Summary I'!X44</f>
        <v>0</v>
      </c>
      <c r="I42" s="164">
        <f>'Budget Summary I'!Y44+'Budget Summary I'!AA44</f>
        <v>0</v>
      </c>
      <c r="J42" s="164">
        <f>'Budget Summary I'!Z44+'Budget Summary I'!AB44</f>
        <v>0</v>
      </c>
      <c r="K42" s="165">
        <f>'Budget Summary I'!AC44+'Budget Summary I'!AE44</f>
        <v>0</v>
      </c>
      <c r="L42" s="165">
        <f>'Budget Summary I'!AD44+'Budget Summary I'!AF44</f>
        <v>0</v>
      </c>
      <c r="M42" s="165">
        <f>'Budget Summary I'!AG44</f>
        <v>0</v>
      </c>
      <c r="N42" s="165">
        <f>'Budget Summary I'!AH44</f>
        <v>0</v>
      </c>
      <c r="O42" s="165">
        <f>'Budget Summary I'!AI44+'Budget Summary I'!AK44</f>
        <v>0</v>
      </c>
      <c r="P42" s="165">
        <f>'Budget Summary I'!AJ44+'Budget Summary I'!AL44</f>
        <v>0</v>
      </c>
      <c r="Q42" s="165">
        <f>'Budget Summary I'!AM44</f>
        <v>0</v>
      </c>
      <c r="R42" s="165">
        <f>'Budget Summary I'!AN44</f>
        <v>0</v>
      </c>
    </row>
    <row r="43" spans="1:18" ht="15">
      <c r="A43" s="4253"/>
      <c r="B43" s="296" t="s">
        <v>5270</v>
      </c>
      <c r="C43" s="300">
        <f t="shared" si="2"/>
        <v>6485.746869999999</v>
      </c>
      <c r="D43" s="300">
        <f t="shared" si="2"/>
        <v>0</v>
      </c>
      <c r="E43" s="164">
        <f>'Budget Summary I'!E45+'Budget Summary I'!G45+'Budget Summary I'!I45+'Budget Summary I'!K45+'Budget Summary I'!M45+'Budget Summary I'!O45+'Budget Summary I'!Q45+'Budget Summary I'!S45</f>
        <v>0</v>
      </c>
      <c r="F43" s="164">
        <f>'Budget Summary I'!F45+'Budget Summary I'!H45+'Budget Summary I'!J45+'Budget Summary I'!L45+'Budget Summary I'!N45+'Budget Summary I'!P45+'Budget Summary I'!R45+'Budget Summary I'!T45</f>
        <v>0</v>
      </c>
      <c r="G43" s="165">
        <f>'Budget Summary I'!U45+'Budget Summary I'!W45</f>
        <v>0</v>
      </c>
      <c r="H43" s="165">
        <f>'Budget Summary I'!V45+'Budget Summary I'!X45</f>
        <v>0</v>
      </c>
      <c r="I43" s="164">
        <f>'Budget Summary I'!Y45+'Budget Summary I'!AA45</f>
        <v>0</v>
      </c>
      <c r="J43" s="164">
        <f>'Budget Summary I'!Z45+'Budget Summary I'!AB45</f>
        <v>0</v>
      </c>
      <c r="K43" s="165">
        <f>'Budget Summary I'!AC45+'Budget Summary I'!AE45</f>
        <v>0</v>
      </c>
      <c r="L43" s="165">
        <f>'Budget Summary I'!AD45+'Budget Summary I'!AF45</f>
        <v>0</v>
      </c>
      <c r="M43" s="165">
        <f>'Budget Summary I'!AG45</f>
        <v>6336.1563499999993</v>
      </c>
      <c r="N43" s="165">
        <f>'Budget Summary I'!AH45</f>
        <v>0</v>
      </c>
      <c r="O43" s="165">
        <f>'Budget Summary I'!AI45+'Budget Summary I'!AK45</f>
        <v>0</v>
      </c>
      <c r="P43" s="165">
        <f>'Budget Summary I'!AJ45+'Budget Summary I'!AL45</f>
        <v>0</v>
      </c>
      <c r="Q43" s="165">
        <f>'Budget Summary I'!AM45</f>
        <v>149.59052</v>
      </c>
      <c r="R43" s="165">
        <f>'Budget Summary I'!AN45</f>
        <v>0</v>
      </c>
    </row>
    <row r="44" spans="1:18" ht="30">
      <c r="A44" s="4253" t="s">
        <v>4688</v>
      </c>
      <c r="B44" s="296" t="s">
        <v>4682</v>
      </c>
      <c r="C44" s="300">
        <f t="shared" si="2"/>
        <v>3847.05</v>
      </c>
      <c r="D44" s="300">
        <f t="shared" si="2"/>
        <v>0</v>
      </c>
      <c r="E44" s="164">
        <f>'Budget Summary I'!E46+'Budget Summary I'!G46+'Budget Summary I'!I46+'Budget Summary I'!K46+'Budget Summary I'!M46+'Budget Summary I'!O46+'Budget Summary I'!Q46+'Budget Summary I'!S46</f>
        <v>408.05</v>
      </c>
      <c r="F44" s="164">
        <f>'Budget Summary I'!F46+'Budget Summary I'!H46+'Budget Summary I'!J46+'Budget Summary I'!L46+'Budget Summary I'!N46+'Budget Summary I'!P46+'Budget Summary I'!R46+'Budget Summary I'!T46</f>
        <v>0</v>
      </c>
      <c r="G44" s="165">
        <f>'Budget Summary I'!U46+'Budget Summary I'!W46</f>
        <v>3000</v>
      </c>
      <c r="H44" s="165">
        <f>'Budget Summary I'!V46+'Budget Summary I'!X46</f>
        <v>0</v>
      </c>
      <c r="I44" s="164">
        <f>'Budget Summary I'!Y46+'Budget Summary I'!AA46</f>
        <v>435</v>
      </c>
      <c r="J44" s="164">
        <f>'Budget Summary I'!Z46+'Budget Summary I'!AB46</f>
        <v>0</v>
      </c>
      <c r="K44" s="165">
        <f>'Budget Summary I'!AC46+'Budget Summary I'!AE46</f>
        <v>4</v>
      </c>
      <c r="L44" s="165">
        <f>'Budget Summary I'!AD46+'Budget Summary I'!AF46</f>
        <v>0</v>
      </c>
      <c r="M44" s="165">
        <f>'Budget Summary I'!AG46</f>
        <v>0</v>
      </c>
      <c r="N44" s="165">
        <f>'Budget Summary I'!AH46</f>
        <v>0</v>
      </c>
      <c r="O44" s="165">
        <f>'Budget Summary I'!AI46+'Budget Summary I'!AK46</f>
        <v>0</v>
      </c>
      <c r="P44" s="165">
        <f>'Budget Summary I'!AJ46+'Budget Summary I'!AL46</f>
        <v>0</v>
      </c>
      <c r="Q44" s="165">
        <f>'Budget Summary I'!AM46</f>
        <v>0</v>
      </c>
      <c r="R44" s="165">
        <f>'Budget Summary I'!AN46</f>
        <v>0</v>
      </c>
    </row>
    <row r="45" spans="1:18" ht="15">
      <c r="A45" s="4253"/>
      <c r="B45" s="296" t="s">
        <v>3880</v>
      </c>
      <c r="C45" s="300">
        <f t="shared" si="2"/>
        <v>324.85000000000002</v>
      </c>
      <c r="D45" s="300">
        <f t="shared" si="2"/>
        <v>0</v>
      </c>
      <c r="E45" s="164">
        <f>'Budget Summary I'!E47+'Budget Summary I'!G47+'Budget Summary I'!I47+'Budget Summary I'!K47+'Budget Summary I'!M47+'Budget Summary I'!O47+'Budget Summary I'!Q47+'Budget Summary I'!S47</f>
        <v>69.25</v>
      </c>
      <c r="F45" s="164">
        <f>'Budget Summary I'!F47+'Budget Summary I'!H47+'Budget Summary I'!J47+'Budget Summary I'!L47+'Budget Summary I'!N47+'Budget Summary I'!P47+'Budget Summary I'!R47+'Budget Summary I'!T47</f>
        <v>0</v>
      </c>
      <c r="G45" s="165">
        <f>'Budget Summary I'!U47+'Budget Summary I'!W47</f>
        <v>0</v>
      </c>
      <c r="H45" s="165">
        <f>'Budget Summary I'!V47+'Budget Summary I'!X47</f>
        <v>0</v>
      </c>
      <c r="I45" s="164">
        <f>'Budget Summary I'!Y47+'Budget Summary I'!AA47</f>
        <v>200.5</v>
      </c>
      <c r="J45" s="164">
        <f>'Budget Summary I'!Z47+'Budget Summary I'!AB47</f>
        <v>0</v>
      </c>
      <c r="K45" s="165">
        <f>'Budget Summary I'!AC47+'Budget Summary I'!AE47</f>
        <v>55.099999999999994</v>
      </c>
      <c r="L45" s="165">
        <f>'Budget Summary I'!AD47+'Budget Summary I'!AF47</f>
        <v>0</v>
      </c>
      <c r="M45" s="165">
        <f>'Budget Summary I'!AG47</f>
        <v>0</v>
      </c>
      <c r="N45" s="165">
        <f>'Budget Summary I'!AH47</f>
        <v>0</v>
      </c>
      <c r="O45" s="165">
        <f>'Budget Summary I'!AI47+'Budget Summary I'!AK47</f>
        <v>0</v>
      </c>
      <c r="P45" s="165">
        <f>'Budget Summary I'!AJ47+'Budget Summary I'!AL47</f>
        <v>0</v>
      </c>
      <c r="Q45" s="165">
        <f>'Budget Summary I'!AM47</f>
        <v>0</v>
      </c>
      <c r="R45" s="165">
        <f>'Budget Summary I'!AN47</f>
        <v>0</v>
      </c>
    </row>
    <row r="46" spans="1:18" ht="15">
      <c r="A46" s="4253"/>
      <c r="B46" s="296" t="s">
        <v>3878</v>
      </c>
      <c r="C46" s="300">
        <f t="shared" si="2"/>
        <v>15.750080000000001</v>
      </c>
      <c r="D46" s="300">
        <f t="shared" si="2"/>
        <v>0</v>
      </c>
      <c r="E46" s="164">
        <f>'Budget Summary I'!E48+'Budget Summary I'!G48+'Budget Summary I'!I48+'Budget Summary I'!K48+'Budget Summary I'!M48+'Budget Summary I'!O48+'Budget Summary I'!Q48+'Budget Summary I'!S48</f>
        <v>15.750080000000001</v>
      </c>
      <c r="F46" s="164">
        <f>'Budget Summary I'!F48+'Budget Summary I'!H48+'Budget Summary I'!J48+'Budget Summary I'!L48+'Budget Summary I'!N48+'Budget Summary I'!P48+'Budget Summary I'!R48+'Budget Summary I'!T48</f>
        <v>0</v>
      </c>
      <c r="G46" s="165">
        <f>'Budget Summary I'!U48+'Budget Summary I'!W48</f>
        <v>0</v>
      </c>
      <c r="H46" s="165">
        <f>'Budget Summary I'!V48+'Budget Summary I'!X48</f>
        <v>0</v>
      </c>
      <c r="I46" s="164">
        <f>'Budget Summary I'!Y48+'Budget Summary I'!AA48</f>
        <v>0</v>
      </c>
      <c r="J46" s="164">
        <f>'Budget Summary I'!Z48+'Budget Summary I'!AB48</f>
        <v>0</v>
      </c>
      <c r="K46" s="165">
        <f>'Budget Summary I'!AC48+'Budget Summary I'!AE48</f>
        <v>0</v>
      </c>
      <c r="L46" s="165">
        <f>'Budget Summary I'!AD48+'Budget Summary I'!AF48</f>
        <v>0</v>
      </c>
      <c r="M46" s="165">
        <f>'Budget Summary I'!AG48</f>
        <v>0</v>
      </c>
      <c r="N46" s="165">
        <f>'Budget Summary I'!AH48</f>
        <v>0</v>
      </c>
      <c r="O46" s="165">
        <f>'Budget Summary I'!AI48+'Budget Summary I'!AK48</f>
        <v>0</v>
      </c>
      <c r="P46" s="165">
        <f>'Budget Summary I'!AJ48+'Budget Summary I'!AL48</f>
        <v>0</v>
      </c>
      <c r="Q46" s="165">
        <f>'Budget Summary I'!AM48</f>
        <v>0</v>
      </c>
      <c r="R46" s="165">
        <f>'Budget Summary I'!AN48</f>
        <v>0</v>
      </c>
    </row>
    <row r="47" spans="1:18" ht="15">
      <c r="A47" s="4253"/>
      <c r="B47" s="296" t="s">
        <v>3876</v>
      </c>
      <c r="C47" s="300">
        <f t="shared" si="2"/>
        <v>300.89999999999998</v>
      </c>
      <c r="D47" s="300">
        <f t="shared" si="2"/>
        <v>0</v>
      </c>
      <c r="E47" s="164">
        <f>'Budget Summary I'!E49+'Budget Summary I'!G49+'Budget Summary I'!I49+'Budget Summary I'!K49+'Budget Summary I'!M49+'Budget Summary I'!O49+'Budget Summary I'!Q49+'Budget Summary I'!S49</f>
        <v>232.4</v>
      </c>
      <c r="F47" s="164">
        <f>'Budget Summary I'!F49+'Budget Summary I'!H49+'Budget Summary I'!J49+'Budget Summary I'!L49+'Budget Summary I'!N49+'Budget Summary I'!P49+'Budget Summary I'!R49+'Budget Summary I'!T49</f>
        <v>0</v>
      </c>
      <c r="G47" s="165">
        <f>'Budget Summary I'!U49+'Budget Summary I'!W49</f>
        <v>0</v>
      </c>
      <c r="H47" s="165">
        <f>'Budget Summary I'!V49+'Budget Summary I'!X49</f>
        <v>0</v>
      </c>
      <c r="I47" s="164">
        <f>'Budget Summary I'!Y49+'Budget Summary I'!AA49</f>
        <v>57</v>
      </c>
      <c r="J47" s="164">
        <f>'Budget Summary I'!Z49+'Budget Summary I'!AB49</f>
        <v>0</v>
      </c>
      <c r="K47" s="165">
        <f>'Budget Summary I'!AC49+'Budget Summary I'!AE49</f>
        <v>11.5</v>
      </c>
      <c r="L47" s="165">
        <f>'Budget Summary I'!AD49+'Budget Summary I'!AF49</f>
        <v>0</v>
      </c>
      <c r="M47" s="165">
        <f>'Budget Summary I'!AG49</f>
        <v>0</v>
      </c>
      <c r="N47" s="165">
        <f>'Budget Summary I'!AH49</f>
        <v>0</v>
      </c>
      <c r="O47" s="165">
        <f>'Budget Summary I'!AI49+'Budget Summary I'!AK49</f>
        <v>0</v>
      </c>
      <c r="P47" s="165">
        <f>'Budget Summary I'!AJ49+'Budget Summary I'!AL49</f>
        <v>0</v>
      </c>
      <c r="Q47" s="165">
        <f>'Budget Summary I'!AM49</f>
        <v>0</v>
      </c>
      <c r="R47" s="165">
        <f>'Budget Summary I'!AN49</f>
        <v>0</v>
      </c>
    </row>
    <row r="48" spans="1:18" ht="30">
      <c r="A48" s="4253"/>
      <c r="B48" s="296" t="s">
        <v>3881</v>
      </c>
      <c r="C48" s="300">
        <f t="shared" si="2"/>
        <v>3527.8860580000005</v>
      </c>
      <c r="D48" s="300">
        <f t="shared" si="2"/>
        <v>0</v>
      </c>
      <c r="E48" s="164">
        <f>'Budget Summary I'!E50+'Budget Summary I'!G50+'Budget Summary I'!I50+'Budget Summary I'!K50+'Budget Summary I'!M50+'Budget Summary I'!O50+'Budget Summary I'!Q50+'Budget Summary I'!S50</f>
        <v>914.14606000000003</v>
      </c>
      <c r="F48" s="164">
        <f>'Budget Summary I'!F50+'Budget Summary I'!H50+'Budget Summary I'!J50+'Budget Summary I'!L50+'Budget Summary I'!N50+'Budget Summary I'!P50+'Budget Summary I'!R50+'Budget Summary I'!T50</f>
        <v>0</v>
      </c>
      <c r="G48" s="165">
        <f>'Budget Summary I'!U50+'Budget Summary I'!W50</f>
        <v>21.599998000000003</v>
      </c>
      <c r="H48" s="165">
        <f>'Budget Summary I'!V50+'Budget Summary I'!X50</f>
        <v>0</v>
      </c>
      <c r="I48" s="164">
        <f>'Budget Summary I'!Y50+'Budget Summary I'!AA50</f>
        <v>1329.7800000000002</v>
      </c>
      <c r="J48" s="164">
        <f>'Budget Summary I'!Z50+'Budget Summary I'!AB50</f>
        <v>0</v>
      </c>
      <c r="K48" s="165">
        <f>'Budget Summary I'!AC50+'Budget Summary I'!AE50</f>
        <v>1262.3600000000001</v>
      </c>
      <c r="L48" s="165">
        <f>'Budget Summary I'!AD50+'Budget Summary I'!AF50</f>
        <v>0</v>
      </c>
      <c r="M48" s="165">
        <f>'Budget Summary I'!AG50</f>
        <v>0</v>
      </c>
      <c r="N48" s="165">
        <f>'Budget Summary I'!AH50</f>
        <v>0</v>
      </c>
      <c r="O48" s="165">
        <f>'Budget Summary I'!AI50+'Budget Summary I'!AK50</f>
        <v>0</v>
      </c>
      <c r="P48" s="165">
        <f>'Budget Summary I'!AJ50+'Budget Summary I'!AL50</f>
        <v>0</v>
      </c>
      <c r="Q48" s="165">
        <f>'Budget Summary I'!AM50</f>
        <v>0</v>
      </c>
      <c r="R48" s="165">
        <f>'Budget Summary I'!AN50</f>
        <v>0</v>
      </c>
    </row>
    <row r="49" spans="1:18" ht="15">
      <c r="A49" s="4253"/>
      <c r="B49" s="296" t="s">
        <v>4683</v>
      </c>
      <c r="C49" s="300">
        <f t="shared" si="2"/>
        <v>3654.4724999999999</v>
      </c>
      <c r="D49" s="300">
        <f t="shared" si="2"/>
        <v>0</v>
      </c>
      <c r="E49" s="164">
        <f>'Budget Summary I'!E51+'Budget Summary I'!G51+'Budget Summary I'!I51+'Budget Summary I'!K51+'Budget Summary I'!M51+'Budget Summary I'!O51+'Budget Summary I'!Q51+'Budget Summary I'!S51</f>
        <v>3654.4724999999999</v>
      </c>
      <c r="F49" s="164">
        <f>'Budget Summary I'!F51+'Budget Summary I'!H51+'Budget Summary I'!J51+'Budget Summary I'!L51+'Budget Summary I'!N51+'Budget Summary I'!P51+'Budget Summary I'!R51+'Budget Summary I'!T51</f>
        <v>0</v>
      </c>
      <c r="G49" s="165">
        <f>'Budget Summary I'!U51+'Budget Summary I'!W51</f>
        <v>0</v>
      </c>
      <c r="H49" s="165">
        <f>'Budget Summary I'!V51+'Budget Summary I'!X51</f>
        <v>0</v>
      </c>
      <c r="I49" s="164">
        <f>'Budget Summary I'!Y51+'Budget Summary I'!AA51</f>
        <v>0</v>
      </c>
      <c r="J49" s="164">
        <f>'Budget Summary I'!Z51+'Budget Summary I'!AB51</f>
        <v>0</v>
      </c>
      <c r="K49" s="165">
        <f>'Budget Summary I'!AC51+'Budget Summary I'!AE51</f>
        <v>0</v>
      </c>
      <c r="L49" s="165">
        <f>'Budget Summary I'!AD51+'Budget Summary I'!AF51</f>
        <v>0</v>
      </c>
      <c r="M49" s="165">
        <f>'Budget Summary I'!AG51</f>
        <v>0</v>
      </c>
      <c r="N49" s="165">
        <f>'Budget Summary I'!AH51</f>
        <v>0</v>
      </c>
      <c r="O49" s="165">
        <f>'Budget Summary I'!AI51+'Budget Summary I'!AK51</f>
        <v>0</v>
      </c>
      <c r="P49" s="165">
        <f>'Budget Summary I'!AJ51+'Budget Summary I'!AL51</f>
        <v>0</v>
      </c>
      <c r="Q49" s="165">
        <f>'Budget Summary I'!AM51</f>
        <v>0</v>
      </c>
      <c r="R49" s="165">
        <f>'Budget Summary I'!AN51</f>
        <v>0</v>
      </c>
    </row>
    <row r="50" spans="1:18" ht="30">
      <c r="A50" s="4253"/>
      <c r="B50" s="296" t="s">
        <v>4135</v>
      </c>
      <c r="C50" s="300">
        <f t="shared" si="2"/>
        <v>8.5</v>
      </c>
      <c r="D50" s="300">
        <f t="shared" si="2"/>
        <v>0</v>
      </c>
      <c r="E50" s="164">
        <f>'Budget Summary I'!E52+'Budget Summary I'!G52+'Budget Summary I'!I52+'Budget Summary I'!K52+'Budget Summary I'!M52+'Budget Summary I'!O52+'Budget Summary I'!Q52+'Budget Summary I'!S52</f>
        <v>4.1000000000000005</v>
      </c>
      <c r="F50" s="164">
        <f>'Budget Summary I'!F52+'Budget Summary I'!H52+'Budget Summary I'!J52+'Budget Summary I'!L52+'Budget Summary I'!N52+'Budget Summary I'!P52+'Budget Summary I'!R52+'Budget Summary I'!T52</f>
        <v>0</v>
      </c>
      <c r="G50" s="165">
        <f>'Budget Summary I'!U52+'Budget Summary I'!W52</f>
        <v>0</v>
      </c>
      <c r="H50" s="165">
        <f>'Budget Summary I'!V52+'Budget Summary I'!X52</f>
        <v>0</v>
      </c>
      <c r="I50" s="164">
        <f>'Budget Summary I'!Y52+'Budget Summary I'!AA52</f>
        <v>0</v>
      </c>
      <c r="J50" s="164">
        <f>'Budget Summary I'!Z52+'Budget Summary I'!AB52</f>
        <v>0</v>
      </c>
      <c r="K50" s="165">
        <f>'Budget Summary I'!AC52+'Budget Summary I'!AE52</f>
        <v>2.4000000000000004</v>
      </c>
      <c r="L50" s="165">
        <f>'Budget Summary I'!AD52+'Budget Summary I'!AF52</f>
        <v>0</v>
      </c>
      <c r="M50" s="165">
        <f>'Budget Summary I'!AG52</f>
        <v>0</v>
      </c>
      <c r="N50" s="165">
        <f>'Budget Summary I'!AH52</f>
        <v>0</v>
      </c>
      <c r="O50" s="165">
        <f>'Budget Summary I'!AI52+'Budget Summary I'!AK52</f>
        <v>2</v>
      </c>
      <c r="P50" s="165">
        <f>'Budget Summary I'!AJ52+'Budget Summary I'!AL52</f>
        <v>0</v>
      </c>
      <c r="Q50" s="165">
        <f>'Budget Summary I'!AM52</f>
        <v>0</v>
      </c>
      <c r="R50" s="165">
        <f>'Budget Summary I'!AN52</f>
        <v>0</v>
      </c>
    </row>
    <row r="51" spans="1:18" ht="15">
      <c r="A51" s="4253"/>
      <c r="B51" s="296" t="s">
        <v>3871</v>
      </c>
      <c r="C51" s="300">
        <f t="shared" si="2"/>
        <v>333.54599999999999</v>
      </c>
      <c r="D51" s="300">
        <f t="shared" si="2"/>
        <v>0</v>
      </c>
      <c r="E51" s="164">
        <f>'Budget Summary I'!E53+'Budget Summary I'!G53+'Budget Summary I'!I53+'Budget Summary I'!K53+'Budget Summary I'!M53+'Budget Summary I'!O53+'Budget Summary I'!Q53+'Budget Summary I'!S53</f>
        <v>62.545999999999999</v>
      </c>
      <c r="F51" s="164">
        <f>'Budget Summary I'!F53+'Budget Summary I'!H53+'Budget Summary I'!J53+'Budget Summary I'!L53+'Budget Summary I'!N53+'Budget Summary I'!P53+'Budget Summary I'!R53+'Budget Summary I'!T53</f>
        <v>0</v>
      </c>
      <c r="G51" s="165">
        <f>'Budget Summary I'!U53+'Budget Summary I'!W53</f>
        <v>0</v>
      </c>
      <c r="H51" s="165">
        <f>'Budget Summary I'!V53+'Budget Summary I'!X53</f>
        <v>0</v>
      </c>
      <c r="I51" s="164">
        <f>'Budget Summary I'!Y53+'Budget Summary I'!AA53</f>
        <v>271</v>
      </c>
      <c r="J51" s="164">
        <f>'Budget Summary I'!Z53+'Budget Summary I'!AB53</f>
        <v>0</v>
      </c>
      <c r="K51" s="165">
        <f>'Budget Summary I'!AC53+'Budget Summary I'!AE53</f>
        <v>0</v>
      </c>
      <c r="L51" s="165">
        <f>'Budget Summary I'!AD53+'Budget Summary I'!AF53</f>
        <v>0</v>
      </c>
      <c r="M51" s="165">
        <f>'Budget Summary I'!AG53</f>
        <v>0</v>
      </c>
      <c r="N51" s="165">
        <f>'Budget Summary I'!AH53</f>
        <v>0</v>
      </c>
      <c r="O51" s="165">
        <f>'Budget Summary I'!AI53+'Budget Summary I'!AK53</f>
        <v>0</v>
      </c>
      <c r="P51" s="165">
        <f>'Budget Summary I'!AJ53+'Budget Summary I'!AL53</f>
        <v>0</v>
      </c>
      <c r="Q51" s="165">
        <f>'Budget Summary I'!AM53</f>
        <v>0</v>
      </c>
      <c r="R51" s="165">
        <f>'Budget Summary I'!AN53</f>
        <v>0</v>
      </c>
    </row>
    <row r="52" spans="1:18" ht="15">
      <c r="A52" s="4253"/>
      <c r="B52" s="296" t="s">
        <v>4073</v>
      </c>
      <c r="C52" s="300">
        <f t="shared" si="2"/>
        <v>0</v>
      </c>
      <c r="D52" s="300">
        <f t="shared" si="2"/>
        <v>0</v>
      </c>
      <c r="E52" s="164">
        <f>'Budget Summary I'!E54+'Budget Summary I'!G54+'Budget Summary I'!I54+'Budget Summary I'!K54+'Budget Summary I'!M54+'Budget Summary I'!O54+'Budget Summary I'!Q54+'Budget Summary I'!S54</f>
        <v>0</v>
      </c>
      <c r="F52" s="164">
        <f>'Budget Summary I'!F54+'Budget Summary I'!H54+'Budget Summary I'!J54+'Budget Summary I'!L54+'Budget Summary I'!N54+'Budget Summary I'!P54+'Budget Summary I'!R54+'Budget Summary I'!T54</f>
        <v>0</v>
      </c>
      <c r="G52" s="165">
        <f>'Budget Summary I'!U54+'Budget Summary I'!W54</f>
        <v>0</v>
      </c>
      <c r="H52" s="165">
        <f>'Budget Summary I'!V54+'Budget Summary I'!X54</f>
        <v>0</v>
      </c>
      <c r="I52" s="164">
        <f>'Budget Summary I'!Y54+'Budget Summary I'!AA54</f>
        <v>0</v>
      </c>
      <c r="J52" s="164">
        <f>'Budget Summary I'!Z54+'Budget Summary I'!AB54</f>
        <v>0</v>
      </c>
      <c r="K52" s="165">
        <f>'Budget Summary I'!AC54+'Budget Summary I'!AE54</f>
        <v>0</v>
      </c>
      <c r="L52" s="165">
        <f>'Budget Summary I'!AD54+'Budget Summary I'!AF54</f>
        <v>0</v>
      </c>
      <c r="M52" s="165">
        <f>'Budget Summary I'!AG54</f>
        <v>0</v>
      </c>
      <c r="N52" s="165">
        <f>'Budget Summary I'!AH54</f>
        <v>0</v>
      </c>
      <c r="O52" s="165">
        <f>'Budget Summary I'!AI54+'Budget Summary I'!AK54</f>
        <v>0</v>
      </c>
      <c r="P52" s="165">
        <f>'Budget Summary I'!AJ54+'Budget Summary I'!AL54</f>
        <v>0</v>
      </c>
      <c r="Q52" s="165">
        <f>'Budget Summary I'!AM54</f>
        <v>0</v>
      </c>
      <c r="R52" s="165">
        <f>'Budget Summary I'!AN54</f>
        <v>0</v>
      </c>
    </row>
    <row r="53" spans="1:18" ht="30">
      <c r="A53" s="4253"/>
      <c r="B53" s="296" t="s">
        <v>4684</v>
      </c>
      <c r="C53" s="300">
        <f t="shared" si="2"/>
        <v>71.3</v>
      </c>
      <c r="D53" s="300">
        <f t="shared" si="2"/>
        <v>0</v>
      </c>
      <c r="E53" s="164">
        <f>'Budget Summary I'!E55+'Budget Summary I'!G55+'Budget Summary I'!I55+'Budget Summary I'!K55+'Budget Summary I'!M55+'Budget Summary I'!O55+'Budget Summary I'!Q55+'Budget Summary I'!S55</f>
        <v>68</v>
      </c>
      <c r="F53" s="164">
        <f>'Budget Summary I'!F55+'Budget Summary I'!H55+'Budget Summary I'!J55+'Budget Summary I'!L55+'Budget Summary I'!N55+'Budget Summary I'!P55+'Budget Summary I'!R55+'Budget Summary I'!T55</f>
        <v>0</v>
      </c>
      <c r="G53" s="165">
        <f>'Budget Summary I'!U55+'Budget Summary I'!W55</f>
        <v>0</v>
      </c>
      <c r="H53" s="165">
        <f>'Budget Summary I'!V55+'Budget Summary I'!X55</f>
        <v>0</v>
      </c>
      <c r="I53" s="164">
        <f>'Budget Summary I'!Y55+'Budget Summary I'!AA55</f>
        <v>0</v>
      </c>
      <c r="J53" s="164">
        <f>'Budget Summary I'!Z55+'Budget Summary I'!AB55</f>
        <v>0</v>
      </c>
      <c r="K53" s="165">
        <f>'Budget Summary I'!AC55+'Budget Summary I'!AE55</f>
        <v>3.3</v>
      </c>
      <c r="L53" s="165">
        <f>'Budget Summary I'!AD55+'Budget Summary I'!AF55</f>
        <v>0</v>
      </c>
      <c r="M53" s="165">
        <f>'Budget Summary I'!AG55</f>
        <v>0</v>
      </c>
      <c r="N53" s="165">
        <f>'Budget Summary I'!AH55</f>
        <v>0</v>
      </c>
      <c r="O53" s="165">
        <f>'Budget Summary I'!AI55+'Budget Summary I'!AK55</f>
        <v>0</v>
      </c>
      <c r="P53" s="165">
        <f>'Budget Summary I'!AJ55+'Budget Summary I'!AL55</f>
        <v>0</v>
      </c>
      <c r="Q53" s="165">
        <f>'Budget Summary I'!AM55</f>
        <v>0</v>
      </c>
      <c r="R53" s="165">
        <f>'Budget Summary I'!AN55</f>
        <v>0</v>
      </c>
    </row>
    <row r="54" spans="1:18" ht="30">
      <c r="A54" s="4253"/>
      <c r="B54" s="296" t="s">
        <v>4685</v>
      </c>
      <c r="C54" s="300">
        <f t="shared" si="2"/>
        <v>385.45249999999999</v>
      </c>
      <c r="D54" s="300">
        <f t="shared" si="2"/>
        <v>0</v>
      </c>
      <c r="E54" s="164">
        <f>'Budget Summary I'!E56+'Budget Summary I'!G56+'Budget Summary I'!I56+'Budget Summary I'!K56+'Budget Summary I'!M56+'Budget Summary I'!O56+'Budget Summary I'!Q56+'Budget Summary I'!S56</f>
        <v>10</v>
      </c>
      <c r="F54" s="164">
        <f>'Budget Summary I'!F56+'Budget Summary I'!H56+'Budget Summary I'!J56+'Budget Summary I'!L56+'Budget Summary I'!N56+'Budget Summary I'!P56+'Budget Summary I'!R56+'Budget Summary I'!T56</f>
        <v>0</v>
      </c>
      <c r="G54" s="165">
        <f>'Budget Summary I'!U56+'Budget Summary I'!W56</f>
        <v>0</v>
      </c>
      <c r="H54" s="165">
        <f>'Budget Summary I'!V56+'Budget Summary I'!X56</f>
        <v>0</v>
      </c>
      <c r="I54" s="164">
        <f>'Budget Summary I'!Y56+'Budget Summary I'!AA56</f>
        <v>342.95256000000001</v>
      </c>
      <c r="J54" s="164">
        <f>'Budget Summary I'!Z56+'Budget Summary I'!AB56</f>
        <v>0</v>
      </c>
      <c r="K54" s="165">
        <f>'Budget Summary I'!AC56+'Budget Summary I'!AE56</f>
        <v>32.499940000000002</v>
      </c>
      <c r="L54" s="165">
        <f>'Budget Summary I'!AD56+'Budget Summary I'!AF56</f>
        <v>0</v>
      </c>
      <c r="M54" s="165">
        <f>'Budget Summary I'!AG56</f>
        <v>0</v>
      </c>
      <c r="N54" s="165">
        <f>'Budget Summary I'!AH56</f>
        <v>0</v>
      </c>
      <c r="O54" s="165">
        <f>'Budget Summary I'!AI56+'Budget Summary I'!AK56</f>
        <v>0</v>
      </c>
      <c r="P54" s="165">
        <f>'Budget Summary I'!AJ56+'Budget Summary I'!AL56</f>
        <v>0</v>
      </c>
      <c r="Q54" s="165">
        <f>'Budget Summary I'!AM56</f>
        <v>0</v>
      </c>
      <c r="R54" s="165">
        <f>'Budget Summary I'!AN56</f>
        <v>0</v>
      </c>
    </row>
    <row r="55" spans="1:18" ht="30">
      <c r="A55" s="4253"/>
      <c r="B55" s="296" t="s">
        <v>4686</v>
      </c>
      <c r="C55" s="300">
        <f t="shared" si="2"/>
        <v>0</v>
      </c>
      <c r="D55" s="300">
        <f t="shared" si="2"/>
        <v>0</v>
      </c>
      <c r="E55" s="164">
        <f>'Budget Summary I'!E57+'Budget Summary I'!G57+'Budget Summary I'!I57+'Budget Summary I'!K57+'Budget Summary I'!M57+'Budget Summary I'!O57+'Budget Summary I'!Q57+'Budget Summary I'!S57</f>
        <v>0</v>
      </c>
      <c r="F55" s="164">
        <f>'Budget Summary I'!F57+'Budget Summary I'!H57+'Budget Summary I'!J57+'Budget Summary I'!L57+'Budget Summary I'!N57+'Budget Summary I'!P57+'Budget Summary I'!R57+'Budget Summary I'!T57</f>
        <v>0</v>
      </c>
      <c r="G55" s="165">
        <f>'Budget Summary I'!U57+'Budget Summary I'!W57</f>
        <v>0</v>
      </c>
      <c r="H55" s="165">
        <f>'Budget Summary I'!V57+'Budget Summary I'!X57</f>
        <v>0</v>
      </c>
      <c r="I55" s="164">
        <f>'Budget Summary I'!Y57+'Budget Summary I'!AA57</f>
        <v>0</v>
      </c>
      <c r="J55" s="164">
        <f>'Budget Summary I'!Z57+'Budget Summary I'!AB57</f>
        <v>0</v>
      </c>
      <c r="K55" s="165">
        <f>'Budget Summary I'!AC57+'Budget Summary I'!AE57</f>
        <v>0</v>
      </c>
      <c r="L55" s="165">
        <f>'Budget Summary I'!AD57+'Budget Summary I'!AF57</f>
        <v>0</v>
      </c>
      <c r="M55" s="165">
        <f>'Budget Summary I'!AG57</f>
        <v>0</v>
      </c>
      <c r="N55" s="165">
        <f>'Budget Summary I'!AH57</f>
        <v>0</v>
      </c>
      <c r="O55" s="165">
        <f>'Budget Summary I'!AI57+'Budget Summary I'!AK57</f>
        <v>0</v>
      </c>
      <c r="P55" s="165">
        <f>'Budget Summary I'!AJ57+'Budget Summary I'!AL57</f>
        <v>0</v>
      </c>
      <c r="Q55" s="165">
        <f>'Budget Summary I'!AM57</f>
        <v>0</v>
      </c>
      <c r="R55" s="165">
        <f>'Budget Summary I'!AN57</f>
        <v>0</v>
      </c>
    </row>
    <row r="56" spans="1:18" ht="15">
      <c r="A56" s="4253"/>
      <c r="B56" s="296" t="s">
        <v>5271</v>
      </c>
      <c r="C56" s="300">
        <f t="shared" si="2"/>
        <v>925.38997999999992</v>
      </c>
      <c r="D56" s="300">
        <f t="shared" si="2"/>
        <v>0</v>
      </c>
      <c r="E56" s="164">
        <f>'Budget Summary I'!E58+'Budget Summary I'!G58+'Budget Summary I'!I58+'Budget Summary I'!K58+'Budget Summary I'!M58+'Budget Summary I'!O58+'Budget Summary I'!Q58+'Budget Summary I'!S58</f>
        <v>0</v>
      </c>
      <c r="F56" s="164">
        <f>'Budget Summary I'!F58+'Budget Summary I'!H58+'Budget Summary I'!J58+'Budget Summary I'!L58+'Budget Summary I'!N58+'Budget Summary I'!P58+'Budget Summary I'!R58+'Budget Summary I'!T58</f>
        <v>0</v>
      </c>
      <c r="G56" s="165">
        <f>'Budget Summary I'!U58+'Budget Summary I'!W58</f>
        <v>0</v>
      </c>
      <c r="H56" s="165">
        <f>'Budget Summary I'!V58+'Budget Summary I'!X58</f>
        <v>0</v>
      </c>
      <c r="I56" s="164">
        <f>'Budget Summary I'!Y58+'Budget Summary I'!AA58</f>
        <v>0</v>
      </c>
      <c r="J56" s="164">
        <f>'Budget Summary I'!Z58+'Budget Summary I'!AB58</f>
        <v>0</v>
      </c>
      <c r="K56" s="165">
        <f>'Budget Summary I'!AC58+'Budget Summary I'!AE58</f>
        <v>0</v>
      </c>
      <c r="L56" s="165">
        <f>'Budget Summary I'!AD58+'Budget Summary I'!AF58</f>
        <v>0</v>
      </c>
      <c r="M56" s="165">
        <f>'Budget Summary I'!AG58</f>
        <v>704.38997999999992</v>
      </c>
      <c r="N56" s="165">
        <f>'Budget Summary I'!AH58</f>
        <v>0</v>
      </c>
      <c r="O56" s="165">
        <f>'Budget Summary I'!AI58+'Budget Summary I'!AK58</f>
        <v>0</v>
      </c>
      <c r="P56" s="165">
        <f>'Budget Summary I'!AJ58+'Budget Summary I'!AL58</f>
        <v>0</v>
      </c>
      <c r="Q56" s="165">
        <f>'Budget Summary I'!AM58</f>
        <v>221</v>
      </c>
      <c r="R56" s="165">
        <f>'Budget Summary I'!AN58</f>
        <v>0</v>
      </c>
    </row>
    <row r="57" spans="1:18" ht="15">
      <c r="A57" s="4250" t="s">
        <v>4700</v>
      </c>
      <c r="B57" s="298" t="s">
        <v>4701</v>
      </c>
      <c r="C57" s="300">
        <f t="shared" si="2"/>
        <v>4751.8542042000008</v>
      </c>
      <c r="D57" s="300">
        <f t="shared" si="2"/>
        <v>0</v>
      </c>
      <c r="E57" s="164">
        <f>'Budget Summary I'!E59+'Budget Summary I'!G59+'Budget Summary I'!I59+'Budget Summary I'!K59+'Budget Summary I'!M59+'Budget Summary I'!O59+'Budget Summary I'!Q59+'Budget Summary I'!S59</f>
        <v>1157.2659636000001</v>
      </c>
      <c r="F57" s="164">
        <f>'Budget Summary I'!F59+'Budget Summary I'!H59+'Budget Summary I'!J59+'Budget Summary I'!L59+'Budget Summary I'!N59+'Budget Summary I'!P59+'Budget Summary I'!R59+'Budget Summary I'!T59</f>
        <v>0</v>
      </c>
      <c r="G57" s="165">
        <f>'Budget Summary I'!U59+'Budget Summary I'!W59</f>
        <v>162.15</v>
      </c>
      <c r="H57" s="165">
        <f>'Budget Summary I'!V59+'Budget Summary I'!X59</f>
        <v>0</v>
      </c>
      <c r="I57" s="164">
        <f>'Budget Summary I'!Y59+'Budget Summary I'!AA59</f>
        <v>20.859999999999992</v>
      </c>
      <c r="J57" s="164">
        <f>'Budget Summary I'!Z59+'Budget Summary I'!AB59</f>
        <v>0</v>
      </c>
      <c r="K57" s="165">
        <f>'Budget Summary I'!AC59+'Budget Summary I'!AE59</f>
        <v>3002.6378646000003</v>
      </c>
      <c r="L57" s="165">
        <f>'Budget Summary I'!AD59+'Budget Summary I'!AF59</f>
        <v>0</v>
      </c>
      <c r="M57" s="165">
        <f>'Budget Summary I'!AG59</f>
        <v>379.140376</v>
      </c>
      <c r="N57" s="165">
        <f>'Budget Summary I'!AH59</f>
        <v>0</v>
      </c>
      <c r="O57" s="165">
        <f>'Budget Summary I'!AI59+'Budget Summary I'!AK59</f>
        <v>0</v>
      </c>
      <c r="P57" s="165">
        <f>'Budget Summary I'!AJ59+'Budget Summary I'!AL59</f>
        <v>0</v>
      </c>
      <c r="Q57" s="165">
        <f>'Budget Summary I'!AM59</f>
        <v>29.8</v>
      </c>
      <c r="R57" s="165">
        <f>'Budget Summary I'!AN59</f>
        <v>0</v>
      </c>
    </row>
    <row r="58" spans="1:18" ht="15">
      <c r="A58" s="4250"/>
      <c r="B58" s="298" t="s">
        <v>4702</v>
      </c>
      <c r="C58" s="300">
        <f t="shared" si="2"/>
        <v>0</v>
      </c>
      <c r="D58" s="300">
        <f t="shared" si="2"/>
        <v>0</v>
      </c>
      <c r="E58" s="164">
        <f>'Budget Summary I'!E60+'Budget Summary I'!G60+'Budget Summary I'!I60+'Budget Summary I'!K60+'Budget Summary I'!M60+'Budget Summary I'!O60+'Budget Summary I'!Q60+'Budget Summary I'!S60</f>
        <v>0</v>
      </c>
      <c r="F58" s="164">
        <f>'Budget Summary I'!F60+'Budget Summary I'!H60+'Budget Summary I'!J60+'Budget Summary I'!L60+'Budget Summary I'!N60+'Budget Summary I'!P60+'Budget Summary I'!R60+'Budget Summary I'!T60</f>
        <v>0</v>
      </c>
      <c r="G58" s="165">
        <f>'Budget Summary I'!U60+'Budget Summary I'!W60</f>
        <v>0</v>
      </c>
      <c r="H58" s="165">
        <f>'Budget Summary I'!V60+'Budget Summary I'!X60</f>
        <v>0</v>
      </c>
      <c r="I58" s="164">
        <f>'Budget Summary I'!Y60+'Budget Summary I'!AA60</f>
        <v>0</v>
      </c>
      <c r="J58" s="164">
        <f>'Budget Summary I'!Z60+'Budget Summary I'!AB60</f>
        <v>0</v>
      </c>
      <c r="K58" s="165">
        <f>'Budget Summary I'!AC60+'Budget Summary I'!AE60</f>
        <v>0</v>
      </c>
      <c r="L58" s="165">
        <f>'Budget Summary I'!AD60+'Budget Summary I'!AF60</f>
        <v>0</v>
      </c>
      <c r="M58" s="165">
        <f>'Budget Summary I'!AG60</f>
        <v>0</v>
      </c>
      <c r="N58" s="165">
        <f>'Budget Summary I'!AH60</f>
        <v>0</v>
      </c>
      <c r="O58" s="165">
        <f>'Budget Summary I'!AI60+'Budget Summary I'!AK60</f>
        <v>0</v>
      </c>
      <c r="P58" s="165">
        <f>'Budget Summary I'!AJ60+'Budget Summary I'!AL60</f>
        <v>0</v>
      </c>
      <c r="Q58" s="165">
        <f>'Budget Summary I'!AM60</f>
        <v>0</v>
      </c>
      <c r="R58" s="165">
        <f>'Budget Summary I'!AN60</f>
        <v>0</v>
      </c>
    </row>
    <row r="59" spans="1:18" ht="15">
      <c r="A59" s="4250"/>
      <c r="B59" s="296" t="s">
        <v>4703</v>
      </c>
      <c r="C59" s="300">
        <f t="shared" si="2"/>
        <v>685.58467000000007</v>
      </c>
      <c r="D59" s="300">
        <f t="shared" si="2"/>
        <v>0</v>
      </c>
      <c r="E59" s="164">
        <f>'Budget Summary I'!E61+'Budget Summary I'!G61+'Budget Summary I'!I61+'Budget Summary I'!K61+'Budget Summary I'!M61+'Budget Summary I'!O61+'Budget Summary I'!Q61+'Budget Summary I'!S61</f>
        <v>78.2</v>
      </c>
      <c r="F59" s="164">
        <f>'Budget Summary I'!F61+'Budget Summary I'!H61+'Budget Summary I'!J61+'Budget Summary I'!L61+'Budget Summary I'!N61+'Budget Summary I'!P61+'Budget Summary I'!R61+'Budget Summary I'!T61</f>
        <v>0</v>
      </c>
      <c r="G59" s="165">
        <f>'Budget Summary I'!U61+'Budget Summary I'!W61</f>
        <v>0</v>
      </c>
      <c r="H59" s="165">
        <f>'Budget Summary I'!V61+'Budget Summary I'!X61</f>
        <v>0</v>
      </c>
      <c r="I59" s="164">
        <f>'Budget Summary I'!Y61+'Budget Summary I'!AA61</f>
        <v>544.00967000000003</v>
      </c>
      <c r="J59" s="164">
        <f>'Budget Summary I'!Z61+'Budget Summary I'!AB61</f>
        <v>0</v>
      </c>
      <c r="K59" s="165">
        <f>'Budget Summary I'!AC61+'Budget Summary I'!AE61</f>
        <v>53.375</v>
      </c>
      <c r="L59" s="165">
        <f>'Budget Summary I'!AD61+'Budget Summary I'!AF61</f>
        <v>0</v>
      </c>
      <c r="M59" s="165">
        <f>'Budget Summary I'!AG61</f>
        <v>10</v>
      </c>
      <c r="N59" s="165">
        <f>'Budget Summary I'!AH61</f>
        <v>0</v>
      </c>
      <c r="O59" s="165">
        <f>'Budget Summary I'!AI61+'Budget Summary I'!AK61</f>
        <v>0</v>
      </c>
      <c r="P59" s="165">
        <f>'Budget Summary I'!AJ61+'Budget Summary I'!AL61</f>
        <v>0</v>
      </c>
      <c r="Q59" s="165">
        <f>'Budget Summary I'!AM61</f>
        <v>0</v>
      </c>
      <c r="R59" s="165">
        <f>'Budget Summary I'!AN61</f>
        <v>0</v>
      </c>
    </row>
  </sheetData>
  <sheetProtection sheet="1" objects="1" scenarios="1"/>
  <mergeCells count="15">
    <mergeCell ref="A1:R1"/>
    <mergeCell ref="E2:F2"/>
    <mergeCell ref="G2:H2"/>
    <mergeCell ref="I2:J2"/>
    <mergeCell ref="K2:L2"/>
    <mergeCell ref="M2:N2"/>
    <mergeCell ref="O2:P2"/>
    <mergeCell ref="Q2:R2"/>
    <mergeCell ref="C2:D2"/>
    <mergeCell ref="A57:A59"/>
    <mergeCell ref="A4:A5"/>
    <mergeCell ref="A6:A15"/>
    <mergeCell ref="A16:A35"/>
    <mergeCell ref="A36:A43"/>
    <mergeCell ref="A44:A56"/>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sheetPr codeName="Sheet38">
    <tabColor theme="7" tint="0.79998168889431442"/>
  </sheetPr>
  <dimension ref="A1:R41"/>
  <sheetViews>
    <sheetView zoomScale="60" zoomScaleNormal="60" workbookViewId="0">
      <pane xSplit="3" ySplit="5" topLeftCell="D18"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10.85546875" defaultRowHeight="15"/>
  <cols>
    <col min="1" max="1" width="12.85546875" style="453" customWidth="1"/>
    <col min="2" max="2" width="16.42578125" style="453" customWidth="1"/>
    <col min="3" max="3" width="45.85546875" style="453" customWidth="1"/>
    <col min="4" max="4" width="7.85546875" style="407" bestFit="1" customWidth="1"/>
    <col min="5" max="5" width="20.140625" style="407" bestFit="1" customWidth="1"/>
    <col min="6" max="6" width="22.140625" style="407" bestFit="1" customWidth="1"/>
    <col min="7" max="7" width="16.140625" style="407" bestFit="1" customWidth="1"/>
    <col min="8" max="8" width="17.140625" style="479" bestFit="1" customWidth="1"/>
    <col min="9" max="9" width="10.85546875" style="407"/>
    <col min="10" max="10" width="10.85546875" style="479"/>
    <col min="11" max="11" width="16.140625" style="407" customWidth="1"/>
    <col min="12" max="12" width="13.5703125" style="407" customWidth="1"/>
    <col min="13" max="13" width="15.140625" style="479" customWidth="1"/>
    <col min="14" max="14" width="10.85546875" style="407"/>
    <col min="15" max="15" width="10.85546875" style="479"/>
    <col min="16" max="16" width="28.140625" style="453" customWidth="1"/>
    <col min="17" max="17" width="42.42578125" style="453" customWidth="1"/>
    <col min="18" max="16384" width="10.85546875" style="398"/>
  </cols>
  <sheetData>
    <row r="1" spans="1:18">
      <c r="A1" s="4650" t="s">
        <v>2125</v>
      </c>
      <c r="B1" s="4650"/>
      <c r="C1" s="4650"/>
      <c r="D1" s="866"/>
      <c r="E1" s="1115"/>
      <c r="F1" s="74" t="s">
        <v>3978</v>
      </c>
      <c r="G1" s="867"/>
      <c r="H1" s="867"/>
      <c r="I1" s="867"/>
      <c r="J1" s="867"/>
      <c r="K1" s="866"/>
      <c r="L1" s="866"/>
      <c r="M1" s="867"/>
    </row>
    <row r="2" spans="1:18" s="1139" customFormat="1" ht="30">
      <c r="A2" s="868" t="str">
        <f>HYPERLINK("#Index!F3", "Index Pg")</f>
        <v>Index Pg</v>
      </c>
      <c r="B2" s="684" t="str">
        <f>HYPERLINK("#'Summary of Abstracts'!A2", "Summary of Abst.")</f>
        <v>Summary of Abst.</v>
      </c>
      <c r="C2" s="403" t="str">
        <f>HYPERLINK("#'Budget Summary I'!A1:AL1", "Budget Summary I")</f>
        <v>Budget Summary I</v>
      </c>
      <c r="D2" s="1035"/>
      <c r="E2" s="710" t="s">
        <v>4599</v>
      </c>
      <c r="F2" s="135">
        <f>M25+M20+M17+M11+M9+M6+M23+M28</f>
        <v>0</v>
      </c>
      <c r="G2" s="599"/>
      <c r="H2" s="599"/>
      <c r="I2" s="599"/>
      <c r="J2" s="599"/>
      <c r="K2" s="600"/>
      <c r="L2" s="600"/>
      <c r="M2" s="599"/>
      <c r="N2" s="1040"/>
      <c r="O2" s="1137"/>
      <c r="P2" s="1138"/>
      <c r="Q2" s="1138"/>
    </row>
    <row r="3" spans="1:18" s="1125" customFormat="1">
      <c r="A3" s="872"/>
      <c r="B3" s="873"/>
      <c r="C3" s="924" t="str">
        <f>HYPERLINK("#'Budget Summary II'!A3:B5", "Budget Summary II")</f>
        <v>Budget Summary II</v>
      </c>
      <c r="D3" s="1035"/>
      <c r="E3" s="1127" t="s">
        <v>4600</v>
      </c>
      <c r="F3" s="335">
        <f>J25+J20+J17+J11+J9+J6+J23+J28</f>
        <v>0</v>
      </c>
      <c r="G3" s="599"/>
      <c r="H3" s="599"/>
      <c r="I3" s="599"/>
      <c r="J3" s="599"/>
      <c r="K3" s="600"/>
      <c r="L3" s="1121"/>
      <c r="M3" s="599"/>
      <c r="N3" s="1121"/>
      <c r="O3" s="1122"/>
      <c r="P3" s="1123"/>
      <c r="Q3" s="1123"/>
    </row>
    <row r="4" spans="1:18" s="407"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407" customFormat="1"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1022">
        <f>'2.SD Community Based Annex'!A7</f>
        <v>2</v>
      </c>
      <c r="B6" s="1022"/>
      <c r="C6" s="1022" t="str">
        <f>'2.SD Community Based Annex'!C7</f>
        <v>Service Delivery - Community Based</v>
      </c>
      <c r="D6" s="334"/>
      <c r="E6" s="334"/>
      <c r="F6" s="1009"/>
      <c r="G6" s="1009"/>
      <c r="H6" s="1010"/>
      <c r="I6" s="1009"/>
      <c r="J6" s="240"/>
      <c r="K6" s="1009"/>
      <c r="L6" s="1009"/>
      <c r="M6" s="240"/>
      <c r="N6" s="1089"/>
      <c r="O6" s="1110">
        <f>SUM(O7:O8)</f>
        <v>205.9</v>
      </c>
      <c r="P6" s="1111"/>
      <c r="Q6" s="1111"/>
      <c r="R6" s="1110">
        <f>SUM(R7:R8)</f>
        <v>0</v>
      </c>
    </row>
    <row r="7" spans="1:18" ht="90">
      <c r="A7" s="1030" t="str">
        <f>'2.SD Community Based Annex'!A60</f>
        <v>2.3.3.4.1</v>
      </c>
      <c r="B7" s="1030" t="str">
        <f>'2.SD Community Based Annex'!B60</f>
        <v>M.1.2.1</v>
      </c>
      <c r="C7" s="1030" t="str">
        <f>'2.SD Community Based Annex'!C60</f>
        <v>Coverage of Public School and Pvt School</v>
      </c>
      <c r="D7" s="487" t="str">
        <f>'2.SD Community Based Annex'!D60</f>
        <v>NCD</v>
      </c>
      <c r="E7" s="487" t="str">
        <f>'2.SD Community Based Annex'!E60</f>
        <v>NTCP</v>
      </c>
      <c r="F7" s="487">
        <f>'2.SD Community Based Annex'!F60</f>
        <v>0</v>
      </c>
      <c r="G7" s="487">
        <f>'2.SD Community Based Annex'!G60</f>
        <v>0</v>
      </c>
      <c r="H7" s="487">
        <f>'2.SD Community Based Annex'!H60</f>
        <v>0</v>
      </c>
      <c r="I7" s="487">
        <f>'2.SD Community Based Annex'!I60</f>
        <v>0</v>
      </c>
      <c r="J7" s="487">
        <f>'2.SD Community Based Annex'!J60</f>
        <v>0</v>
      </c>
      <c r="K7" s="487" t="str">
        <f>'2.SD Community Based Annex'!K60</f>
        <v>Per School</v>
      </c>
      <c r="L7" s="487">
        <f>'2.SD Community Based Annex'!L60</f>
        <v>5000</v>
      </c>
      <c r="M7" s="136">
        <f>'2.SD Community Based Annex'!M60</f>
        <v>0.05</v>
      </c>
      <c r="N7" s="487">
        <f>'2.SD Community Based Annex'!N60</f>
        <v>3738</v>
      </c>
      <c r="O7" s="136">
        <f>'2.SD Community Based Annex'!O60</f>
        <v>186.9</v>
      </c>
      <c r="P7" s="1030" t="str">
        <f>'2.SD Community Based Annex'!P60</f>
        <v>To implement ToFEI guidelines in 5 High Schools (Public) &amp; 2 Secondary/Senior Sec. School (Private) Per bolck @ 5000 per schools for 534 blocks</v>
      </c>
      <c r="Q7" s="62"/>
      <c r="R7" s="318"/>
    </row>
    <row r="8" spans="1:18" ht="60">
      <c r="A8" s="78" t="str">
        <f>'2.SD Community Based Annex'!A64</f>
        <v>2.3.3.4.5</v>
      </c>
      <c r="B8" s="78" t="str">
        <f>'2.SD Community Based Annex'!B64</f>
        <v>M.1.2.5</v>
      </c>
      <c r="C8" s="78" t="str">
        <f>'2.SD Community Based Annex'!C64</f>
        <v>Sensitization campaign for college students and other educational institutions</v>
      </c>
      <c r="D8" s="990" t="str">
        <f>'2.SD Community Based Annex'!D64</f>
        <v>NCD</v>
      </c>
      <c r="E8" s="990" t="str">
        <f>'2.SD Community Based Annex'!E64</f>
        <v>NTCP</v>
      </c>
      <c r="F8" s="990">
        <f>'2.SD Community Based Annex'!F64</f>
        <v>0</v>
      </c>
      <c r="G8" s="990">
        <f>'2.SD Community Based Annex'!G64</f>
        <v>0</v>
      </c>
      <c r="H8" s="990">
        <f>'2.SD Community Based Annex'!H64</f>
        <v>0</v>
      </c>
      <c r="I8" s="990">
        <f>'2.SD Community Based Annex'!I64</f>
        <v>0</v>
      </c>
      <c r="J8" s="990">
        <f>'2.SD Community Based Annex'!J64</f>
        <v>0</v>
      </c>
      <c r="K8" s="990" t="str">
        <f>'2.SD Community Based Annex'!K64</f>
        <v>Per College</v>
      </c>
      <c r="L8" s="990">
        <f>'2.SD Community Based Annex'!L64</f>
        <v>10000</v>
      </c>
      <c r="M8" s="136">
        <f>'2.SD Community Based Annex'!M64</f>
        <v>0.1</v>
      </c>
      <c r="N8" s="990">
        <f>'2.SD Community Based Annex'!N64</f>
        <v>190</v>
      </c>
      <c r="O8" s="136">
        <f>'2.SD Community Based Annex'!O64</f>
        <v>19</v>
      </c>
      <c r="P8" s="78" t="str">
        <f>'2.SD Community Based Annex'!P64</f>
        <v>To sensitize the college students regarding harmful effects of tobacco and to motivate them to quit.</v>
      </c>
      <c r="Q8" s="62"/>
      <c r="R8" s="318"/>
    </row>
    <row r="9" spans="1:18">
      <c r="A9" s="1022">
        <f>'3.Community Intervention Annexn'!A7</f>
        <v>3</v>
      </c>
      <c r="B9" s="1022"/>
      <c r="C9" s="1022" t="str">
        <f>'3.Community Intervention Annexn'!C7</f>
        <v>Community Interventions</v>
      </c>
      <c r="D9" s="334"/>
      <c r="E9" s="334"/>
      <c r="F9" s="1009"/>
      <c r="G9" s="1009"/>
      <c r="H9" s="1010"/>
      <c r="I9" s="1009"/>
      <c r="J9" s="240"/>
      <c r="K9" s="1009"/>
      <c r="L9" s="1009"/>
      <c r="M9" s="240"/>
      <c r="N9" s="1089"/>
      <c r="O9" s="1110">
        <f>O10</f>
        <v>9.5</v>
      </c>
      <c r="P9" s="1111"/>
      <c r="Q9" s="1112"/>
      <c r="R9" s="1113">
        <f>R10</f>
        <v>0</v>
      </c>
    </row>
    <row r="10" spans="1:18" ht="45">
      <c r="A10" s="78" t="str">
        <f>'3.Community Intervention Annexn'!A54</f>
        <v>3.3.3.2</v>
      </c>
      <c r="B10" s="78" t="str">
        <f>'3.Community Intervention Annexn'!B54</f>
        <v>M.1.1.4</v>
      </c>
      <c r="C10" s="78" t="str">
        <f>'3.Community Intervention Annexn'!C54</f>
        <v>Training of PRI's representatives/ Police personnel/ Teachers/ Transport personnel/ NGO personnel/ other stakeholders</v>
      </c>
      <c r="D10" s="990" t="str">
        <f>'3.Community Intervention Annexn'!D54</f>
        <v>NCD</v>
      </c>
      <c r="E10" s="990" t="str">
        <f>'3.Community Intervention Annexn'!E54</f>
        <v>NTCP</v>
      </c>
      <c r="F10" s="990">
        <f>'3.Community Intervention Annexn'!F54</f>
        <v>0</v>
      </c>
      <c r="G10" s="990">
        <f>'3.Community Intervention Annexn'!G54</f>
        <v>0</v>
      </c>
      <c r="H10" s="990">
        <f>'3.Community Intervention Annexn'!H54</f>
        <v>0</v>
      </c>
      <c r="I10" s="990">
        <f>'3.Community Intervention Annexn'!I54</f>
        <v>0</v>
      </c>
      <c r="J10" s="990">
        <f>'3.Community Intervention Annexn'!J54</f>
        <v>0</v>
      </c>
      <c r="K10" s="990" t="str">
        <f>'3.Community Intervention Annexn'!K54</f>
        <v>Per Training</v>
      </c>
      <c r="L10" s="990">
        <f>'3.Community Intervention Annexn'!L54</f>
        <v>25000</v>
      </c>
      <c r="M10" s="136">
        <f>'3.Community Intervention Annexn'!M54</f>
        <v>0.25</v>
      </c>
      <c r="N10" s="990">
        <f>'3.Community Intervention Annexn'!N54</f>
        <v>38</v>
      </c>
      <c r="O10" s="136">
        <f>'3.Community Intervention Annexn'!O54</f>
        <v>9.5</v>
      </c>
      <c r="P10" s="78" t="str">
        <f>'3.Community Intervention Annexn'!P54</f>
        <v>1 trainings per district proposed</v>
      </c>
      <c r="Q10" s="62"/>
      <c r="R10" s="318"/>
    </row>
    <row r="11" spans="1:18">
      <c r="A11" s="334">
        <f>'6.Procurement Annex'!A7</f>
        <v>6</v>
      </c>
      <c r="B11" s="334"/>
      <c r="C11" s="1022" t="e">
        <f>'6-A. Proc. Sub-Annex'!#REF!</f>
        <v>#REF!</v>
      </c>
      <c r="D11" s="334"/>
      <c r="E11" s="334"/>
      <c r="F11" s="1009"/>
      <c r="G11" s="1009"/>
      <c r="H11" s="1010"/>
      <c r="I11" s="1009"/>
      <c r="J11" s="240"/>
      <c r="K11" s="1009"/>
      <c r="L11" s="1009"/>
      <c r="M11" s="240"/>
      <c r="N11" s="1089"/>
      <c r="O11" s="1110">
        <f>SUM(O12:O16)</f>
        <v>57</v>
      </c>
      <c r="P11" s="1111"/>
      <c r="Q11" s="1112"/>
      <c r="R11" s="1113">
        <f>SUM(R12:R16)</f>
        <v>0</v>
      </c>
    </row>
    <row r="12" spans="1:18" ht="45">
      <c r="A12" s="4633" t="str">
        <f>'6.Procurement Annex'!A39</f>
        <v>6.1.5.4</v>
      </c>
      <c r="B12" s="990" t="str">
        <f>'6-A. Proc. Sub-Annex'!C110</f>
        <v>M.1.5.1</v>
      </c>
      <c r="C12" s="78" t="str">
        <f>'6-A. Proc. Sub-Annex'!D110</f>
        <v>Non-recurring: Equipment for DTCC</v>
      </c>
      <c r="D12" s="990" t="str">
        <f>'6-A. Proc. Sub-Annex'!E110</f>
        <v>NCD</v>
      </c>
      <c r="E12" s="990" t="str">
        <f>'6-A. Proc. Sub-Annex'!F110</f>
        <v>NTCP</v>
      </c>
      <c r="F12" s="990">
        <f>'6-A. Proc. Sub-Annex'!G110</f>
        <v>0</v>
      </c>
      <c r="G12" s="990">
        <f>'6-A. Proc. Sub-Annex'!H110</f>
        <v>0</v>
      </c>
      <c r="H12" s="990">
        <f>'6-A. Proc. Sub-Annex'!I110</f>
        <v>0</v>
      </c>
      <c r="I12" s="990">
        <f>'6-A. Proc. Sub-Annex'!J110</f>
        <v>0</v>
      </c>
      <c r="J12" s="990">
        <f>'6-A. Proc. Sub-Annex'!K110</f>
        <v>0</v>
      </c>
      <c r="K12" s="990" t="str">
        <f>'6-A. Proc. Sub-Annex'!L110</f>
        <v>per district</v>
      </c>
      <c r="L12" s="990">
        <f>'6-A. Proc. Sub-Annex'!M110</f>
        <v>100000</v>
      </c>
      <c r="M12" s="136">
        <f>'6-A. Proc. Sub-Annex'!N110</f>
        <v>1</v>
      </c>
      <c r="N12" s="990">
        <f>'6-A. Proc. Sub-Annex'!O110</f>
        <v>38</v>
      </c>
      <c r="O12" s="136">
        <f>'6-A. Proc. Sub-Annex'!P110</f>
        <v>38</v>
      </c>
      <c r="P12" s="78" t="str">
        <f>'6-A. Proc. Sub-Annex'!Q110</f>
        <v>For bare minimum office furnitures and other office equipments</v>
      </c>
      <c r="Q12" s="62"/>
      <c r="R12" s="318"/>
    </row>
    <row r="13" spans="1:18">
      <c r="A13" s="4633"/>
      <c r="B13" s="990" t="str">
        <f>'6-A. Proc. Sub-Annex'!C111</f>
        <v>M.2.3.1</v>
      </c>
      <c r="C13" s="78" t="str">
        <f>'6-A. Proc. Sub-Annex'!D111</f>
        <v>Non-recurring: Equipment for TCC</v>
      </c>
      <c r="D13" s="990" t="str">
        <f>'6-A. Proc. Sub-Annex'!E111</f>
        <v>NCD</v>
      </c>
      <c r="E13" s="990" t="str">
        <f>'6-A. Proc. Sub-Annex'!F111</f>
        <v>NTCP</v>
      </c>
      <c r="F13" s="990">
        <f>'6-A. Proc. Sub-Annex'!G111</f>
        <v>0</v>
      </c>
      <c r="G13" s="990">
        <f>'6-A. Proc. Sub-Annex'!H111</f>
        <v>0</v>
      </c>
      <c r="H13" s="990">
        <f>'6-A. Proc. Sub-Annex'!I111</f>
        <v>0</v>
      </c>
      <c r="I13" s="990">
        <f>'6-A. Proc. Sub-Annex'!J111</f>
        <v>0</v>
      </c>
      <c r="J13" s="990">
        <f>'6-A. Proc. Sub-Annex'!K111</f>
        <v>0</v>
      </c>
      <c r="K13" s="990">
        <f>'6-A. Proc. Sub-Annex'!L111</f>
        <v>0</v>
      </c>
      <c r="L13" s="990">
        <f>'6-A. Proc. Sub-Annex'!M111</f>
        <v>0</v>
      </c>
      <c r="M13" s="136">
        <f>'6-A. Proc. Sub-Annex'!N111</f>
        <v>0</v>
      </c>
      <c r="N13" s="990">
        <f>'6-A. Proc. Sub-Annex'!O111</f>
        <v>0</v>
      </c>
      <c r="O13" s="136">
        <f>'6-A. Proc. Sub-Annex'!P111</f>
        <v>0</v>
      </c>
      <c r="P13" s="78">
        <f>'6-A. Proc. Sub-Annex'!Q111</f>
        <v>0</v>
      </c>
      <c r="Q13" s="62"/>
      <c r="R13" s="318"/>
    </row>
    <row r="14" spans="1:18">
      <c r="A14" s="4633"/>
      <c r="B14" s="990">
        <f>'6-A. Proc. Sub-Annex'!C112</f>
        <v>0</v>
      </c>
      <c r="C14" s="78" t="str">
        <f>'6-A. Proc. Sub-Annex'!D112</f>
        <v>Any other equipment (please specify)</v>
      </c>
      <c r="D14" s="990" t="str">
        <f>'6-A. Proc. Sub-Annex'!E112</f>
        <v>NCD</v>
      </c>
      <c r="E14" s="990" t="str">
        <f>'6-A. Proc. Sub-Annex'!F112</f>
        <v>NTCP</v>
      </c>
      <c r="F14" s="990">
        <f>'6-A. Proc. Sub-Annex'!G112</f>
        <v>0</v>
      </c>
      <c r="G14" s="990">
        <f>'6-A. Proc. Sub-Annex'!H112</f>
        <v>0</v>
      </c>
      <c r="H14" s="990">
        <f>'6-A. Proc. Sub-Annex'!I112</f>
        <v>0</v>
      </c>
      <c r="I14" s="990">
        <f>'6-A. Proc. Sub-Annex'!J112</f>
        <v>0</v>
      </c>
      <c r="J14" s="990">
        <f>'6-A. Proc. Sub-Annex'!K112</f>
        <v>0</v>
      </c>
      <c r="K14" s="990">
        <f>'6-A. Proc. Sub-Annex'!L112</f>
        <v>0</v>
      </c>
      <c r="L14" s="990">
        <f>'6-A. Proc. Sub-Annex'!M112</f>
        <v>0</v>
      </c>
      <c r="M14" s="136">
        <f>'6-A. Proc. Sub-Annex'!N112</f>
        <v>0</v>
      </c>
      <c r="N14" s="990">
        <f>'6-A. Proc. Sub-Annex'!O112</f>
        <v>0</v>
      </c>
      <c r="O14" s="136">
        <f>'6-A. Proc. Sub-Annex'!P112</f>
        <v>0</v>
      </c>
      <c r="P14" s="78">
        <f>'6-A. Proc. Sub-Annex'!Q112</f>
        <v>0</v>
      </c>
      <c r="Q14" s="62"/>
      <c r="R14" s="318"/>
    </row>
    <row r="15" spans="1:18" ht="60">
      <c r="A15" s="4633" t="str">
        <f>'6.Procurement Annex'!A82</f>
        <v>6.2.4.4</v>
      </c>
      <c r="B15" s="990" t="str">
        <f>'6-A. Proc. Sub-Annex'!C260</f>
        <v>B.16.2.11.7</v>
      </c>
      <c r="C15" s="78" t="str">
        <f>'6-A. Proc. Sub-Annex'!D260</f>
        <v>Procurement of medicine &amp; consumables for TCC under NTCP</v>
      </c>
      <c r="D15" s="990" t="str">
        <f>'6-A. Proc. Sub-Annex'!E260</f>
        <v>NCD</v>
      </c>
      <c r="E15" s="990" t="str">
        <f>'6-A. Proc. Sub-Annex'!F260</f>
        <v>NTCP</v>
      </c>
      <c r="F15" s="990">
        <f>'6-A. Proc. Sub-Annex'!G260</f>
        <v>0</v>
      </c>
      <c r="G15" s="990">
        <f>'6-A. Proc. Sub-Annex'!H260</f>
        <v>0</v>
      </c>
      <c r="H15" s="990">
        <f>'6-A. Proc. Sub-Annex'!I260</f>
        <v>0</v>
      </c>
      <c r="I15" s="990">
        <f>'6-A. Proc. Sub-Annex'!J260</f>
        <v>0</v>
      </c>
      <c r="J15" s="990">
        <f>'6-A. Proc. Sub-Annex'!K260</f>
        <v>0</v>
      </c>
      <c r="K15" s="990" t="str">
        <f>'6-A. Proc. Sub-Annex'!L260</f>
        <v>per district</v>
      </c>
      <c r="L15" s="990">
        <f>'6-A. Proc. Sub-Annex'!M260</f>
        <v>50000</v>
      </c>
      <c r="M15" s="136">
        <f>'6-A. Proc. Sub-Annex'!N260</f>
        <v>0.5</v>
      </c>
      <c r="N15" s="990">
        <f>'6-A. Proc. Sub-Annex'!O260</f>
        <v>38</v>
      </c>
      <c r="O15" s="136">
        <f>'6-A. Proc. Sub-Annex'!P260</f>
        <v>19</v>
      </c>
      <c r="P15" s="78" t="str">
        <f>'6-A. Proc. Sub-Annex'!Q260</f>
        <v>For procurement of Tobacco cessation drugs, anti-tobacco patches and other equipments ( CO Monitor)</v>
      </c>
      <c r="Q15" s="62"/>
      <c r="R15" s="318"/>
    </row>
    <row r="16" spans="1:18">
      <c r="A16" s="4633"/>
      <c r="B16" s="990">
        <f>'6-A. Proc. Sub-Annex'!C261</f>
        <v>0</v>
      </c>
      <c r="C16" s="78" t="str">
        <f>'6-A. Proc. Sub-Annex'!D261</f>
        <v>Any other drugs &amp; supplies (please specify)</v>
      </c>
      <c r="D16" s="990" t="str">
        <f>'6-A. Proc. Sub-Annex'!E261</f>
        <v>NCD</v>
      </c>
      <c r="E16" s="990" t="str">
        <f>'6-A. Proc. Sub-Annex'!F261</f>
        <v>NTCP</v>
      </c>
      <c r="F16" s="990">
        <f>'6-A. Proc. Sub-Annex'!G261</f>
        <v>0</v>
      </c>
      <c r="G16" s="990">
        <f>'6-A. Proc. Sub-Annex'!H261</f>
        <v>0</v>
      </c>
      <c r="H16" s="990">
        <f>'6-A. Proc. Sub-Annex'!I261</f>
        <v>0</v>
      </c>
      <c r="I16" s="990">
        <f>'6-A. Proc. Sub-Annex'!J261</f>
        <v>0</v>
      </c>
      <c r="J16" s="990">
        <f>'6-A. Proc. Sub-Annex'!K261</f>
        <v>0</v>
      </c>
      <c r="K16" s="990">
        <f>'6-A. Proc. Sub-Annex'!L261</f>
        <v>0</v>
      </c>
      <c r="L16" s="990">
        <f>'6-A. Proc. Sub-Annex'!M261</f>
        <v>0</v>
      </c>
      <c r="M16" s="136">
        <f>'6-A. Proc. Sub-Annex'!N261</f>
        <v>0</v>
      </c>
      <c r="N16" s="990">
        <f>'6-A. Proc. Sub-Annex'!O261</f>
        <v>0</v>
      </c>
      <c r="O16" s="136">
        <f>'6-A. Proc. Sub-Annex'!P261</f>
        <v>0</v>
      </c>
      <c r="P16" s="78">
        <f>'6-A. Proc. Sub-Annex'!Q261</f>
        <v>0</v>
      </c>
      <c r="Q16" s="62"/>
      <c r="R16" s="318"/>
    </row>
    <row r="17" spans="1:18">
      <c r="A17" s="334">
        <f>'9.Training Annex'!A7</f>
        <v>9</v>
      </c>
      <c r="B17" s="334"/>
      <c r="C17" s="1022" t="str">
        <f>'9.Training Annex'!C7</f>
        <v>Training and Capacity Building</v>
      </c>
      <c r="D17" s="334"/>
      <c r="E17" s="334"/>
      <c r="F17" s="1009"/>
      <c r="G17" s="1009"/>
      <c r="H17" s="1010"/>
      <c r="I17" s="1009"/>
      <c r="J17" s="240"/>
      <c r="K17" s="1009"/>
      <c r="L17" s="1009"/>
      <c r="M17" s="240"/>
      <c r="N17" s="1089"/>
      <c r="O17" s="1110">
        <f>SUM(O18:O19)</f>
        <v>11.5</v>
      </c>
      <c r="P17" s="1111"/>
      <c r="Q17" s="1112"/>
      <c r="R17" s="1113">
        <f>SUM(R18:R19)</f>
        <v>0</v>
      </c>
    </row>
    <row r="18" spans="1:18" ht="45">
      <c r="A18" s="4633" t="str">
        <f>'9.Training Annex'!A58</f>
        <v>9.2.4.4</v>
      </c>
      <c r="B18" s="990" t="str">
        <f>'9-A.Training Sub-Annex'!C260</f>
        <v>M.1.1</v>
      </c>
      <c r="C18" s="78" t="str">
        <f>'9-A.Training Sub-Annex'!D260</f>
        <v>Trainings under NTCP at District level</v>
      </c>
      <c r="D18" s="990" t="str">
        <f>'9-A.Training Sub-Annex'!E260</f>
        <v>NCD</v>
      </c>
      <c r="E18" s="990" t="str">
        <f>'9-A.Training Sub-Annex'!F260</f>
        <v>NTCP</v>
      </c>
      <c r="F18" s="990">
        <f>'9-A.Training Sub-Annex'!G260</f>
        <v>0</v>
      </c>
      <c r="G18" s="990">
        <f>'9-A.Training Sub-Annex'!H260</f>
        <v>0</v>
      </c>
      <c r="H18" s="990">
        <f>'9-A.Training Sub-Annex'!I260</f>
        <v>0</v>
      </c>
      <c r="I18" s="990">
        <f>'9-A.Training Sub-Annex'!J260</f>
        <v>0</v>
      </c>
      <c r="J18" s="990">
        <f>'9-A.Training Sub-Annex'!K260</f>
        <v>0</v>
      </c>
      <c r="K18" s="990" t="str">
        <f>'9-A.Training Sub-Annex'!L260</f>
        <v>per district</v>
      </c>
      <c r="L18" s="990">
        <f>'9-A.Training Sub-Annex'!M260</f>
        <v>25000</v>
      </c>
      <c r="M18" s="136">
        <f>'9-A.Training Sub-Annex'!N260</f>
        <v>0.25</v>
      </c>
      <c r="N18" s="990">
        <f>'9-A.Training Sub-Annex'!O260</f>
        <v>38</v>
      </c>
      <c r="O18" s="136">
        <f>'9-A.Training Sub-Annex'!P260</f>
        <v>9.5</v>
      </c>
      <c r="P18" s="78" t="str">
        <f>'9-A.Training Sub-Annex'!Q260</f>
        <v>Proposal for 1 training a year for various stakeholders of tobacco control program</v>
      </c>
      <c r="Q18" s="62"/>
      <c r="R18" s="318"/>
    </row>
    <row r="19" spans="1:18" ht="60">
      <c r="A19" s="4633"/>
      <c r="B19" s="990" t="str">
        <f>'9-A.Training Sub-Annex'!C261</f>
        <v>M.3.1</v>
      </c>
      <c r="C19" s="78" t="str">
        <f>'9-A.Training Sub-Annex'!D261</f>
        <v>Trainings under NTCP at State level</v>
      </c>
      <c r="D19" s="990" t="str">
        <f>'9-A.Training Sub-Annex'!E261</f>
        <v>NCD</v>
      </c>
      <c r="E19" s="990" t="str">
        <f>'9-A.Training Sub-Annex'!F261</f>
        <v>NTCP</v>
      </c>
      <c r="F19" s="990">
        <f>'9-A.Training Sub-Annex'!G261</f>
        <v>0</v>
      </c>
      <c r="G19" s="990">
        <f>'9-A.Training Sub-Annex'!H261</f>
        <v>0</v>
      </c>
      <c r="H19" s="990">
        <f>'9-A.Training Sub-Annex'!I261</f>
        <v>0</v>
      </c>
      <c r="I19" s="990">
        <f>'9-A.Training Sub-Annex'!J261</f>
        <v>0</v>
      </c>
      <c r="J19" s="990">
        <f>'9-A.Training Sub-Annex'!K261</f>
        <v>0</v>
      </c>
      <c r="K19" s="990" t="str">
        <f>'9-A.Training Sub-Annex'!L261</f>
        <v>per state level</v>
      </c>
      <c r="L19" s="990">
        <f>'9-A.Training Sub-Annex'!M261</f>
        <v>100000</v>
      </c>
      <c r="M19" s="136">
        <f>'9-A.Training Sub-Annex'!N261</f>
        <v>1</v>
      </c>
      <c r="N19" s="990">
        <f>'9-A.Training Sub-Annex'!O261</f>
        <v>2</v>
      </c>
      <c r="O19" s="136">
        <f>'9-A.Training Sub-Annex'!P261</f>
        <v>2</v>
      </c>
      <c r="P19" s="78" t="str">
        <f>'9-A.Training Sub-Annex'!Q261</f>
        <v>For State level advocacy workshop, Training of trainers/refresher trainings and other trainings</v>
      </c>
      <c r="Q19" s="62"/>
      <c r="R19" s="318"/>
    </row>
    <row r="20" spans="1:18">
      <c r="A20" s="334">
        <f>'10.Review Research &amp; Surveillen'!A7</f>
        <v>10</v>
      </c>
      <c r="B20" s="334"/>
      <c r="C20" s="1022" t="str">
        <f>'10.Review Research &amp; Surveillen'!C7</f>
        <v>Reviews, Research, Surveys and Surveillance</v>
      </c>
      <c r="D20" s="334"/>
      <c r="E20" s="334"/>
      <c r="F20" s="1009"/>
      <c r="G20" s="1009"/>
      <c r="H20" s="1010"/>
      <c r="I20" s="1009"/>
      <c r="J20" s="240"/>
      <c r="K20" s="1009"/>
      <c r="L20" s="1009"/>
      <c r="M20" s="240"/>
      <c r="N20" s="1089"/>
      <c r="O20" s="1110">
        <f>SUM(O21:O22)</f>
        <v>0</v>
      </c>
      <c r="P20" s="1111"/>
      <c r="Q20" s="1112"/>
      <c r="R20" s="1113">
        <f>SUM(R21:R22)</f>
        <v>0</v>
      </c>
    </row>
    <row r="21" spans="1:18" ht="30">
      <c r="A21" s="1031" t="str">
        <f>'10.Review Research &amp; Surveillen'!A27</f>
        <v>10.2.10</v>
      </c>
      <c r="B21" s="1031" t="str">
        <f>'10.Review Research &amp; Surveillen'!B27</f>
        <v>M.1.3.4</v>
      </c>
      <c r="C21" s="1002" t="str">
        <f>'10.Review Research &amp; Surveillen'!C27</f>
        <v>Baseline/Endline surveys/ Research studies (DTCC)</v>
      </c>
      <c r="D21" s="1031" t="str">
        <f>'10.Review Research &amp; Surveillen'!D27</f>
        <v>NCD</v>
      </c>
      <c r="E21" s="1031" t="str">
        <f>'10.Review Research &amp; Surveillen'!E27</f>
        <v>NTCP</v>
      </c>
      <c r="F21" s="1045">
        <f>'10.Review Research &amp; Surveillen'!F27</f>
        <v>0</v>
      </c>
      <c r="G21" s="1045">
        <f>'10.Review Research &amp; Surveillen'!G27</f>
        <v>0</v>
      </c>
      <c r="H21" s="1045">
        <f>'10.Review Research &amp; Surveillen'!H27</f>
        <v>0</v>
      </c>
      <c r="I21" s="1045">
        <f>'10.Review Research &amp; Surveillen'!I27</f>
        <v>0</v>
      </c>
      <c r="J21" s="1045">
        <f>'10.Review Research &amp; Surveillen'!J27</f>
        <v>0</v>
      </c>
      <c r="K21" s="1045">
        <f>'10.Review Research &amp; Surveillen'!K27</f>
        <v>0</v>
      </c>
      <c r="L21" s="1045">
        <f>'10.Review Research &amp; Surveillen'!L27</f>
        <v>0</v>
      </c>
      <c r="M21" s="136">
        <f>'10.Review Research &amp; Surveillen'!M27</f>
        <v>0</v>
      </c>
      <c r="N21" s="1045">
        <f>'10.Review Research &amp; Surveillen'!N27</f>
        <v>0</v>
      </c>
      <c r="O21" s="136">
        <f>'10.Review Research &amp; Surveillen'!O27</f>
        <v>0</v>
      </c>
      <c r="P21" s="1003">
        <f>'10.Review Research &amp; Surveillen'!P27</f>
        <v>0</v>
      </c>
      <c r="Q21" s="62"/>
      <c r="R21" s="318"/>
    </row>
    <row r="22" spans="1:18" ht="30">
      <c r="A22" s="1031" t="str">
        <f>'10.Review Research &amp; Surveillen'!A28</f>
        <v>10.2.11</v>
      </c>
      <c r="B22" s="1031" t="str">
        <f>'10.Review Research &amp; Surveillen'!B28</f>
        <v>M.3.2.2</v>
      </c>
      <c r="C22" s="1002" t="str">
        <f>'10.Review Research &amp; Surveillen'!C28</f>
        <v>Baseline/Endline surveys/ Research studies (STCC)</v>
      </c>
      <c r="D22" s="1031" t="str">
        <f>'10.Review Research &amp; Surveillen'!D28</f>
        <v>NCD</v>
      </c>
      <c r="E22" s="1031" t="str">
        <f>'10.Review Research &amp; Surveillen'!E28</f>
        <v>NTCP</v>
      </c>
      <c r="F22" s="1045">
        <f>'10.Review Research &amp; Surveillen'!F28</f>
        <v>0</v>
      </c>
      <c r="G22" s="1045">
        <f>'10.Review Research &amp; Surveillen'!G28</f>
        <v>0</v>
      </c>
      <c r="H22" s="1045">
        <f>'10.Review Research &amp; Surveillen'!H28</f>
        <v>0</v>
      </c>
      <c r="I22" s="1045">
        <f>'10.Review Research &amp; Surveillen'!I28</f>
        <v>0</v>
      </c>
      <c r="J22" s="1045">
        <f>'10.Review Research &amp; Surveillen'!J28</f>
        <v>0</v>
      </c>
      <c r="K22" s="1045">
        <f>'10.Review Research &amp; Surveillen'!K28</f>
        <v>0</v>
      </c>
      <c r="L22" s="1045">
        <f>'10.Review Research &amp; Surveillen'!L28</f>
        <v>0</v>
      </c>
      <c r="M22" s="136">
        <f>'10.Review Research &amp; Surveillen'!M28</f>
        <v>0</v>
      </c>
      <c r="N22" s="1045">
        <f>'10.Review Research &amp; Surveillen'!N28</f>
        <v>0</v>
      </c>
      <c r="O22" s="136">
        <f>'10.Review Research &amp; Surveillen'!O28</f>
        <v>0</v>
      </c>
      <c r="P22" s="1003">
        <f>'10.Review Research &amp; Surveillen'!P28</f>
        <v>0</v>
      </c>
      <c r="Q22" s="62"/>
      <c r="R22" s="318"/>
    </row>
    <row r="23" spans="1:18">
      <c r="A23" s="334">
        <f>'11.IEC-BCC Annex'!A7</f>
        <v>11</v>
      </c>
      <c r="B23" s="334"/>
      <c r="C23" s="1022" t="str">
        <f>'11.IEC-BCC Annex'!C7</f>
        <v>IEC/BCC</v>
      </c>
      <c r="D23" s="334"/>
      <c r="E23" s="334"/>
      <c r="F23" s="334"/>
      <c r="G23" s="334"/>
      <c r="H23" s="240"/>
      <c r="I23" s="334"/>
      <c r="J23" s="240"/>
      <c r="K23" s="334"/>
      <c r="L23" s="334"/>
      <c r="M23" s="240"/>
      <c r="N23" s="1089"/>
      <c r="O23" s="1110">
        <f>O24</f>
        <v>12</v>
      </c>
      <c r="P23" s="1111"/>
      <c r="Q23" s="1112"/>
      <c r="R23" s="1113">
        <f>R24</f>
        <v>0</v>
      </c>
    </row>
    <row r="24" spans="1:18" ht="135">
      <c r="A24" s="1031" t="str">
        <f>'11.IEC-BCC Annex'!A35</f>
        <v>11.4.4</v>
      </c>
      <c r="B24" s="1031" t="str">
        <f>'11-A. IEC Sub-Annex'!C88</f>
        <v>B.10.6.14</v>
      </c>
      <c r="C24" s="1002" t="str">
        <f>'11-A. IEC Sub-Annex'!D88</f>
        <v>IEC/BCC for NTCP</v>
      </c>
      <c r="D24" s="1031" t="str">
        <f>'11-A. IEC Sub-Annex'!E88</f>
        <v>NCD</v>
      </c>
      <c r="E24" s="1031" t="str">
        <f>'11-A. IEC Sub-Annex'!F88</f>
        <v>NTCP</v>
      </c>
      <c r="F24" s="1045">
        <f>'11-A. IEC Sub-Annex'!G88</f>
        <v>0</v>
      </c>
      <c r="G24" s="1045">
        <f>'11-A. IEC Sub-Annex'!H88</f>
        <v>0</v>
      </c>
      <c r="H24" s="1045">
        <f>'11-A. IEC Sub-Annex'!I88</f>
        <v>0</v>
      </c>
      <c r="I24" s="1045">
        <f>'11-A. IEC Sub-Annex'!J88</f>
        <v>0</v>
      </c>
      <c r="J24" s="1045">
        <f>'11-A. IEC Sub-Annex'!K88</f>
        <v>0</v>
      </c>
      <c r="K24" s="1045" t="str">
        <f>'11-A. IEC Sub-Annex'!L88</f>
        <v>per district</v>
      </c>
      <c r="L24" s="1045">
        <f>'11-A. IEC Sub-Annex'!M88</f>
        <v>31578.947368421053</v>
      </c>
      <c r="M24" s="136">
        <f>'11-A. IEC Sub-Annex'!N88</f>
        <v>0.31578947368421051</v>
      </c>
      <c r="N24" s="1045">
        <f>'11-A. IEC Sub-Annex'!O88</f>
        <v>38</v>
      </c>
      <c r="O24" s="136">
        <f>'11-A. IEC Sub-Annex'!P88</f>
        <v>12</v>
      </c>
      <c r="P24" s="1003" t="str">
        <f>'11-A. IEC Sub-Annex'!Q88</f>
        <v>Hoarding Banner/Hoarding (as required) at all prominent places including Govt. buildings &amp; health institutions, Posters regarding control of tobacco use for govt. institutions including HWCs, Advt., Radio Jingles or another IEC activities etc.</v>
      </c>
      <c r="Q24" s="62"/>
      <c r="R24" s="318"/>
    </row>
    <row r="25" spans="1:18">
      <c r="A25" s="334">
        <f>'12.Printing Annex'!A7</f>
        <v>12</v>
      </c>
      <c r="B25" s="334"/>
      <c r="C25" s="1022" t="str">
        <f>'12.Printing Annex'!C7</f>
        <v>Printing</v>
      </c>
      <c r="D25" s="334"/>
      <c r="E25" s="334"/>
      <c r="F25" s="334"/>
      <c r="G25" s="334"/>
      <c r="H25" s="240"/>
      <c r="I25" s="334"/>
      <c r="J25" s="240"/>
      <c r="K25" s="334"/>
      <c r="L25" s="334"/>
      <c r="M25" s="240"/>
      <c r="N25" s="1089"/>
      <c r="O25" s="1110">
        <f>SUM(O26:O27)</f>
        <v>5</v>
      </c>
      <c r="P25" s="1111"/>
      <c r="Q25" s="1112"/>
      <c r="R25" s="1113">
        <f>SUM(R26:R27)</f>
        <v>0</v>
      </c>
    </row>
    <row r="26" spans="1:18" ht="30">
      <c r="A26" s="4633" t="str">
        <f>'12.Printing Annex'!A26</f>
        <v>12.3.1</v>
      </c>
      <c r="B26" s="990" t="str">
        <f>'12-A. Print Sub-Annex'!C96</f>
        <v>B.10.7.4.11</v>
      </c>
      <c r="C26" s="78" t="str">
        <f>'12-A. Print Sub-Annex'!D96</f>
        <v>Printing of Challan Books under NTCP</v>
      </c>
      <c r="D26" s="990" t="str">
        <f>'12-A. Print Sub-Annex'!E96</f>
        <v>NCD</v>
      </c>
      <c r="E26" s="990" t="str">
        <f>'12-A. Print Sub-Annex'!F96</f>
        <v>NTCP</v>
      </c>
      <c r="F26" s="990">
        <f>'12-A. Print Sub-Annex'!G96</f>
        <v>0</v>
      </c>
      <c r="G26" s="990">
        <f>'12-A. Print Sub-Annex'!H96</f>
        <v>0</v>
      </c>
      <c r="H26" s="990">
        <f>'12-A. Print Sub-Annex'!I96</f>
        <v>0</v>
      </c>
      <c r="I26" s="990">
        <f>'12-A. Print Sub-Annex'!J96</f>
        <v>0</v>
      </c>
      <c r="J26" s="990">
        <f>'12-A. Print Sub-Annex'!K96</f>
        <v>0</v>
      </c>
      <c r="K26" s="990" t="str">
        <f>'12-A. Print Sub-Annex'!L96</f>
        <v>Per Unit</v>
      </c>
      <c r="L26" s="990">
        <f>'12-A. Print Sub-Annex'!M96</f>
        <v>500000</v>
      </c>
      <c r="M26" s="136">
        <f>'12-A. Print Sub-Annex'!N96</f>
        <v>5</v>
      </c>
      <c r="N26" s="990">
        <f>'12-A. Print Sub-Annex'!O96</f>
        <v>1</v>
      </c>
      <c r="O26" s="136">
        <f>'12-A. Print Sub-Annex'!P96</f>
        <v>5</v>
      </c>
      <c r="P26" s="78" t="str">
        <f>'12-A. Print Sub-Annex'!Q96</f>
        <v>Printing of challan books etc. as required.</v>
      </c>
      <c r="Q26" s="62"/>
      <c r="R26" s="318"/>
    </row>
    <row r="27" spans="1:18">
      <c r="A27" s="4633"/>
      <c r="B27" s="990"/>
      <c r="C27" s="78" t="str">
        <f>'12-A. Print Sub-Annex'!D97</f>
        <v>Any other (please specify)</v>
      </c>
      <c r="D27" s="990" t="str">
        <f>'12-A. Print Sub-Annex'!E97</f>
        <v>NCD</v>
      </c>
      <c r="E27" s="990" t="str">
        <f>'12-A. Print Sub-Annex'!F97</f>
        <v>NTCP</v>
      </c>
      <c r="F27" s="990">
        <f>'12-A. Print Sub-Annex'!G97</f>
        <v>0</v>
      </c>
      <c r="G27" s="990">
        <f>'12-A. Print Sub-Annex'!H97</f>
        <v>0</v>
      </c>
      <c r="H27" s="990">
        <f>'12-A. Print Sub-Annex'!I97</f>
        <v>0</v>
      </c>
      <c r="I27" s="990">
        <f>'12-A. Print Sub-Annex'!J97</f>
        <v>0</v>
      </c>
      <c r="J27" s="990">
        <f>'12-A. Print Sub-Annex'!K97</f>
        <v>0</v>
      </c>
      <c r="K27" s="990">
        <f>'12-A. Print Sub-Annex'!L97</f>
        <v>0</v>
      </c>
      <c r="L27" s="990">
        <f>'12-A. Print Sub-Annex'!M97</f>
        <v>0</v>
      </c>
      <c r="M27" s="136">
        <f>'12-A. Print Sub-Annex'!N97</f>
        <v>0</v>
      </c>
      <c r="N27" s="990">
        <f>'12-A. Print Sub-Annex'!O97</f>
        <v>0</v>
      </c>
      <c r="O27" s="136">
        <f>'12-A. Print Sub-Annex'!P97</f>
        <v>0</v>
      </c>
      <c r="P27" s="78">
        <f>'12-A. Print Sub-Annex'!Q97</f>
        <v>0</v>
      </c>
      <c r="Q27" s="62"/>
      <c r="R27" s="318"/>
    </row>
    <row r="28" spans="1:18">
      <c r="A28" s="417">
        <f>'16.PM Annex'!A7</f>
        <v>16</v>
      </c>
      <c r="B28" s="417">
        <f>'16.PM Annex'!B7</f>
        <v>0</v>
      </c>
      <c r="C28" s="416" t="str">
        <f>'16.PM Annex'!C7</f>
        <v>Programme Management</v>
      </c>
      <c r="D28" s="417"/>
      <c r="E28" s="417"/>
      <c r="F28" s="417"/>
      <c r="G28" s="417"/>
      <c r="H28" s="240"/>
      <c r="I28" s="417"/>
      <c r="J28" s="240"/>
      <c r="K28" s="1140"/>
      <c r="L28" s="1140"/>
      <c r="M28" s="240"/>
      <c r="N28" s="1089"/>
      <c r="O28" s="1110">
        <f>SUM(O29:O35)</f>
        <v>37.6</v>
      </c>
      <c r="P28" s="1111"/>
      <c r="Q28" s="1112"/>
      <c r="R28" s="1113">
        <f>SUM(R29:R35)</f>
        <v>0</v>
      </c>
    </row>
    <row r="29" spans="1:18" ht="30">
      <c r="A29" s="990" t="str">
        <f>'16-A. PM sub Annex'!B42</f>
        <v>16.1.2.1.22</v>
      </c>
      <c r="B29" s="990" t="str">
        <f>'16-A. PM sub Annex'!D42</f>
        <v>M.2.1.2</v>
      </c>
      <c r="C29" s="78" t="str">
        <f>'16-A. PM sub Annex'!E42</f>
        <v>Monthly meeting with the hospital staff, Weekly FGD with the tobacco users</v>
      </c>
      <c r="D29" s="990" t="str">
        <f>'16-A. PM sub Annex'!F42</f>
        <v>NCD</v>
      </c>
      <c r="E29" s="990" t="str">
        <f>'16-A. PM sub Annex'!G42</f>
        <v>HRH&amp;HPIP/NTCP</v>
      </c>
      <c r="F29" s="990">
        <f>'16-A. PM sub Annex'!H42</f>
        <v>0</v>
      </c>
      <c r="G29" s="990">
        <f>'16-A. PM sub Annex'!I42</f>
        <v>0</v>
      </c>
      <c r="H29" s="990">
        <f>'16-A. PM sub Annex'!J42</f>
        <v>0</v>
      </c>
      <c r="I29" s="990">
        <f>'16-A. PM sub Annex'!K42</f>
        <v>0</v>
      </c>
      <c r="J29" s="990">
        <f>'16-A. PM sub Annex'!L42</f>
        <v>0</v>
      </c>
      <c r="K29" s="990" t="str">
        <f>'16-A. PM sub Annex'!M42</f>
        <v>per district</v>
      </c>
      <c r="L29" s="990">
        <f>'16-A. PM sub Annex'!N42</f>
        <v>1000</v>
      </c>
      <c r="M29" s="136">
        <f>'16-A. PM sub Annex'!O42</f>
        <v>0.01</v>
      </c>
      <c r="N29" s="990">
        <f>'16-A. PM sub Annex'!P42</f>
        <v>1976</v>
      </c>
      <c r="O29" s="136">
        <f>'16-A. PM sub Annex'!Q42</f>
        <v>19.760000000000002</v>
      </c>
      <c r="P29" s="78" t="str">
        <f>'16-A. PM sub Annex'!R42</f>
        <v>weekly FGD @1000 for 52 weeks for 38 districts</v>
      </c>
      <c r="Q29" s="62"/>
      <c r="R29" s="318"/>
    </row>
    <row r="30" spans="1:18">
      <c r="A30" s="990" t="str">
        <f>'16-A. PM sub Annex'!B86</f>
        <v>16.1.3.1.18.2</v>
      </c>
      <c r="B30" s="990" t="str">
        <f>'16-A. PM sub Annex'!D86</f>
        <v>M.3.3.2</v>
      </c>
      <c r="C30" s="78" t="str">
        <f>'16-A. PM sub Annex'!E86</f>
        <v>Hiring of Operational Vehicle under NTCP</v>
      </c>
      <c r="D30" s="990" t="str">
        <f>'16-A. PM sub Annex'!F86</f>
        <v>NCD</v>
      </c>
      <c r="E30" s="990" t="str">
        <f>'16-A. PM sub Annex'!G86</f>
        <v>HRH&amp;HPIP/NTCP</v>
      </c>
      <c r="F30" s="990">
        <f>'16-A. PM sub Annex'!H86</f>
        <v>0</v>
      </c>
      <c r="G30" s="990">
        <f>'16-A. PM sub Annex'!I86</f>
        <v>0</v>
      </c>
      <c r="H30" s="990">
        <f>'16-A. PM sub Annex'!J86</f>
        <v>0</v>
      </c>
      <c r="I30" s="990">
        <f>'16-A. PM sub Annex'!K86</f>
        <v>0</v>
      </c>
      <c r="J30" s="990">
        <f>'16-A. PM sub Annex'!L86</f>
        <v>0</v>
      </c>
      <c r="K30" s="990">
        <f>'16-A. PM sub Annex'!M86</f>
        <v>0</v>
      </c>
      <c r="L30" s="990">
        <f>'16-A. PM sub Annex'!N86</f>
        <v>0</v>
      </c>
      <c r="M30" s="136">
        <f>'16-A. PM sub Annex'!O86</f>
        <v>0</v>
      </c>
      <c r="N30" s="990">
        <f>'16-A. PM sub Annex'!P86</f>
        <v>0</v>
      </c>
      <c r="O30" s="136">
        <f>'16-A. PM sub Annex'!Q86</f>
        <v>0</v>
      </c>
      <c r="P30" s="78">
        <f>'16-A. PM sub Annex'!R86</f>
        <v>0</v>
      </c>
      <c r="Q30" s="62"/>
      <c r="R30" s="318"/>
    </row>
    <row r="31" spans="1:18" ht="30">
      <c r="A31" s="990" t="str">
        <f>'16-A. PM sub Annex'!B107</f>
        <v>16.1.3.3.14</v>
      </c>
      <c r="B31" s="990" t="str">
        <f>'16-A. PM sub Annex'!D107</f>
        <v>M.1.3.3</v>
      </c>
      <c r="C31" s="78" t="str">
        <f>'16-A. PM sub Annex'!E107</f>
        <v>Enforcement Squads</v>
      </c>
      <c r="D31" s="990" t="str">
        <f>'16-A. PM sub Annex'!F107</f>
        <v>NCD</v>
      </c>
      <c r="E31" s="990" t="str">
        <f>'16-A. PM sub Annex'!G107</f>
        <v>HRH&amp;HPIP/NTCP</v>
      </c>
      <c r="F31" s="990">
        <f>'16-A. PM sub Annex'!H107</f>
        <v>0</v>
      </c>
      <c r="G31" s="990">
        <f>'16-A. PM sub Annex'!I107</f>
        <v>0</v>
      </c>
      <c r="H31" s="990">
        <f>'16-A. PM sub Annex'!J107</f>
        <v>0</v>
      </c>
      <c r="I31" s="990">
        <f>'16-A. PM sub Annex'!K107</f>
        <v>0</v>
      </c>
      <c r="J31" s="990">
        <f>'16-A. PM sub Annex'!L107</f>
        <v>0</v>
      </c>
      <c r="K31" s="990" t="str">
        <f>'16-A. PM sub Annex'!M107</f>
        <v>per drive</v>
      </c>
      <c r="L31" s="990">
        <f>'16-A. PM sub Annex'!N107</f>
        <v>1500</v>
      </c>
      <c r="M31" s="136">
        <f>'16-A. PM sub Annex'!O107</f>
        <v>1.4999999999999999E-2</v>
      </c>
      <c r="N31" s="990">
        <f>'16-A. PM sub Annex'!P107</f>
        <v>76</v>
      </c>
      <c r="O31" s="136">
        <f>'16-A. PM sub Annex'!Q107</f>
        <v>1.1399999999999999</v>
      </c>
      <c r="P31" s="78" t="str">
        <f>'16-A. PM sub Annex'!R107</f>
        <v>2 enforcement drives per month for 38 districts</v>
      </c>
      <c r="Q31" s="62"/>
      <c r="R31" s="318"/>
    </row>
    <row r="32" spans="1:18">
      <c r="A32" s="990" t="str">
        <f>'16-A. PM sub Annex'!B130</f>
        <v>16.1.4.1.11</v>
      </c>
      <c r="B32" s="990" t="str">
        <f>'16-A. PM sub Annex'!D130</f>
        <v>M.2.2.2</v>
      </c>
      <c r="C32" s="78" t="str">
        <f>'16-A. PM sub Annex'!E130</f>
        <v>Tobacco Cessation Centre (TCC): Office Expenses</v>
      </c>
      <c r="D32" s="990" t="str">
        <f>'16-A. PM sub Annex'!F130</f>
        <v>NCD</v>
      </c>
      <c r="E32" s="990" t="str">
        <f>'16-A. PM sub Annex'!G130</f>
        <v>HRH&amp;HPIP/NTCP</v>
      </c>
      <c r="F32" s="990">
        <f>'16-A. PM sub Annex'!H130</f>
        <v>0</v>
      </c>
      <c r="G32" s="990">
        <f>'16-A. PM sub Annex'!I130</f>
        <v>0</v>
      </c>
      <c r="H32" s="990">
        <f>'16-A. PM sub Annex'!J130</f>
        <v>0</v>
      </c>
      <c r="I32" s="990">
        <f>'16-A. PM sub Annex'!K130</f>
        <v>0</v>
      </c>
      <c r="J32" s="990">
        <f>'16-A. PM sub Annex'!L130</f>
        <v>0</v>
      </c>
      <c r="K32" s="990" t="str">
        <f>'16-A. PM sub Annex'!M130</f>
        <v>per TCC</v>
      </c>
      <c r="L32" s="990">
        <f>'16-A. PM sub Annex'!N130</f>
        <v>20000</v>
      </c>
      <c r="M32" s="136">
        <f>'16-A. PM sub Annex'!O130</f>
        <v>0.2</v>
      </c>
      <c r="N32" s="990">
        <f>'16-A. PM sub Annex'!P130</f>
        <v>38</v>
      </c>
      <c r="O32" s="136">
        <f>'16-A. PM sub Annex'!Q130</f>
        <v>7.6000000000000005</v>
      </c>
      <c r="P32" s="78">
        <f>'16-A. PM sub Annex'!R130</f>
        <v>0</v>
      </c>
      <c r="Q32" s="62"/>
      <c r="R32" s="318"/>
    </row>
    <row r="33" spans="1:18" ht="30">
      <c r="A33" s="990" t="str">
        <f>'16-A. PM sub Annex'!B131</f>
        <v>16.1.4.1.12</v>
      </c>
      <c r="B33" s="990" t="str">
        <f>'16-A. PM sub Annex'!D131</f>
        <v>M.3.2.3</v>
      </c>
      <c r="C33" s="78" t="str">
        <f>'16-A. PM sub Annex'!E131</f>
        <v>State Tobacco Control Cell (STCC): Misc./Office Expenses</v>
      </c>
      <c r="D33" s="990" t="str">
        <f>'16-A. PM sub Annex'!F131</f>
        <v>NCD</v>
      </c>
      <c r="E33" s="990" t="str">
        <f>'16-A. PM sub Annex'!G131</f>
        <v>HRH&amp;HPIP/NTCP</v>
      </c>
      <c r="F33" s="990">
        <f>'16-A. PM sub Annex'!H131</f>
        <v>0</v>
      </c>
      <c r="G33" s="990">
        <f>'16-A. PM sub Annex'!I131</f>
        <v>0</v>
      </c>
      <c r="H33" s="990">
        <f>'16-A. PM sub Annex'!J131</f>
        <v>0</v>
      </c>
      <c r="I33" s="990">
        <f>'16-A. PM sub Annex'!K131</f>
        <v>0</v>
      </c>
      <c r="J33" s="990">
        <f>'16-A. PM sub Annex'!L131</f>
        <v>0</v>
      </c>
      <c r="K33" s="990" t="str">
        <f>'16-A. PM sub Annex'!M131</f>
        <v xml:space="preserve">per STCC </v>
      </c>
      <c r="L33" s="990">
        <f>'16-A. PM sub Annex'!N131</f>
        <v>50000</v>
      </c>
      <c r="M33" s="136">
        <f>'16-A. PM sub Annex'!O131</f>
        <v>0.5</v>
      </c>
      <c r="N33" s="990">
        <f>'16-A. PM sub Annex'!P131</f>
        <v>1</v>
      </c>
      <c r="O33" s="136">
        <f>'16-A. PM sub Annex'!Q131</f>
        <v>0.5</v>
      </c>
      <c r="P33" s="78">
        <f>'16-A. PM sub Annex'!R131</f>
        <v>0</v>
      </c>
      <c r="Q33" s="62"/>
      <c r="R33" s="318"/>
    </row>
    <row r="34" spans="1:18" ht="30">
      <c r="A34" s="990" t="str">
        <f>'16-A. PM sub Annex'!B143</f>
        <v>16.1.4.2.8</v>
      </c>
      <c r="B34" s="990" t="str">
        <f>'16-A. PM sub Annex'!D143</f>
        <v>M.1.3.5</v>
      </c>
      <c r="C34" s="78" t="str">
        <f>'16-A. PM sub Annex'!E143</f>
        <v>District Tobacco Control Cell (DTCC): Misc./Office Expenses</v>
      </c>
      <c r="D34" s="990" t="str">
        <f>'16-A. PM sub Annex'!F143</f>
        <v>NCD</v>
      </c>
      <c r="E34" s="990" t="str">
        <f>'16-A. PM sub Annex'!G143</f>
        <v>HRH&amp;HPIP/NTCP</v>
      </c>
      <c r="F34" s="990">
        <f>'16-A. PM sub Annex'!H143</f>
        <v>0</v>
      </c>
      <c r="G34" s="990">
        <f>'16-A. PM sub Annex'!I143</f>
        <v>0</v>
      </c>
      <c r="H34" s="990">
        <f>'16-A. PM sub Annex'!J143</f>
        <v>0</v>
      </c>
      <c r="I34" s="990">
        <f>'16-A. PM sub Annex'!K143</f>
        <v>0</v>
      </c>
      <c r="J34" s="990">
        <f>'16-A. PM sub Annex'!L143</f>
        <v>0</v>
      </c>
      <c r="K34" s="990" t="str">
        <f>'16-A. PM sub Annex'!M143</f>
        <v xml:space="preserve">per district </v>
      </c>
      <c r="L34" s="990">
        <f>'16-A. PM sub Annex'!N143</f>
        <v>20000</v>
      </c>
      <c r="M34" s="136">
        <f>'16-A. PM sub Annex'!O143</f>
        <v>0.2</v>
      </c>
      <c r="N34" s="990">
        <f>'16-A. PM sub Annex'!P143</f>
        <v>38</v>
      </c>
      <c r="O34" s="136">
        <f>'16-A. PM sub Annex'!Q143</f>
        <v>7.6000000000000005</v>
      </c>
      <c r="P34" s="78">
        <f>'16-A. PM sub Annex'!R143</f>
        <v>0</v>
      </c>
      <c r="Q34" s="62"/>
      <c r="R34" s="318"/>
    </row>
    <row r="35" spans="1:18">
      <c r="A35" s="990" t="str">
        <f>'16-A. PM sub Annex'!B171</f>
        <v>16.1.5.3.13</v>
      </c>
      <c r="B35" s="990" t="str">
        <f>'16-A. PM sub Annex'!D171</f>
        <v>M.3.5.1</v>
      </c>
      <c r="C35" s="78" t="str">
        <f>'16-A. PM sub Annex'!E171</f>
        <v>Setting up of STCC</v>
      </c>
      <c r="D35" s="990" t="str">
        <f>'16-A. PM sub Annex'!F171</f>
        <v>NCD</v>
      </c>
      <c r="E35" s="990" t="str">
        <f>'16-A. PM sub Annex'!G171</f>
        <v>HRH&amp;HPIP/NTCP</v>
      </c>
      <c r="F35" s="990">
        <f>'16-A. PM sub Annex'!H171</f>
        <v>0</v>
      </c>
      <c r="G35" s="990">
        <f>'16-A. PM sub Annex'!I171</f>
        <v>0</v>
      </c>
      <c r="H35" s="990">
        <f>'16-A. PM sub Annex'!J171</f>
        <v>0</v>
      </c>
      <c r="I35" s="990">
        <f>'16-A. PM sub Annex'!K171</f>
        <v>0</v>
      </c>
      <c r="J35" s="990">
        <f>'16-A. PM sub Annex'!L171</f>
        <v>0</v>
      </c>
      <c r="K35" s="990" t="str">
        <f>'16-A. PM sub Annex'!M171</f>
        <v xml:space="preserve">per STCC </v>
      </c>
      <c r="L35" s="990">
        <f>'16-A. PM sub Annex'!N171</f>
        <v>100000</v>
      </c>
      <c r="M35" s="136">
        <f>'16-A. PM sub Annex'!O171</f>
        <v>1</v>
      </c>
      <c r="N35" s="990">
        <f>'16-A. PM sub Annex'!P171</f>
        <v>1</v>
      </c>
      <c r="O35" s="136">
        <f>'16-A. PM sub Annex'!Q171</f>
        <v>1</v>
      </c>
      <c r="P35" s="78">
        <f>'16-A. PM sub Annex'!R171</f>
        <v>0</v>
      </c>
      <c r="Q35" s="62"/>
      <c r="R35" s="318"/>
    </row>
    <row r="36" spans="1:18">
      <c r="Q36" s="1032"/>
      <c r="R36" s="256"/>
    </row>
    <row r="37" spans="1:18">
      <c r="Q37" s="1032"/>
      <c r="R37" s="256"/>
    </row>
    <row r="38" spans="1:18">
      <c r="Q38" s="1032"/>
      <c r="R38" s="256"/>
    </row>
    <row r="39" spans="1:18">
      <c r="Q39" s="1032"/>
      <c r="R39" s="256"/>
    </row>
    <row r="40" spans="1:18">
      <c r="Q40" s="1032"/>
      <c r="R40" s="256"/>
    </row>
    <row r="41" spans="1:18">
      <c r="Q41" s="1032"/>
      <c r="R41" s="256"/>
    </row>
  </sheetData>
  <sheetProtection sheet="1" formatCells="0" formatColumns="0" formatRows="0" autoFilter="0"/>
  <autoFilter ref="A5:M35"/>
  <mergeCells count="13">
    <mergeCell ref="A12:A14"/>
    <mergeCell ref="A15:A16"/>
    <mergeCell ref="A18:A19"/>
    <mergeCell ref="A26:A27"/>
    <mergeCell ref="Q4:R4"/>
    <mergeCell ref="E4:E5"/>
    <mergeCell ref="F4:J4"/>
    <mergeCell ref="K4:P4"/>
    <mergeCell ref="A1:C1"/>
    <mergeCell ref="A4:A5"/>
    <mergeCell ref="B4:B5"/>
    <mergeCell ref="C4:C5"/>
    <mergeCell ref="D4:D5"/>
  </mergeCells>
  <phoneticPr fontId="2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Sheet39">
    <tabColor theme="7" tint="0.79998168889431442"/>
  </sheetPr>
  <dimension ref="A1:R73"/>
  <sheetViews>
    <sheetView zoomScale="70" zoomScaleNormal="70" workbookViewId="0">
      <pane xSplit="3" ySplit="5" topLeftCell="J60"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11.42578125" defaultRowHeight="15"/>
  <cols>
    <col min="1" max="1" width="11.7109375" style="453" bestFit="1" customWidth="1"/>
    <col min="2" max="2" width="19" style="453" customWidth="1"/>
    <col min="3" max="3" width="39.7109375" style="453" bestFit="1" customWidth="1"/>
    <col min="4" max="4" width="6.42578125" style="398" bestFit="1" customWidth="1"/>
    <col min="5" max="5" width="19.140625" style="407" bestFit="1" customWidth="1"/>
    <col min="6" max="6" width="25.42578125" style="407" customWidth="1"/>
    <col min="7" max="7" width="21.5703125" style="407" bestFit="1" customWidth="1"/>
    <col min="8" max="8" width="23.7109375" style="479" bestFit="1" customWidth="1"/>
    <col min="9" max="9" width="16.7109375" style="407" bestFit="1" customWidth="1"/>
    <col min="10" max="10" width="17.140625" style="479" bestFit="1" customWidth="1"/>
    <col min="11" max="11" width="18" style="407" customWidth="1"/>
    <col min="12" max="12" width="13" style="407" customWidth="1"/>
    <col min="13" max="13" width="17.85546875" style="479" bestFit="1" customWidth="1"/>
    <col min="14" max="14" width="11.42578125" style="407"/>
    <col min="15" max="15" width="13" style="479" customWidth="1"/>
    <col min="16" max="16" width="40" style="453" customWidth="1"/>
    <col min="17" max="17" width="40.42578125" style="453" customWidth="1"/>
    <col min="18" max="18" width="13.42578125" style="479" customWidth="1"/>
    <col min="19" max="16384" width="11.42578125" style="398"/>
  </cols>
  <sheetData>
    <row r="1" spans="1:18" s="477" customFormat="1">
      <c r="A1" s="4650" t="s">
        <v>2102</v>
      </c>
      <c r="B1" s="4650"/>
      <c r="C1" s="4650"/>
      <c r="D1" s="1141"/>
      <c r="E1" s="463"/>
      <c r="F1" s="1142" t="s">
        <v>3979</v>
      </c>
      <c r="G1" s="867"/>
      <c r="H1" s="867"/>
      <c r="I1" s="867"/>
      <c r="J1" s="867"/>
      <c r="K1" s="867"/>
      <c r="L1" s="867"/>
      <c r="M1" s="867"/>
      <c r="N1" s="1116"/>
      <c r="O1" s="1117"/>
      <c r="P1" s="1118"/>
      <c r="Q1" s="1118"/>
      <c r="R1" s="1117"/>
    </row>
    <row r="2" spans="1:18" s="1148" customFormat="1">
      <c r="A2" s="868" t="str">
        <f>HYPERLINK("#Index!F3", "Index Pg")</f>
        <v>Index Pg</v>
      </c>
      <c r="B2" s="684" t="str">
        <f>HYPERLINK("#'Summary of Abstracts'!A2", "Summary of Abst.")</f>
        <v>Summary of Abst.</v>
      </c>
      <c r="C2" s="403" t="str">
        <f>HYPERLINK("#'Budget Summary I'!A1:AL1", "Budget Summary I")</f>
        <v>Budget Summary I</v>
      </c>
      <c r="D2" s="1143"/>
      <c r="E2" s="1144" t="s">
        <v>4599</v>
      </c>
      <c r="F2" s="135">
        <f>R56+R51+R46+R40+R35+R32+R17+R15+R6+R13+R61</f>
        <v>0</v>
      </c>
      <c r="G2" s="599"/>
      <c r="H2" s="599"/>
      <c r="I2" s="599"/>
      <c r="J2" s="599"/>
      <c r="K2" s="599"/>
      <c r="L2" s="599"/>
      <c r="M2" s="599"/>
      <c r="N2" s="1145"/>
      <c r="O2" s="1146"/>
      <c r="P2" s="1147"/>
      <c r="Q2" s="1147"/>
      <c r="R2" s="1146"/>
    </row>
    <row r="3" spans="1:18" s="1148" customFormat="1">
      <c r="A3" s="872"/>
      <c r="B3" s="873"/>
      <c r="C3" s="924" t="str">
        <f>HYPERLINK("#'Budget Summary II'!A3:B5", "Budget Summary II")</f>
        <v>Budget Summary II</v>
      </c>
      <c r="D3" s="1143"/>
      <c r="E3" s="1149" t="s">
        <v>4600</v>
      </c>
      <c r="F3" s="335">
        <f>O56+O51+O46+O40+O35+O32+O17+O15+O6+O13+O61</f>
        <v>3698.886058</v>
      </c>
      <c r="G3" s="599"/>
      <c r="H3" s="599"/>
      <c r="I3" s="599"/>
      <c r="J3" s="599"/>
      <c r="K3" s="599"/>
      <c r="L3" s="599"/>
      <c r="M3" s="599"/>
      <c r="N3" s="1145"/>
      <c r="O3" s="1146"/>
      <c r="P3" s="1147"/>
      <c r="Q3" s="1147"/>
      <c r="R3" s="1146"/>
    </row>
    <row r="4" spans="1:18" s="407"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407" customFormat="1" ht="45">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932" t="s">
        <v>63</v>
      </c>
      <c r="Q5" s="933" t="s">
        <v>2536</v>
      </c>
      <c r="R5" s="468" t="s">
        <v>4662</v>
      </c>
    </row>
    <row r="6" spans="1:18">
      <c r="A6" s="412">
        <f>'1.SD Facility Based Annex'!A7</f>
        <v>1</v>
      </c>
      <c r="B6" s="412"/>
      <c r="C6" s="412" t="str">
        <f>'1.SD Facility Based Annex'!C7</f>
        <v>Service Delivery - Facility Based</v>
      </c>
      <c r="D6" s="412"/>
      <c r="E6" s="412"/>
      <c r="F6" s="471"/>
      <c r="G6" s="471"/>
      <c r="H6" s="471"/>
      <c r="I6" s="471"/>
      <c r="J6" s="471"/>
      <c r="K6" s="471"/>
      <c r="L6" s="471"/>
      <c r="M6" s="240"/>
      <c r="N6" s="471"/>
      <c r="O6" s="240">
        <f>SUM(O7:O12)</f>
        <v>566.20000000000005</v>
      </c>
      <c r="P6" s="412"/>
      <c r="Q6" s="412"/>
      <c r="R6" s="240">
        <f>SUM(R7:R12)</f>
        <v>0</v>
      </c>
    </row>
    <row r="7" spans="1:18" ht="150">
      <c r="A7" s="78" t="str">
        <f>+'1.SD Facility Based Annex'!A41</f>
        <v>1.1.6.1</v>
      </c>
      <c r="B7" s="78" t="str">
        <f>+'1.SD Facility Based Annex'!B41</f>
        <v>O.2.8.2</v>
      </c>
      <c r="C7" s="78" t="str">
        <f>+'1.SD Facility Based Annex'!C41</f>
        <v>Integration with AYUSH at District NCD Cell / Clinic</v>
      </c>
      <c r="D7" s="78" t="str">
        <f>+'1.SD Facility Based Annex'!D41</f>
        <v>NCD</v>
      </c>
      <c r="E7" s="78" t="str">
        <f>+'1.SD Facility Based Annex'!E41</f>
        <v>NPCDCS</v>
      </c>
      <c r="F7" s="990">
        <f>+'1.SD Facility Based Annex'!F41</f>
        <v>1</v>
      </c>
      <c r="G7" s="990">
        <f>+'1.SD Facility Based Annex'!G41</f>
        <v>1</v>
      </c>
      <c r="H7" s="990">
        <f>+'1.SD Facility Based Annex'!H41</f>
        <v>5</v>
      </c>
      <c r="I7" s="990">
        <f>+'1.SD Facility Based Annex'!I41</f>
        <v>0</v>
      </c>
      <c r="J7" s="990">
        <f>+'1.SD Facility Based Annex'!J41</f>
        <v>0</v>
      </c>
      <c r="K7" s="990">
        <f>+'1.SD Facility Based Annex'!K41</f>
        <v>1</v>
      </c>
      <c r="L7" s="990">
        <f>+'1.SD Facility Based Annex'!L41</f>
        <v>500000</v>
      </c>
      <c r="M7" s="136">
        <f>+'1.SD Facility Based Annex'!M41</f>
        <v>5</v>
      </c>
      <c r="N7" s="990">
        <f>+'1.SD Facility Based Annex'!N41</f>
        <v>1</v>
      </c>
      <c r="O7" s="136">
        <f>+'1.SD Facility Based Annex'!O41</f>
        <v>5</v>
      </c>
      <c r="P7" s="78" t="str">
        <f>+'1.SD Facility Based Annex'!P41</f>
        <v xml:space="preserve"> Continued Activity
 (Only for Gaya district. for health promotion activity, behaviour change, maintainance of healthy life style, yoga, meditation, Screening of early detection of NCD. 
All arrangements regarding visit of central/state team to Gaya for monitoring the activity and reviewing activity including  T.A./D.A. &amp; Logistics  etc.</v>
      </c>
      <c r="Q7" s="62"/>
      <c r="R7" s="124"/>
    </row>
    <row r="8" spans="1:18" ht="150">
      <c r="A8" s="78" t="str">
        <f>+'1.SD Facility Based Annex'!A42</f>
        <v>1.1.6.2</v>
      </c>
      <c r="B8" s="78" t="str">
        <f>+'1.SD Facility Based Annex'!B42</f>
        <v>O.2.8.3</v>
      </c>
      <c r="C8" s="78" t="str">
        <f>+'1.SD Facility Based Annex'!C42</f>
        <v>Integration with AYUSH at CHC NCD Clinic</v>
      </c>
      <c r="D8" s="78" t="str">
        <f>+'1.SD Facility Based Annex'!D42</f>
        <v>NCD</v>
      </c>
      <c r="E8" s="78" t="str">
        <f>+'1.SD Facility Based Annex'!E42</f>
        <v>NPCDCS</v>
      </c>
      <c r="F8" s="990">
        <f>+'1.SD Facility Based Annex'!F42</f>
        <v>8</v>
      </c>
      <c r="G8" s="990">
        <f>+'1.SD Facility Based Annex'!G42</f>
        <v>8</v>
      </c>
      <c r="H8" s="990">
        <f>+'1.SD Facility Based Annex'!H42</f>
        <v>2</v>
      </c>
      <c r="I8" s="990">
        <f>+'1.SD Facility Based Annex'!I42</f>
        <v>0</v>
      </c>
      <c r="J8" s="990">
        <f>+'1.SD Facility Based Annex'!J42</f>
        <v>0</v>
      </c>
      <c r="K8" s="990" t="str">
        <f>+'1.SD Facility Based Annex'!K42</f>
        <v>Per CHC</v>
      </c>
      <c r="L8" s="990">
        <f>+'1.SD Facility Based Annex'!L42</f>
        <v>25000</v>
      </c>
      <c r="M8" s="136">
        <f>+'1.SD Facility Based Annex'!M42</f>
        <v>0.25</v>
      </c>
      <c r="N8" s="990">
        <f>+'1.SD Facility Based Annex'!N42</f>
        <v>18</v>
      </c>
      <c r="O8" s="136">
        <f>+'1.SD Facility Based Annex'!O42</f>
        <v>4.5</v>
      </c>
      <c r="P8" s="78" t="str">
        <f>+'1.SD Facility Based Annex'!P42</f>
        <v>Continued activity 
Hoarding, yoga &amp; meditation camp at  selected PHC/CHC. Procurement of instruments and consumables and other logistic support for the selcted PHCS/CHCs. Health promotion activities for the maintenance of healthy life styles, Yoga, Screening for early detections of NCDs.(8 CHCs in Gaya @ Rs. 25000/- =(25000*18= 4.50 Lakhs).</v>
      </c>
      <c r="Q8" s="62"/>
      <c r="R8" s="124"/>
    </row>
    <row r="9" spans="1:18" ht="105">
      <c r="A9" s="78" t="str">
        <f>+'1.SD Facility Based Annex'!A91</f>
        <v>1.3.1.8</v>
      </c>
      <c r="B9" s="78" t="str">
        <f>+'1.SD Facility Based Annex'!B91</f>
        <v>O.2.2.1.3/ O1.1.3.1</v>
      </c>
      <c r="C9" s="78" t="str">
        <f>+'1.SD Facility Based Annex'!C91</f>
        <v>District NCD Clinic: Strengthening of lab, Mobility, Miscellaneous &amp; Contingencies</v>
      </c>
      <c r="D9" s="78" t="str">
        <f>+'1.SD Facility Based Annex'!D91</f>
        <v>NCD</v>
      </c>
      <c r="E9" s="78" t="str">
        <f>+'1.SD Facility Based Annex'!E91</f>
        <v>NPCDCS</v>
      </c>
      <c r="F9" s="990">
        <f>+'1.SD Facility Based Annex'!F91</f>
        <v>38</v>
      </c>
      <c r="G9" s="990">
        <f>+'1.SD Facility Based Annex'!G91</f>
        <v>38</v>
      </c>
      <c r="H9" s="990">
        <f>+'1.SD Facility Based Annex'!H91</f>
        <v>19</v>
      </c>
      <c r="I9" s="990">
        <f>+'1.SD Facility Based Annex'!I91</f>
        <v>1.61</v>
      </c>
      <c r="J9" s="990">
        <f>+'1.SD Facility Based Annex'!J91</f>
        <v>0.35727999999999999</v>
      </c>
      <c r="K9" s="990" t="str">
        <f>+'1.SD Facility Based Annex'!K91</f>
        <v>Per District</v>
      </c>
      <c r="L9" s="990">
        <f>+'1.SD Facility Based Annex'!L91</f>
        <v>100000</v>
      </c>
      <c r="M9" s="136">
        <f>+'1.SD Facility Based Annex'!M91</f>
        <v>1</v>
      </c>
      <c r="N9" s="990">
        <f>+'1.SD Facility Based Annex'!N91</f>
        <v>38</v>
      </c>
      <c r="O9" s="136">
        <f>+'1.SD Facility Based Annex'!O91</f>
        <v>38</v>
      </c>
      <c r="P9" s="78" t="str">
        <f>+'1.SD Facility Based Annex'!P91</f>
        <v>Continued activity 
As per GOI guideline (Rs. 100000/-per NCD Clinic x38 districts NCD clinic) for  Mobility.Miscellaneous, and Contingency, etc. (@Rs. 100000 per district= 38 Lakh. TMH can also utilize this fund for Cancer Screening</v>
      </c>
      <c r="Q9" s="62"/>
      <c r="R9" s="124"/>
    </row>
    <row r="10" spans="1:18" ht="135">
      <c r="A10" s="78" t="str">
        <f>+'1.SD Facility Based Annex'!A92</f>
        <v>1.3.1.9</v>
      </c>
      <c r="B10" s="78" t="str">
        <f>+'1.SD Facility Based Annex'!B92</f>
        <v>O.2.2.1.4</v>
      </c>
      <c r="C10" s="78" t="str">
        <f>+'1.SD Facility Based Annex'!C92</f>
        <v>CHC NCD Clinic: Mobility , Miscellaneous &amp; Contingencies</v>
      </c>
      <c r="D10" s="78" t="str">
        <f>+'1.SD Facility Based Annex'!D92</f>
        <v>NCD</v>
      </c>
      <c r="E10" s="78" t="str">
        <f>+'1.SD Facility Based Annex'!E92</f>
        <v>NPCDCS</v>
      </c>
      <c r="F10" s="990">
        <f>+'1.SD Facility Based Annex'!F92</f>
        <v>0</v>
      </c>
      <c r="G10" s="990">
        <f>+'1.SD Facility Based Annex'!G92</f>
        <v>0</v>
      </c>
      <c r="H10" s="990">
        <f>+'1.SD Facility Based Annex'!H92</f>
        <v>0</v>
      </c>
      <c r="I10" s="990">
        <f>+'1.SD Facility Based Annex'!I92</f>
        <v>0</v>
      </c>
      <c r="J10" s="990">
        <f>+'1.SD Facility Based Annex'!J92</f>
        <v>0</v>
      </c>
      <c r="K10" s="990" t="str">
        <f>+'1.SD Facility Based Annex'!K92</f>
        <v>per  CHC</v>
      </c>
      <c r="L10" s="990">
        <f>+'1.SD Facility Based Annex'!L92</f>
        <v>50000</v>
      </c>
      <c r="M10" s="136">
        <f>+'1.SD Facility Based Annex'!M92</f>
        <v>0.5</v>
      </c>
      <c r="N10" s="990">
        <f>+'1.SD Facility Based Annex'!N92</f>
        <v>210</v>
      </c>
      <c r="O10" s="136">
        <f>+'1.SD Facility Based Annex'!O92</f>
        <v>105</v>
      </c>
      <c r="P10" s="78" t="str">
        <f>+'1.SD Facility Based Annex'!P92</f>
        <v>Continued activity
 After NPCC Discussion, demanding 50% of the  fund as in Guideline.
PHCs in Bihar is considered as CHCs.  Proposing for 210 functional CHC for Contingency, operational expenses including communication, Monitoring, Misc. Contingency etc. (@ Rs. 50000 x 210 CHC = 105 Lakh).</v>
      </c>
      <c r="Q10" s="62"/>
      <c r="R10" s="124"/>
    </row>
    <row r="11" spans="1:18" ht="105">
      <c r="A11" s="78" t="str">
        <f>+'1.SD Facility Based Annex'!A93</f>
        <v>1.3.1.10</v>
      </c>
      <c r="B11" s="78" t="str">
        <f>+'1.SD Facility Based Annex'!B93</f>
        <v>O.2.2.1.5</v>
      </c>
      <c r="C11" s="78" t="str">
        <f>+'1.SD Facility Based Annex'!C93</f>
        <v>PHC level: Mobility, Miscellaneous &amp; Contingencies</v>
      </c>
      <c r="D11" s="78" t="str">
        <f>+'1.SD Facility Based Annex'!D93</f>
        <v>NCD</v>
      </c>
      <c r="E11" s="78" t="str">
        <f>+'1.SD Facility Based Annex'!E93</f>
        <v>NPCDCS</v>
      </c>
      <c r="F11" s="990">
        <f>+'1.SD Facility Based Annex'!F93</f>
        <v>1238</v>
      </c>
      <c r="G11" s="990">
        <f>+'1.SD Facility Based Annex'!G93</f>
        <v>672</v>
      </c>
      <c r="H11" s="990">
        <f>+'1.SD Facility Based Annex'!H93</f>
        <v>159.47999999999999</v>
      </c>
      <c r="I11" s="990">
        <f>+'1.SD Facility Based Annex'!I93</f>
        <v>1.1499999999999999</v>
      </c>
      <c r="J11" s="990">
        <f>+'1.SD Facility Based Annex'!J93</f>
        <v>0</v>
      </c>
      <c r="K11" s="990" t="str">
        <f>+'1.SD Facility Based Annex'!K93</f>
        <v>per PHC</v>
      </c>
      <c r="L11" s="990">
        <f>+'1.SD Facility Based Annex'!L93</f>
        <v>30000</v>
      </c>
      <c r="M11" s="136">
        <f>+'1.SD Facility Based Annex'!M93</f>
        <v>0.3</v>
      </c>
      <c r="N11" s="990">
        <f>+'1.SD Facility Based Annex'!N93</f>
        <v>1379</v>
      </c>
      <c r="O11" s="136">
        <f>+'1.SD Facility Based Annex'!O93</f>
        <v>413.7</v>
      </c>
      <c r="P11" s="78" t="str">
        <f>+'1.SD Facility Based Annex'!P93</f>
        <v>Continued activity 
As per GOI Guideline 2500 per month per PHCs,  Demanding Rupees 30000 Per Annum for 1379 APHC operational expenses including communication, Monitoring, Office contigency etc. APHCs in Bihar is considered as PHCs.</v>
      </c>
      <c r="Q11" s="62"/>
      <c r="R11" s="124"/>
    </row>
    <row r="12" spans="1:18" ht="30">
      <c r="A12" s="78" t="str">
        <f>+'1.SD Facility Based Annex'!A94</f>
        <v>1.3.1.11</v>
      </c>
      <c r="B12" s="78" t="str">
        <f>+'1.SD Facility Based Annex'!B94</f>
        <v>O.2.2.1.7</v>
      </c>
      <c r="C12" s="78" t="str">
        <f>+'1.SD Facility Based Annex'!C94</f>
        <v>Sub-Centre level: Mobility , Miscellaneous &amp; Contingencies</v>
      </c>
      <c r="D12" s="78" t="str">
        <f>+'1.SD Facility Based Annex'!D94</f>
        <v>NCD</v>
      </c>
      <c r="E12" s="78" t="str">
        <f>+'1.SD Facility Based Annex'!E94</f>
        <v>NPCDCS</v>
      </c>
      <c r="F12" s="990">
        <f>+'1.SD Facility Based Annex'!F94</f>
        <v>1518</v>
      </c>
      <c r="G12" s="990">
        <f>+'1.SD Facility Based Annex'!G94</f>
        <v>1518</v>
      </c>
      <c r="H12" s="990">
        <f>+'1.SD Facility Based Annex'!H94</f>
        <v>45.54</v>
      </c>
      <c r="I12" s="990">
        <f>+'1.SD Facility Based Annex'!I94</f>
        <v>0.6</v>
      </c>
      <c r="J12" s="990">
        <f>+'1.SD Facility Based Annex'!J94</f>
        <v>0</v>
      </c>
      <c r="K12" s="990" t="str">
        <f>+'1.SD Facility Based Annex'!K94</f>
        <v>per HSC</v>
      </c>
      <c r="L12" s="990">
        <f>+'1.SD Facility Based Annex'!L94</f>
        <v>0</v>
      </c>
      <c r="M12" s="136">
        <f>+'1.SD Facility Based Annex'!M94</f>
        <v>0</v>
      </c>
      <c r="N12" s="990">
        <f>+'1.SD Facility Based Annex'!N94</f>
        <v>0</v>
      </c>
      <c r="O12" s="136">
        <f>+'1.SD Facility Based Annex'!O94</f>
        <v>0</v>
      </c>
      <c r="P12" s="78">
        <f>+'1.SD Facility Based Annex'!P94</f>
        <v>0</v>
      </c>
      <c r="Q12" s="62"/>
      <c r="R12" s="124"/>
    </row>
    <row r="13" spans="1:18">
      <c r="A13" s="718">
        <f>'2.SD Community Based Annex'!A7</f>
        <v>2</v>
      </c>
      <c r="B13" s="718"/>
      <c r="C13" s="718" t="str">
        <f>'2.SD Community Based Annex'!C7</f>
        <v>Service Delivery - Community Based</v>
      </c>
      <c r="D13" s="718"/>
      <c r="E13" s="693"/>
      <c r="F13" s="693"/>
      <c r="G13" s="693"/>
      <c r="H13" s="240"/>
      <c r="I13" s="693"/>
      <c r="J13" s="240"/>
      <c r="K13" s="693"/>
      <c r="L13" s="693"/>
      <c r="M13" s="240"/>
      <c r="N13" s="1089"/>
      <c r="O13" s="1010">
        <f>O14</f>
        <v>0</v>
      </c>
      <c r="P13" s="1111"/>
      <c r="Q13" s="1112"/>
      <c r="R13" s="1136">
        <f>R14</f>
        <v>0</v>
      </c>
    </row>
    <row r="14" spans="1:18" ht="60">
      <c r="A14" s="78" t="str">
        <f>'2.SD Community Based Annex'!A47</f>
        <v>2.3.2.1</v>
      </c>
      <c r="B14" s="78" t="str">
        <f>'2.SD Community Based Annex'!B47</f>
        <v>B18.2</v>
      </c>
      <c r="C14" s="78" t="str">
        <f>'2.SD Community Based Annex'!C47</f>
        <v>Universal health check-up and screening of NCDs (May propose organizing outreach activities for NCD screening in non-PBS districts)</v>
      </c>
      <c r="D14" s="78" t="str">
        <f>'2.SD Community Based Annex'!D47</f>
        <v>NCD</v>
      </c>
      <c r="E14" s="990" t="str">
        <f>'2.SD Community Based Annex'!E47</f>
        <v>NPCDCS</v>
      </c>
      <c r="F14" s="990">
        <f>'2.SD Community Based Annex'!F47</f>
        <v>9426212</v>
      </c>
      <c r="G14" s="990">
        <f>'2.SD Community Based Annex'!G47</f>
        <v>474304</v>
      </c>
      <c r="H14" s="990">
        <f>'2.SD Community Based Annex'!H47</f>
        <v>942.58</v>
      </c>
      <c r="I14" s="990">
        <f>'2.SD Community Based Annex'!I47</f>
        <v>0.41</v>
      </c>
      <c r="J14" s="990">
        <f>'2.SD Community Based Annex'!J47</f>
        <v>0.64200000000000002</v>
      </c>
      <c r="K14" s="990">
        <f>'2.SD Community Based Annex'!K47</f>
        <v>0</v>
      </c>
      <c r="L14" s="990">
        <f>'2.SD Community Based Annex'!L47</f>
        <v>0</v>
      </c>
      <c r="M14" s="136">
        <f>'2.SD Community Based Annex'!M47</f>
        <v>0</v>
      </c>
      <c r="N14" s="990">
        <f>'2.SD Community Based Annex'!N47</f>
        <v>0</v>
      </c>
      <c r="O14" s="136">
        <f>'2.SD Community Based Annex'!O47</f>
        <v>0</v>
      </c>
      <c r="P14" s="78" t="str">
        <f>'2.SD Community Based Annex'!P47</f>
        <v>After NPCC Discussion we are proposing this activity under Innovation head FMR Code -18.4.1</v>
      </c>
      <c r="Q14" s="62"/>
      <c r="R14" s="124"/>
    </row>
    <row r="15" spans="1:18">
      <c r="A15" s="718">
        <f>'5.Infrastructure Annex'!A7</f>
        <v>5</v>
      </c>
      <c r="B15" s="718"/>
      <c r="C15" s="718" t="str">
        <f>'5.Infrastructure Annex'!C7</f>
        <v>Infrastructure</v>
      </c>
      <c r="D15" s="718"/>
      <c r="E15" s="693"/>
      <c r="F15" s="693"/>
      <c r="G15" s="693"/>
      <c r="H15" s="240"/>
      <c r="I15" s="693"/>
      <c r="J15" s="240"/>
      <c r="K15" s="693"/>
      <c r="L15" s="693"/>
      <c r="M15" s="240"/>
      <c r="N15" s="1089"/>
      <c r="O15" s="1010">
        <f>O16</f>
        <v>0</v>
      </c>
      <c r="P15" s="1111"/>
      <c r="Q15" s="1112"/>
      <c r="R15" s="1136">
        <f>R16</f>
        <v>0</v>
      </c>
    </row>
    <row r="16" spans="1:18">
      <c r="A16" s="78" t="str">
        <f>+'5.Infrastructure Annex'!A97</f>
        <v>5.3.17</v>
      </c>
      <c r="B16" s="78" t="str">
        <f>+'5.Infrastructure Annex'!B97</f>
        <v>O1.1.2.1</v>
      </c>
      <c r="C16" s="78" t="str">
        <f>+'5.Infrastructure Annex'!C97</f>
        <v>Cardiac Care Unit (CCU/ ICU)</v>
      </c>
      <c r="D16" s="78" t="str">
        <f>+'5.Infrastructure Annex'!D97</f>
        <v>NCD</v>
      </c>
      <c r="E16" s="990" t="str">
        <f>+'5.Infrastructure Annex'!E97</f>
        <v>NPCDCS</v>
      </c>
      <c r="F16" s="990">
        <f>+'5.Infrastructure Annex'!F97</f>
        <v>0</v>
      </c>
      <c r="G16" s="990">
        <f>+'5.Infrastructure Annex'!G97</f>
        <v>0</v>
      </c>
      <c r="H16" s="990">
        <f>+'5.Infrastructure Annex'!H97</f>
        <v>0</v>
      </c>
      <c r="I16" s="990">
        <f>+'5.Infrastructure Annex'!I97</f>
        <v>0</v>
      </c>
      <c r="J16" s="990">
        <f>+'5.Infrastructure Annex'!J97</f>
        <v>0</v>
      </c>
      <c r="K16" s="990">
        <f>+'5.Infrastructure Annex'!K97</f>
        <v>0</v>
      </c>
      <c r="L16" s="990">
        <f>+'5.Infrastructure Annex'!L97</f>
        <v>0</v>
      </c>
      <c r="M16" s="136">
        <f>+'5.Infrastructure Annex'!M97</f>
        <v>0</v>
      </c>
      <c r="N16" s="990">
        <f>+'5.Infrastructure Annex'!N97</f>
        <v>0</v>
      </c>
      <c r="O16" s="136">
        <f>+'5.Infrastructure Annex'!O97</f>
        <v>0</v>
      </c>
      <c r="P16" s="78">
        <f>+'5.Infrastructure Annex'!P97</f>
        <v>0</v>
      </c>
      <c r="Q16" s="62"/>
      <c r="R16" s="124"/>
    </row>
    <row r="17" spans="1:18">
      <c r="A17" s="817">
        <f>'6.Procurement Annex'!A7</f>
        <v>6</v>
      </c>
      <c r="B17" s="817"/>
      <c r="C17" s="817" t="str">
        <f>'6.Procurement Annex'!C7</f>
        <v>Procurement</v>
      </c>
      <c r="D17" s="817"/>
      <c r="E17" s="818"/>
      <c r="F17" s="818"/>
      <c r="G17" s="818"/>
      <c r="H17" s="240"/>
      <c r="I17" s="818"/>
      <c r="J17" s="240"/>
      <c r="K17" s="818"/>
      <c r="L17" s="818"/>
      <c r="M17" s="240"/>
      <c r="N17" s="1089"/>
      <c r="O17" s="1010">
        <f>SUM(O18:O31)</f>
        <v>1329.7800000000002</v>
      </c>
      <c r="P17" s="1111"/>
      <c r="Q17" s="1112"/>
      <c r="R17" s="1136">
        <f>SUM(R18:R31)</f>
        <v>0</v>
      </c>
    </row>
    <row r="18" spans="1:18" ht="30">
      <c r="A18" s="4633" t="str">
        <f>'6.Procurement Annex'!A40</f>
        <v>6.1.5.5</v>
      </c>
      <c r="B18" s="78" t="str">
        <f>+'6-A. Proc. Sub-Annex'!C114</f>
        <v>O1.1.2.1</v>
      </c>
      <c r="C18" s="78" t="str">
        <f>+'6-A. Proc. Sub-Annex'!D114</f>
        <v>Non-recurring: Equipping Cardiac Care Unit (CCU)/ICU</v>
      </c>
      <c r="D18" s="78" t="str">
        <f>+'6-A. Proc. Sub-Annex'!E114</f>
        <v>NCD</v>
      </c>
      <c r="E18" s="78" t="str">
        <f>+'6-A. Proc. Sub-Annex'!F114</f>
        <v>NPCDCS</v>
      </c>
      <c r="F18" s="990">
        <f>+'6-A. Proc. Sub-Annex'!G114</f>
        <v>0</v>
      </c>
      <c r="G18" s="990">
        <f>+'6-A. Proc. Sub-Annex'!H114</f>
        <v>0</v>
      </c>
      <c r="H18" s="990">
        <f>+'6-A. Proc. Sub-Annex'!I114</f>
        <v>0</v>
      </c>
      <c r="I18" s="990">
        <f>+'6-A. Proc. Sub-Annex'!J114</f>
        <v>0</v>
      </c>
      <c r="J18" s="990">
        <f>+'6-A. Proc. Sub-Annex'!K114</f>
        <v>0</v>
      </c>
      <c r="K18" s="990">
        <f>+'6-A. Proc. Sub-Annex'!L114</f>
        <v>0</v>
      </c>
      <c r="L18" s="990">
        <f>+'6-A. Proc. Sub-Annex'!M114</f>
        <v>0</v>
      </c>
      <c r="M18" s="136">
        <f>+'6-A. Proc. Sub-Annex'!N114</f>
        <v>0</v>
      </c>
      <c r="N18" s="990">
        <f>+'6-A. Proc. Sub-Annex'!O114</f>
        <v>0</v>
      </c>
      <c r="O18" s="136">
        <f>+'6-A. Proc. Sub-Annex'!P114</f>
        <v>0</v>
      </c>
      <c r="P18" s="78">
        <f>+'6-A. Proc. Sub-Annex'!Q114</f>
        <v>0</v>
      </c>
      <c r="Q18" s="62"/>
      <c r="R18" s="124"/>
    </row>
    <row r="19" spans="1:18" ht="105">
      <c r="A19" s="4633"/>
      <c r="B19" s="78" t="str">
        <f>+'6-A. Proc. Sub-Annex'!C115</f>
        <v>O1.1.2.2</v>
      </c>
      <c r="C19" s="78" t="str">
        <f>+'6-A. Proc. Sub-Annex'!D115</f>
        <v>Non recurring: Equipment for Cancer  Care</v>
      </c>
      <c r="D19" s="78" t="str">
        <f>+'6-A. Proc. Sub-Annex'!E115</f>
        <v>NCD</v>
      </c>
      <c r="E19" s="78" t="str">
        <f>+'6-A. Proc. Sub-Annex'!F115</f>
        <v>NPCDCS</v>
      </c>
      <c r="F19" s="990">
        <f>+'6-A. Proc. Sub-Annex'!G115</f>
        <v>38</v>
      </c>
      <c r="G19" s="990">
        <f>+'6-A. Proc. Sub-Annex'!H115</f>
        <v>16</v>
      </c>
      <c r="H19" s="990">
        <f>+'6-A. Proc. Sub-Annex'!I115</f>
        <v>19</v>
      </c>
      <c r="I19" s="990">
        <f>+'6-A. Proc. Sub-Annex'!J115</f>
        <v>0</v>
      </c>
      <c r="J19" s="990">
        <f>+'6-A. Proc. Sub-Annex'!K115</f>
        <v>0</v>
      </c>
      <c r="K19" s="990" t="str">
        <f>+'6-A. Proc. Sub-Annex'!L115</f>
        <v>Per District</v>
      </c>
      <c r="L19" s="990">
        <f>+'6-A. Proc. Sub-Annex'!M115</f>
        <v>25000</v>
      </c>
      <c r="M19" s="136">
        <f>+'6-A. Proc. Sub-Annex'!N115</f>
        <v>0.25</v>
      </c>
      <c r="N19" s="990">
        <f>+'6-A. Proc. Sub-Annex'!O115</f>
        <v>616</v>
      </c>
      <c r="O19" s="136">
        <f>+'6-A. Proc. Sub-Annex'!P115</f>
        <v>154</v>
      </c>
      <c r="P19" s="78" t="str">
        <f>+'6-A. Proc. Sub-Annex'!Q115</f>
        <v xml:space="preserve">Continued activity  Purchased of  Cancer care  Equipment   for screening (Spatula,Mouth mirror Torch, Cusco's Speculam and Acetic acid  etc                                                                                                                   Demand  All NCD Clinic Dist+CHC and SDH (38 +533+45)=616@25000 per Center   Required Amount 616*25000=154 Lakhs                                            </v>
      </c>
      <c r="Q19" s="62"/>
      <c r="R19" s="124"/>
    </row>
    <row r="20" spans="1:18" ht="90">
      <c r="A20" s="4633"/>
      <c r="B20" s="78" t="str">
        <f>+'6-A. Proc. Sub-Annex'!C116</f>
        <v>O1.1.3.2</v>
      </c>
      <c r="C20" s="78" t="str">
        <f>+'6-A. Proc. Sub-Annex'!D116</f>
        <v>Non-recurring: Equipment at District NCD clinic</v>
      </c>
      <c r="D20" s="78" t="str">
        <f>+'6-A. Proc. Sub-Annex'!E116</f>
        <v>NCD</v>
      </c>
      <c r="E20" s="78" t="str">
        <f>+'6-A. Proc. Sub-Annex'!F116</f>
        <v>NPCDCS</v>
      </c>
      <c r="F20" s="990">
        <f>+'6-A. Proc. Sub-Annex'!G116</f>
        <v>38</v>
      </c>
      <c r="G20" s="990">
        <f>+'6-A. Proc. Sub-Annex'!H116</f>
        <v>38</v>
      </c>
      <c r="H20" s="990">
        <f>+'6-A. Proc. Sub-Annex'!I116</f>
        <v>1900000</v>
      </c>
      <c r="I20" s="990">
        <f>+'6-A. Proc. Sub-Annex'!J116</f>
        <v>0</v>
      </c>
      <c r="J20" s="990">
        <f>+'6-A. Proc. Sub-Annex'!K116</f>
        <v>0</v>
      </c>
      <c r="K20" s="990" t="str">
        <f>+'6-A. Proc. Sub-Annex'!L116</f>
        <v>Per NCD Clinic</v>
      </c>
      <c r="L20" s="990">
        <f>+'6-A. Proc. Sub-Annex'!M116</f>
        <v>50000</v>
      </c>
      <c r="M20" s="136">
        <f>+'6-A. Proc. Sub-Annex'!N116</f>
        <v>0.5</v>
      </c>
      <c r="N20" s="990">
        <f>+'6-A. Proc. Sub-Annex'!O116</f>
        <v>38</v>
      </c>
      <c r="O20" s="136">
        <f>+'6-A. Proc. Sub-Annex'!P116</f>
        <v>19</v>
      </c>
      <c r="P20" s="78" t="str">
        <f>+'6-A. Proc. Sub-Annex'!Q116</f>
        <v xml:space="preserve">Continued Activity                                                                           Purchase of  Spirometer ( to diagnose Asthma, COPD and Covid-19) and other Equipment   etc.    Demand  Dist  NCD Clinic =38@50000 per NCD Clinic  Required Amount 38*50000=19 Lakhs                                                                                                                                                                                                            </v>
      </c>
      <c r="Q20" s="62"/>
      <c r="R20" s="124"/>
    </row>
    <row r="21" spans="1:18" ht="30">
      <c r="A21" s="4633"/>
      <c r="B21" s="78" t="str">
        <f>+'6-A. Proc. Sub-Annex'!C117</f>
        <v>O1.1.4.1</v>
      </c>
      <c r="C21" s="78" t="str">
        <f>+'6-A. Proc. Sub-Annex'!D117</f>
        <v>Non-recurring: Equipment at CHC NCD clinic</v>
      </c>
      <c r="D21" s="78" t="str">
        <f>+'6-A. Proc. Sub-Annex'!E117</f>
        <v>NCD</v>
      </c>
      <c r="E21" s="78" t="str">
        <f>+'6-A. Proc. Sub-Annex'!F117</f>
        <v>NPCDCS</v>
      </c>
      <c r="F21" s="990">
        <f>+'6-A. Proc. Sub-Annex'!G117</f>
        <v>267</v>
      </c>
      <c r="G21" s="990">
        <f>+'6-A. Proc. Sub-Annex'!H117</f>
        <v>174</v>
      </c>
      <c r="H21" s="990">
        <f>+'6-A. Proc. Sub-Annex'!I117</f>
        <v>133.5</v>
      </c>
      <c r="I21" s="990">
        <f>+'6-A. Proc. Sub-Annex'!J117</f>
        <v>0</v>
      </c>
      <c r="J21" s="990">
        <f>+'6-A. Proc. Sub-Annex'!K117</f>
        <v>0</v>
      </c>
      <c r="K21" s="990">
        <f>+'6-A. Proc. Sub-Annex'!L117</f>
        <v>0</v>
      </c>
      <c r="L21" s="990">
        <f>+'6-A. Proc. Sub-Annex'!M117</f>
        <v>0</v>
      </c>
      <c r="M21" s="136">
        <f>+'6-A. Proc. Sub-Annex'!N117</f>
        <v>0</v>
      </c>
      <c r="N21" s="990">
        <f>+'6-A. Proc. Sub-Annex'!O117</f>
        <v>0</v>
      </c>
      <c r="O21" s="136">
        <f>+'6-A. Proc. Sub-Annex'!P117</f>
        <v>0</v>
      </c>
      <c r="P21" s="78">
        <f>+'6-A. Proc. Sub-Annex'!Q117</f>
        <v>0</v>
      </c>
      <c r="Q21" s="62"/>
      <c r="R21" s="124"/>
    </row>
    <row r="22" spans="1:18">
      <c r="A22" s="4633"/>
      <c r="B22" s="78"/>
      <c r="C22" s="78" t="str">
        <f>+'6-A. Proc. Sub-Annex'!D119</f>
        <v>Any other equipment (please specify)</v>
      </c>
      <c r="D22" s="78" t="str">
        <f>+'6-A. Proc. Sub-Annex'!E119</f>
        <v>NCD</v>
      </c>
      <c r="E22" s="78" t="str">
        <f>+'6-A. Proc. Sub-Annex'!F119</f>
        <v>NPCDCS</v>
      </c>
      <c r="F22" s="990">
        <f>+'6-A. Proc. Sub-Annex'!G119</f>
        <v>63</v>
      </c>
      <c r="G22" s="990">
        <f>+'6-A. Proc. Sub-Annex'!H119</f>
        <v>36</v>
      </c>
      <c r="H22" s="990">
        <f>+'6-A. Proc. Sub-Annex'!I119</f>
        <v>31.5</v>
      </c>
      <c r="I22" s="990">
        <f>+'6-A. Proc. Sub-Annex'!J119</f>
        <v>0</v>
      </c>
      <c r="J22" s="990">
        <f>+'6-A. Proc. Sub-Annex'!K119</f>
        <v>0</v>
      </c>
      <c r="K22" s="990">
        <f>+'6-A. Proc. Sub-Annex'!L119</f>
        <v>0</v>
      </c>
      <c r="L22" s="990">
        <f>+'6-A. Proc. Sub-Annex'!M119</f>
        <v>0</v>
      </c>
      <c r="M22" s="136">
        <f>+'6-A. Proc. Sub-Annex'!N119</f>
        <v>0</v>
      </c>
      <c r="N22" s="990">
        <f>+'6-A. Proc. Sub-Annex'!O119</f>
        <v>0</v>
      </c>
      <c r="O22" s="136">
        <f>+'6-A. Proc. Sub-Annex'!P119</f>
        <v>0</v>
      </c>
      <c r="P22" s="78">
        <f>+'6-A. Proc. Sub-Annex'!Q119</f>
        <v>0</v>
      </c>
      <c r="Q22" s="62"/>
      <c r="R22" s="124"/>
    </row>
    <row r="23" spans="1:18" ht="225">
      <c r="A23" s="4633"/>
      <c r="B23" s="78" t="str">
        <f>'6-A. Proc. Sub-Annex'!C118</f>
        <v>B.18.2</v>
      </c>
      <c r="C23" s="78" t="str">
        <f>'6-A. Proc. Sub-Annex'!D118</f>
        <v>Procurement for Universal Screening of NCDs</v>
      </c>
      <c r="D23" s="78" t="str">
        <f>'6-A. Proc. Sub-Annex'!E118</f>
        <v>NCD</v>
      </c>
      <c r="E23" s="78" t="str">
        <f>'6-A. Proc. Sub-Annex'!F118</f>
        <v>NPCDCS</v>
      </c>
      <c r="F23" s="990">
        <f>'6-A. Proc. Sub-Annex'!G118</f>
        <v>2408</v>
      </c>
      <c r="G23" s="990">
        <f>'6-A. Proc. Sub-Annex'!H118</f>
        <v>997</v>
      </c>
      <c r="H23" s="990">
        <f>'6-A. Proc. Sub-Annex'!I118</f>
        <v>361.2</v>
      </c>
      <c r="I23" s="990">
        <f>'6-A. Proc. Sub-Annex'!J118</f>
        <v>13.18</v>
      </c>
      <c r="J23" s="990">
        <f>'6-A. Proc. Sub-Annex'!K118</f>
        <v>4.6399999999999997</v>
      </c>
      <c r="K23" s="990" t="str">
        <f>'6-A. Proc. Sub-Annex'!L118</f>
        <v>Per HSC</v>
      </c>
      <c r="L23" s="990">
        <f>'6-A. Proc. Sub-Annex'!M118</f>
        <v>20000</v>
      </c>
      <c r="M23" s="136">
        <f>'6-A. Proc. Sub-Annex'!N118</f>
        <v>0.2</v>
      </c>
      <c r="N23" s="990">
        <f>'6-A. Proc. Sub-Annex'!O118</f>
        <v>2874</v>
      </c>
      <c r="O23" s="136">
        <f>'6-A. Proc. Sub-Annex'!P118</f>
        <v>574.80000000000007</v>
      </c>
      <c r="P23" s="78" t="str">
        <f>'6-A. Proc. Sub-Annex'!Q118</f>
        <v>Continued Activity
Purchase of NCD Screening Kit for 2874  Proposed  HWC HSCs                  1.Digital BP Machine,2874*2000=57.48  Lakhs                                    2.Glucometer, Gluco strip, Lancet,  9426212*11=1036.88 Lakhs                                                                                   3.Cotton, Measuring Tape, 2874*100= 2.87                      4.Weighing Machine 2874*600=17.24                     5.Stadiometer 2874*1600==45.98                                       6.Torch,  Gloves, Mouth Mirror, 2874*600=17.24            7.Spatula, Cusco's Speculam and Acetic Acid) etc2874 @ Rs 1200 =34.48                                                                          per NCD Screening Kit.20000*2478=574.80 lakhs</v>
      </c>
      <c r="Q23" s="62"/>
      <c r="R23" s="124"/>
    </row>
    <row r="24" spans="1:18" ht="195">
      <c r="A24" s="4633" t="str">
        <f>'6.Procurement Annex'!A83</f>
        <v>6.2.4.5</v>
      </c>
      <c r="B24" s="78" t="str">
        <f>+'6-A. Proc. Sub-Annex'!C263</f>
        <v>B.16.2.11.8.a</v>
      </c>
      <c r="C24" s="78" t="str">
        <f>+'6-A. Proc. Sub-Annex'!D263</f>
        <v>Drugs &amp; consumables for NCD management (includes Diabetes, Hypertension, Stroke, etc) for whole district</v>
      </c>
      <c r="D24" s="78" t="str">
        <f>+'6-A. Proc. Sub-Annex'!E263</f>
        <v>NCD</v>
      </c>
      <c r="E24" s="78" t="str">
        <f>+'6-A. Proc. Sub-Annex'!F263</f>
        <v>NPCDCS</v>
      </c>
      <c r="F24" s="990">
        <f>+'6-A. Proc. Sub-Annex'!G263</f>
        <v>39</v>
      </c>
      <c r="G24" s="990">
        <f>+'6-A. Proc. Sub-Annex'!H263</f>
        <v>234</v>
      </c>
      <c r="H24" s="990">
        <f>+'6-A. Proc. Sub-Annex'!I263</f>
        <v>0</v>
      </c>
      <c r="I24" s="990">
        <f>+'6-A. Proc. Sub-Annex'!J263</f>
        <v>0.39</v>
      </c>
      <c r="J24" s="990">
        <f>+'6-A. Proc. Sub-Annex'!K263</f>
        <v>0</v>
      </c>
      <c r="K24" s="990" t="str">
        <f>+'6-A. Proc. Sub-Annex'!L263</f>
        <v>Per District</v>
      </c>
      <c r="L24" s="990">
        <f>+'6-A. Proc. Sub-Annex'!M263</f>
        <v>600000</v>
      </c>
      <c r="M24" s="136">
        <f>+'6-A. Proc. Sub-Annex'!N263</f>
        <v>6</v>
      </c>
      <c r="N24" s="990">
        <f>+'6-A. Proc. Sub-Annex'!O263</f>
        <v>39</v>
      </c>
      <c r="O24" s="136">
        <f>+'6-A. Proc. Sub-Annex'!P263</f>
        <v>234</v>
      </c>
      <c r="P24" s="78" t="str">
        <f>+'6-A. Proc. Sub-Annex'!Q263</f>
        <v>Continued Activity :
Purchase of NCD related Drugs as per EDL ( Diabetes, HTN, Asthma, Diuretics, COPD, CKD etc.) for all 38 districts and  1 New Gardinar Hospital   (including 5 IHCI districts). IHCI program is being implemented in 5 distrcits of Bihar which is later going to be scaled in all 38 districts. Drugs required as per IHCI guidelines are Amlodipine, Telmisartan and Hydrochlorothiazide Consumable/ Reagents Gulcostrip,lancet,swabs etc. (=39*600000=234 lakhs</v>
      </c>
      <c r="Q24" s="62"/>
      <c r="R24" s="124"/>
    </row>
    <row r="25" spans="1:18" ht="30">
      <c r="A25" s="4633"/>
      <c r="B25" s="78" t="str">
        <f>+'6-A. Proc. Sub-Annex'!C264</f>
        <v>B.16.2.11.8.b</v>
      </c>
      <c r="C25" s="78" t="str">
        <f>+'6-A. Proc. Sub-Annex'!D264</f>
        <v>COPD Drugs and Consumables in whole district</v>
      </c>
      <c r="D25" s="78" t="str">
        <f>+'6-A. Proc. Sub-Annex'!E264</f>
        <v>NCD</v>
      </c>
      <c r="E25" s="78" t="str">
        <f>+'6-A. Proc. Sub-Annex'!F264</f>
        <v>NPCDCS</v>
      </c>
      <c r="F25" s="990">
        <f>+'6-A. Proc. Sub-Annex'!G264</f>
        <v>39</v>
      </c>
      <c r="G25" s="990">
        <f>+'6-A. Proc. Sub-Annex'!H264</f>
        <v>39</v>
      </c>
      <c r="H25" s="990">
        <f>+'6-A. Proc. Sub-Annex'!I264</f>
        <v>234</v>
      </c>
      <c r="I25" s="990">
        <f>+'6-A. Proc. Sub-Annex'!J264</f>
        <v>0</v>
      </c>
      <c r="J25" s="990">
        <f>+'6-A. Proc. Sub-Annex'!K264</f>
        <v>0.39</v>
      </c>
      <c r="K25" s="990">
        <f>+'6-A. Proc. Sub-Annex'!L264</f>
        <v>0</v>
      </c>
      <c r="L25" s="990">
        <f>+'6-A. Proc. Sub-Annex'!M264</f>
        <v>0</v>
      </c>
      <c r="M25" s="136">
        <f>+'6-A. Proc. Sub-Annex'!N264</f>
        <v>0</v>
      </c>
      <c r="N25" s="990">
        <f>+'6-A. Proc. Sub-Annex'!O264</f>
        <v>0</v>
      </c>
      <c r="O25" s="136">
        <f>+'6-A. Proc. Sub-Annex'!P264</f>
        <v>0</v>
      </c>
      <c r="P25" s="78" t="str">
        <f>+'6-A. Proc. Sub-Annex'!Q264</f>
        <v xml:space="preserve"> Under NPCDCS  Programme Already Demanded in FMR Code 6.2.19.1</v>
      </c>
      <c r="Q25" s="62"/>
      <c r="R25" s="124"/>
    </row>
    <row r="26" spans="1:18">
      <c r="A26" s="4633"/>
      <c r="B26" s="78">
        <f>+'6-A. Proc. Sub-Annex'!C265</f>
        <v>0</v>
      </c>
      <c r="C26" s="78" t="str">
        <f>+'6-A. Proc. Sub-Annex'!D265</f>
        <v>Drugs &amp; Diagnostics for Cardiac care</v>
      </c>
      <c r="D26" s="78" t="str">
        <f>+'6-A. Proc. Sub-Annex'!E265</f>
        <v>NCD</v>
      </c>
      <c r="E26" s="78" t="str">
        <f>+'6-A. Proc. Sub-Annex'!F265</f>
        <v>NPCDCS</v>
      </c>
      <c r="F26" s="990">
        <f>+'6-A. Proc. Sub-Annex'!G265</f>
        <v>0</v>
      </c>
      <c r="G26" s="990">
        <f>+'6-A. Proc. Sub-Annex'!H265</f>
        <v>0</v>
      </c>
      <c r="H26" s="990">
        <f>+'6-A. Proc. Sub-Annex'!I265</f>
        <v>0</v>
      </c>
      <c r="I26" s="990">
        <f>+'6-A. Proc. Sub-Annex'!J265</f>
        <v>0</v>
      </c>
      <c r="J26" s="990">
        <f>+'6-A. Proc. Sub-Annex'!K265</f>
        <v>0</v>
      </c>
      <c r="K26" s="990">
        <f>+'6-A. Proc. Sub-Annex'!L265</f>
        <v>0</v>
      </c>
      <c r="L26" s="990">
        <f>+'6-A. Proc. Sub-Annex'!M265</f>
        <v>0</v>
      </c>
      <c r="M26" s="136">
        <f>+'6-A. Proc. Sub-Annex'!N265</f>
        <v>0</v>
      </c>
      <c r="N26" s="990">
        <f>+'6-A. Proc. Sub-Annex'!O265</f>
        <v>0</v>
      </c>
      <c r="O26" s="136">
        <f>+'6-A. Proc. Sub-Annex'!P265</f>
        <v>0</v>
      </c>
      <c r="P26" s="78">
        <f>+'6-A. Proc. Sub-Annex'!Q265</f>
        <v>0</v>
      </c>
      <c r="Q26" s="62"/>
      <c r="R26" s="124"/>
    </row>
    <row r="27" spans="1:18" ht="75">
      <c r="A27" s="4633"/>
      <c r="B27" s="78">
        <f>+'6-A. Proc. Sub-Annex'!C266</f>
        <v>0</v>
      </c>
      <c r="C27" s="78" t="str">
        <f>+'6-A. Proc. Sub-Annex'!D266</f>
        <v>Drugs &amp; Diagnostics Cancer care</v>
      </c>
      <c r="D27" s="78" t="str">
        <f>+'6-A. Proc. Sub-Annex'!E266</f>
        <v>NCD</v>
      </c>
      <c r="E27" s="78" t="str">
        <f>+'6-A. Proc. Sub-Annex'!F266</f>
        <v>NPCDCS</v>
      </c>
      <c r="F27" s="990">
        <f>+'6-A. Proc. Sub-Annex'!G266</f>
        <v>38</v>
      </c>
      <c r="G27" s="990">
        <f>+'6-A. Proc. Sub-Annex'!H266</f>
        <v>38</v>
      </c>
      <c r="H27" s="990">
        <f>+'6-A. Proc. Sub-Annex'!I266</f>
        <v>38</v>
      </c>
      <c r="I27" s="990">
        <f>+'6-A. Proc. Sub-Annex'!J266</f>
        <v>0</v>
      </c>
      <c r="J27" s="990">
        <f>+'6-A. Proc. Sub-Annex'!K266</f>
        <v>0</v>
      </c>
      <c r="K27" s="990" t="str">
        <f>+'6-A. Proc. Sub-Annex'!L266</f>
        <v>per District</v>
      </c>
      <c r="L27" s="990">
        <f>+'6-A. Proc. Sub-Annex'!M266</f>
        <v>100000</v>
      </c>
      <c r="M27" s="136">
        <f>+'6-A. Proc. Sub-Annex'!N266</f>
        <v>1</v>
      </c>
      <c r="N27" s="990">
        <f>+'6-A. Proc. Sub-Annex'!O266</f>
        <v>38</v>
      </c>
      <c r="O27" s="136">
        <f>+'6-A. Proc. Sub-Annex'!P266</f>
        <v>38</v>
      </c>
      <c r="P27" s="78" t="str">
        <f>+'6-A. Proc. Sub-Annex'!Q266</f>
        <v>Continued Activity :
Drugs and supplies for District Tertiary Care Cancer Centre/Day Care Centre for drugs &amp; consumables (Rs. 100000/- Per  TCCC x 38 =38 Lakh for all 38 districts).</v>
      </c>
      <c r="Q27" s="62"/>
      <c r="R27" s="124"/>
    </row>
    <row r="28" spans="1:18" ht="165">
      <c r="A28" s="4633"/>
      <c r="B28" s="78" t="str">
        <f>+'6-A. Proc. Sub-Annex'!C267</f>
        <v>B.16.2.11.8.c</v>
      </c>
      <c r="C28" s="78" t="str">
        <f>+'6-A. Proc. Sub-Annex'!D267</f>
        <v>Drugs &amp; Diagnostics for NCD management (includes Diabetes, Hypertension, etc)</v>
      </c>
      <c r="D28" s="78" t="str">
        <f>+'6-A. Proc. Sub-Annex'!E267</f>
        <v>NCD</v>
      </c>
      <c r="E28" s="78" t="str">
        <f>+'6-A. Proc. Sub-Annex'!F267</f>
        <v>NPCDCS</v>
      </c>
      <c r="F28" s="990">
        <f>+'6-A. Proc. Sub-Annex'!G267</f>
        <v>267</v>
      </c>
      <c r="G28" s="990">
        <f>+'6-A. Proc. Sub-Annex'!H267</f>
        <v>210</v>
      </c>
      <c r="H28" s="990">
        <f>+'6-A. Proc. Sub-Annex'!I267</f>
        <v>66.75</v>
      </c>
      <c r="I28" s="990">
        <f>+'6-A. Proc. Sub-Annex'!J267</f>
        <v>0</v>
      </c>
      <c r="J28" s="990">
        <f>+'6-A. Proc. Sub-Annex'!K267</f>
        <v>0</v>
      </c>
      <c r="K28" s="990" t="str">
        <f>+'6-A. Proc. Sub-Annex'!L267</f>
        <v>per District</v>
      </c>
      <c r="L28" s="990">
        <f>+'6-A. Proc. Sub-Annex'!M267</f>
        <v>25000</v>
      </c>
      <c r="M28" s="136">
        <f>+'6-A. Proc. Sub-Annex'!N267</f>
        <v>0.25</v>
      </c>
      <c r="N28" s="990">
        <f>+'6-A. Proc. Sub-Annex'!O267</f>
        <v>578</v>
      </c>
      <c r="O28" s="136">
        <f>+'6-A. Proc. Sub-Annex'!P267</f>
        <v>144.5</v>
      </c>
      <c r="P28" s="78" t="str">
        <f>+'6-A. Proc. Sub-Annex'!Q267</f>
        <v>Continued Activity :
Purchase of NCD related Drugs as per EDL ( Diabetes, HTN, Asthma, Diuretics etc.) for all 204 CHC and 63 SDHs (converted into CHCs) NCD clinics  (including 5 IHCI districts), NCD related equipment/instruments &amp; Consumables/chemical/reagents  for lab test at 578 (533 CHC+45 SDH)  NCD Clinic and health camp  Rs. 25000/- Per  CHC NCD clinic x 578 =144.5  Lakh for all 38 districts.</v>
      </c>
      <c r="Q28" s="62"/>
      <c r="R28" s="124"/>
    </row>
    <row r="29" spans="1:18" ht="135">
      <c r="A29" s="4633"/>
      <c r="B29" s="78" t="str">
        <f>+'6-A. Proc. Sub-Annex'!C268</f>
        <v>B.16.2.11.8.d</v>
      </c>
      <c r="C29" s="78" t="str">
        <f>+'6-A. Proc. Sub-Annex'!D268</f>
        <v>Consumables for PHC level: Glucostrips, lancet, swabs, etc</v>
      </c>
      <c r="D29" s="78" t="str">
        <f>+'6-A. Proc. Sub-Annex'!E268</f>
        <v>NCD</v>
      </c>
      <c r="E29" s="78" t="str">
        <f>+'6-A. Proc. Sub-Annex'!F268</f>
        <v>NPCDCS</v>
      </c>
      <c r="F29" s="990">
        <f>+'6-A. Proc. Sub-Annex'!G268</f>
        <v>267</v>
      </c>
      <c r="G29" s="990">
        <f>+'6-A. Proc. Sub-Annex'!H268</f>
        <v>267</v>
      </c>
      <c r="H29" s="990">
        <f>+'6-A. Proc. Sub-Annex'!I268</f>
        <v>32.04</v>
      </c>
      <c r="I29" s="990">
        <f>+'6-A. Proc. Sub-Annex'!J268</f>
        <v>0</v>
      </c>
      <c r="J29" s="990">
        <f>+'6-A. Proc. Sub-Annex'!K268</f>
        <v>0</v>
      </c>
      <c r="K29" s="990" t="str">
        <f>+'6-A. Proc. Sub-Annex'!L268</f>
        <v>per CHC</v>
      </c>
      <c r="L29" s="990">
        <f>+'6-A. Proc. Sub-Annex'!M268</f>
        <v>12000</v>
      </c>
      <c r="M29" s="136">
        <f>+'6-A. Proc. Sub-Annex'!N268</f>
        <v>0.12</v>
      </c>
      <c r="N29" s="990">
        <f>+'6-A. Proc. Sub-Annex'!O268</f>
        <v>1379</v>
      </c>
      <c r="O29" s="136">
        <f>+'6-A. Proc. Sub-Annex'!P268</f>
        <v>165.48</v>
      </c>
      <c r="P29" s="78" t="str">
        <f>+'6-A. Proc. Sub-Annex'!Q268</f>
        <v>Purchase of NCD related Drugs/Drugs for hypertension as per the protocol ( Amlodipine, Telmisartan and Hydrochlorothiazide) approved &amp; Consumable/ Reagents Gulcostrip,lancet,swabs for PHC NCD Clinic and health camp  Rs.12000/- 1379  PHCs and  APHC functional   amount Required 1379*12000=165.48</v>
      </c>
      <c r="Q29" s="62"/>
      <c r="R29" s="124"/>
    </row>
    <row r="30" spans="1:18" ht="30">
      <c r="A30" s="4633"/>
      <c r="B30" s="78" t="str">
        <f>+'6-A. Proc. Sub-Annex'!C269</f>
        <v>B.16.2.11.8.e</v>
      </c>
      <c r="C30" s="78" t="str">
        <f>+'6-A. Proc. Sub-Annex'!D269</f>
        <v>Consumables for Sub-Centre level: Glucostrips, lancet, swabs, etc</v>
      </c>
      <c r="D30" s="78" t="str">
        <f>+'6-A. Proc. Sub-Annex'!E269</f>
        <v>NCD</v>
      </c>
      <c r="E30" s="78" t="str">
        <f>+'6-A. Proc. Sub-Annex'!F269</f>
        <v>NPCDCS</v>
      </c>
      <c r="F30" s="990">
        <f>+'6-A. Proc. Sub-Annex'!G269</f>
        <v>0</v>
      </c>
      <c r="G30" s="990">
        <f>+'6-A. Proc. Sub-Annex'!H269</f>
        <v>0</v>
      </c>
      <c r="H30" s="990">
        <f>+'6-A. Proc. Sub-Annex'!I269</f>
        <v>0</v>
      </c>
      <c r="I30" s="990">
        <f>+'6-A. Proc. Sub-Annex'!J269</f>
        <v>0</v>
      </c>
      <c r="J30" s="990">
        <f>+'6-A. Proc. Sub-Annex'!K269</f>
        <v>0</v>
      </c>
      <c r="K30" s="990" t="str">
        <f>+'6-A. Proc. Sub-Annex'!L269</f>
        <v>per  PHC</v>
      </c>
      <c r="L30" s="990">
        <f>+'6-A. Proc. Sub-Annex'!M269</f>
        <v>0</v>
      </c>
      <c r="M30" s="136">
        <f>+'6-A. Proc. Sub-Annex'!N269</f>
        <v>0</v>
      </c>
      <c r="N30" s="990">
        <f>+'6-A. Proc. Sub-Annex'!O269</f>
        <v>9949</v>
      </c>
      <c r="O30" s="136">
        <f>+'6-A. Proc. Sub-Annex'!P269</f>
        <v>0</v>
      </c>
      <c r="P30" s="78" t="str">
        <f>+'6-A. Proc. Sub-Annex'!Q269</f>
        <v>already demanded FMR Cod 6.1.2.6.1</v>
      </c>
      <c r="Q30" s="62"/>
      <c r="R30" s="124"/>
    </row>
    <row r="31" spans="1:18" ht="30">
      <c r="A31" s="4633"/>
      <c r="B31" s="78" t="str">
        <f>+'6-A. Proc. Sub-Annex'!C270</f>
        <v>B18.2</v>
      </c>
      <c r="C31" s="78" t="str">
        <f>+'6-A. Proc. Sub-Annex'!D270</f>
        <v>Drugs &amp; supplies for Universal Screening of NCDs</v>
      </c>
      <c r="D31" s="78" t="str">
        <f>+'6-A. Proc. Sub-Annex'!E270</f>
        <v>NCD</v>
      </c>
      <c r="E31" s="78" t="str">
        <f>+'6-A. Proc. Sub-Annex'!F270</f>
        <v>NPCDCS</v>
      </c>
      <c r="F31" s="990">
        <f>+'6-A. Proc. Sub-Annex'!G270</f>
        <v>6328</v>
      </c>
      <c r="G31" s="990">
        <f>+'6-A. Proc. Sub-Annex'!H270</f>
        <v>0</v>
      </c>
      <c r="H31" s="990">
        <f>+'6-A. Proc. Sub-Annex'!I270</f>
        <v>63.28</v>
      </c>
      <c r="I31" s="990">
        <f>+'6-A. Proc. Sub-Annex'!J270</f>
        <v>0</v>
      </c>
      <c r="J31" s="990">
        <f>+'6-A. Proc. Sub-Annex'!K270</f>
        <v>10.7</v>
      </c>
      <c r="K31" s="990">
        <f>+'6-A. Proc. Sub-Annex'!L270</f>
        <v>0</v>
      </c>
      <c r="L31" s="990">
        <f>+'6-A. Proc. Sub-Annex'!M270</f>
        <v>0</v>
      </c>
      <c r="M31" s="136">
        <f>+'6-A. Proc. Sub-Annex'!N270</f>
        <v>0</v>
      </c>
      <c r="N31" s="990">
        <f>+'6-A. Proc. Sub-Annex'!O270</f>
        <v>0</v>
      </c>
      <c r="O31" s="136">
        <f>+'6-A. Proc. Sub-Annex'!P270</f>
        <v>0</v>
      </c>
      <c r="P31" s="78">
        <f>+'6-A. Proc. Sub-Annex'!Q270</f>
        <v>0</v>
      </c>
      <c r="Q31" s="62"/>
      <c r="R31" s="124"/>
    </row>
    <row r="32" spans="1:18">
      <c r="A32" s="718">
        <f>'7.Referral Transport Annex'!A7</f>
        <v>7</v>
      </c>
      <c r="B32" s="718"/>
      <c r="C32" s="718" t="str">
        <f>'7.Referral Transport Annex'!C7</f>
        <v>Referral Transport</v>
      </c>
      <c r="D32" s="718"/>
      <c r="E32" s="693"/>
      <c r="F32" s="693"/>
      <c r="G32" s="693"/>
      <c r="H32" s="693"/>
      <c r="I32" s="693"/>
      <c r="J32" s="693"/>
      <c r="K32" s="693"/>
      <c r="L32" s="693"/>
      <c r="M32" s="240"/>
      <c r="N32" s="693"/>
      <c r="O32" s="240">
        <f>SUM(O33:O34)</f>
        <v>0</v>
      </c>
      <c r="P32" s="718"/>
      <c r="Q32" s="1112"/>
      <c r="R32" s="129">
        <f>SUM(R33:R34)</f>
        <v>0</v>
      </c>
    </row>
    <row r="33" spans="1:18">
      <c r="A33" s="78" t="str">
        <f>+'7.Referral Transport Annex'!A26</f>
        <v>7.6.1</v>
      </c>
      <c r="B33" s="78" t="str">
        <f>+'7.Referral Transport Annex'!B26</f>
        <v>O.2.1.6.6.i</v>
      </c>
      <c r="C33" s="78" t="str">
        <f>+'7.Referral Transport Annex'!C26</f>
        <v>District NCD Clinic</v>
      </c>
      <c r="D33" s="78" t="str">
        <f>+'7.Referral Transport Annex'!D26</f>
        <v>NCD</v>
      </c>
      <c r="E33" s="990" t="str">
        <f>+'7.Referral Transport Annex'!E26</f>
        <v>NPCDCS</v>
      </c>
      <c r="F33" s="990">
        <f>+'7.Referral Transport Annex'!F26</f>
        <v>0</v>
      </c>
      <c r="G33" s="990">
        <f>+'7.Referral Transport Annex'!G26</f>
        <v>0</v>
      </c>
      <c r="H33" s="990">
        <f>+'7.Referral Transport Annex'!H26</f>
        <v>0</v>
      </c>
      <c r="I33" s="990">
        <f>+'7.Referral Transport Annex'!I26</f>
        <v>0</v>
      </c>
      <c r="J33" s="990">
        <f>+'7.Referral Transport Annex'!J26</f>
        <v>0</v>
      </c>
      <c r="K33" s="990">
        <f>+'7.Referral Transport Annex'!K26</f>
        <v>0</v>
      </c>
      <c r="L33" s="990">
        <f>+'7.Referral Transport Annex'!L26</f>
        <v>0</v>
      </c>
      <c r="M33" s="136">
        <f>+'7.Referral Transport Annex'!M26</f>
        <v>0</v>
      </c>
      <c r="N33" s="990">
        <f>+'7.Referral Transport Annex'!N26</f>
        <v>0</v>
      </c>
      <c r="O33" s="136">
        <f>+'7.Referral Transport Annex'!O26</f>
        <v>0</v>
      </c>
      <c r="P33" s="78">
        <f>+'7.Referral Transport Annex'!P26</f>
        <v>0</v>
      </c>
      <c r="Q33" s="62"/>
      <c r="R33" s="124"/>
    </row>
    <row r="34" spans="1:18">
      <c r="A34" s="78" t="str">
        <f>+'7.Referral Transport Annex'!A27</f>
        <v>7.6.2</v>
      </c>
      <c r="B34" s="78" t="str">
        <f>+'7.Referral Transport Annex'!B27</f>
        <v>O.2.1.6.6.ii</v>
      </c>
      <c r="C34" s="78" t="str">
        <f>+'7.Referral Transport Annex'!C27</f>
        <v>CHC NCD Clinic</v>
      </c>
      <c r="D34" s="78" t="str">
        <f>+'7.Referral Transport Annex'!D27</f>
        <v>NCD</v>
      </c>
      <c r="E34" s="990" t="str">
        <f>+'7.Referral Transport Annex'!E27</f>
        <v>NPCDCS</v>
      </c>
      <c r="F34" s="990">
        <f>+'7.Referral Transport Annex'!F27</f>
        <v>0</v>
      </c>
      <c r="G34" s="990">
        <f>+'7.Referral Transport Annex'!G27</f>
        <v>0</v>
      </c>
      <c r="H34" s="990">
        <f>+'7.Referral Transport Annex'!H27</f>
        <v>0</v>
      </c>
      <c r="I34" s="990">
        <f>+'7.Referral Transport Annex'!I27</f>
        <v>0</v>
      </c>
      <c r="J34" s="990">
        <f>+'7.Referral Transport Annex'!J27</f>
        <v>0</v>
      </c>
      <c r="K34" s="990">
        <f>+'7.Referral Transport Annex'!K27</f>
        <v>0</v>
      </c>
      <c r="L34" s="990">
        <f>+'7.Referral Transport Annex'!L27</f>
        <v>0</v>
      </c>
      <c r="M34" s="136">
        <f>+'7.Referral Transport Annex'!M27</f>
        <v>0</v>
      </c>
      <c r="N34" s="990">
        <f>+'7.Referral Transport Annex'!N27</f>
        <v>0</v>
      </c>
      <c r="O34" s="136">
        <f>+'7.Referral Transport Annex'!O27</f>
        <v>0</v>
      </c>
      <c r="P34" s="78">
        <f>+'7.Referral Transport Annex'!P27</f>
        <v>0</v>
      </c>
      <c r="Q34" s="62"/>
      <c r="R34" s="124"/>
    </row>
    <row r="35" spans="1:18">
      <c r="A35" s="718">
        <f>'9.Training Annex'!A7</f>
        <v>9</v>
      </c>
      <c r="B35" s="718"/>
      <c r="C35" s="718" t="str">
        <f>'9.Training Annex'!C7</f>
        <v>Training and Capacity Building</v>
      </c>
      <c r="D35" s="718"/>
      <c r="E35" s="693"/>
      <c r="F35" s="693"/>
      <c r="G35" s="693"/>
      <c r="H35" s="693"/>
      <c r="I35" s="693"/>
      <c r="J35" s="693"/>
      <c r="K35" s="693"/>
      <c r="L35" s="693"/>
      <c r="M35" s="240"/>
      <c r="N35" s="693"/>
      <c r="O35" s="240">
        <f>SUM(O36:O39)</f>
        <v>1262.3600000000001</v>
      </c>
      <c r="P35" s="718"/>
      <c r="Q35" s="1112"/>
      <c r="R35" s="129">
        <f>SUM(R36:R39)</f>
        <v>0</v>
      </c>
    </row>
    <row r="36" spans="1:18" ht="409.5">
      <c r="A36" s="4637" t="str">
        <f>'9.Training Annex'!A59</f>
        <v>9.2.4.5</v>
      </c>
      <c r="B36" s="78" t="str">
        <f>'9-A.Training Sub-Annex'!C263</f>
        <v>O.2.3.1</v>
      </c>
      <c r="C36" s="78" t="str">
        <f>+'9-A.Training Sub-Annex'!D263</f>
        <v>State NCD  Cell</v>
      </c>
      <c r="D36" s="78" t="str">
        <f>+'9-A.Training Sub-Annex'!E263</f>
        <v>NCD</v>
      </c>
      <c r="E36" s="990" t="str">
        <f>+'9-A.Training Sub-Annex'!F263</f>
        <v>NPCDCS</v>
      </c>
      <c r="F36" s="990">
        <f>+'9-A.Training Sub-Annex'!G263</f>
        <v>1</v>
      </c>
      <c r="G36" s="990">
        <f>+'9-A.Training Sub-Annex'!H263</f>
        <v>1</v>
      </c>
      <c r="H36" s="990">
        <f>+'9-A.Training Sub-Annex'!I263</f>
        <v>20</v>
      </c>
      <c r="I36" s="990">
        <f>+'9-A.Training Sub-Annex'!J263</f>
        <v>0</v>
      </c>
      <c r="J36" s="990">
        <f>+'9-A.Training Sub-Annex'!K263</f>
        <v>0</v>
      </c>
      <c r="K36" s="990">
        <f>+'9-A.Training Sub-Annex'!L263</f>
        <v>1</v>
      </c>
      <c r="L36" s="990">
        <f>+'9-A.Training Sub-Annex'!M263</f>
        <v>2000000</v>
      </c>
      <c r="M36" s="136">
        <f>+'9-A.Training Sub-Annex'!N263</f>
        <v>20</v>
      </c>
      <c r="N36" s="990">
        <f>+'9-A.Training Sub-Annex'!O263</f>
        <v>1</v>
      </c>
      <c r="O36" s="136">
        <f>+'9-A.Training Sub-Annex'!P263</f>
        <v>20</v>
      </c>
      <c r="P36" s="78" t="str">
        <f>+'9-A.Training Sub-Annex'!Q263</f>
        <v xml:space="preserve"> Continued Activities :   
    As per  guideline, Budget is  20 lakh at State NCD Cell
 administrative approval for following activities being sought.
(1) 3  days Residential training for NCD Programme manager (1 NCDO+ 1 DPC/FLC)  in 02 Batches
(2 ) 2 days Residential State level TOT for  MO on treatment protocols on Diabetes, HTN, COPD, CKD and cancer  (1 NCDO+2 MO per district) in 04 batches  
(3 ) 2 days  State level induction Training for Physiotherepist on NCDs (all districts) in 01batch
(4) 2 days  State level refresher Training  all M &amp; E and FLC on NCD App  admin portal dashboard, Simple App  and reporting formats  in 1 Batches .
(5) 3 days Residential State level TOT for  Nursing Tutor ( 2 per District) on NCDs.  in 1 Batches.
(6) 2 days  State level induction for counsellor on counselling for common NCD  in Batches                                                         (7) 1 day  State level TOT under IHCI  tratment protocol Diabeties,Hypertansion NCDO,MO,SN, Pharmasist  etc in 01 Batches                                               
(8) Quarterly 1 day  State level review for  NCDOs, and district program management unit ( DPC/DCM/M &amp; E/FLC /DAM) on NPCDCS etc                                                                               ( 9 ) 2 days  State level Orientation training PHC portal PHC App Training for  NCDO, MO  and staff Nurse                          </v>
      </c>
      <c r="Q36" s="62"/>
      <c r="R36" s="124"/>
    </row>
    <row r="37" spans="1:18" ht="405">
      <c r="A37" s="4637"/>
      <c r="B37" s="78" t="str">
        <f>'9-A.Training Sub-Annex'!C264</f>
        <v>O.2.3.2</v>
      </c>
      <c r="C37" s="78" t="str">
        <f>+'9-A.Training Sub-Annex'!D264</f>
        <v>District  NCD Cell</v>
      </c>
      <c r="D37" s="78" t="str">
        <f>+'9-A.Training Sub-Annex'!E264</f>
        <v>NCD</v>
      </c>
      <c r="E37" s="990" t="str">
        <f>+'9-A.Training Sub-Annex'!F264</f>
        <v>NPCDCS</v>
      </c>
      <c r="F37" s="990">
        <f>+'9-A.Training Sub-Annex'!G264</f>
        <v>38</v>
      </c>
      <c r="G37" s="990">
        <f>+'9-A.Training Sub-Annex'!H264</f>
        <v>38</v>
      </c>
      <c r="H37" s="990">
        <f>+'9-A.Training Sub-Annex'!I264</f>
        <v>50</v>
      </c>
      <c r="I37" s="990">
        <f>+'9-A.Training Sub-Annex'!J264</f>
        <v>0</v>
      </c>
      <c r="J37" s="990">
        <f>+'9-A.Training Sub-Annex'!K264</f>
        <v>0.98268999999999995</v>
      </c>
      <c r="K37" s="990" t="str">
        <f>+'9-A.Training Sub-Annex'!L264</f>
        <v>Per Batches</v>
      </c>
      <c r="L37" s="990">
        <f>+'9-A.Training Sub-Annex'!M264</f>
        <v>50100</v>
      </c>
      <c r="M37" s="136">
        <f>+'9-A.Training Sub-Annex'!N264</f>
        <v>0.501</v>
      </c>
      <c r="N37" s="990">
        <f>+'9-A.Training Sub-Annex'!O264</f>
        <v>360</v>
      </c>
      <c r="O37" s="136">
        <f>+'9-A.Training Sub-Annex'!P264</f>
        <v>180.36</v>
      </c>
      <c r="P37" s="78" t="str">
        <f>+'9-A.Training Sub-Annex'!Q264</f>
        <v xml:space="preserve">As per  guideline, Budget is  5 lakh Per  District
 administrative approval for following activities being sought.Continiued Activities    
(1) Training for Program management unit on NCD 38 batch participants( one Per Institution MOIC, BHM and BCM/BAM)@ 0.49335 lakhs per batch  
(2 ) District level training for  MO on treatment protocols of Diabetes, HTN, COPD, CKD and cancer  (MOIC/MO,  Per Institution, ) 38 batch @0.49335 lakhs per batch  
(3) District level training for  Staff Nurse/ANM on Diabetes, HTN and cancer. 152 batch @ 0.49335 lakhs per batch
(4) District level orientation for Block M &amp; E /Incharge  on  Admin Portal , Dashboard and Common trouble shooting  related to NCD App 38 batches ( Per District per Batch) @ 0.49335 lakhs per batch
(5)  State level Asha ToT  of 90 Master trainers in three batches (Each batch 30 participants) on ARC rates. 1.63 Lakh per batch  X 3= 4.89 Lakh  .                                                                                                                                                   (6)1 day District level Orientation training PHC portal PHC App Training for  , MOIC , BMEO and Staff Nurce  etc  @(533*3=1599)   on Diabetes, HTN and Cancer Plan 53 batch (Each batch 30 participants)@.49335 lakhs per batch                                                                               (7) Training on pain and palliative care MO and SN 38 batch (Each batch 30 participants)@.49335 lakhs per batch   </v>
      </c>
      <c r="Q37" s="62"/>
      <c r="R37" s="124"/>
    </row>
    <row r="38" spans="1:18" ht="120">
      <c r="A38" s="4637"/>
      <c r="B38" s="78">
        <f>'9-A.Training Sub-Annex'!C265</f>
        <v>0</v>
      </c>
      <c r="C38" s="78" t="str">
        <f>+'9-A.Training Sub-Annex'!D265</f>
        <v>Training for Universal Screening for NCDs</v>
      </c>
      <c r="D38" s="78" t="str">
        <f>+'9-A.Training Sub-Annex'!E265</f>
        <v>NCD</v>
      </c>
      <c r="E38" s="990" t="str">
        <f>+'9-A.Training Sub-Annex'!F265</f>
        <v>NPCDCS</v>
      </c>
      <c r="F38" s="990">
        <f>+'9-A.Training Sub-Annex'!G265</f>
        <v>1002</v>
      </c>
      <c r="G38" s="990">
        <f>+'9-A.Training Sub-Annex'!H265</f>
        <v>25</v>
      </c>
      <c r="H38" s="990">
        <f>+'9-A.Training Sub-Annex'!I265</f>
        <v>1065.26</v>
      </c>
      <c r="I38" s="990">
        <f>+'9-A.Training Sub-Annex'!J265</f>
        <v>0</v>
      </c>
      <c r="J38" s="990">
        <f>+'9-A.Training Sub-Annex'!K265</f>
        <v>0</v>
      </c>
      <c r="K38" s="990" t="str">
        <f>+'9-A.Training Sub-Annex'!L265</f>
        <v>Per Batches</v>
      </c>
      <c r="L38" s="990">
        <f>+'9-A.Training Sub-Annex'!M265</f>
        <v>106200</v>
      </c>
      <c r="M38" s="136">
        <f>+'9-A.Training Sub-Annex'!N265</f>
        <v>1.0620000000000001</v>
      </c>
      <c r="N38" s="990">
        <f>+'9-A.Training Sub-Annex'!O265</f>
        <v>1000</v>
      </c>
      <c r="O38" s="136">
        <f>+'9-A.Training Sub-Annex'!P265</f>
        <v>1062</v>
      </c>
      <c r="P38" s="78" t="str">
        <f>+'9-A.Training Sub-Annex'!Q265</f>
        <v>Continiued Activities                                                                                      5 Days residential training for ASHA ( 30 participants per batch @ 700/- per day per ASHA)                                                                    Amount required 700/- X 5 days X 30000 ASHA = 1050 Lakh and Additionally on day 5 the ANM's food cost is calculated for 4000 numbers of ANM/SN @ 300/- = 12 lakh/-</v>
      </c>
      <c r="Q38" s="62"/>
      <c r="R38" s="124"/>
    </row>
    <row r="39" spans="1:18">
      <c r="A39" s="4637"/>
      <c r="B39" s="78">
        <f>'9-A.Training Sub-Annex'!C266</f>
        <v>0</v>
      </c>
      <c r="C39" s="78" t="str">
        <f>+'9-A.Training Sub-Annex'!D266</f>
        <v>Any other (please specify)</v>
      </c>
      <c r="D39" s="78" t="str">
        <f>+'9-A.Training Sub-Annex'!E266</f>
        <v>NCD</v>
      </c>
      <c r="E39" s="990" t="str">
        <f>+'9-A.Training Sub-Annex'!F266</f>
        <v>NPCDCS</v>
      </c>
      <c r="F39" s="990">
        <f>+'9-A.Training Sub-Annex'!G266</f>
        <v>0</v>
      </c>
      <c r="G39" s="990">
        <f>+'9-A.Training Sub-Annex'!H266</f>
        <v>0</v>
      </c>
      <c r="H39" s="990">
        <f>+'9-A.Training Sub-Annex'!I266</f>
        <v>0</v>
      </c>
      <c r="I39" s="990">
        <f>+'9-A.Training Sub-Annex'!J266</f>
        <v>0</v>
      </c>
      <c r="J39" s="990">
        <f>+'9-A.Training Sub-Annex'!K266</f>
        <v>0</v>
      </c>
      <c r="K39" s="990">
        <f>+'9-A.Training Sub-Annex'!L266</f>
        <v>0</v>
      </c>
      <c r="L39" s="990">
        <f>+'9-A.Training Sub-Annex'!M266</f>
        <v>0</v>
      </c>
      <c r="M39" s="136">
        <f>+'9-A.Training Sub-Annex'!N266</f>
        <v>0</v>
      </c>
      <c r="N39" s="990">
        <f>+'9-A.Training Sub-Annex'!O266</f>
        <v>0</v>
      </c>
      <c r="O39" s="136">
        <f>+'9-A.Training Sub-Annex'!P266</f>
        <v>0</v>
      </c>
      <c r="P39" s="78" t="str">
        <f>+'9-A.Training Sub-Annex'!Q266</f>
        <v>Shifted to FMR Code-9.5.19.2</v>
      </c>
      <c r="Q39" s="62"/>
      <c r="R39" s="124"/>
    </row>
    <row r="40" spans="1:18" ht="30">
      <c r="A40" s="718">
        <f>'10.Review Research &amp; Surveillen'!A7</f>
        <v>10</v>
      </c>
      <c r="B40" s="718"/>
      <c r="C40" s="718" t="str">
        <f>'10.Review Research &amp; Surveillen'!C7</f>
        <v>Reviews, Research, Surveys and Surveillance</v>
      </c>
      <c r="D40" s="718"/>
      <c r="E40" s="693"/>
      <c r="F40" s="693"/>
      <c r="G40" s="693"/>
      <c r="H40" s="693"/>
      <c r="I40" s="693"/>
      <c r="J40" s="693"/>
      <c r="K40" s="693"/>
      <c r="L40" s="693"/>
      <c r="M40" s="240"/>
      <c r="N40" s="693"/>
      <c r="O40" s="240">
        <f>SUM(O41:O45)</f>
        <v>0</v>
      </c>
      <c r="P40" s="718"/>
      <c r="Q40" s="1112"/>
      <c r="R40" s="129">
        <f>SUM(R41:R45)</f>
        <v>0</v>
      </c>
    </row>
    <row r="41" spans="1:18">
      <c r="A41" s="1002" t="str">
        <f>+'10.Review Research &amp; Surveillen'!A29</f>
        <v>10.2.12</v>
      </c>
      <c r="B41" s="1002" t="str">
        <f>+'10.Review Research &amp; Surveillen'!B29</f>
        <v>O.2.7.1</v>
      </c>
      <c r="C41" s="1002" t="str">
        <f>+'10.Review Research &amp; Surveillen'!C29</f>
        <v>Research at State NCD Cell</v>
      </c>
      <c r="D41" s="1002" t="str">
        <f>+'10.Review Research &amp; Surveillen'!D29</f>
        <v>NCD</v>
      </c>
      <c r="E41" s="1031" t="str">
        <f>+'10.Review Research &amp; Surveillen'!E29</f>
        <v>NPCDCS</v>
      </c>
      <c r="F41" s="1031">
        <f>+'10.Review Research &amp; Surveillen'!F29</f>
        <v>0</v>
      </c>
      <c r="G41" s="1031">
        <f>+'10.Review Research &amp; Surveillen'!G29</f>
        <v>0</v>
      </c>
      <c r="H41" s="1031">
        <f>+'10.Review Research &amp; Surveillen'!H29</f>
        <v>0</v>
      </c>
      <c r="I41" s="1031">
        <f>+'10.Review Research &amp; Surveillen'!I29</f>
        <v>0</v>
      </c>
      <c r="J41" s="1031">
        <f>+'10.Review Research &amp; Surveillen'!J29</f>
        <v>0</v>
      </c>
      <c r="K41" s="1031">
        <f>+'10.Review Research &amp; Surveillen'!K29</f>
        <v>0</v>
      </c>
      <c r="L41" s="1031">
        <f>+'10.Review Research &amp; Surveillen'!L29</f>
        <v>0</v>
      </c>
      <c r="M41" s="136">
        <f>+'10.Review Research &amp; Surveillen'!M29</f>
        <v>0</v>
      </c>
      <c r="N41" s="1031">
        <f>+'10.Review Research &amp; Surveillen'!N29</f>
        <v>0</v>
      </c>
      <c r="O41" s="136">
        <f>+'10.Review Research &amp; Surveillen'!O29</f>
        <v>0</v>
      </c>
      <c r="P41" s="1002">
        <f>+'10.Review Research &amp; Surveillen'!P29</f>
        <v>0</v>
      </c>
      <c r="Q41" s="62"/>
      <c r="R41" s="124"/>
    </row>
    <row r="42" spans="1:18">
      <c r="A42" s="1002" t="str">
        <f>+'10.Review Research &amp; Surveillen'!A30</f>
        <v>10.2.13</v>
      </c>
      <c r="B42" s="1002" t="str">
        <f>+'10.Review Research &amp; Surveillen'!B30</f>
        <v>O.2.7.2</v>
      </c>
      <c r="C42" s="1002" t="str">
        <f>+'10.Review Research &amp; Surveillen'!C30</f>
        <v>Research at Institutes</v>
      </c>
      <c r="D42" s="1002" t="str">
        <f>+'10.Review Research &amp; Surveillen'!D30</f>
        <v>NCD</v>
      </c>
      <c r="E42" s="1031" t="str">
        <f>+'10.Review Research &amp; Surveillen'!E30</f>
        <v>NPCDCS</v>
      </c>
      <c r="F42" s="1031">
        <f>+'10.Review Research &amp; Surveillen'!F30</f>
        <v>0</v>
      </c>
      <c r="G42" s="1031">
        <f>+'10.Review Research &amp; Surveillen'!G30</f>
        <v>0</v>
      </c>
      <c r="H42" s="1031">
        <f>+'10.Review Research &amp; Surveillen'!H30</f>
        <v>0</v>
      </c>
      <c r="I42" s="1031">
        <f>+'10.Review Research &amp; Surveillen'!I30</f>
        <v>0</v>
      </c>
      <c r="J42" s="1031">
        <f>+'10.Review Research &amp; Surveillen'!J30</f>
        <v>0</v>
      </c>
      <c r="K42" s="1031">
        <f>+'10.Review Research &amp; Surveillen'!K30</f>
        <v>0</v>
      </c>
      <c r="L42" s="1031">
        <f>+'10.Review Research &amp; Surveillen'!L30</f>
        <v>0</v>
      </c>
      <c r="M42" s="136">
        <f>+'10.Review Research &amp; Surveillen'!M30</f>
        <v>0</v>
      </c>
      <c r="N42" s="1031">
        <f>+'10.Review Research &amp; Surveillen'!N30</f>
        <v>0</v>
      </c>
      <c r="O42" s="136">
        <f>+'10.Review Research &amp; Surveillen'!O30</f>
        <v>0</v>
      </c>
      <c r="P42" s="1002">
        <f>+'10.Review Research &amp; Surveillen'!P30</f>
        <v>0</v>
      </c>
      <c r="Q42" s="62"/>
      <c r="R42" s="124"/>
    </row>
    <row r="43" spans="1:18">
      <c r="A43" s="78" t="str">
        <f>+'10.Review Research &amp; Surveillen'!A43</f>
        <v>10.3.2.1</v>
      </c>
      <c r="B43" s="78" t="str">
        <f>+'10.Review Research &amp; Surveillen'!B43</f>
        <v>O.2.7.1</v>
      </c>
      <c r="C43" s="78" t="str">
        <f>+'10.Review Research &amp; Surveillen'!C43</f>
        <v>At State NCD Cell</v>
      </c>
      <c r="D43" s="78" t="str">
        <f>+'10.Review Research &amp; Surveillen'!D43</f>
        <v>NCD</v>
      </c>
      <c r="E43" s="990" t="str">
        <f>+'10.Review Research &amp; Surveillen'!E43</f>
        <v>NPCDCS</v>
      </c>
      <c r="F43" s="990">
        <f>+'10.Review Research &amp; Surveillen'!F43</f>
        <v>0</v>
      </c>
      <c r="G43" s="990">
        <f>+'10.Review Research &amp; Surveillen'!G43</f>
        <v>0</v>
      </c>
      <c r="H43" s="990">
        <f>+'10.Review Research &amp; Surveillen'!H43</f>
        <v>0</v>
      </c>
      <c r="I43" s="990">
        <f>+'10.Review Research &amp; Surveillen'!I43</f>
        <v>0</v>
      </c>
      <c r="J43" s="990">
        <f>+'10.Review Research &amp; Surveillen'!J43</f>
        <v>0</v>
      </c>
      <c r="K43" s="990">
        <f>+'10.Review Research &amp; Surveillen'!K43</f>
        <v>0</v>
      </c>
      <c r="L43" s="990">
        <f>+'10.Review Research &amp; Surveillen'!L43</f>
        <v>0</v>
      </c>
      <c r="M43" s="136">
        <f>+'10.Review Research &amp; Surveillen'!M43</f>
        <v>0</v>
      </c>
      <c r="N43" s="990">
        <f>+'10.Review Research &amp; Surveillen'!N43</f>
        <v>0</v>
      </c>
      <c r="O43" s="136">
        <f>+'10.Review Research &amp; Surveillen'!O43</f>
        <v>0</v>
      </c>
      <c r="P43" s="78">
        <f>+'10.Review Research &amp; Surveillen'!P43</f>
        <v>0</v>
      </c>
      <c r="Q43" s="62"/>
      <c r="R43" s="124"/>
    </row>
    <row r="44" spans="1:18">
      <c r="A44" s="78" t="str">
        <f>+'10.Review Research &amp; Surveillen'!A44</f>
        <v>10.3.2.2</v>
      </c>
      <c r="B44" s="78" t="str">
        <f>+'10.Review Research &amp; Surveillen'!B44</f>
        <v>O.2.7.2</v>
      </c>
      <c r="C44" s="78" t="str">
        <f>+'10.Review Research &amp; Surveillen'!C44</f>
        <v>At Institutes</v>
      </c>
      <c r="D44" s="78" t="str">
        <f>+'10.Review Research &amp; Surveillen'!D44</f>
        <v>NCD</v>
      </c>
      <c r="E44" s="990" t="str">
        <f>+'10.Review Research &amp; Surveillen'!E44</f>
        <v>NPCDCS</v>
      </c>
      <c r="F44" s="990">
        <f>+'10.Review Research &amp; Surveillen'!F44</f>
        <v>0</v>
      </c>
      <c r="G44" s="990">
        <f>+'10.Review Research &amp; Surveillen'!G44</f>
        <v>0</v>
      </c>
      <c r="H44" s="990">
        <f>+'10.Review Research &amp; Surveillen'!H44</f>
        <v>0</v>
      </c>
      <c r="I44" s="990">
        <f>+'10.Review Research &amp; Surveillen'!I44</f>
        <v>0</v>
      </c>
      <c r="J44" s="990">
        <f>+'10.Review Research &amp; Surveillen'!J44</f>
        <v>0</v>
      </c>
      <c r="K44" s="990">
        <f>+'10.Review Research &amp; Surveillen'!K44</f>
        <v>0</v>
      </c>
      <c r="L44" s="990">
        <f>+'10.Review Research &amp; Surveillen'!L44</f>
        <v>0</v>
      </c>
      <c r="M44" s="136">
        <f>+'10.Review Research &amp; Surveillen'!M44</f>
        <v>0</v>
      </c>
      <c r="N44" s="990">
        <f>+'10.Review Research &amp; Surveillen'!N44</f>
        <v>0</v>
      </c>
      <c r="O44" s="136">
        <f>+'10.Review Research &amp; Surveillen'!O44</f>
        <v>0</v>
      </c>
      <c r="P44" s="78">
        <f>+'10.Review Research &amp; Surveillen'!P44</f>
        <v>0</v>
      </c>
      <c r="Q44" s="62"/>
      <c r="R44" s="124"/>
    </row>
    <row r="45" spans="1:18">
      <c r="A45" s="78" t="str">
        <f>+'10.Review Research &amp; Surveillen'!A45</f>
        <v>10.3.2.3</v>
      </c>
      <c r="B45" s="78"/>
      <c r="C45" s="78" t="str">
        <f>+'10.Review Research &amp; Surveillen'!C45</f>
        <v>Any other (please specify)</v>
      </c>
      <c r="D45" s="78" t="str">
        <f>+'10.Review Research &amp; Surveillen'!D45</f>
        <v>NCD</v>
      </c>
      <c r="E45" s="990" t="str">
        <f>+'10.Review Research &amp; Surveillen'!E45</f>
        <v>NPCDCS</v>
      </c>
      <c r="F45" s="990">
        <f>+'10.Review Research &amp; Surveillen'!F45</f>
        <v>0</v>
      </c>
      <c r="G45" s="990">
        <f>+'10.Review Research &amp; Surveillen'!G45</f>
        <v>0</v>
      </c>
      <c r="H45" s="990">
        <f>+'10.Review Research &amp; Surveillen'!H45</f>
        <v>0</v>
      </c>
      <c r="I45" s="990">
        <f>+'10.Review Research &amp; Surveillen'!I45</f>
        <v>0</v>
      </c>
      <c r="J45" s="990">
        <f>+'10.Review Research &amp; Surveillen'!J45</f>
        <v>0</v>
      </c>
      <c r="K45" s="990">
        <f>+'10.Review Research &amp; Surveillen'!K45</f>
        <v>0</v>
      </c>
      <c r="L45" s="990">
        <f>+'10.Review Research &amp; Surveillen'!L45</f>
        <v>0</v>
      </c>
      <c r="M45" s="136">
        <f>+'10.Review Research &amp; Surveillen'!M45</f>
        <v>0</v>
      </c>
      <c r="N45" s="990">
        <f>+'10.Review Research &amp; Surveillen'!N45</f>
        <v>0</v>
      </c>
      <c r="O45" s="136">
        <f>+'10.Review Research &amp; Surveillen'!O45</f>
        <v>0</v>
      </c>
      <c r="P45" s="78">
        <f>+'10.Review Research &amp; Surveillen'!P45</f>
        <v>0</v>
      </c>
      <c r="Q45" s="62"/>
      <c r="R45" s="124"/>
    </row>
    <row r="46" spans="1:18">
      <c r="A46" s="817">
        <f>'11.IEC-BCC Annex'!A7</f>
        <v>11</v>
      </c>
      <c r="B46" s="817"/>
      <c r="C46" s="817" t="str">
        <f>'11.IEC-BCC Annex'!C7</f>
        <v>IEC/BCC</v>
      </c>
      <c r="D46" s="817"/>
      <c r="E46" s="818"/>
      <c r="F46" s="818"/>
      <c r="G46" s="818"/>
      <c r="H46" s="818"/>
      <c r="I46" s="818"/>
      <c r="J46" s="818"/>
      <c r="K46" s="818"/>
      <c r="L46" s="818"/>
      <c r="M46" s="240"/>
      <c r="N46" s="818"/>
      <c r="O46" s="240">
        <f>SUM(O47:O50)</f>
        <v>93.925000000000011</v>
      </c>
      <c r="P46" s="817"/>
      <c r="Q46" s="1112"/>
      <c r="R46" s="129">
        <f>SUM(R47:R50)</f>
        <v>0</v>
      </c>
    </row>
    <row r="47" spans="1:18" ht="180">
      <c r="A47" s="78" t="str">
        <f>'11.IEC-BCC Annex'!A36</f>
        <v>11.4.5</v>
      </c>
      <c r="B47" s="78" t="str">
        <f>+'11-A. IEC Sub-Annex'!C90</f>
        <v>O.2.3.1</v>
      </c>
      <c r="C47" s="78" t="str">
        <f>+'11-A. IEC Sub-Annex'!D90</f>
        <v>IEC/BCC for State NCD  Cell</v>
      </c>
      <c r="D47" s="78" t="str">
        <f>+'11-A. IEC Sub-Annex'!E90</f>
        <v>NCD</v>
      </c>
      <c r="E47" s="990" t="str">
        <f>+'11-A. IEC Sub-Annex'!F90</f>
        <v>NPCDCS</v>
      </c>
      <c r="F47" s="990">
        <f>+'11-A. IEC Sub-Annex'!G90</f>
        <v>0</v>
      </c>
      <c r="G47" s="990">
        <f>+'11-A. IEC Sub-Annex'!H90</f>
        <v>0</v>
      </c>
      <c r="H47" s="990">
        <f>+'11-A. IEC Sub-Annex'!I90</f>
        <v>0</v>
      </c>
      <c r="I47" s="990">
        <f>+'11-A. IEC Sub-Annex'!J90</f>
        <v>0</v>
      </c>
      <c r="J47" s="990">
        <f>+'11-A. IEC Sub-Annex'!K90</f>
        <v>0</v>
      </c>
      <c r="K47" s="990">
        <f>+'11-A. IEC Sub-Annex'!L90</f>
        <v>1</v>
      </c>
      <c r="L47" s="990">
        <f>+'11-A. IEC Sub-Annex'!M90</f>
        <v>2000000</v>
      </c>
      <c r="M47" s="136">
        <f>+'11-A. IEC Sub-Annex'!N90</f>
        <v>20</v>
      </c>
      <c r="N47" s="990">
        <f>+'11-A. IEC Sub-Annex'!O90</f>
        <v>1</v>
      </c>
      <c r="O47" s="136">
        <f>+'11-A. IEC Sub-Annex'!P90</f>
        <v>20</v>
      </c>
      <c r="P47" s="78" t="str">
        <f>+'11-A. IEC Sub-Annex'!Q90</f>
        <v>Continued activity:
Amount Required Rs. 2000000/- for Awareness Generation world diabetic day, cancer day, heart day, Bihar Day and other health days,  nukkar natak, rally, walkathon rally, radio jingle,  newspaper advt., Hoarding, flex banner, wall painting, miking, Prize distribution, poster, leaflet, banner etc. 
(All the state level activities to be organised at New Gardner Superspeciality Hospital)</v>
      </c>
      <c r="Q47" s="62"/>
      <c r="R47" s="124"/>
    </row>
    <row r="48" spans="1:18" ht="150">
      <c r="A48" s="78"/>
      <c r="B48" s="78" t="str">
        <f>+'11-A. IEC Sub-Annex'!C91</f>
        <v>O.2.3.2</v>
      </c>
      <c r="C48" s="78" t="str">
        <f>+'11-A. IEC Sub-Annex'!D91</f>
        <v>IEC/BCC for District  NCD Cell</v>
      </c>
      <c r="D48" s="78" t="str">
        <f>+'11-A. IEC Sub-Annex'!E91</f>
        <v>NCD</v>
      </c>
      <c r="E48" s="990" t="str">
        <f>+'11-A. IEC Sub-Annex'!F91</f>
        <v>NPCDCS</v>
      </c>
      <c r="F48" s="990">
        <f>+'11-A. IEC Sub-Annex'!G91</f>
        <v>0</v>
      </c>
      <c r="G48" s="990">
        <f>+'11-A. IEC Sub-Annex'!H91</f>
        <v>0</v>
      </c>
      <c r="H48" s="990">
        <f>+'11-A. IEC Sub-Annex'!I91</f>
        <v>0</v>
      </c>
      <c r="I48" s="990">
        <f>+'11-A. IEC Sub-Annex'!J91</f>
        <v>0</v>
      </c>
      <c r="J48" s="990">
        <f>+'11-A. IEC Sub-Annex'!K91</f>
        <v>0</v>
      </c>
      <c r="K48" s="990">
        <f>+'11-A. IEC Sub-Annex'!L91</f>
        <v>38</v>
      </c>
      <c r="L48" s="990">
        <f>+'11-A. IEC Sub-Annex'!M91</f>
        <v>100000</v>
      </c>
      <c r="M48" s="136">
        <f>+'11-A. IEC Sub-Annex'!N91</f>
        <v>1</v>
      </c>
      <c r="N48" s="990">
        <f>+'11-A. IEC Sub-Annex'!O91</f>
        <v>38</v>
      </c>
      <c r="O48" s="136">
        <f>+'11-A. IEC Sub-Annex'!P91</f>
        <v>38</v>
      </c>
      <c r="P48" s="78" t="str">
        <f>+'11-A. IEC Sub-Annex'!Q91</f>
        <v>Continued activity:
  Amount Required Rs. 100000/- Per District for Observation of world diabetic day, cancer day, heart day, Bihar Diwas, and other health days celebration camp organization, nukkar natak, rally, walkathon rally, radio jingle,  newspaper advt., flex banner, wall painting, miking , Prize Distribution, poster, leaflet, banner etc..</v>
      </c>
      <c r="Q48" s="62"/>
      <c r="R48" s="124"/>
    </row>
    <row r="49" spans="1:18" ht="45">
      <c r="A49" s="78"/>
      <c r="B49" s="78">
        <f>+'11-A. IEC Sub-Annex'!C92</f>
        <v>0</v>
      </c>
      <c r="C49" s="78" t="str">
        <f>+'11-A. IEC Sub-Annex'!D92</f>
        <v>IEC/BCC activities for Universal Screening of NCDs</v>
      </c>
      <c r="D49" s="78" t="str">
        <f>+'11-A. IEC Sub-Annex'!E92</f>
        <v>NCD</v>
      </c>
      <c r="E49" s="990" t="str">
        <f>+'11-A. IEC Sub-Annex'!F92</f>
        <v>HSS/NPCDCS</v>
      </c>
      <c r="F49" s="990">
        <f>+'11-A. IEC Sub-Annex'!G92</f>
        <v>0</v>
      </c>
      <c r="G49" s="990">
        <f>+'11-A. IEC Sub-Annex'!H92</f>
        <v>0</v>
      </c>
      <c r="H49" s="990">
        <f>+'11-A. IEC Sub-Annex'!I92</f>
        <v>0</v>
      </c>
      <c r="I49" s="990">
        <f>+'11-A. IEC Sub-Annex'!J92</f>
        <v>0</v>
      </c>
      <c r="J49" s="990">
        <f>+'11-A. IEC Sub-Annex'!K92</f>
        <v>0</v>
      </c>
      <c r="K49" s="990" t="str">
        <f>+'11-A. IEC Sub-Annex'!L92</f>
        <v>Per Unit</v>
      </c>
      <c r="L49" s="990">
        <f>+'11-A. IEC Sub-Annex'!M92</f>
        <v>1250</v>
      </c>
      <c r="M49" s="136">
        <f>+'11-A. IEC Sub-Annex'!N92</f>
        <v>1.2500000000000001E-2</v>
      </c>
      <c r="N49" s="990">
        <f>+'11-A. IEC Sub-Annex'!O92</f>
        <v>2874</v>
      </c>
      <c r="O49" s="136">
        <f>+'11-A. IEC Sub-Annex'!P92</f>
        <v>35.925000000000004</v>
      </c>
      <c r="P49" s="78" t="str">
        <f>+'11-A. IEC Sub-Annex'!Q92</f>
        <v xml:space="preserve">Continue Activity : Awareness Camps, Banner/Hoarding/Tin Plates, Wall Painting, Miking, Rally etc. </v>
      </c>
      <c r="Q49" s="62"/>
      <c r="R49" s="124"/>
    </row>
    <row r="50" spans="1:18" ht="30">
      <c r="A50" s="78"/>
      <c r="B50" s="78">
        <f>+'11-A. IEC Sub-Annex'!C93</f>
        <v>0</v>
      </c>
      <c r="C50" s="78" t="str">
        <f>+'11-A. IEC Sub-Annex'!D93</f>
        <v>Any other IEC/BCC activities (please specify)</v>
      </c>
      <c r="D50" s="78" t="str">
        <f>+'11-A. IEC Sub-Annex'!E93</f>
        <v>NCD</v>
      </c>
      <c r="E50" s="990" t="str">
        <f>+'11-A. IEC Sub-Annex'!F93</f>
        <v>NPCDCS</v>
      </c>
      <c r="F50" s="990">
        <f>+'11-A. IEC Sub-Annex'!G93</f>
        <v>0</v>
      </c>
      <c r="G50" s="990">
        <f>+'11-A. IEC Sub-Annex'!H93</f>
        <v>0</v>
      </c>
      <c r="H50" s="990">
        <f>+'11-A. IEC Sub-Annex'!I93</f>
        <v>0</v>
      </c>
      <c r="I50" s="990">
        <f>+'11-A. IEC Sub-Annex'!J93</f>
        <v>0</v>
      </c>
      <c r="J50" s="990">
        <f>+'11-A. IEC Sub-Annex'!K93</f>
        <v>0</v>
      </c>
      <c r="K50" s="990">
        <f>+'11-A. IEC Sub-Annex'!L93</f>
        <v>0</v>
      </c>
      <c r="L50" s="990">
        <f>+'11-A. IEC Sub-Annex'!M93</f>
        <v>0</v>
      </c>
      <c r="M50" s="136">
        <f>+'11-A. IEC Sub-Annex'!N93</f>
        <v>0</v>
      </c>
      <c r="N50" s="990">
        <f>+'11-A. IEC Sub-Annex'!O93</f>
        <v>0</v>
      </c>
      <c r="O50" s="136">
        <f>+'11-A. IEC Sub-Annex'!P93</f>
        <v>0</v>
      </c>
      <c r="P50" s="78">
        <f>+'11-A. IEC Sub-Annex'!Q93</f>
        <v>0</v>
      </c>
      <c r="Q50" s="62"/>
      <c r="R50" s="124"/>
    </row>
    <row r="51" spans="1:18">
      <c r="A51" s="817">
        <f>'12.Printing Annex'!A7</f>
        <v>12</v>
      </c>
      <c r="B51" s="817"/>
      <c r="C51" s="817" t="str">
        <f>'12.Printing Annex'!C7</f>
        <v>Printing</v>
      </c>
      <c r="D51" s="817"/>
      <c r="E51" s="818"/>
      <c r="F51" s="818"/>
      <c r="G51" s="818"/>
      <c r="H51" s="818"/>
      <c r="I51" s="818"/>
      <c r="J51" s="818"/>
      <c r="K51" s="818"/>
      <c r="L51" s="818"/>
      <c r="M51" s="240"/>
      <c r="N51" s="818"/>
      <c r="O51" s="240">
        <f>SUM(O52:O55)</f>
        <v>254.02106000000001</v>
      </c>
      <c r="P51" s="817"/>
      <c r="Q51" s="1112"/>
      <c r="R51" s="129">
        <f>SUM(R52:R55)</f>
        <v>0</v>
      </c>
    </row>
    <row r="52" spans="1:18" ht="45">
      <c r="A52" s="4633" t="str">
        <f>'12.Printing Annex'!A38</f>
        <v>12.4.5</v>
      </c>
      <c r="B52" s="78" t="str">
        <f>'12-A. Print Sub-Annex'!C99</f>
        <v>O.2.2.1.8.i</v>
      </c>
      <c r="C52" s="78" t="str">
        <f>+'12-A. Print Sub-Annex'!D99</f>
        <v>Patient referral cards at PHC Level</v>
      </c>
      <c r="D52" s="78" t="str">
        <f>+'12-A. Print Sub-Annex'!E99</f>
        <v>NCD</v>
      </c>
      <c r="E52" s="990" t="str">
        <f>+'12-A. Print Sub-Annex'!F99</f>
        <v>NPCDCS</v>
      </c>
      <c r="F52" s="990">
        <f>+'12-A. Print Sub-Annex'!G99</f>
        <v>0</v>
      </c>
      <c r="G52" s="990">
        <f>+'12-A. Print Sub-Annex'!H99</f>
        <v>0</v>
      </c>
      <c r="H52" s="990">
        <f>+'12-A. Print Sub-Annex'!I99</f>
        <v>0</v>
      </c>
      <c r="I52" s="990">
        <f>+'12-A. Print Sub-Annex'!J99</f>
        <v>0</v>
      </c>
      <c r="J52" s="990">
        <f>+'12-A. Print Sub-Annex'!K99</f>
        <v>0</v>
      </c>
      <c r="K52" s="990">
        <f>+'12-A. Print Sub-Annex'!L99</f>
        <v>578</v>
      </c>
      <c r="L52" s="990">
        <f>+'12-A. Print Sub-Annex'!M99</f>
        <v>2500</v>
      </c>
      <c r="M52" s="136">
        <f>+'12-A. Print Sub-Annex'!N99</f>
        <v>2.5000000000000001E-2</v>
      </c>
      <c r="N52" s="990">
        <f>+'12-A. Print Sub-Annex'!O99</f>
        <v>578</v>
      </c>
      <c r="O52" s="136">
        <f>+'12-A. Print Sub-Annex'!P99</f>
        <v>14.450000000000001</v>
      </c>
      <c r="P52" s="78" t="str">
        <f>+'12-A. Print Sub-Annex'!Q99</f>
        <v>As per GoI Guideline Rs. 2500/- for per CHC/PHC required for patient referral cards (For 533 CHCs+ 45 SDH).</v>
      </c>
      <c r="Q52" s="62"/>
      <c r="R52" s="124"/>
    </row>
    <row r="53" spans="1:18" ht="30">
      <c r="A53" s="4633"/>
      <c r="B53" s="78" t="str">
        <f>'12-A. Print Sub-Annex'!C100</f>
        <v>O.2.2.1.8.ii</v>
      </c>
      <c r="C53" s="78" t="str">
        <f>+'12-A. Print Sub-Annex'!D100</f>
        <v>Patient referral cards at Sub-centre level</v>
      </c>
      <c r="D53" s="78" t="str">
        <f>+'12-A. Print Sub-Annex'!E100</f>
        <v>NCD</v>
      </c>
      <c r="E53" s="990" t="str">
        <f>+'12-A. Print Sub-Annex'!F100</f>
        <v>NPCDCS</v>
      </c>
      <c r="F53" s="990">
        <f>+'12-A. Print Sub-Annex'!G100</f>
        <v>0</v>
      </c>
      <c r="G53" s="990">
        <f>+'12-A. Print Sub-Annex'!H100</f>
        <v>0</v>
      </c>
      <c r="H53" s="990">
        <f>+'12-A. Print Sub-Annex'!I100</f>
        <v>0</v>
      </c>
      <c r="I53" s="990">
        <f>+'12-A. Print Sub-Annex'!J100</f>
        <v>0</v>
      </c>
      <c r="J53" s="990">
        <f>+'12-A. Print Sub-Annex'!K100</f>
        <v>0</v>
      </c>
      <c r="K53" s="990" t="str">
        <f>+'12-A. Print Sub-Annex'!L100</f>
        <v>per card</v>
      </c>
      <c r="L53" s="990">
        <f>+'12-A. Print Sub-Annex'!M100</f>
        <v>2</v>
      </c>
      <c r="M53" s="136">
        <f>+'12-A. Print Sub-Annex'!N100</f>
        <v>2.0000000000000002E-5</v>
      </c>
      <c r="N53" s="990">
        <f>+'12-A. Print Sub-Annex'!O100</f>
        <v>2356553</v>
      </c>
      <c r="O53" s="136">
        <f>+'12-A. Print Sub-Annex'!P100</f>
        <v>47.131060000000005</v>
      </c>
      <c r="P53" s="78" t="str">
        <f>+'12-A. Print Sub-Annex'!Q100</f>
        <v>Printing of NCD Card for All person Screened 9426212*3 per card.</v>
      </c>
      <c r="Q53" s="62"/>
      <c r="R53" s="124"/>
    </row>
    <row r="54" spans="1:18" ht="150">
      <c r="A54" s="4633"/>
      <c r="B54" s="78">
        <f>'12-A. Print Sub-Annex'!C101</f>
        <v>0</v>
      </c>
      <c r="C54" s="78" t="str">
        <f>+'12-A. Print Sub-Annex'!D101</f>
        <v>Printing activities for Universal Screening of NCDs - printing of cards and modules</v>
      </c>
      <c r="D54" s="78" t="str">
        <f>+'12-A. Print Sub-Annex'!E101</f>
        <v>NCD</v>
      </c>
      <c r="E54" s="990" t="str">
        <f>+'12-A. Print Sub-Annex'!F101</f>
        <v>NPCDCS</v>
      </c>
      <c r="F54" s="990">
        <f>+'12-A. Print Sub-Annex'!G101</f>
        <v>0</v>
      </c>
      <c r="G54" s="990">
        <f>+'12-A. Print Sub-Annex'!H101</f>
        <v>0</v>
      </c>
      <c r="H54" s="990">
        <f>+'12-A. Print Sub-Annex'!I101</f>
        <v>0</v>
      </c>
      <c r="I54" s="990">
        <f>+'12-A. Print Sub-Annex'!J101</f>
        <v>0</v>
      </c>
      <c r="J54" s="990">
        <f>+'12-A. Print Sub-Annex'!K101</f>
        <v>0</v>
      </c>
      <c r="K54" s="990">
        <f>+'12-A. Print Sub-Annex'!L101</f>
        <v>2874</v>
      </c>
      <c r="L54" s="990">
        <f>+'12-A. Print Sub-Annex'!M101</f>
        <v>6000</v>
      </c>
      <c r="M54" s="136">
        <f>+'12-A. Print Sub-Annex'!N101</f>
        <v>0.06</v>
      </c>
      <c r="N54" s="990">
        <f>+'12-A. Print Sub-Annex'!O101</f>
        <v>2874</v>
      </c>
      <c r="O54" s="136">
        <f>+'12-A. Print Sub-Annex'!P101</f>
        <v>172.44</v>
      </c>
      <c r="P54" s="78" t="str">
        <f>+'12-A. Print Sub-Annex'!Q101</f>
        <v>Continued Activities :
2874 New PBS Centres- Printing of Various types of reporting formats for facilities, NCD Screening Register  guideline, Training Modules for ANM/GNM, ASHA, Medical Officers, Staff Nurse,  CBAC Form &amp; Family Folder, Various IEC materials such as Banner, Hoarding, Tin Plate, Pamphlets, poster etc.  (Total- 2874 (PBS Centre) x Rs.6000/- = 172.44Lakh)</v>
      </c>
      <c r="Q54" s="62"/>
      <c r="R54" s="124"/>
    </row>
    <row r="55" spans="1:18" ht="150">
      <c r="A55" s="4633"/>
      <c r="B55" s="78">
        <f>'12-A. Print Sub-Annex'!C102</f>
        <v>0</v>
      </c>
      <c r="C55" s="78" t="str">
        <f>+'12-A. Print Sub-Annex'!D102</f>
        <v>Any other (please specify)</v>
      </c>
      <c r="D55" s="78" t="str">
        <f>+'12-A. Print Sub-Annex'!E102</f>
        <v>NCD</v>
      </c>
      <c r="E55" s="990" t="str">
        <f>+'12-A. Print Sub-Annex'!F102</f>
        <v>NPCDCS</v>
      </c>
      <c r="F55" s="990">
        <f>+'12-A. Print Sub-Annex'!G102</f>
        <v>0</v>
      </c>
      <c r="G55" s="990">
        <f>+'12-A. Print Sub-Annex'!H102</f>
        <v>0</v>
      </c>
      <c r="H55" s="990">
        <f>+'12-A. Print Sub-Annex'!I102</f>
        <v>0</v>
      </c>
      <c r="I55" s="990">
        <f>+'12-A. Print Sub-Annex'!J102</f>
        <v>0</v>
      </c>
      <c r="J55" s="990">
        <f>+'12-A. Print Sub-Annex'!K102</f>
        <v>0</v>
      </c>
      <c r="K55" s="990">
        <f>+'12-A. Print Sub-Annex'!L102</f>
        <v>5</v>
      </c>
      <c r="L55" s="990">
        <f>+'12-A. Print Sub-Annex'!M102</f>
        <v>400000</v>
      </c>
      <c r="M55" s="136">
        <f>+'12-A. Print Sub-Annex'!N102</f>
        <v>4</v>
      </c>
      <c r="N55" s="990">
        <f>+'12-A. Print Sub-Annex'!O102</f>
        <v>5</v>
      </c>
      <c r="O55" s="136">
        <f>+'12-A. Print Sub-Annex'!P102</f>
        <v>20</v>
      </c>
      <c r="P55" s="78" t="str">
        <f>+'12-A. Print Sub-Annex'!Q102</f>
        <v xml:space="preserve">Continued Activities 
Based on expected prevalence  and number of health facility we require 700 HTN Rgisters .Treatment protocol : Hypertension -16166, Diabeteies protocol- 16166 .             BP checklist : 16166,   Module MO- 583, Nurse -3242, Pharmasist -339 Tratment card  : 126805 ,Patient ID Card :  126805 for HTN in the program of 5 IHCI districts. </v>
      </c>
      <c r="Q55" s="62"/>
      <c r="R55" s="124"/>
    </row>
    <row r="56" spans="1:18">
      <c r="A56" s="817">
        <f>'15.PPP Annex'!A7</f>
        <v>15</v>
      </c>
      <c r="B56" s="817"/>
      <c r="C56" s="817" t="str">
        <f>'15.PPP Annex'!C7</f>
        <v>PPP</v>
      </c>
      <c r="D56" s="817"/>
      <c r="E56" s="818"/>
      <c r="F56" s="818"/>
      <c r="G56" s="818"/>
      <c r="H56" s="818"/>
      <c r="I56" s="818"/>
      <c r="J56" s="818"/>
      <c r="K56" s="818"/>
      <c r="L56" s="818"/>
      <c r="M56" s="240"/>
      <c r="N56" s="818"/>
      <c r="O56" s="240">
        <f>SUM(O57:O60)</f>
        <v>21.599998000000003</v>
      </c>
      <c r="P56" s="817"/>
      <c r="Q56" s="1112"/>
      <c r="R56" s="129">
        <f>SUM(R57:R60)</f>
        <v>0</v>
      </c>
    </row>
    <row r="57" spans="1:18">
      <c r="A57" s="78" t="str">
        <f>+'15.PPP Annex'!A48</f>
        <v>15.4.5.1</v>
      </c>
      <c r="B57" s="78" t="str">
        <f>+'15.PPP Annex'!B48</f>
        <v>15.8.1/ O.2.6.1</v>
      </c>
      <c r="C57" s="78" t="str">
        <f>+'15.PPP Annex'!C48</f>
        <v>PPP at State NCD Cell</v>
      </c>
      <c r="D57" s="78" t="str">
        <f>+'15.PPP Annex'!D48</f>
        <v>NCD</v>
      </c>
      <c r="E57" s="990" t="str">
        <f>+'15.PPP Annex'!E48</f>
        <v>NPCDCS</v>
      </c>
      <c r="F57" s="990">
        <f>+'15.PPP Annex'!F48</f>
        <v>0</v>
      </c>
      <c r="G57" s="990">
        <f>+'15.PPP Annex'!G48</f>
        <v>0</v>
      </c>
      <c r="H57" s="990">
        <f>+'15.PPP Annex'!H48</f>
        <v>0</v>
      </c>
      <c r="I57" s="990">
        <f>+'15.PPP Annex'!I48</f>
        <v>0</v>
      </c>
      <c r="J57" s="990">
        <f>+'15.PPP Annex'!J48</f>
        <v>0</v>
      </c>
      <c r="K57" s="990">
        <f>+'15.PPP Annex'!K48</f>
        <v>0</v>
      </c>
      <c r="L57" s="990">
        <f>+'15.PPP Annex'!L48</f>
        <v>0</v>
      </c>
      <c r="M57" s="136">
        <f>+'15.PPP Annex'!M48</f>
        <v>0</v>
      </c>
      <c r="N57" s="990">
        <f>+'15.PPP Annex'!N48</f>
        <v>0</v>
      </c>
      <c r="O57" s="136">
        <f>+'15.PPP Annex'!O48</f>
        <v>0</v>
      </c>
      <c r="P57" s="78">
        <f>+'15.PPP Annex'!P48</f>
        <v>0</v>
      </c>
      <c r="Q57" s="62"/>
      <c r="R57" s="124"/>
    </row>
    <row r="58" spans="1:18" ht="330">
      <c r="A58" s="78" t="str">
        <f>+'15.PPP Annex'!A49</f>
        <v>15.4.5.2</v>
      </c>
      <c r="B58" s="78" t="str">
        <f>+'15.PPP Annex'!B49</f>
        <v>15.8.2/ O.2.6.2</v>
      </c>
      <c r="C58" s="78" t="str">
        <f>+'15.PPP Annex'!C49</f>
        <v>PPP at District NCD Cell / Clinic</v>
      </c>
      <c r="D58" s="78" t="str">
        <f>+'15.PPP Annex'!D49</f>
        <v>NCD</v>
      </c>
      <c r="E58" s="990" t="str">
        <f>+'15.PPP Annex'!E49</f>
        <v>NPCDCS</v>
      </c>
      <c r="F58" s="990">
        <f>+'15.PPP Annex'!F49</f>
        <v>0</v>
      </c>
      <c r="G58" s="990">
        <f>+'15.PPP Annex'!G49</f>
        <v>0</v>
      </c>
      <c r="H58" s="990">
        <f>+'15.PPP Annex'!H49</f>
        <v>0</v>
      </c>
      <c r="I58" s="990">
        <f>+'15.PPP Annex'!I49</f>
        <v>0</v>
      </c>
      <c r="J58" s="990">
        <f>+'15.PPP Annex'!J49</f>
        <v>0</v>
      </c>
      <c r="K58" s="990" t="str">
        <f>+'15.PPP Annex'!K49</f>
        <v xml:space="preserve"> Per District </v>
      </c>
      <c r="L58" s="990">
        <f>+'15.PPP Annex'!L49</f>
        <v>154285.70000000001</v>
      </c>
      <c r="M58" s="136">
        <f>+'15.PPP Annex'!M49</f>
        <v>1.5428570000000001</v>
      </c>
      <c r="N58" s="990">
        <f>+'15.PPP Annex'!N49</f>
        <v>14</v>
      </c>
      <c r="O58" s="136">
        <f>+'15.PPP Annex'!O49</f>
        <v>21.599998000000003</v>
      </c>
      <c r="P58" s="78" t="str">
        <f>+'15.PPP Annex'!P49</f>
        <v xml:space="preserve"> After Discussion at NPCC, 
New Activity:   Fund Proposed  for  Universal Screening  of Common NCD  &amp; Awarness Programme with Collaboration  with Tata Memorial Hospital (TMH)   in 14 District (Muzaffarpur, Darbhanga, Madhubani, Vaishali, Siwan, Samastipur, Supoul, Begusarai, Patna, Nalanda, Bhojpur, Aurngabad, Gaya, and  Bhagalpur)
1. Medical Consumable ;Already demanded in FMR Code - 6.2.19.2                                                                            2. Mobilization  Screening Camp   for Vehicle :  1680000                                                                                                       (Vehicle 40000 Per  Month    Per District  for 3 Month (40000*14*3=1680000                                                                                               3. Office Exp  Already demanded in FMR Code - 11.22.2  and 1.3.1.8                                             4. Management of Suspected Cases   :  (360000+120000)=480000                                                                                                     (a) Investigation of Suspected  Cases 400 Per Month   ( Rs 300*3 Month*400 cases )=360000                             
(b) Travelling &amp; Local Conveyance  for  400 Patient  Per Month ( Rs 100* 3 Month *400 Cases )=120000      
Total Requirment of Fund (1680000+480000)=21,60,000   </v>
      </c>
      <c r="Q58" s="62"/>
      <c r="R58" s="124"/>
    </row>
    <row r="59" spans="1:18">
      <c r="A59" s="78" t="str">
        <f>+'15.PPP Annex'!A50</f>
        <v>15.4.5.3</v>
      </c>
      <c r="B59" s="78" t="str">
        <f>+'15.PPP Annex'!B50</f>
        <v>15.8.3/ O.2.6.3</v>
      </c>
      <c r="C59" s="78" t="str">
        <f>+'15.PPP Annex'!C50</f>
        <v>PPP at CHC NCD Clinic</v>
      </c>
      <c r="D59" s="78" t="str">
        <f>+'15.PPP Annex'!D50</f>
        <v>NCD</v>
      </c>
      <c r="E59" s="990" t="str">
        <f>+'15.PPP Annex'!E50</f>
        <v>NPCDCS</v>
      </c>
      <c r="F59" s="990">
        <f>+'15.PPP Annex'!F50</f>
        <v>0</v>
      </c>
      <c r="G59" s="990">
        <f>+'15.PPP Annex'!G50</f>
        <v>0</v>
      </c>
      <c r="H59" s="990">
        <f>+'15.PPP Annex'!H50</f>
        <v>0</v>
      </c>
      <c r="I59" s="990">
        <f>+'15.PPP Annex'!I50</f>
        <v>0</v>
      </c>
      <c r="J59" s="990">
        <f>+'15.PPP Annex'!J50</f>
        <v>0</v>
      </c>
      <c r="K59" s="990">
        <f>+'15.PPP Annex'!K50</f>
        <v>0</v>
      </c>
      <c r="L59" s="990">
        <f>+'15.PPP Annex'!L50</f>
        <v>0</v>
      </c>
      <c r="M59" s="136">
        <f>+'15.PPP Annex'!M50</f>
        <v>0</v>
      </c>
      <c r="N59" s="990">
        <f>+'15.PPP Annex'!N50</f>
        <v>0</v>
      </c>
      <c r="O59" s="136">
        <f>+'15.PPP Annex'!O50</f>
        <v>0</v>
      </c>
      <c r="P59" s="78">
        <f>+'15.PPP Annex'!P50</f>
        <v>0</v>
      </c>
      <c r="Q59" s="62"/>
      <c r="R59" s="124"/>
    </row>
    <row r="60" spans="1:18">
      <c r="A60" s="78" t="str">
        <f>+'15.PPP Annex'!A51</f>
        <v>15.4.5.4</v>
      </c>
      <c r="B60" s="78"/>
      <c r="C60" s="78" t="str">
        <f>+'15.PPP Annex'!C51</f>
        <v>Any other (please specify)</v>
      </c>
      <c r="D60" s="78" t="str">
        <f>+'15.PPP Annex'!D51</f>
        <v>NCD</v>
      </c>
      <c r="E60" s="990" t="str">
        <f>+'15.PPP Annex'!E51</f>
        <v>NPCDCS</v>
      </c>
      <c r="F60" s="990">
        <f>+'15.PPP Annex'!F51</f>
        <v>0</v>
      </c>
      <c r="G60" s="990">
        <f>+'15.PPP Annex'!G51</f>
        <v>0</v>
      </c>
      <c r="H60" s="990">
        <f>+'15.PPP Annex'!H51</f>
        <v>0</v>
      </c>
      <c r="I60" s="990">
        <f>+'15.PPP Annex'!I51</f>
        <v>0</v>
      </c>
      <c r="J60" s="990">
        <f>+'15.PPP Annex'!J51</f>
        <v>0</v>
      </c>
      <c r="K60" s="990">
        <f>+'15.PPP Annex'!K51</f>
        <v>0</v>
      </c>
      <c r="L60" s="990">
        <f>+'15.PPP Annex'!L51</f>
        <v>0</v>
      </c>
      <c r="M60" s="136">
        <f>+'15.PPP Annex'!M51</f>
        <v>0</v>
      </c>
      <c r="N60" s="990">
        <f>+'15.PPP Annex'!N51</f>
        <v>0</v>
      </c>
      <c r="O60" s="136">
        <f>+'15.PPP Annex'!O51</f>
        <v>0</v>
      </c>
      <c r="P60" s="78">
        <f>+'15.PPP Annex'!P51</f>
        <v>0</v>
      </c>
      <c r="Q60" s="62"/>
      <c r="R60" s="124"/>
    </row>
    <row r="61" spans="1:18">
      <c r="A61" s="416">
        <f>'16.PM Annex'!A7</f>
        <v>16</v>
      </c>
      <c r="B61" s="416"/>
      <c r="C61" s="416" t="str">
        <f>'16.PM Annex'!C7</f>
        <v>Programme Management</v>
      </c>
      <c r="D61" s="418"/>
      <c r="E61" s="417"/>
      <c r="F61" s="417"/>
      <c r="G61" s="417"/>
      <c r="H61" s="417"/>
      <c r="I61" s="417"/>
      <c r="J61" s="417"/>
      <c r="K61" s="417"/>
      <c r="L61" s="417"/>
      <c r="M61" s="240"/>
      <c r="N61" s="417"/>
      <c r="O61" s="240">
        <f>SUM(O62:O73)</f>
        <v>171</v>
      </c>
      <c r="P61" s="416"/>
      <c r="Q61" s="1112"/>
      <c r="R61" s="129">
        <f>SUM(R62:R73)</f>
        <v>0</v>
      </c>
    </row>
    <row r="62" spans="1:18">
      <c r="A62" s="78" t="str">
        <f>'16-A. PM sub Annex'!B60</f>
        <v>16.1.2.2.11</v>
      </c>
      <c r="B62" s="78" t="str">
        <f>'16-A. PM sub Annex'!D60</f>
        <v>O.2.2.1.1</v>
      </c>
      <c r="C62" s="78" t="str">
        <f>'16-A. PM sub Annex'!E60</f>
        <v>State NCD  Cell</v>
      </c>
      <c r="D62" s="78" t="str">
        <f>'16-A. PM sub Annex'!F60</f>
        <v>NCD</v>
      </c>
      <c r="E62" s="990" t="str">
        <f>'16-A. PM sub Annex'!G60</f>
        <v>HRH&amp;HPIP/NPCDCS</v>
      </c>
      <c r="F62" s="990">
        <f>'16-A. PM sub Annex'!H60</f>
        <v>1</v>
      </c>
      <c r="G62" s="990">
        <f>'16-A. PM sub Annex'!I60</f>
        <v>1</v>
      </c>
      <c r="H62" s="990">
        <f>'16-A. PM sub Annex'!J60</f>
        <v>5</v>
      </c>
      <c r="I62" s="990">
        <f>'16-A. PM sub Annex'!K60</f>
        <v>0</v>
      </c>
      <c r="J62" s="990">
        <f>'16-A. PM sub Annex'!L60</f>
        <v>0</v>
      </c>
      <c r="K62" s="990">
        <f>'16-A. PM sub Annex'!M60</f>
        <v>0</v>
      </c>
      <c r="L62" s="990">
        <f>'16-A. PM sub Annex'!N60</f>
        <v>0</v>
      </c>
      <c r="M62" s="136">
        <f>'16-A. PM sub Annex'!O60</f>
        <v>0</v>
      </c>
      <c r="N62" s="990">
        <f>'16-A. PM sub Annex'!P60</f>
        <v>0</v>
      </c>
      <c r="O62" s="136">
        <f>'16-A. PM sub Annex'!Q60</f>
        <v>0</v>
      </c>
      <c r="P62" s="78">
        <f>'16-A. PM sub Annex'!R60</f>
        <v>0</v>
      </c>
      <c r="Q62" s="62"/>
      <c r="R62" s="124"/>
    </row>
    <row r="63" spans="1:18" ht="90">
      <c r="A63" s="78" t="str">
        <f>'16-A. PM sub Annex'!B61</f>
        <v>16.1.2.2.12</v>
      </c>
      <c r="B63" s="78" t="str">
        <f>'16-A. PM sub Annex'!D61</f>
        <v>O.2.2.1.2</v>
      </c>
      <c r="C63" s="78" t="str">
        <f>'16-A. PM sub Annex'!E61</f>
        <v>District  NCD Cell</v>
      </c>
      <c r="D63" s="78" t="str">
        <f>'16-A. PM sub Annex'!F61</f>
        <v>NCD</v>
      </c>
      <c r="E63" s="990" t="str">
        <f>'16-A. PM sub Annex'!G61</f>
        <v>HRH&amp;HPIP/NPCDCS</v>
      </c>
      <c r="F63" s="990">
        <f>'16-A. PM sub Annex'!H61</f>
        <v>38</v>
      </c>
      <c r="G63" s="990">
        <f>'16-A. PM sub Annex'!I61</f>
        <v>38</v>
      </c>
      <c r="H63" s="990">
        <f>'16-A. PM sub Annex'!J61</f>
        <v>114</v>
      </c>
      <c r="I63" s="990">
        <f>'16-A. PM sub Annex'!K61</f>
        <v>0</v>
      </c>
      <c r="J63" s="990">
        <f>'16-A. PM sub Annex'!L61</f>
        <v>3.4858600000000002</v>
      </c>
      <c r="K63" s="990">
        <f>'16-A. PM sub Annex'!M61</f>
        <v>38</v>
      </c>
      <c r="L63" s="990">
        <f>'16-A. PM sub Annex'!N61</f>
        <v>300000</v>
      </c>
      <c r="M63" s="136">
        <f>'16-A. PM sub Annex'!O61</f>
        <v>3</v>
      </c>
      <c r="N63" s="990">
        <f>'16-A. PM sub Annex'!P61</f>
        <v>38</v>
      </c>
      <c r="O63" s="136">
        <f>'16-A. PM sub Annex'!Q61</f>
        <v>114</v>
      </c>
      <c r="P63" s="78" t="str">
        <f>'16-A. PM sub Annex'!R61</f>
        <v>Continued Activites:-                            
  As per GoI Guidelines Rs 3 lakhs per district for supervision /Monitoring  &amp; review meeting  of  NPCDCS .Visit of 03 CHC's and 02 HWC per week by NCDO/Consultantant.as per MOHFW.</v>
      </c>
      <c r="Q63" s="62"/>
      <c r="R63" s="124"/>
    </row>
    <row r="64" spans="1:18">
      <c r="A64" s="78" t="str">
        <f>'16-A. PM sub Annex'!B63</f>
        <v>16.1.2.2.15</v>
      </c>
      <c r="B64" s="78">
        <f>'16-A. PM sub Annex'!D63</f>
        <v>0</v>
      </c>
      <c r="C64" s="78" t="str">
        <f>'16-A. PM sub Annex'!E63</f>
        <v>Monitoring &amp; Evaluation under MVCR</v>
      </c>
      <c r="D64" s="78" t="str">
        <f>'16-A. PM sub Annex'!F63</f>
        <v>NDCP</v>
      </c>
      <c r="E64" s="990" t="str">
        <f>'16-A. PM sub Annex'!G63</f>
        <v>HRH&amp;HPIP/NVBDCP</v>
      </c>
      <c r="F64" s="990">
        <f>'16-A. PM sub Annex'!H63</f>
        <v>0</v>
      </c>
      <c r="G64" s="990">
        <f>'16-A. PM sub Annex'!I63</f>
        <v>0</v>
      </c>
      <c r="H64" s="990">
        <f>'16-A. PM sub Annex'!J63</f>
        <v>0</v>
      </c>
      <c r="I64" s="990">
        <f>'16-A. PM sub Annex'!K63</f>
        <v>0</v>
      </c>
      <c r="J64" s="990">
        <f>'16-A. PM sub Annex'!L63</f>
        <v>0</v>
      </c>
      <c r="K64" s="990">
        <f>'16-A. PM sub Annex'!M63</f>
        <v>0</v>
      </c>
      <c r="L64" s="990">
        <f>'16-A. PM sub Annex'!N63</f>
        <v>0</v>
      </c>
      <c r="M64" s="136">
        <f>'16-A. PM sub Annex'!O63</f>
        <v>0</v>
      </c>
      <c r="N64" s="990">
        <f>'16-A. PM sub Annex'!P63</f>
        <v>0</v>
      </c>
      <c r="O64" s="136">
        <f>'16-A. PM sub Annex'!Q63</f>
        <v>0</v>
      </c>
      <c r="P64" s="78">
        <f>'16-A. PM sub Annex'!R63</f>
        <v>0</v>
      </c>
      <c r="Q64" s="62"/>
      <c r="R64" s="124"/>
    </row>
    <row r="65" spans="1:18">
      <c r="A65" s="78" t="str">
        <f>'16-A. PM sub Annex'!B87</f>
        <v>16.1.3.1.19</v>
      </c>
      <c r="B65" s="78" t="str">
        <f>'16-A. PM sub Annex'!D87</f>
        <v>O.2.2.1</v>
      </c>
      <c r="C65" s="78" t="str">
        <f>'16-A. PM sub Annex'!E87</f>
        <v>State NCD Cell (TA,DA, POL)</v>
      </c>
      <c r="D65" s="78" t="str">
        <f>'16-A. PM sub Annex'!F87</f>
        <v>NCD</v>
      </c>
      <c r="E65" s="990" t="str">
        <f>'16-A. PM sub Annex'!G87</f>
        <v>HRH&amp;HPIP/NPCDCS</v>
      </c>
      <c r="F65" s="990">
        <f>'16-A. PM sub Annex'!H87</f>
        <v>1</v>
      </c>
      <c r="G65" s="990">
        <f>'16-A. PM sub Annex'!I87</f>
        <v>1</v>
      </c>
      <c r="H65" s="990">
        <f>'16-A. PM sub Annex'!J87</f>
        <v>1</v>
      </c>
      <c r="I65" s="990">
        <f>'16-A. PM sub Annex'!K87</f>
        <v>0</v>
      </c>
      <c r="J65" s="990">
        <f>'16-A. PM sub Annex'!L87</f>
        <v>0</v>
      </c>
      <c r="K65" s="990">
        <f>'16-A. PM sub Annex'!M87</f>
        <v>0</v>
      </c>
      <c r="L65" s="990">
        <f>'16-A. PM sub Annex'!N87</f>
        <v>0</v>
      </c>
      <c r="M65" s="136">
        <f>'16-A. PM sub Annex'!O87</f>
        <v>0</v>
      </c>
      <c r="N65" s="990">
        <f>'16-A. PM sub Annex'!P87</f>
        <v>0</v>
      </c>
      <c r="O65" s="136">
        <f>'16-A. PM sub Annex'!Q87</f>
        <v>0</v>
      </c>
      <c r="P65" s="78">
        <f>'16-A. PM sub Annex'!R87</f>
        <v>0</v>
      </c>
      <c r="Q65" s="62"/>
      <c r="R65" s="124"/>
    </row>
    <row r="66" spans="1:18" ht="75">
      <c r="A66" s="78" t="str">
        <f>'16-A. PM sub Annex'!B108</f>
        <v>16.1.3.3.16</v>
      </c>
      <c r="B66" s="78" t="str">
        <f>'16-A. PM sub Annex'!D108</f>
        <v>O.2.2.1</v>
      </c>
      <c r="C66" s="78" t="str">
        <f>'16-A. PM sub Annex'!E108</f>
        <v>District NCD Cell (TA,DA, POL)</v>
      </c>
      <c r="D66" s="78" t="str">
        <f>'16-A. PM sub Annex'!F108</f>
        <v>NCD</v>
      </c>
      <c r="E66" s="990" t="str">
        <f>'16-A. PM sub Annex'!G108</f>
        <v>HRH&amp;HPIP/NPCDCS</v>
      </c>
      <c r="F66" s="990">
        <f>'16-A. PM sub Annex'!H108</f>
        <v>38</v>
      </c>
      <c r="G66" s="990">
        <f>'16-A. PM sub Annex'!I108</f>
        <v>38</v>
      </c>
      <c r="H66" s="990">
        <f>'16-A. PM sub Annex'!J108</f>
        <v>76</v>
      </c>
      <c r="I66" s="990">
        <f>'16-A. PM sub Annex'!K108</f>
        <v>0</v>
      </c>
      <c r="J66" s="990">
        <f>'16-A. PM sub Annex'!L108</f>
        <v>0</v>
      </c>
      <c r="K66" s="990">
        <f>'16-A. PM sub Annex'!M108</f>
        <v>38</v>
      </c>
      <c r="L66" s="990">
        <f>'16-A. PM sub Annex'!N108</f>
        <v>150000</v>
      </c>
      <c r="M66" s="136">
        <f>'16-A. PM sub Annex'!O108</f>
        <v>1.5</v>
      </c>
      <c r="N66" s="990">
        <f>'16-A. PM sub Annex'!P108</f>
        <v>38</v>
      </c>
      <c r="O66" s="136">
        <f>'16-A. PM sub Annex'!Q108</f>
        <v>57</v>
      </c>
      <c r="P66" s="78" t="str">
        <f>'16-A. PM sub Annex'!R108</f>
        <v xml:space="preserve"> Continiued Activies                                                                                                                                          As  per GoI guidelines Rs 2  Lakhs per district Ncd cell                                                   Amount required 1 .5 Lakhs per District NCD Cell  for  TA/DA etc</v>
      </c>
      <c r="Q66" s="62"/>
      <c r="R66" s="124"/>
    </row>
    <row r="67" spans="1:18">
      <c r="A67" s="78" t="str">
        <f>'16-A. PM sub Annex'!B132</f>
        <v>16.1.4.1.13</v>
      </c>
      <c r="B67" s="78" t="str">
        <f>'16-A. PM sub Annex'!D132</f>
        <v>O.2.2.1</v>
      </c>
      <c r="C67" s="78" t="str">
        <f>'16-A. PM sub Annex'!E132</f>
        <v>State NCD Cell (Contingency)</v>
      </c>
      <c r="D67" s="78" t="str">
        <f>'16-A. PM sub Annex'!F132</f>
        <v>NCD</v>
      </c>
      <c r="E67" s="990" t="str">
        <f>'16-A. PM sub Annex'!G132</f>
        <v>HRH&amp;HPIP/NPCDCS</v>
      </c>
      <c r="F67" s="990">
        <f>'16-A. PM sub Annex'!H132</f>
        <v>0</v>
      </c>
      <c r="G67" s="990">
        <f>'16-A. PM sub Annex'!I132</f>
        <v>0</v>
      </c>
      <c r="H67" s="990">
        <f>'16-A. PM sub Annex'!J132</f>
        <v>0</v>
      </c>
      <c r="I67" s="990">
        <f>'16-A. PM sub Annex'!K132</f>
        <v>0</v>
      </c>
      <c r="J67" s="990">
        <f>'16-A. PM sub Annex'!L132</f>
        <v>0</v>
      </c>
      <c r="K67" s="990">
        <f>'16-A. PM sub Annex'!M132</f>
        <v>0</v>
      </c>
      <c r="L67" s="990">
        <f>'16-A. PM sub Annex'!N132</f>
        <v>0</v>
      </c>
      <c r="M67" s="136">
        <f>'16-A. PM sub Annex'!O132</f>
        <v>0</v>
      </c>
      <c r="N67" s="990">
        <f>'16-A. PM sub Annex'!P132</f>
        <v>0</v>
      </c>
      <c r="O67" s="136">
        <f>'16-A. PM sub Annex'!Q132</f>
        <v>0</v>
      </c>
      <c r="P67" s="78">
        <f>'16-A. PM sub Annex'!R132</f>
        <v>0</v>
      </c>
      <c r="Q67" s="62"/>
      <c r="R67" s="124"/>
    </row>
    <row r="68" spans="1:18">
      <c r="A68" s="78" t="str">
        <f>'16-A. PM sub Annex'!B144</f>
        <v>16.1.4.2.9</v>
      </c>
      <c r="B68" s="78" t="str">
        <f>'16-A. PM sub Annex'!D144</f>
        <v>O.2.2.1</v>
      </c>
      <c r="C68" s="78" t="str">
        <f>'16-A. PM sub Annex'!E144</f>
        <v>District NCD Cell (Contingency)</v>
      </c>
      <c r="D68" s="78" t="str">
        <f>'16-A. PM sub Annex'!F144</f>
        <v>NCD</v>
      </c>
      <c r="E68" s="990" t="str">
        <f>'16-A. PM sub Annex'!G144</f>
        <v>HRH&amp;HPIP/NPCDCS</v>
      </c>
      <c r="F68" s="990">
        <f>'16-A. PM sub Annex'!H144</f>
        <v>38</v>
      </c>
      <c r="G68" s="990">
        <f>'16-A. PM sub Annex'!I144</f>
        <v>38</v>
      </c>
      <c r="H68" s="990">
        <f>'16-A. PM sub Annex'!J144</f>
        <v>38</v>
      </c>
      <c r="I68" s="990">
        <f>'16-A. PM sub Annex'!K144</f>
        <v>0</v>
      </c>
      <c r="J68" s="990">
        <f>'16-A. PM sub Annex'!L144</f>
        <v>0</v>
      </c>
      <c r="K68" s="990">
        <f>'16-A. PM sub Annex'!M144</f>
        <v>0</v>
      </c>
      <c r="L68" s="990">
        <f>'16-A. PM sub Annex'!N144</f>
        <v>0</v>
      </c>
      <c r="M68" s="136">
        <f>'16-A. PM sub Annex'!O144</f>
        <v>0</v>
      </c>
      <c r="N68" s="990">
        <f>'16-A. PM sub Annex'!P144</f>
        <v>0</v>
      </c>
      <c r="O68" s="136">
        <f>'16-A. PM sub Annex'!Q144</f>
        <v>0</v>
      </c>
      <c r="P68" s="78">
        <f>'16-A. PM sub Annex'!R144</f>
        <v>0</v>
      </c>
      <c r="Q68" s="62"/>
      <c r="R68" s="124"/>
    </row>
    <row r="69" spans="1:18">
      <c r="A69" s="78" t="str">
        <f>'16-A. PM sub Annex'!B158</f>
        <v>16.1.5.2.5.1</v>
      </c>
      <c r="B69" s="78" t="str">
        <f>'16-A. PM sub Annex'!D158</f>
        <v>O1.1.1.1</v>
      </c>
      <c r="C69" s="78" t="str">
        <f>'16-A. PM sub Annex'!E158</f>
        <v>State NCD  Cell</v>
      </c>
      <c r="D69" s="78" t="str">
        <f>'16-A. PM sub Annex'!F158</f>
        <v>NCD</v>
      </c>
      <c r="E69" s="990" t="str">
        <f>'16-A. PM sub Annex'!G158</f>
        <v>HRH&amp;HPIP/NPCDCS</v>
      </c>
      <c r="F69" s="990">
        <f>'16-A. PM sub Annex'!H158</f>
        <v>0</v>
      </c>
      <c r="G69" s="990">
        <f>'16-A. PM sub Annex'!I158</f>
        <v>0</v>
      </c>
      <c r="H69" s="990">
        <f>'16-A. PM sub Annex'!J158</f>
        <v>0</v>
      </c>
      <c r="I69" s="990">
        <f>'16-A. PM sub Annex'!K158</f>
        <v>0</v>
      </c>
      <c r="J69" s="990">
        <f>'16-A. PM sub Annex'!L158</f>
        <v>0</v>
      </c>
      <c r="K69" s="990">
        <f>'16-A. PM sub Annex'!M158</f>
        <v>0</v>
      </c>
      <c r="L69" s="990">
        <f>'16-A. PM sub Annex'!N158</f>
        <v>0</v>
      </c>
      <c r="M69" s="136">
        <f>'16-A. PM sub Annex'!O158</f>
        <v>0</v>
      </c>
      <c r="N69" s="990">
        <f>'16-A. PM sub Annex'!P158</f>
        <v>0</v>
      </c>
      <c r="O69" s="136">
        <f>'16-A. PM sub Annex'!Q158</f>
        <v>0</v>
      </c>
      <c r="P69" s="78">
        <f>'16-A. PM sub Annex'!R158</f>
        <v>0</v>
      </c>
      <c r="Q69" s="62"/>
      <c r="R69" s="124"/>
    </row>
    <row r="70" spans="1:18">
      <c r="A70" s="78" t="str">
        <f>'16-A. PM sub Annex'!B159</f>
        <v>16.1.5.2.5.2</v>
      </c>
      <c r="B70" s="78" t="str">
        <f>'16-A. PM sub Annex'!D159</f>
        <v>O1.1.1.2</v>
      </c>
      <c r="C70" s="78" t="str">
        <f>'16-A. PM sub Annex'!E159</f>
        <v>District NCD Cell</v>
      </c>
      <c r="D70" s="78" t="str">
        <f>'16-A. PM sub Annex'!F159</f>
        <v>NCD</v>
      </c>
      <c r="E70" s="990" t="str">
        <f>'16-A. PM sub Annex'!G159</f>
        <v>HRH&amp;HPIP/NPCDCS</v>
      </c>
      <c r="F70" s="990">
        <f>'16-A. PM sub Annex'!H159</f>
        <v>0</v>
      </c>
      <c r="G70" s="990">
        <f>'16-A. PM sub Annex'!I159</f>
        <v>0</v>
      </c>
      <c r="H70" s="990">
        <f>'16-A. PM sub Annex'!J159</f>
        <v>0</v>
      </c>
      <c r="I70" s="990">
        <f>'16-A. PM sub Annex'!K159</f>
        <v>0</v>
      </c>
      <c r="J70" s="990">
        <f>'16-A. PM sub Annex'!L159</f>
        <v>0</v>
      </c>
      <c r="K70" s="990">
        <f>'16-A. PM sub Annex'!M159</f>
        <v>0</v>
      </c>
      <c r="L70" s="990">
        <f>'16-A. PM sub Annex'!N159</f>
        <v>0</v>
      </c>
      <c r="M70" s="136">
        <f>'16-A. PM sub Annex'!O159</f>
        <v>0</v>
      </c>
      <c r="N70" s="990">
        <f>'16-A. PM sub Annex'!P159</f>
        <v>0</v>
      </c>
      <c r="O70" s="136">
        <f>'16-A. PM sub Annex'!Q159</f>
        <v>0</v>
      </c>
      <c r="P70" s="78">
        <f>'16-A. PM sub Annex'!R159</f>
        <v>0</v>
      </c>
      <c r="Q70" s="62"/>
      <c r="R70" s="124"/>
    </row>
    <row r="71" spans="1:18" ht="30">
      <c r="A71" s="78" t="str">
        <f>'16-A. PM sub Annex'!B173</f>
        <v>16.1.5.3.14.1</v>
      </c>
      <c r="B71" s="78" t="str">
        <f>'16-A. PM sub Annex'!D173</f>
        <v>O.2.8.1</v>
      </c>
      <c r="C71" s="78" t="str">
        <f>'16-A. PM sub Annex'!E173</f>
        <v>State NCD Cell</v>
      </c>
      <c r="D71" s="78" t="str">
        <f>'16-A. PM sub Annex'!F173</f>
        <v>NCD</v>
      </c>
      <c r="E71" s="990" t="str">
        <f>'16-A. PM sub Annex'!G173</f>
        <v>HRH&amp;HPIP/NPCDCS</v>
      </c>
      <c r="F71" s="990">
        <f>'16-A. PM sub Annex'!H173</f>
        <v>0</v>
      </c>
      <c r="G71" s="990">
        <f>'16-A. PM sub Annex'!I173</f>
        <v>0</v>
      </c>
      <c r="H71" s="990">
        <f>'16-A. PM sub Annex'!J173</f>
        <v>0</v>
      </c>
      <c r="I71" s="990">
        <f>'16-A. PM sub Annex'!K173</f>
        <v>0</v>
      </c>
      <c r="J71" s="990">
        <f>'16-A. PM sub Annex'!L173</f>
        <v>0</v>
      </c>
      <c r="K71" s="990">
        <f>'16-A. PM sub Annex'!M173</f>
        <v>0</v>
      </c>
      <c r="L71" s="990">
        <f>'16-A. PM sub Annex'!N173</f>
        <v>0</v>
      </c>
      <c r="M71" s="136">
        <f>'16-A. PM sub Annex'!O173</f>
        <v>0</v>
      </c>
      <c r="N71" s="990">
        <f>'16-A. PM sub Annex'!P173</f>
        <v>0</v>
      </c>
      <c r="O71" s="136">
        <f>'16-A. PM sub Annex'!Q173</f>
        <v>0</v>
      </c>
      <c r="P71" s="78">
        <f>'16-A. PM sub Annex'!R173</f>
        <v>0</v>
      </c>
      <c r="Q71" s="62"/>
      <c r="R71" s="124"/>
    </row>
    <row r="72" spans="1:18" ht="30">
      <c r="A72" s="78" t="str">
        <f>'16-A. PM sub Annex'!B175</f>
        <v>16.1.5.3.15.1</v>
      </c>
      <c r="B72" s="78" t="str">
        <f>'16-A. PM sub Annex'!D175</f>
        <v>O.2.9.1</v>
      </c>
      <c r="C72" s="78" t="str">
        <f>'16-A. PM sub Annex'!E175</f>
        <v>State NCD Cell</v>
      </c>
      <c r="D72" s="78" t="str">
        <f>'16-A. PM sub Annex'!F175</f>
        <v>NCD</v>
      </c>
      <c r="E72" s="990" t="str">
        <f>'16-A. PM sub Annex'!G175</f>
        <v>HRH&amp;HPIP/NPCDCS</v>
      </c>
      <c r="F72" s="990">
        <f>'16-A. PM sub Annex'!H175</f>
        <v>0</v>
      </c>
      <c r="G72" s="990">
        <f>'16-A. PM sub Annex'!I175</f>
        <v>0</v>
      </c>
      <c r="H72" s="990">
        <f>'16-A. PM sub Annex'!J175</f>
        <v>0</v>
      </c>
      <c r="I72" s="990">
        <f>'16-A. PM sub Annex'!K175</f>
        <v>0</v>
      </c>
      <c r="J72" s="990">
        <f>'16-A. PM sub Annex'!L175</f>
        <v>0</v>
      </c>
      <c r="K72" s="990">
        <f>'16-A. PM sub Annex'!M175</f>
        <v>0</v>
      </c>
      <c r="L72" s="990">
        <f>'16-A. PM sub Annex'!N175</f>
        <v>0</v>
      </c>
      <c r="M72" s="136">
        <f>'16-A. PM sub Annex'!O175</f>
        <v>0</v>
      </c>
      <c r="N72" s="990">
        <f>'16-A. PM sub Annex'!P175</f>
        <v>0</v>
      </c>
      <c r="O72" s="136">
        <f>'16-A. PM sub Annex'!Q175</f>
        <v>0</v>
      </c>
      <c r="P72" s="78">
        <f>'16-A. PM sub Annex'!R175</f>
        <v>0</v>
      </c>
      <c r="Q72" s="62"/>
      <c r="R72" s="124"/>
    </row>
    <row r="73" spans="1:18" ht="30">
      <c r="A73" s="78" t="str">
        <f>'16-A. PM sub Annex'!B176</f>
        <v>16.1.5.3.15.2</v>
      </c>
      <c r="B73" s="78" t="str">
        <f>'16-A. PM sub Annex'!D176</f>
        <v>O.2.9.2</v>
      </c>
      <c r="C73" s="78" t="str">
        <f>'16-A. PM sub Annex'!E176</f>
        <v xml:space="preserve">District NCD Cell </v>
      </c>
      <c r="D73" s="78" t="str">
        <f>'16-A. PM sub Annex'!F176</f>
        <v>NCD</v>
      </c>
      <c r="E73" s="990" t="str">
        <f>'16-A. PM sub Annex'!G176</f>
        <v>HRH&amp;HPIP/NPCDCS</v>
      </c>
      <c r="F73" s="990">
        <f>'16-A. PM sub Annex'!H176</f>
        <v>0</v>
      </c>
      <c r="G73" s="990">
        <f>'16-A. PM sub Annex'!I176</f>
        <v>0</v>
      </c>
      <c r="H73" s="990">
        <f>'16-A. PM sub Annex'!J176</f>
        <v>0</v>
      </c>
      <c r="I73" s="990">
        <f>'16-A. PM sub Annex'!K176</f>
        <v>0</v>
      </c>
      <c r="J73" s="990">
        <f>'16-A. PM sub Annex'!L176</f>
        <v>0</v>
      </c>
      <c r="K73" s="990">
        <f>'16-A. PM sub Annex'!M176</f>
        <v>0</v>
      </c>
      <c r="L73" s="990">
        <f>'16-A. PM sub Annex'!N176</f>
        <v>0</v>
      </c>
      <c r="M73" s="136">
        <f>'16-A. PM sub Annex'!O176</f>
        <v>0</v>
      </c>
      <c r="N73" s="990">
        <f>'16-A. PM sub Annex'!P176</f>
        <v>0</v>
      </c>
      <c r="O73" s="136">
        <f>'16-A. PM sub Annex'!Q176</f>
        <v>0</v>
      </c>
      <c r="P73" s="78">
        <f>'16-A. PM sub Annex'!R176</f>
        <v>0</v>
      </c>
      <c r="Q73" s="62"/>
      <c r="R73" s="124"/>
    </row>
  </sheetData>
  <sheetProtection sheet="1" formatCells="0" formatColumns="0" formatRows="0" autoFilter="0"/>
  <autoFilter ref="A5:M73"/>
  <mergeCells count="13">
    <mergeCell ref="A18:A23"/>
    <mergeCell ref="A24:A31"/>
    <mergeCell ref="A36:A39"/>
    <mergeCell ref="A52:A55"/>
    <mergeCell ref="Q4:R4"/>
    <mergeCell ref="E4:E5"/>
    <mergeCell ref="F4:J4"/>
    <mergeCell ref="K4:P4"/>
    <mergeCell ref="A1:C1"/>
    <mergeCell ref="A4:A5"/>
    <mergeCell ref="B4:B5"/>
    <mergeCell ref="C4:C5"/>
    <mergeCell ref="D4:D5"/>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sheetPr codeName="Sheet19">
    <tabColor theme="7" tint="0.79998168889431442"/>
  </sheetPr>
  <dimension ref="A1:R23"/>
  <sheetViews>
    <sheetView zoomScale="50" zoomScaleNormal="50" workbookViewId="0">
      <pane xSplit="3" ySplit="5" topLeftCell="F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9.140625" defaultRowHeight="15"/>
  <cols>
    <col min="1" max="1" width="10.85546875" style="453" bestFit="1" customWidth="1"/>
    <col min="2" max="2" width="16.42578125" style="453" customWidth="1"/>
    <col min="3" max="3" width="67.85546875" style="453" bestFit="1" customWidth="1"/>
    <col min="4" max="4" width="10" style="407" customWidth="1"/>
    <col min="5" max="5" width="16.42578125" style="407" bestFit="1" customWidth="1"/>
    <col min="6" max="6" width="21.42578125" style="407" customWidth="1"/>
    <col min="7" max="7" width="15" style="407" customWidth="1"/>
    <col min="8" max="8" width="16.42578125" style="479" customWidth="1"/>
    <col min="9" max="9" width="12.5703125" style="407" customWidth="1"/>
    <col min="10" max="10" width="12.140625" style="479" bestFit="1" customWidth="1"/>
    <col min="11" max="11" width="12.7109375" style="453" customWidth="1"/>
    <col min="12" max="12" width="11.42578125" style="453" customWidth="1"/>
    <col min="13" max="13" width="12" style="479" customWidth="1"/>
    <col min="14" max="14" width="9.140625" style="407"/>
    <col min="15" max="15" width="14.5703125" style="479" customWidth="1"/>
    <col min="16" max="16" width="33.5703125" style="407" customWidth="1"/>
    <col min="17" max="17" width="39.5703125" style="407" customWidth="1"/>
    <col min="18" max="18" width="16.28515625" style="407" customWidth="1"/>
    <col min="19" max="16384" width="9.140625" style="407"/>
  </cols>
  <sheetData>
    <row r="1" spans="1:18" s="1150" customFormat="1">
      <c r="A1" s="4650" t="s">
        <v>2382</v>
      </c>
      <c r="B1" s="4650"/>
      <c r="C1" s="4650"/>
      <c r="D1" s="481"/>
      <c r="E1" s="463"/>
      <c r="F1" s="1142" t="s">
        <v>3950</v>
      </c>
      <c r="J1" s="599"/>
      <c r="K1" s="1151"/>
      <c r="L1" s="1151"/>
      <c r="M1" s="599"/>
      <c r="O1" s="1152"/>
    </row>
    <row r="2" spans="1:18" s="1150" customFormat="1" ht="30">
      <c r="A2" s="868" t="str">
        <f>HYPERLINK("#Index!F3", "Index Pg")</f>
        <v>Index Pg</v>
      </c>
      <c r="B2" s="684" t="str">
        <f>HYPERLINK("#'Summary of Abstracts'!A2", "Summary of Abst.")</f>
        <v>Summary of Abst.</v>
      </c>
      <c r="C2" s="754" t="str">
        <f>HYPERLINK("#'Budget Summary I'!A1:AL1", "Budget Summary I")</f>
        <v>Budget Summary I</v>
      </c>
      <c r="D2" s="1153"/>
      <c r="E2" s="1144" t="s">
        <v>4599</v>
      </c>
      <c r="F2" s="135">
        <f>R6+R10+R15+R18+R22+R20</f>
        <v>0</v>
      </c>
      <c r="J2" s="599"/>
      <c r="K2" s="1039"/>
      <c r="L2" s="1039"/>
      <c r="M2" s="599"/>
      <c r="O2" s="1152"/>
    </row>
    <row r="3" spans="1:18" s="1150" customFormat="1">
      <c r="A3" s="872"/>
      <c r="B3" s="873"/>
      <c r="C3" s="754" t="str">
        <f>HYPERLINK("#'Budget Summary II'!A3:B5", "Budget Summary II")</f>
        <v>Budget Summary II</v>
      </c>
      <c r="D3" s="1153"/>
      <c r="E3" s="1144" t="s">
        <v>4600</v>
      </c>
      <c r="F3" s="135">
        <f>O6+O10+O15+O18+O22+O20</f>
        <v>3654.4724999999999</v>
      </c>
      <c r="J3" s="599"/>
      <c r="K3" s="1039"/>
      <c r="L3" s="1039"/>
      <c r="M3" s="599"/>
      <c r="O3" s="1152"/>
    </row>
    <row r="4" spans="1:18">
      <c r="A4" s="4323" t="s">
        <v>53</v>
      </c>
      <c r="B4" s="4323" t="s">
        <v>54</v>
      </c>
      <c r="C4" s="4323" t="s">
        <v>55</v>
      </c>
      <c r="D4" s="4323" t="s">
        <v>56</v>
      </c>
      <c r="E4" s="4323" t="s">
        <v>57</v>
      </c>
      <c r="F4" s="4632" t="s">
        <v>4620</v>
      </c>
      <c r="G4" s="4632"/>
      <c r="H4" s="4632"/>
      <c r="I4" s="4632"/>
      <c r="J4" s="4632"/>
      <c r="K4" s="4632" t="s">
        <v>4631</v>
      </c>
      <c r="L4" s="4632"/>
      <c r="M4" s="4632"/>
      <c r="N4" s="4632"/>
      <c r="O4" s="4632"/>
      <c r="P4" s="4632"/>
      <c r="Q4" s="4628" t="s">
        <v>4661</v>
      </c>
      <c r="R4" s="4628"/>
    </row>
    <row r="5" spans="1:18" ht="60">
      <c r="A5" s="4647"/>
      <c r="B5" s="4647"/>
      <c r="C5" s="4647"/>
      <c r="D5" s="4647"/>
      <c r="E5" s="4647"/>
      <c r="F5" s="1070" t="s">
        <v>4621</v>
      </c>
      <c r="G5" s="1070" t="s">
        <v>4629</v>
      </c>
      <c r="H5" s="1070" t="s">
        <v>4622</v>
      </c>
      <c r="I5" s="1070" t="s">
        <v>4630</v>
      </c>
      <c r="J5" s="1070" t="s">
        <v>2534</v>
      </c>
      <c r="K5" s="1071" t="s">
        <v>58</v>
      </c>
      <c r="L5" s="1071" t="s">
        <v>59</v>
      </c>
      <c r="M5" s="1072" t="s">
        <v>60</v>
      </c>
      <c r="N5" s="1071" t="s">
        <v>61</v>
      </c>
      <c r="O5" s="1072" t="s">
        <v>62</v>
      </c>
      <c r="P5" s="465" t="s">
        <v>63</v>
      </c>
      <c r="Q5" s="467" t="s">
        <v>2536</v>
      </c>
      <c r="R5" s="468" t="s">
        <v>4662</v>
      </c>
    </row>
    <row r="6" spans="1:18">
      <c r="A6" s="1022">
        <f>'1.SD Facility Based Annex'!A7</f>
        <v>1</v>
      </c>
      <c r="B6" s="1022">
        <f>'1.SD Facility Based Annex'!B7</f>
        <v>0</v>
      </c>
      <c r="C6" s="1022" t="str">
        <f>'1.SD Facility Based Annex'!C7</f>
        <v>Service Delivery - Facility Based</v>
      </c>
      <c r="D6" s="1022"/>
      <c r="E6" s="1022"/>
      <c r="F6" s="1022"/>
      <c r="G6" s="1022"/>
      <c r="H6" s="1022"/>
      <c r="I6" s="1022"/>
      <c r="J6" s="1022"/>
      <c r="K6" s="1022"/>
      <c r="L6" s="1022"/>
      <c r="M6" s="413"/>
      <c r="N6" s="1022"/>
      <c r="O6" s="413">
        <f>SUM(O7:O9)</f>
        <v>3630.4724999999999</v>
      </c>
      <c r="P6" s="1022"/>
      <c r="Q6" s="1022"/>
      <c r="R6" s="413">
        <f>SUM(R7:R9)</f>
        <v>0</v>
      </c>
    </row>
    <row r="7" spans="1:18" ht="240">
      <c r="A7" s="1090" t="str">
        <f>'1.SD Facility Based Annex'!A46</f>
        <v>1.1.6.5.1</v>
      </c>
      <c r="B7" s="1090">
        <f>'1.SD Facility Based Annex'!B46</f>
        <v>0</v>
      </c>
      <c r="C7" s="1090" t="str">
        <f>'1.SD Facility Based Annex'!C46</f>
        <v>Hemo-Dialysis Services under PMNDP</v>
      </c>
      <c r="D7" s="1090" t="str">
        <f>'1.SD Facility Based Annex'!D46</f>
        <v>NCD</v>
      </c>
      <c r="E7" s="1090" t="str">
        <f>'1.SD Facility Based Annex'!E46</f>
        <v>HCT</v>
      </c>
      <c r="F7" s="1090">
        <f>'1.SD Facility Based Annex'!F46</f>
        <v>0</v>
      </c>
      <c r="G7" s="1090">
        <f>'1.SD Facility Based Annex'!G46</f>
        <v>0</v>
      </c>
      <c r="H7" s="1090">
        <f>'1.SD Facility Based Annex'!H46</f>
        <v>0</v>
      </c>
      <c r="I7" s="1090">
        <f>'1.SD Facility Based Annex'!I46</f>
        <v>0</v>
      </c>
      <c r="J7" s="1090">
        <f>'1.SD Facility Based Annex'!J46</f>
        <v>0</v>
      </c>
      <c r="K7" s="1090" t="str">
        <f>'1.SD Facility Based Annex'!K46</f>
        <v>Per  Dialysis Sesion</v>
      </c>
      <c r="L7" s="1090">
        <f>'1.SD Facility Based Annex'!L46</f>
        <v>363047250</v>
      </c>
      <c r="M7" s="1154">
        <f>'1.SD Facility Based Annex'!M46</f>
        <v>3630.4724999999999</v>
      </c>
      <c r="N7" s="1090">
        <f>'1.SD Facility Based Annex'!N46</f>
        <v>1</v>
      </c>
      <c r="O7" s="1154">
        <f>'1.SD Facility Based Annex'!O46</f>
        <v>3630.4724999999999</v>
      </c>
      <c r="P7" s="78" t="str">
        <f>'1.SD Facility Based Annex'!P46</f>
        <v xml:space="preserve"> Rs. 3,224.78 Lacs proposed for providing dialysis services on agreed/approved rate in ROP of 2020-21 as per details given below:-
(38 Districts X 5 dialysis machines X 3 dialysis sessions per day X 365 days X Rs. 1,745 per dialysis session= Rs. 36,30,47,250).
Two Services Provider Agencies have been contracted for 19 Districts each as mentioned in Cluster 1, 2, 3 and 4. The Contract rates of Cluster 2 and 4 (19 Districts) is 1,745/- per Dialysis Session. The contract rates of Cluster 1 and 3 are Rs. 1,720/- and 1,634/- respectively.</v>
      </c>
      <c r="Q7" s="130"/>
      <c r="R7" s="130"/>
    </row>
    <row r="8" spans="1:18">
      <c r="A8" s="78" t="str">
        <f>'1.SD Facility Based Annex'!A47</f>
        <v>1.1.6.5.2</v>
      </c>
      <c r="B8" s="78">
        <f>'1.SD Facility Based Annex'!B47</f>
        <v>0</v>
      </c>
      <c r="C8" s="78" t="str">
        <f>'1.SD Facility Based Annex'!C47</f>
        <v>Peritoneal Dialysis Services under PMNDP</v>
      </c>
      <c r="D8" s="78" t="str">
        <f>'1.SD Facility Based Annex'!D47</f>
        <v>NCD</v>
      </c>
      <c r="E8" s="78" t="str">
        <f>'1.SD Facility Based Annex'!E47</f>
        <v>HCT</v>
      </c>
      <c r="F8" s="78">
        <f>'1.SD Facility Based Annex'!F47</f>
        <v>0</v>
      </c>
      <c r="G8" s="78">
        <f>'1.SD Facility Based Annex'!G47</f>
        <v>0</v>
      </c>
      <c r="H8" s="78">
        <f>'1.SD Facility Based Annex'!H47</f>
        <v>0</v>
      </c>
      <c r="I8" s="78">
        <f>'1.SD Facility Based Annex'!I47</f>
        <v>0</v>
      </c>
      <c r="J8" s="78">
        <f>'1.SD Facility Based Annex'!J47</f>
        <v>0</v>
      </c>
      <c r="K8" s="78">
        <f>'1.SD Facility Based Annex'!K47</f>
        <v>0</v>
      </c>
      <c r="L8" s="78">
        <f>'1.SD Facility Based Annex'!L47</f>
        <v>0</v>
      </c>
      <c r="M8" s="316">
        <f>'1.SD Facility Based Annex'!M47</f>
        <v>0</v>
      </c>
      <c r="N8" s="78">
        <f>'1.SD Facility Based Annex'!N47</f>
        <v>0</v>
      </c>
      <c r="O8" s="316">
        <f>'1.SD Facility Based Annex'!O47</f>
        <v>0</v>
      </c>
      <c r="P8" s="78">
        <f>'1.SD Facility Based Annex'!P47</f>
        <v>0</v>
      </c>
      <c r="Q8" s="130"/>
      <c r="R8" s="130"/>
    </row>
    <row r="9" spans="1:18" ht="30">
      <c r="A9" s="1155" t="str">
        <f>'1.SD Facility Based Annex'!A48</f>
        <v>1.1.6.5.3</v>
      </c>
      <c r="B9" s="1155">
        <f>'1.SD Facility Based Annex'!B48</f>
        <v>0</v>
      </c>
      <c r="C9" s="1155" t="str">
        <f>'1.SD Facility Based Annex'!C48</f>
        <v>RO water testing (Bacteriological, endotoxin, Chemical) and tank/pipes disinfection (peracetic acid) for Dialysis</v>
      </c>
      <c r="D9" s="1155" t="str">
        <f>'1.SD Facility Based Annex'!D48</f>
        <v>NCD</v>
      </c>
      <c r="E9" s="1155" t="str">
        <f>'1.SD Facility Based Annex'!E48</f>
        <v>HCT</v>
      </c>
      <c r="F9" s="1155">
        <f>'1.SD Facility Based Annex'!F48</f>
        <v>0</v>
      </c>
      <c r="G9" s="1155">
        <f>'1.SD Facility Based Annex'!G48</f>
        <v>0</v>
      </c>
      <c r="H9" s="1155">
        <f>'1.SD Facility Based Annex'!H48</f>
        <v>0</v>
      </c>
      <c r="I9" s="1155">
        <f>'1.SD Facility Based Annex'!I48</f>
        <v>0</v>
      </c>
      <c r="J9" s="1155">
        <f>'1.SD Facility Based Annex'!J48</f>
        <v>0</v>
      </c>
      <c r="K9" s="1155">
        <f>'1.SD Facility Based Annex'!K48</f>
        <v>0</v>
      </c>
      <c r="L9" s="1155">
        <f>'1.SD Facility Based Annex'!L48</f>
        <v>0</v>
      </c>
      <c r="M9" s="1156">
        <f>'1.SD Facility Based Annex'!M48</f>
        <v>0</v>
      </c>
      <c r="N9" s="1155">
        <f>'1.SD Facility Based Annex'!N48</f>
        <v>0</v>
      </c>
      <c r="O9" s="1156">
        <f>'1.SD Facility Based Annex'!O48</f>
        <v>0</v>
      </c>
      <c r="P9" s="78">
        <f>'1.SD Facility Based Annex'!P48</f>
        <v>0</v>
      </c>
      <c r="Q9" s="130"/>
      <c r="R9" s="130"/>
    </row>
    <row r="10" spans="1:18">
      <c r="A10" s="1022">
        <f>'6.Procurement Annex'!A7</f>
        <v>6</v>
      </c>
      <c r="B10" s="1022"/>
      <c r="C10" s="1022" t="str">
        <f>'6.Procurement Annex'!C7</f>
        <v>Procurement</v>
      </c>
      <c r="D10" s="334"/>
      <c r="E10" s="334"/>
      <c r="F10" s="334"/>
      <c r="G10" s="334"/>
      <c r="H10" s="240"/>
      <c r="I10" s="334"/>
      <c r="J10" s="240"/>
      <c r="K10" s="1022"/>
      <c r="L10" s="1022"/>
      <c r="M10" s="240"/>
      <c r="N10" s="1089"/>
      <c r="O10" s="1010">
        <f>SUM(O11:O14)</f>
        <v>0</v>
      </c>
      <c r="P10" s="1089"/>
      <c r="Q10" s="1159"/>
      <c r="R10" s="1136">
        <f>SUM(R11:R14)</f>
        <v>0</v>
      </c>
    </row>
    <row r="11" spans="1:18">
      <c r="A11" s="1090" t="str">
        <f>'6.Procurement Annex'!A41</f>
        <v>6.1.5.6</v>
      </c>
      <c r="B11" s="1090">
        <f>'6-A. Proc. Sub-Annex'!C121</f>
        <v>0</v>
      </c>
      <c r="C11" s="1090" t="str">
        <f>'6-A. Proc. Sub-Annex'!D121</f>
        <v xml:space="preserve">Medical devices as per National Dialysis Programme </v>
      </c>
      <c r="D11" s="1090" t="str">
        <f>'6-A. Proc. Sub-Annex'!E121</f>
        <v>NCD</v>
      </c>
      <c r="E11" s="1090" t="str">
        <f>'6-A. Proc. Sub-Annex'!F121</f>
        <v>HCT</v>
      </c>
      <c r="F11" s="1090">
        <f>'6-A. Proc. Sub-Annex'!G121</f>
        <v>0</v>
      </c>
      <c r="G11" s="1090">
        <f>'6-A. Proc. Sub-Annex'!H121</f>
        <v>0</v>
      </c>
      <c r="H11" s="1090">
        <f>'6-A. Proc. Sub-Annex'!I121</f>
        <v>0</v>
      </c>
      <c r="I11" s="1090">
        <f>'6-A. Proc. Sub-Annex'!J121</f>
        <v>0</v>
      </c>
      <c r="J11" s="1090">
        <f>'6-A. Proc. Sub-Annex'!K121</f>
        <v>0</v>
      </c>
      <c r="K11" s="1090">
        <f>'6-A. Proc. Sub-Annex'!L121</f>
        <v>0</v>
      </c>
      <c r="L11" s="1090">
        <f>'6-A. Proc. Sub-Annex'!M121</f>
        <v>0</v>
      </c>
      <c r="M11" s="1154">
        <f>'6-A. Proc. Sub-Annex'!N121</f>
        <v>0</v>
      </c>
      <c r="N11" s="1090">
        <f>'6-A. Proc. Sub-Annex'!O121</f>
        <v>0</v>
      </c>
      <c r="O11" s="1154">
        <f>'6-A. Proc. Sub-Annex'!P121</f>
        <v>0</v>
      </c>
      <c r="P11" s="78">
        <f>'6-A. Proc. Sub-Annex'!Q121</f>
        <v>0</v>
      </c>
      <c r="Q11" s="130"/>
      <c r="R11" s="130"/>
    </row>
    <row r="12" spans="1:18">
      <c r="A12" s="78"/>
      <c r="B12" s="1090">
        <f>'6-A. Proc. Sub-Annex'!C122</f>
        <v>0</v>
      </c>
      <c r="C12" s="1090" t="str">
        <f>'6-A. Proc. Sub-Annex'!D122</f>
        <v>Any other equipment (please specify)</v>
      </c>
      <c r="D12" s="1090" t="str">
        <f>'6-A. Proc. Sub-Annex'!E122</f>
        <v>NCD</v>
      </c>
      <c r="E12" s="1090" t="str">
        <f>'6-A. Proc. Sub-Annex'!F122</f>
        <v>HCT</v>
      </c>
      <c r="F12" s="1090">
        <f>'6-A. Proc. Sub-Annex'!G122</f>
        <v>0</v>
      </c>
      <c r="G12" s="1090">
        <f>'6-A. Proc. Sub-Annex'!H122</f>
        <v>0</v>
      </c>
      <c r="H12" s="1090">
        <f>'6-A. Proc. Sub-Annex'!I122</f>
        <v>0</v>
      </c>
      <c r="I12" s="1090">
        <f>'6-A. Proc. Sub-Annex'!J122</f>
        <v>0</v>
      </c>
      <c r="J12" s="1090">
        <f>'6-A. Proc. Sub-Annex'!K122</f>
        <v>0</v>
      </c>
      <c r="K12" s="1090">
        <f>'6-A. Proc. Sub-Annex'!L122</f>
        <v>0</v>
      </c>
      <c r="L12" s="1090">
        <f>'6-A. Proc. Sub-Annex'!M122</f>
        <v>0</v>
      </c>
      <c r="M12" s="1154">
        <f>'6-A. Proc. Sub-Annex'!N122</f>
        <v>0</v>
      </c>
      <c r="N12" s="1090">
        <f>'6-A. Proc. Sub-Annex'!O122</f>
        <v>0</v>
      </c>
      <c r="O12" s="1154">
        <f>'6-A. Proc. Sub-Annex'!P122</f>
        <v>0</v>
      </c>
      <c r="P12" s="78">
        <f>'6-A. Proc. Sub-Annex'!Q122</f>
        <v>0</v>
      </c>
      <c r="Q12" s="130"/>
      <c r="R12" s="130"/>
    </row>
    <row r="13" spans="1:18" ht="30">
      <c r="A13" s="78" t="str">
        <f>'6.Procurement Annex'!A84</f>
        <v>6.2.4.6</v>
      </c>
      <c r="B13" s="78">
        <f>'6-A. Proc. Sub-Annex'!C272</f>
        <v>0</v>
      </c>
      <c r="C13" s="78" t="str">
        <f>'6-A. Proc. Sub-Annex'!D272</f>
        <v>Drugs &amp; Consumables for Haemodialysis (Erythropoietin, iron, vitamin, etc) &amp; Peritoneal dialysis (refer page 17 of guideline)</v>
      </c>
      <c r="D13" s="78" t="str">
        <f>'6-A. Proc. Sub-Annex'!E272</f>
        <v>NCD</v>
      </c>
      <c r="E13" s="78" t="str">
        <f>'6-A. Proc. Sub-Annex'!F272</f>
        <v>HCT</v>
      </c>
      <c r="F13" s="78">
        <f>'6-A. Proc. Sub-Annex'!G272</f>
        <v>0</v>
      </c>
      <c r="G13" s="78">
        <f>'6-A. Proc. Sub-Annex'!H272</f>
        <v>0</v>
      </c>
      <c r="H13" s="78">
        <f>'6-A. Proc. Sub-Annex'!I272</f>
        <v>0</v>
      </c>
      <c r="I13" s="78">
        <f>'6-A. Proc. Sub-Annex'!J272</f>
        <v>0</v>
      </c>
      <c r="J13" s="78">
        <f>'6-A. Proc. Sub-Annex'!K272</f>
        <v>0</v>
      </c>
      <c r="K13" s="78">
        <f>'6-A. Proc. Sub-Annex'!L272</f>
        <v>0</v>
      </c>
      <c r="L13" s="78">
        <f>'6-A. Proc. Sub-Annex'!M272</f>
        <v>0</v>
      </c>
      <c r="M13" s="316">
        <f>'6-A. Proc. Sub-Annex'!N272</f>
        <v>0</v>
      </c>
      <c r="N13" s="78">
        <f>'6-A. Proc. Sub-Annex'!O272</f>
        <v>0</v>
      </c>
      <c r="O13" s="316">
        <f>'6-A. Proc. Sub-Annex'!P272</f>
        <v>0</v>
      </c>
      <c r="P13" s="78">
        <f>'6-A. Proc. Sub-Annex'!Q272</f>
        <v>0</v>
      </c>
      <c r="Q13" s="130"/>
      <c r="R13" s="130"/>
    </row>
    <row r="14" spans="1:18">
      <c r="A14" s="1155"/>
      <c r="B14" s="78">
        <f>'6-A. Proc. Sub-Annex'!C273</f>
        <v>0</v>
      </c>
      <c r="C14" s="78" t="str">
        <f>'6-A. Proc. Sub-Annex'!D273</f>
        <v>Any other drug (please specify)</v>
      </c>
      <c r="D14" s="78" t="str">
        <f>'6-A. Proc. Sub-Annex'!E273</f>
        <v>NCD</v>
      </c>
      <c r="E14" s="78" t="str">
        <f>'6-A. Proc. Sub-Annex'!F273</f>
        <v>HCT</v>
      </c>
      <c r="F14" s="78">
        <f>'6-A. Proc. Sub-Annex'!G273</f>
        <v>0</v>
      </c>
      <c r="G14" s="78">
        <f>'6-A. Proc. Sub-Annex'!H273</f>
        <v>0</v>
      </c>
      <c r="H14" s="78">
        <f>'6-A. Proc. Sub-Annex'!I273</f>
        <v>0</v>
      </c>
      <c r="I14" s="78">
        <f>'6-A. Proc. Sub-Annex'!J273</f>
        <v>0</v>
      </c>
      <c r="J14" s="78">
        <f>'6-A. Proc. Sub-Annex'!K273</f>
        <v>0</v>
      </c>
      <c r="K14" s="78">
        <f>'6-A. Proc. Sub-Annex'!L273</f>
        <v>0</v>
      </c>
      <c r="L14" s="78">
        <f>'6-A. Proc. Sub-Annex'!M273</f>
        <v>0</v>
      </c>
      <c r="M14" s="316">
        <f>'6-A. Proc. Sub-Annex'!N273</f>
        <v>0</v>
      </c>
      <c r="N14" s="78">
        <f>'6-A. Proc. Sub-Annex'!O273</f>
        <v>0</v>
      </c>
      <c r="O14" s="316">
        <f>'6-A. Proc. Sub-Annex'!P273</f>
        <v>0</v>
      </c>
      <c r="P14" s="78">
        <f>'6-A. Proc. Sub-Annex'!Q273</f>
        <v>0</v>
      </c>
      <c r="Q14" s="130"/>
      <c r="R14" s="130"/>
    </row>
    <row r="15" spans="1:18">
      <c r="A15" s="1022">
        <f>'9.Training Annex'!A7</f>
        <v>9</v>
      </c>
      <c r="B15" s="1022"/>
      <c r="C15" s="1022" t="str">
        <f>'9.Training Annex'!C7</f>
        <v>Training and Capacity Building</v>
      </c>
      <c r="D15" s="334"/>
      <c r="E15" s="334"/>
      <c r="F15" s="334"/>
      <c r="G15" s="334"/>
      <c r="H15" s="240"/>
      <c r="I15" s="334"/>
      <c r="J15" s="240"/>
      <c r="K15" s="1022"/>
      <c r="L15" s="1022"/>
      <c r="M15" s="240"/>
      <c r="N15" s="1089"/>
      <c r="O15" s="1010">
        <f>SUM(O16:O17)</f>
        <v>0</v>
      </c>
      <c r="P15" s="1089"/>
      <c r="Q15" s="1159"/>
      <c r="R15" s="1136">
        <f>SUM(R16:R17)</f>
        <v>0</v>
      </c>
    </row>
    <row r="16" spans="1:18" ht="30">
      <c r="A16" s="4641" t="str">
        <f>'9.Training Annex'!A64</f>
        <v>9.2.4.10</v>
      </c>
      <c r="B16" s="1086">
        <f>'9-A.Training Sub-Annex'!C282</f>
        <v>0</v>
      </c>
      <c r="C16" s="1086" t="str">
        <f>'9-A.Training Sub-Annex'!D282</f>
        <v>Training for Nurse, medical officer, Nephrologist, ANM/ASHA, patients &amp; bystanders on peritoneal dialysis/Haemodialysis</v>
      </c>
      <c r="D16" s="1086" t="str">
        <f>'9-A.Training Sub-Annex'!E282</f>
        <v>NCD</v>
      </c>
      <c r="E16" s="1086" t="str">
        <f>'9-A.Training Sub-Annex'!F282</f>
        <v>HCT</v>
      </c>
      <c r="F16" s="1086">
        <f>'9-A.Training Sub-Annex'!G282</f>
        <v>0</v>
      </c>
      <c r="G16" s="1086">
        <f>'9-A.Training Sub-Annex'!H282</f>
        <v>0</v>
      </c>
      <c r="H16" s="1086">
        <f>'9-A.Training Sub-Annex'!I282</f>
        <v>0</v>
      </c>
      <c r="I16" s="1086">
        <f>'9-A.Training Sub-Annex'!J282</f>
        <v>0</v>
      </c>
      <c r="J16" s="1086">
        <f>'9-A.Training Sub-Annex'!K282</f>
        <v>0</v>
      </c>
      <c r="K16" s="1086">
        <f>'9-A.Training Sub-Annex'!L282</f>
        <v>0</v>
      </c>
      <c r="L16" s="1086">
        <f>'9-A.Training Sub-Annex'!M282</f>
        <v>0</v>
      </c>
      <c r="M16" s="1157">
        <f>'9-A.Training Sub-Annex'!N282</f>
        <v>0</v>
      </c>
      <c r="N16" s="1086">
        <f>'9-A.Training Sub-Annex'!O282</f>
        <v>0</v>
      </c>
      <c r="O16" s="1157">
        <f>'9-A.Training Sub-Annex'!P282</f>
        <v>0</v>
      </c>
      <c r="P16" s="78">
        <f>'9-A.Training Sub-Annex'!Q282</f>
        <v>0</v>
      </c>
      <c r="Q16" s="130"/>
      <c r="R16" s="130"/>
    </row>
    <row r="17" spans="1:18">
      <c r="A17" s="4643"/>
      <c r="B17" s="1086">
        <f>'9-A.Training Sub-Annex'!C283</f>
        <v>0</v>
      </c>
      <c r="C17" s="1086" t="str">
        <f>'9-A.Training Sub-Annex'!D283</f>
        <v>Any other (please specify)</v>
      </c>
      <c r="D17" s="1086" t="str">
        <f>'9-A.Training Sub-Annex'!E283</f>
        <v>NCD</v>
      </c>
      <c r="E17" s="1086" t="str">
        <f>'9-A.Training Sub-Annex'!F283</f>
        <v>HCT</v>
      </c>
      <c r="F17" s="1086">
        <f>'9-A.Training Sub-Annex'!G283</f>
        <v>0</v>
      </c>
      <c r="G17" s="1086">
        <f>'9-A.Training Sub-Annex'!H283</f>
        <v>0</v>
      </c>
      <c r="H17" s="1086">
        <f>'9-A.Training Sub-Annex'!I283</f>
        <v>0</v>
      </c>
      <c r="I17" s="1086">
        <f>'9-A.Training Sub-Annex'!J283</f>
        <v>0</v>
      </c>
      <c r="J17" s="1086">
        <f>'9-A.Training Sub-Annex'!K283</f>
        <v>0</v>
      </c>
      <c r="K17" s="1086">
        <f>'9-A.Training Sub-Annex'!L283</f>
        <v>0</v>
      </c>
      <c r="L17" s="1086">
        <f>'9-A.Training Sub-Annex'!M283</f>
        <v>0</v>
      </c>
      <c r="M17" s="1157">
        <f>'9-A.Training Sub-Annex'!N283</f>
        <v>0</v>
      </c>
      <c r="N17" s="1086">
        <f>'9-A.Training Sub-Annex'!O283</f>
        <v>0</v>
      </c>
      <c r="O17" s="1157">
        <f>'9-A.Training Sub-Annex'!P283</f>
        <v>0</v>
      </c>
      <c r="P17" s="78">
        <f>'9-A.Training Sub-Annex'!Q283</f>
        <v>0</v>
      </c>
      <c r="Q17" s="130"/>
      <c r="R17" s="130"/>
    </row>
    <row r="18" spans="1:18">
      <c r="A18" s="1022">
        <f>'11.IEC-BCC Annex'!A7</f>
        <v>11</v>
      </c>
      <c r="B18" s="1022"/>
      <c r="C18" s="1022" t="str">
        <f>'11.IEC-BCC Annex'!C7</f>
        <v>IEC/BCC</v>
      </c>
      <c r="D18" s="334"/>
      <c r="E18" s="334"/>
      <c r="F18" s="334"/>
      <c r="G18" s="334"/>
      <c r="H18" s="240"/>
      <c r="I18" s="334"/>
      <c r="J18" s="240"/>
      <c r="K18" s="1022"/>
      <c r="L18" s="1022"/>
      <c r="M18" s="240"/>
      <c r="N18" s="1089"/>
      <c r="O18" s="1010">
        <f>O19</f>
        <v>24</v>
      </c>
      <c r="P18" s="1089"/>
      <c r="Q18" s="1159"/>
      <c r="R18" s="1136">
        <f>R19</f>
        <v>0</v>
      </c>
    </row>
    <row r="19" spans="1:18" ht="105">
      <c r="A19" s="1086" t="str">
        <f>'11.IEC-BCC Annex'!A39</f>
        <v>11.4.8</v>
      </c>
      <c r="B19" s="1086">
        <f>'11-A. IEC Sub-Annex'!C96</f>
        <v>0</v>
      </c>
      <c r="C19" s="1086" t="str">
        <f>'11-A. IEC Sub-Annex'!D96</f>
        <v>IEC/BCC - National Dialysis Programme (Haemodialysis and Peritoneal Dialysis)</v>
      </c>
      <c r="D19" s="1086" t="str">
        <f>'11-A. IEC Sub-Annex'!E96</f>
        <v>NCD</v>
      </c>
      <c r="E19" s="1086" t="str">
        <f>'11-A. IEC Sub-Annex'!F96</f>
        <v>HSS/NHSRC-HCT</v>
      </c>
      <c r="F19" s="1086">
        <f>'11-A. IEC Sub-Annex'!G96</f>
        <v>0</v>
      </c>
      <c r="G19" s="1086">
        <f>'11-A. IEC Sub-Annex'!H96</f>
        <v>0</v>
      </c>
      <c r="H19" s="1086">
        <f>'11-A. IEC Sub-Annex'!I96</f>
        <v>0</v>
      </c>
      <c r="I19" s="1086">
        <f>'11-A. IEC Sub-Annex'!J96</f>
        <v>0</v>
      </c>
      <c r="J19" s="1086">
        <f>'11-A. IEC Sub-Annex'!K96</f>
        <v>0</v>
      </c>
      <c r="K19" s="1086">
        <f>'11-A. IEC Sub-Annex'!L96</f>
        <v>1</v>
      </c>
      <c r="L19" s="1086">
        <f>'11-A. IEC Sub-Annex'!M96</f>
        <v>2400000</v>
      </c>
      <c r="M19" s="1157">
        <f>'11-A. IEC Sub-Annex'!N96</f>
        <v>24</v>
      </c>
      <c r="N19" s="1086">
        <f>'11-A. IEC Sub-Annex'!O96</f>
        <v>1</v>
      </c>
      <c r="O19" s="1157">
        <f>'11-A. IEC Sub-Annex'!P96</f>
        <v>24</v>
      </c>
      <c r="P19" s="78" t="str">
        <f>'11-A. IEC Sub-Annex'!Q96</f>
        <v>Old Activities:
1. Printing of various types register, leaflet, another IEC materials etc. for the publicity and implementation of Pradhan Mantri National Dialysis program (PMNDPP)</v>
      </c>
      <c r="Q19" s="130"/>
      <c r="R19" s="130"/>
    </row>
    <row r="20" spans="1:18">
      <c r="A20" s="1022">
        <f>'12.Printing Annex'!A7</f>
        <v>12</v>
      </c>
      <c r="B20" s="1022"/>
      <c r="C20" s="1022" t="str">
        <f>'12.Printing Annex'!C7</f>
        <v>Printing</v>
      </c>
      <c r="D20" s="334"/>
      <c r="E20" s="334"/>
      <c r="F20" s="334"/>
      <c r="G20" s="334"/>
      <c r="H20" s="240"/>
      <c r="I20" s="334"/>
      <c r="J20" s="240"/>
      <c r="K20" s="1022"/>
      <c r="L20" s="1022"/>
      <c r="M20" s="240"/>
      <c r="N20" s="1089"/>
      <c r="O20" s="1010">
        <f>O21</f>
        <v>0</v>
      </c>
      <c r="P20" s="1089"/>
      <c r="Q20" s="1159"/>
      <c r="R20" s="1136">
        <f>R21</f>
        <v>0</v>
      </c>
    </row>
    <row r="21" spans="1:18">
      <c r="A21" s="1090" t="str">
        <f>'12.Printing Annex'!A39</f>
        <v>12.4.6</v>
      </c>
      <c r="B21" s="1090">
        <f>'12-A. Print Sub-Annex'!C103</f>
        <v>0</v>
      </c>
      <c r="C21" s="1090" t="str">
        <f>'12-A. Print Sub-Annex'!D103</f>
        <v>Printing activities under PMNDP</v>
      </c>
      <c r="D21" s="1090" t="str">
        <f>'12-A. Print Sub-Annex'!E103</f>
        <v>NCD</v>
      </c>
      <c r="E21" s="1090" t="str">
        <f>'12-A. Print Sub-Annex'!F103</f>
        <v>HCT</v>
      </c>
      <c r="F21" s="1090">
        <f>'12-A. Print Sub-Annex'!G103</f>
        <v>0</v>
      </c>
      <c r="G21" s="1090">
        <f>'12-A. Print Sub-Annex'!H103</f>
        <v>0</v>
      </c>
      <c r="H21" s="1090">
        <f>'12-A. Print Sub-Annex'!I103</f>
        <v>0</v>
      </c>
      <c r="I21" s="1090">
        <f>'12-A. Print Sub-Annex'!J103</f>
        <v>0</v>
      </c>
      <c r="J21" s="1090">
        <f>'12-A. Print Sub-Annex'!K103</f>
        <v>0</v>
      </c>
      <c r="K21" s="1090">
        <f>'12-A. Print Sub-Annex'!L103</f>
        <v>0</v>
      </c>
      <c r="L21" s="1090">
        <f>'12-A. Print Sub-Annex'!M103</f>
        <v>0</v>
      </c>
      <c r="M21" s="1154">
        <f>'12-A. Print Sub-Annex'!N103</f>
        <v>0</v>
      </c>
      <c r="N21" s="1090">
        <f>'12-A. Print Sub-Annex'!O103</f>
        <v>0</v>
      </c>
      <c r="O21" s="1154">
        <f>'12-A. Print Sub-Annex'!P103</f>
        <v>0</v>
      </c>
      <c r="P21" s="78">
        <f>'12-A. Print Sub-Annex'!Q103</f>
        <v>0</v>
      </c>
      <c r="Q21" s="130"/>
      <c r="R21" s="130"/>
    </row>
    <row r="22" spans="1:18">
      <c r="A22" s="1158" t="s">
        <v>5614</v>
      </c>
      <c r="B22" s="1022"/>
      <c r="C22" s="1022" t="str">
        <f>'15.PPP Annex'!C7</f>
        <v>PPP</v>
      </c>
      <c r="D22" s="334"/>
      <c r="E22" s="334"/>
      <c r="F22" s="334"/>
      <c r="G22" s="334"/>
      <c r="H22" s="240"/>
      <c r="I22" s="334"/>
      <c r="J22" s="240"/>
      <c r="K22" s="1022"/>
      <c r="L22" s="1022"/>
      <c r="M22" s="240"/>
      <c r="N22" s="1089"/>
      <c r="O22" s="1010">
        <f>O23</f>
        <v>0</v>
      </c>
      <c r="P22" s="1089"/>
      <c r="Q22" s="1159"/>
      <c r="R22" s="1136">
        <f>R23</f>
        <v>0</v>
      </c>
    </row>
    <row r="23" spans="1:18">
      <c r="A23" s="1090" t="str">
        <f>'15.PPP Annex'!A52</f>
        <v>15.4.6</v>
      </c>
      <c r="B23" s="1090" t="str">
        <f>'15.PPP Annex'!B52</f>
        <v>15.9.4/ B.13.4</v>
      </c>
      <c r="C23" s="1090" t="str">
        <f>'15.PPP Annex'!C52</f>
        <v>Pradhan Mantri National Dialysis Programme</v>
      </c>
      <c r="D23" s="1090" t="str">
        <f>'15.PPP Annex'!D52</f>
        <v>NCD</v>
      </c>
      <c r="E23" s="1090" t="str">
        <f>'15.PPP Annex'!E52</f>
        <v>HCT</v>
      </c>
      <c r="F23" s="1090">
        <f>'15.PPP Annex'!F52</f>
        <v>0</v>
      </c>
      <c r="G23" s="1090">
        <f>'15.PPP Annex'!G52</f>
        <v>0</v>
      </c>
      <c r="H23" s="1090">
        <f>'15.PPP Annex'!H52</f>
        <v>0</v>
      </c>
      <c r="I23" s="1090">
        <f>'15.PPP Annex'!I52</f>
        <v>0</v>
      </c>
      <c r="J23" s="1090">
        <f>'15.PPP Annex'!J52</f>
        <v>0</v>
      </c>
      <c r="K23" s="1090">
        <f>'15.PPP Annex'!K52</f>
        <v>0</v>
      </c>
      <c r="L23" s="1090">
        <f>'15.PPP Annex'!L52</f>
        <v>0</v>
      </c>
      <c r="M23" s="1154">
        <f>'15.PPP Annex'!M52</f>
        <v>0</v>
      </c>
      <c r="N23" s="1090">
        <f>'15.PPP Annex'!N52</f>
        <v>0</v>
      </c>
      <c r="O23" s="1154">
        <f>'15.PPP Annex'!O52</f>
        <v>0</v>
      </c>
      <c r="P23" s="78">
        <f>'15.PPP Annex'!P52</f>
        <v>0</v>
      </c>
      <c r="Q23" s="130"/>
      <c r="R23" s="130"/>
    </row>
  </sheetData>
  <sheetProtection sheet="1" formatCells="0" formatColumns="0" formatRows="0" autoFilter="0"/>
  <autoFilter ref="A5:M23"/>
  <mergeCells count="10">
    <mergeCell ref="A16:A17"/>
    <mergeCell ref="Q4:R4"/>
    <mergeCell ref="E4:E5"/>
    <mergeCell ref="A1:C1"/>
    <mergeCell ref="A4:A5"/>
    <mergeCell ref="B4:B5"/>
    <mergeCell ref="C4:C5"/>
    <mergeCell ref="D4:D5"/>
    <mergeCell ref="F4:J4"/>
    <mergeCell ref="K4:P4"/>
  </mergeCells>
  <pageMargins left="0.7" right="0.7" top="0.75" bottom="0.75" header="0.3" footer="0.3"/>
</worksheet>
</file>

<file path=xl/worksheets/sheet53.xml><?xml version="1.0" encoding="utf-8"?>
<worksheet xmlns="http://schemas.openxmlformats.org/spreadsheetml/2006/main" xmlns:r="http://schemas.openxmlformats.org/officeDocument/2006/relationships">
  <sheetPr>
    <tabColor theme="7" tint="0.79998168889431442"/>
  </sheetPr>
  <dimension ref="A1:R21"/>
  <sheetViews>
    <sheetView zoomScale="60" zoomScaleNormal="60" workbookViewId="0">
      <pane xSplit="3" ySplit="5" topLeftCell="D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7109375" defaultRowHeight="15"/>
  <cols>
    <col min="1" max="1" width="13.85546875" style="453" customWidth="1"/>
    <col min="2" max="2" width="17.5703125" style="453" customWidth="1"/>
    <col min="3" max="3" width="46.28515625" style="453" customWidth="1"/>
    <col min="4" max="4" width="5.5703125" style="407" bestFit="1" customWidth="1"/>
    <col min="5" max="5" width="19.42578125" style="407" bestFit="1" customWidth="1"/>
    <col min="6" max="6" width="21.140625" style="407" customWidth="1"/>
    <col min="7" max="7" width="16.140625" style="407" customWidth="1"/>
    <col min="8" max="8" width="18.42578125" style="479" customWidth="1"/>
    <col min="9" max="9" width="9.85546875" style="407" customWidth="1"/>
    <col min="10" max="10" width="16.140625" style="479" customWidth="1"/>
    <col min="11" max="11" width="17.140625" style="407" customWidth="1"/>
    <col min="12" max="12" width="14.85546875" style="407" customWidth="1"/>
    <col min="13" max="13" width="16.5703125" style="479" customWidth="1"/>
    <col min="14" max="14" width="8.7109375" style="407"/>
    <col min="15" max="15" width="12.140625" style="479" customWidth="1"/>
    <col min="16" max="16" width="35.5703125" style="1093" customWidth="1"/>
    <col min="17" max="17" width="46.42578125" style="1093" customWidth="1"/>
    <col min="18" max="18" width="11.28515625" style="1097" customWidth="1"/>
    <col min="19" max="16384" width="8.7109375" style="1066"/>
  </cols>
  <sheetData>
    <row r="1" spans="1:18" s="1162" customFormat="1">
      <c r="A1" s="4648" t="s">
        <v>4126</v>
      </c>
      <c r="B1" s="4648"/>
      <c r="C1" s="4648"/>
      <c r="D1" s="1105"/>
      <c r="E1" s="463"/>
      <c r="F1" s="1142" t="s">
        <v>3979</v>
      </c>
      <c r="G1" s="1107"/>
      <c r="H1" s="1107"/>
      <c r="I1" s="1107"/>
      <c r="J1" s="1107"/>
      <c r="K1" s="1105"/>
      <c r="L1" s="1105"/>
      <c r="M1" s="1107"/>
      <c r="N1" s="1150"/>
      <c r="O1" s="1152"/>
      <c r="P1" s="1160"/>
      <c r="Q1" s="1160"/>
      <c r="R1" s="1161"/>
    </row>
    <row r="2" spans="1:18" s="1162" customFormat="1">
      <c r="A2" s="868" t="str">
        <f>HYPERLINK("#Index!F3", "Index Pg")</f>
        <v>Index Pg</v>
      </c>
      <c r="B2" s="873"/>
      <c r="C2" s="754" t="str">
        <f>HYPERLINK("#'Budget Summary I'!A1:AL1", "Budget Summary I")</f>
        <v>Budget Summary I</v>
      </c>
      <c r="D2" s="1038"/>
      <c r="E2" s="1144" t="s">
        <v>4599</v>
      </c>
      <c r="F2" s="135">
        <f>R6+R8+R10+R13+R15+R17+R19</f>
        <v>0</v>
      </c>
      <c r="G2" s="1107"/>
      <c r="H2" s="1107"/>
      <c r="I2" s="1107"/>
      <c r="J2" s="599"/>
      <c r="K2" s="600"/>
      <c r="L2" s="600"/>
      <c r="M2" s="599"/>
      <c r="N2" s="1150"/>
      <c r="O2" s="1152"/>
      <c r="P2" s="1160"/>
      <c r="Q2" s="1160"/>
      <c r="R2" s="1161"/>
    </row>
    <row r="3" spans="1:18" s="1162" customFormat="1">
      <c r="A3" s="872"/>
      <c r="B3" s="873"/>
      <c r="C3" s="595" t="str">
        <f>HYPERLINK("#'Budget Summary II'!A3:B5", "Budget Summary II")</f>
        <v>Budget Summary II</v>
      </c>
      <c r="D3" s="1038"/>
      <c r="E3" s="1149" t="s">
        <v>4600</v>
      </c>
      <c r="F3" s="335">
        <f>O6+O8+O10+O13+O15+O17+O19</f>
        <v>8.9</v>
      </c>
      <c r="G3" s="1107"/>
      <c r="H3" s="1107"/>
      <c r="I3" s="1107"/>
      <c r="J3" s="599"/>
      <c r="K3" s="600"/>
      <c r="L3" s="600"/>
      <c r="M3" s="599"/>
      <c r="N3" s="1150"/>
      <c r="O3" s="1152"/>
      <c r="P3" s="1160"/>
      <c r="Q3" s="1160"/>
      <c r="R3" s="1161"/>
    </row>
    <row r="4" spans="1:18" s="407"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407" customFormat="1" ht="45">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932" t="s">
        <v>63</v>
      </c>
      <c r="Q5" s="933" t="s">
        <v>2536</v>
      </c>
      <c r="R5" s="468" t="s">
        <v>4662</v>
      </c>
    </row>
    <row r="6" spans="1:18" s="1079" customFormat="1">
      <c r="A6" s="1022">
        <f>'3.Community Intervention Annexn'!A7</f>
        <v>3</v>
      </c>
      <c r="B6" s="1022"/>
      <c r="C6" s="1022" t="str">
        <f>'3.Community Intervention Annexn'!C7</f>
        <v>Community Interventions</v>
      </c>
      <c r="D6" s="334"/>
      <c r="E6" s="334"/>
      <c r="F6" s="334"/>
      <c r="G6" s="334"/>
      <c r="H6" s="240"/>
      <c r="I6" s="334"/>
      <c r="J6" s="240"/>
      <c r="K6" s="334"/>
      <c r="L6" s="334"/>
      <c r="M6" s="240"/>
      <c r="N6" s="1089"/>
      <c r="O6" s="1010">
        <f>O7</f>
        <v>0</v>
      </c>
      <c r="P6" s="1085"/>
      <c r="Q6" s="1085"/>
      <c r="R6" s="1010">
        <f>R7</f>
        <v>0</v>
      </c>
    </row>
    <row r="7" spans="1:18" s="1079" customFormat="1" ht="30">
      <c r="A7" s="78" t="str">
        <f>'3.Community Intervention Annexn'!A55</f>
        <v>3.3.3.3</v>
      </c>
      <c r="B7" s="78">
        <f>'3.Community Intervention Annexn'!B55</f>
        <v>0</v>
      </c>
      <c r="C7" s="78" t="str">
        <f>'3.Community Intervention Annexn'!C55</f>
        <v>Training of PRI under National Program for Climate Change and Human Health (NPCCHH)</v>
      </c>
      <c r="D7" s="78" t="str">
        <f>'3.Community Intervention Annexn'!D55</f>
        <v>NCD</v>
      </c>
      <c r="E7" s="78" t="str">
        <f>'3.Community Intervention Annexn'!E55</f>
        <v>NPCCHH</v>
      </c>
      <c r="F7" s="990">
        <f>'3.Community Intervention Annexn'!F55</f>
        <v>0</v>
      </c>
      <c r="G7" s="990">
        <f>'3.Community Intervention Annexn'!G55</f>
        <v>0</v>
      </c>
      <c r="H7" s="990">
        <f>'3.Community Intervention Annexn'!H55</f>
        <v>0</v>
      </c>
      <c r="I7" s="990">
        <f>'3.Community Intervention Annexn'!I55</f>
        <v>0</v>
      </c>
      <c r="J7" s="990">
        <f>'3.Community Intervention Annexn'!J55</f>
        <v>0</v>
      </c>
      <c r="K7" s="990">
        <f>'3.Community Intervention Annexn'!K55</f>
        <v>0</v>
      </c>
      <c r="L7" s="990">
        <f>'3.Community Intervention Annexn'!L55</f>
        <v>0</v>
      </c>
      <c r="M7" s="136">
        <f>'3.Community Intervention Annexn'!M55</f>
        <v>0</v>
      </c>
      <c r="N7" s="990">
        <f>'3.Community Intervention Annexn'!N55</f>
        <v>0</v>
      </c>
      <c r="O7" s="136">
        <f>'3.Community Intervention Annexn'!O55</f>
        <v>0</v>
      </c>
      <c r="P7" s="78">
        <f>'3.Community Intervention Annexn'!P55</f>
        <v>0</v>
      </c>
      <c r="Q7" s="1098"/>
      <c r="R7" s="1099"/>
    </row>
    <row r="8" spans="1:18" s="1079" customFormat="1">
      <c r="A8" s="1022">
        <f>'5.Infrastructure Annex'!A7</f>
        <v>5</v>
      </c>
      <c r="B8" s="1022"/>
      <c r="C8" s="1022" t="str">
        <f>'5.Infrastructure Annex'!C7</f>
        <v>Infrastructure</v>
      </c>
      <c r="D8" s="334"/>
      <c r="E8" s="334"/>
      <c r="F8" s="334"/>
      <c r="G8" s="334"/>
      <c r="H8" s="240"/>
      <c r="I8" s="334"/>
      <c r="J8" s="240"/>
      <c r="K8" s="334"/>
      <c r="L8" s="334"/>
      <c r="M8" s="240"/>
      <c r="N8" s="1089"/>
      <c r="O8" s="1010">
        <f>O9</f>
        <v>0</v>
      </c>
      <c r="P8" s="1085"/>
      <c r="Q8" s="1102"/>
      <c r="R8" s="1010">
        <f>R9</f>
        <v>0</v>
      </c>
    </row>
    <row r="9" spans="1:18" s="1079" customFormat="1" ht="30">
      <c r="A9" s="78" t="str">
        <f>'5.Infrastructure Annex'!A34</f>
        <v>5.1.1.2.13</v>
      </c>
      <c r="B9" s="78">
        <f>'5.Infrastructure Annex'!B34</f>
        <v>0</v>
      </c>
      <c r="C9" s="78" t="str">
        <f>'5.Infrastructure Annex'!C34</f>
        <v>Greening of Health sector: DH/ CHC as per IPHS guidelines</v>
      </c>
      <c r="D9" s="78" t="str">
        <f>'5.Infrastructure Annex'!D34</f>
        <v>NCD</v>
      </c>
      <c r="E9" s="78" t="str">
        <f>'5.Infrastructure Annex'!E34</f>
        <v>NPCCHH</v>
      </c>
      <c r="F9" s="990">
        <f>'5.Infrastructure Annex'!F34</f>
        <v>0</v>
      </c>
      <c r="G9" s="990">
        <f>'5.Infrastructure Annex'!G34</f>
        <v>0</v>
      </c>
      <c r="H9" s="990">
        <f>'5.Infrastructure Annex'!H34</f>
        <v>0</v>
      </c>
      <c r="I9" s="990">
        <f>'5.Infrastructure Annex'!I34</f>
        <v>0</v>
      </c>
      <c r="J9" s="990">
        <f>'5.Infrastructure Annex'!J34</f>
        <v>0</v>
      </c>
      <c r="K9" s="990">
        <f>'5.Infrastructure Annex'!K34</f>
        <v>0</v>
      </c>
      <c r="L9" s="990">
        <f>'5.Infrastructure Annex'!L34</f>
        <v>0</v>
      </c>
      <c r="M9" s="136">
        <f>'5.Infrastructure Annex'!M34</f>
        <v>0</v>
      </c>
      <c r="N9" s="990">
        <f>'5.Infrastructure Annex'!N34</f>
        <v>0</v>
      </c>
      <c r="O9" s="136">
        <f>'5.Infrastructure Annex'!O34</f>
        <v>0</v>
      </c>
      <c r="P9" s="78">
        <f>'5.Infrastructure Annex'!P34</f>
        <v>0</v>
      </c>
      <c r="Q9" s="1098"/>
      <c r="R9" s="1099"/>
    </row>
    <row r="10" spans="1:18">
      <c r="A10" s="1022">
        <f>'9.Training Annex'!A7</f>
        <v>9</v>
      </c>
      <c r="B10" s="1022"/>
      <c r="C10" s="1022" t="str">
        <f>'9.Training Annex'!C7</f>
        <v>Training and Capacity Building</v>
      </c>
      <c r="D10" s="334"/>
      <c r="E10" s="334"/>
      <c r="F10" s="334"/>
      <c r="G10" s="334"/>
      <c r="H10" s="240"/>
      <c r="I10" s="334"/>
      <c r="J10" s="240"/>
      <c r="K10" s="334"/>
      <c r="L10" s="334"/>
      <c r="M10" s="240"/>
      <c r="N10" s="1089"/>
      <c r="O10" s="1010">
        <f>SUM(O11:O12)</f>
        <v>2.4000000000000004</v>
      </c>
      <c r="P10" s="1085"/>
      <c r="Q10" s="1102"/>
      <c r="R10" s="1010">
        <f>SUM(R11:R12)</f>
        <v>0</v>
      </c>
    </row>
    <row r="11" spans="1:18" ht="30">
      <c r="A11" s="4651" t="str">
        <f>'9.Training Annex'!A63</f>
        <v>9.2.4.9</v>
      </c>
      <c r="B11" s="78">
        <f>'9-A.Training Sub-Annex'!C279</f>
        <v>0</v>
      </c>
      <c r="C11" s="78" t="str">
        <f>'9-A.Training Sub-Annex'!D279</f>
        <v>Trainings of Medical Officers, Health Workers and Programme officers under NPCCHH</v>
      </c>
      <c r="D11" s="78" t="str">
        <f>'9-A.Training Sub-Annex'!E279</f>
        <v>NCD</v>
      </c>
      <c r="E11" s="78" t="str">
        <f>'9-A.Training Sub-Annex'!F279</f>
        <v>NPCCHH</v>
      </c>
      <c r="F11" s="990">
        <f>'9-A.Training Sub-Annex'!G279</f>
        <v>0</v>
      </c>
      <c r="G11" s="990">
        <f>'9-A.Training Sub-Annex'!H279</f>
        <v>0</v>
      </c>
      <c r="H11" s="990">
        <f>'9-A.Training Sub-Annex'!I279</f>
        <v>0</v>
      </c>
      <c r="I11" s="990">
        <f>'9-A.Training Sub-Annex'!J279</f>
        <v>0</v>
      </c>
      <c r="J11" s="990">
        <f>'9-A.Training Sub-Annex'!K279</f>
        <v>0</v>
      </c>
      <c r="K11" s="990" t="str">
        <f>'9-A.Training Sub-Annex'!L279</f>
        <v xml:space="preserve">For State Training </v>
      </c>
      <c r="L11" s="990">
        <f>'9-A.Training Sub-Annex'!M279</f>
        <v>50000</v>
      </c>
      <c r="M11" s="136">
        <f>'9-A.Training Sub-Annex'!N279</f>
        <v>0.5</v>
      </c>
      <c r="N11" s="990">
        <f>'9-A.Training Sub-Annex'!O279</f>
        <v>1</v>
      </c>
      <c r="O11" s="136">
        <f>'9-A.Training Sub-Annex'!P279</f>
        <v>0.5</v>
      </c>
      <c r="P11" s="78" t="str">
        <f>'9-A.Training Sub-Annex'!Q279</f>
        <v xml:space="preserve">1 day State level training of District Nodal officer Climate Change </v>
      </c>
      <c r="Q11" s="1100"/>
      <c r="R11" s="1101"/>
    </row>
    <row r="12" spans="1:18" ht="45">
      <c r="A12" s="4652"/>
      <c r="B12" s="78">
        <f>'9-A.Training Sub-Annex'!C280</f>
        <v>0</v>
      </c>
      <c r="C12" s="78" t="str">
        <f>'9-A.Training Sub-Annex'!D280</f>
        <v>Any other (please specify)</v>
      </c>
      <c r="D12" s="78" t="str">
        <f>'9-A.Training Sub-Annex'!E280</f>
        <v>NCD</v>
      </c>
      <c r="E12" s="78" t="str">
        <f>'9-A.Training Sub-Annex'!F280</f>
        <v>NPCCHH</v>
      </c>
      <c r="F12" s="990">
        <f>'9-A.Training Sub-Annex'!G280</f>
        <v>0</v>
      </c>
      <c r="G12" s="990">
        <f>'9-A.Training Sub-Annex'!H280</f>
        <v>0</v>
      </c>
      <c r="H12" s="990">
        <f>'9-A.Training Sub-Annex'!I280</f>
        <v>0</v>
      </c>
      <c r="I12" s="990">
        <f>'9-A.Training Sub-Annex'!J280</f>
        <v>0</v>
      </c>
      <c r="J12" s="990">
        <f>'9-A.Training Sub-Annex'!K280</f>
        <v>0</v>
      </c>
      <c r="K12" s="990" t="str">
        <f>'9-A.Training Sub-Annex'!L280</f>
        <v>Meeting Per District</v>
      </c>
      <c r="L12" s="990">
        <f>'9-A.Training Sub-Annex'!M280</f>
        <v>5000</v>
      </c>
      <c r="M12" s="136">
        <f>'9-A.Training Sub-Annex'!N280</f>
        <v>0.05</v>
      </c>
      <c r="N12" s="990">
        <f>'9-A.Training Sub-Annex'!O280</f>
        <v>38</v>
      </c>
      <c r="O12" s="136">
        <f>'9-A.Training Sub-Annex'!P280</f>
        <v>1.9000000000000001</v>
      </c>
      <c r="P12" s="78" t="str">
        <f>'9-A.Training Sub-Annex'!Q280</f>
        <v>Training at District level by nodal officer for sensitization on Climate change and its adversity .</v>
      </c>
      <c r="Q12" s="1100"/>
      <c r="R12" s="1101"/>
    </row>
    <row r="13" spans="1:18">
      <c r="A13" s="1022">
        <f>'10.Review Research &amp; Surveillen'!A7</f>
        <v>10</v>
      </c>
      <c r="B13" s="1022"/>
      <c r="C13" s="1022" t="str">
        <f>'10.Review Research &amp; Surveillen'!C7</f>
        <v>Reviews, Research, Surveys and Surveillance</v>
      </c>
      <c r="D13" s="334"/>
      <c r="E13" s="334"/>
      <c r="F13" s="334"/>
      <c r="G13" s="334"/>
      <c r="H13" s="240"/>
      <c r="I13" s="334"/>
      <c r="J13" s="240"/>
      <c r="K13" s="334"/>
      <c r="L13" s="334"/>
      <c r="M13" s="240"/>
      <c r="N13" s="1089"/>
      <c r="O13" s="1010">
        <f>O14</f>
        <v>2</v>
      </c>
      <c r="P13" s="1085"/>
      <c r="Q13" s="1102"/>
      <c r="R13" s="1010">
        <f>R14</f>
        <v>0</v>
      </c>
    </row>
    <row r="14" spans="1:18" ht="60">
      <c r="A14" s="1002" t="str">
        <f>'10.Review Research &amp; Surveillen'!A31</f>
        <v>10.2.14</v>
      </c>
      <c r="B14" s="1002">
        <f>'10.Review Research &amp; Surveillen'!B31</f>
        <v>0</v>
      </c>
      <c r="C14" s="1002" t="str">
        <f>'10.Review Research &amp; Surveillen'!C31</f>
        <v>Surveillance/ Vulnerability assessment/ Research related to Climate Change, Air Pollution and Heat related illness</v>
      </c>
      <c r="D14" s="1002" t="str">
        <f>'10.Review Research &amp; Surveillen'!D31</f>
        <v>NCD</v>
      </c>
      <c r="E14" s="1002" t="str">
        <f>'10.Review Research &amp; Surveillen'!E31</f>
        <v>NPCCHH</v>
      </c>
      <c r="F14" s="1045">
        <f>'10.Review Research &amp; Surveillen'!F31</f>
        <v>0</v>
      </c>
      <c r="G14" s="1045">
        <f>'10.Review Research &amp; Surveillen'!G31</f>
        <v>0</v>
      </c>
      <c r="H14" s="1045">
        <f>'10.Review Research &amp; Surveillen'!H31</f>
        <v>0</v>
      </c>
      <c r="I14" s="1045">
        <f>'10.Review Research &amp; Surveillen'!I31</f>
        <v>0</v>
      </c>
      <c r="J14" s="1045">
        <f>'10.Review Research &amp; Surveillen'!J31</f>
        <v>0</v>
      </c>
      <c r="K14" s="1045">
        <f>'10.Review Research &amp; Surveillen'!K31</f>
        <v>0</v>
      </c>
      <c r="L14" s="1045">
        <f>'10.Review Research &amp; Surveillen'!L31</f>
        <v>200000</v>
      </c>
      <c r="M14" s="136">
        <f>'10.Review Research &amp; Surveillen'!M31</f>
        <v>2</v>
      </c>
      <c r="N14" s="1045">
        <f>'10.Review Research &amp; Surveillen'!N31</f>
        <v>1</v>
      </c>
      <c r="O14" s="136">
        <f>'10.Review Research &amp; Surveillen'!O31</f>
        <v>2</v>
      </c>
      <c r="P14" s="1003" t="str">
        <f>'10.Review Research &amp; Surveillen'!P31</f>
        <v>Research on climate variable ,developing digital app, statistical analysis, Vulnaribility assesment for disaster management</v>
      </c>
      <c r="Q14" s="1100"/>
      <c r="R14" s="1101"/>
    </row>
    <row r="15" spans="1:18">
      <c r="A15" s="1022">
        <f>'11.IEC-BCC Annex'!A7</f>
        <v>11</v>
      </c>
      <c r="B15" s="1022"/>
      <c r="C15" s="1022" t="str">
        <f>'11.IEC-BCC Annex'!C7</f>
        <v>IEC/BCC</v>
      </c>
      <c r="D15" s="334"/>
      <c r="E15" s="334"/>
      <c r="F15" s="334"/>
      <c r="G15" s="334"/>
      <c r="H15" s="240"/>
      <c r="I15" s="334"/>
      <c r="J15" s="240"/>
      <c r="K15" s="334"/>
      <c r="L15" s="334"/>
      <c r="M15" s="240"/>
      <c r="N15" s="1089"/>
      <c r="O15" s="1010">
        <f>O16</f>
        <v>4.1000000000000005</v>
      </c>
      <c r="P15" s="1085"/>
      <c r="Q15" s="1102"/>
      <c r="R15" s="1010">
        <f>R16</f>
        <v>0</v>
      </c>
    </row>
    <row r="16" spans="1:18" ht="60">
      <c r="A16" s="78" t="str">
        <f>'11.IEC-BCC Annex'!A38</f>
        <v>11.4.7</v>
      </c>
      <c r="B16" s="78">
        <f>'11-A. IEC Sub-Annex'!C95</f>
        <v>0</v>
      </c>
      <c r="C16" s="78" t="str">
        <f>'11-A. IEC Sub-Annex'!D95</f>
        <v>IEC on Climate Sensitive Diseases at Block , District and State level  – Air pollution, Heat and other relevant Climate Sensitive diseases</v>
      </c>
      <c r="D16" s="78" t="str">
        <f>'11-A. IEC Sub-Annex'!E95</f>
        <v>NCD</v>
      </c>
      <c r="E16" s="78" t="str">
        <f>'11-A. IEC Sub-Annex'!F95</f>
        <v>NPCCHH</v>
      </c>
      <c r="F16" s="990">
        <f>'11-A. IEC Sub-Annex'!G95</f>
        <v>0</v>
      </c>
      <c r="G16" s="990">
        <f>'11-A. IEC Sub-Annex'!H95</f>
        <v>0</v>
      </c>
      <c r="H16" s="990">
        <f>'11-A. IEC Sub-Annex'!I95</f>
        <v>0</v>
      </c>
      <c r="I16" s="990">
        <f>'11-A. IEC Sub-Annex'!J95</f>
        <v>0</v>
      </c>
      <c r="J16" s="990">
        <f>'11-A. IEC Sub-Annex'!K95</f>
        <v>0</v>
      </c>
      <c r="K16" s="990">
        <f>'11-A. IEC Sub-Annex'!L95</f>
        <v>0</v>
      </c>
      <c r="L16" s="990">
        <f>'11-A. IEC Sub-Annex'!M95</f>
        <v>10000</v>
      </c>
      <c r="M16" s="136">
        <f>'11-A. IEC Sub-Annex'!N95</f>
        <v>0.1</v>
      </c>
      <c r="N16" s="990">
        <f>'11-A. IEC Sub-Annex'!O95</f>
        <v>41</v>
      </c>
      <c r="O16" s="136">
        <f>'11-A. IEC Sub-Annex'!P95</f>
        <v>4.1000000000000005</v>
      </c>
      <c r="P16" s="78" t="str">
        <f>'11-A. IEC Sub-Annex'!Q95</f>
        <v>Fund proposed for radio jingles and  priniting of poster and banners for Air pollution and Heat waves for 37 DH and 4 Sentinnel site</v>
      </c>
      <c r="Q16" s="1100"/>
      <c r="R16" s="1101"/>
    </row>
    <row r="17" spans="1:18">
      <c r="A17" s="1022">
        <f>'12.Printing Annex'!A7</f>
        <v>12</v>
      </c>
      <c r="B17" s="1022"/>
      <c r="C17" s="1022" t="str">
        <f>'12.Printing Annex'!C7</f>
        <v>Printing</v>
      </c>
      <c r="D17" s="334"/>
      <c r="E17" s="334"/>
      <c r="F17" s="334"/>
      <c r="G17" s="334"/>
      <c r="H17" s="240"/>
      <c r="I17" s="334"/>
      <c r="J17" s="240"/>
      <c r="K17" s="334"/>
      <c r="L17" s="334"/>
      <c r="M17" s="240"/>
      <c r="N17" s="1089"/>
      <c r="O17" s="1010">
        <f>O18</f>
        <v>0</v>
      </c>
      <c r="P17" s="1085"/>
      <c r="Q17" s="1102"/>
      <c r="R17" s="1010">
        <f>R18</f>
        <v>0</v>
      </c>
    </row>
    <row r="18" spans="1:18">
      <c r="A18" s="78" t="str">
        <f>'12.Printing Annex'!A40</f>
        <v>12.4.7</v>
      </c>
      <c r="B18" s="78">
        <f>'12-A. Print Sub-Annex'!C104</f>
        <v>0</v>
      </c>
      <c r="C18" s="78" t="str">
        <f>'12-A. Print Sub-Annex'!D104</f>
        <v>Printing activities for NPCCHH</v>
      </c>
      <c r="D18" s="78" t="str">
        <f>'12-A. Print Sub-Annex'!E104</f>
        <v>NCD</v>
      </c>
      <c r="E18" s="78" t="str">
        <f>'12-A. Print Sub-Annex'!F104</f>
        <v>NPCCHH</v>
      </c>
      <c r="F18" s="990">
        <f>'12-A. Print Sub-Annex'!G104</f>
        <v>0</v>
      </c>
      <c r="G18" s="990">
        <f>'12-A. Print Sub-Annex'!H104</f>
        <v>0</v>
      </c>
      <c r="H18" s="990">
        <f>'12-A. Print Sub-Annex'!I104</f>
        <v>0</v>
      </c>
      <c r="I18" s="990">
        <f>'12-A. Print Sub-Annex'!J104</f>
        <v>0</v>
      </c>
      <c r="J18" s="990">
        <f>'12-A. Print Sub-Annex'!K104</f>
        <v>0</v>
      </c>
      <c r="K18" s="990">
        <f>'12-A. Print Sub-Annex'!L104</f>
        <v>0</v>
      </c>
      <c r="L18" s="990">
        <f>'12-A. Print Sub-Annex'!M104</f>
        <v>0</v>
      </c>
      <c r="M18" s="136">
        <f>'12-A. Print Sub-Annex'!N104</f>
        <v>0</v>
      </c>
      <c r="N18" s="990">
        <f>'12-A. Print Sub-Annex'!O104</f>
        <v>0</v>
      </c>
      <c r="O18" s="136">
        <f>'12-A. Print Sub-Annex'!P104</f>
        <v>0</v>
      </c>
      <c r="P18" s="78">
        <f>'12-A. Print Sub-Annex'!Q104</f>
        <v>0</v>
      </c>
      <c r="Q18" s="1100"/>
      <c r="R18" s="1101"/>
    </row>
    <row r="19" spans="1:18">
      <c r="A19" s="416">
        <f>'16.PM Annex'!A7</f>
        <v>16</v>
      </c>
      <c r="B19" s="416">
        <f>'16.PM Annex'!B7</f>
        <v>0</v>
      </c>
      <c r="C19" s="416" t="str">
        <f>'16.PM Annex'!C7</f>
        <v>Programme Management</v>
      </c>
      <c r="D19" s="417"/>
      <c r="E19" s="417"/>
      <c r="F19" s="417"/>
      <c r="G19" s="417"/>
      <c r="H19" s="240"/>
      <c r="I19" s="417"/>
      <c r="J19" s="240"/>
      <c r="K19" s="417"/>
      <c r="L19" s="417"/>
      <c r="M19" s="240"/>
      <c r="N19" s="1089"/>
      <c r="O19" s="1010">
        <f>O20+O21</f>
        <v>0.4</v>
      </c>
      <c r="P19" s="1085"/>
      <c r="Q19" s="1102"/>
      <c r="R19" s="1010">
        <f>R20+R21</f>
        <v>0</v>
      </c>
    </row>
    <row r="20" spans="1:18" ht="30">
      <c r="A20" s="78" t="str">
        <f>'16-A. PM sub Annex'!B43</f>
        <v>16.1.2.1.23</v>
      </c>
      <c r="B20" s="78">
        <f>'16-A. PM sub Annex'!D43</f>
        <v>0</v>
      </c>
      <c r="C20" s="78" t="str">
        <f>'16-A. PM sub Annex'!E43</f>
        <v>Task force Meeting to draft health sector plan for Heat and Air Pollution</v>
      </c>
      <c r="D20" s="990" t="str">
        <f>'16-A. PM sub Annex'!F43</f>
        <v>NCD</v>
      </c>
      <c r="E20" s="990" t="str">
        <f>'16-A. PM sub Annex'!G43</f>
        <v>HRH&amp;HPIP/NPCCHH</v>
      </c>
      <c r="F20" s="990">
        <f>'16-A. PM sub Annex'!H43</f>
        <v>0</v>
      </c>
      <c r="G20" s="990">
        <f>'16-A. PM sub Annex'!I43</f>
        <v>0</v>
      </c>
      <c r="H20" s="990">
        <f>'16-A. PM sub Annex'!J43</f>
        <v>0</v>
      </c>
      <c r="I20" s="990">
        <f>'16-A. PM sub Annex'!K43</f>
        <v>0</v>
      </c>
      <c r="J20" s="990">
        <f>'16-A. PM sub Annex'!L43</f>
        <v>0</v>
      </c>
      <c r="K20" s="990" t="str">
        <f>'16-A. PM sub Annex'!M43</f>
        <v xml:space="preserve">Per Meeting </v>
      </c>
      <c r="L20" s="990">
        <f>'16-A. PM sub Annex'!N43</f>
        <v>1000</v>
      </c>
      <c r="M20" s="136">
        <f>'16-A. PM sub Annex'!O43</f>
        <v>0.01</v>
      </c>
      <c r="N20" s="990">
        <f>'16-A. PM sub Annex'!P43</f>
        <v>2</v>
      </c>
      <c r="O20" s="136">
        <f>'16-A. PM sub Annex'!Q43</f>
        <v>0.02</v>
      </c>
      <c r="P20" s="78" t="str">
        <f>'16-A. PM sub Annex'!R43</f>
        <v xml:space="preserve">Biannualy State level task force meeting </v>
      </c>
      <c r="Q20" s="1100"/>
      <c r="R20" s="1101"/>
    </row>
    <row r="21" spans="1:18" ht="30">
      <c r="A21" s="78" t="str">
        <f>'16-A. PM sub Annex'!B44</f>
        <v>16.1.2.1.24</v>
      </c>
      <c r="B21" s="78">
        <f>'16-A. PM sub Annex'!D44</f>
        <v>0</v>
      </c>
      <c r="C21" s="78" t="str">
        <f>'16-A. PM sub Annex'!E44</f>
        <v xml:space="preserve">Sensitization workshop/ Meeting of  the State Program Officers and District level Health Officers   </v>
      </c>
      <c r="D21" s="990" t="str">
        <f>'16-A. PM sub Annex'!F44</f>
        <v>NCD</v>
      </c>
      <c r="E21" s="990" t="str">
        <f>'16-A. PM sub Annex'!G44</f>
        <v>HRH&amp;HPIP/NPCCHH</v>
      </c>
      <c r="F21" s="990">
        <f>'16-A. PM sub Annex'!H44</f>
        <v>0</v>
      </c>
      <c r="G21" s="990">
        <f>'16-A. PM sub Annex'!I44</f>
        <v>0</v>
      </c>
      <c r="H21" s="990">
        <f>'16-A. PM sub Annex'!J44</f>
        <v>0</v>
      </c>
      <c r="I21" s="990">
        <f>'16-A. PM sub Annex'!K44</f>
        <v>0</v>
      </c>
      <c r="J21" s="990">
        <f>'16-A. PM sub Annex'!L44</f>
        <v>0</v>
      </c>
      <c r="K21" s="990" t="str">
        <f>'16-A. PM sub Annex'!M44</f>
        <v xml:space="preserve">Per District </v>
      </c>
      <c r="L21" s="990">
        <f>'16-A. PM sub Annex'!N44</f>
        <v>1000</v>
      </c>
      <c r="M21" s="136">
        <f>'16-A. PM sub Annex'!O44</f>
        <v>0.01</v>
      </c>
      <c r="N21" s="990">
        <f>'16-A. PM sub Annex'!P44</f>
        <v>38</v>
      </c>
      <c r="O21" s="136">
        <f>'16-A. PM sub Annex'!Q44</f>
        <v>0.38</v>
      </c>
      <c r="P21" s="78" t="str">
        <f>'16-A. PM sub Annex'!R44</f>
        <v>Annual task force meeting at District level by District Nodal officer</v>
      </c>
      <c r="Q21" s="1100"/>
      <c r="R21" s="1101"/>
    </row>
  </sheetData>
  <sheetProtection sheet="1" formatCells="0" formatColumns="0" formatRows="0" autoFilter="0"/>
  <autoFilter ref="A5:M21"/>
  <mergeCells count="10">
    <mergeCell ref="A11:A12"/>
    <mergeCell ref="Q4:R4"/>
    <mergeCell ref="E4:E5"/>
    <mergeCell ref="A1:C1"/>
    <mergeCell ref="A4:A5"/>
    <mergeCell ref="B4:B5"/>
    <mergeCell ref="C4:C5"/>
    <mergeCell ref="D4:D5"/>
    <mergeCell ref="F4:J4"/>
    <mergeCell ref="K4:P4"/>
  </mergeCells>
  <pageMargins left="0.7" right="0.7" top="0.75" bottom="0.75" header="0.3" footer="0.3"/>
  <pageSetup orientation="portrait" horizontalDpi="300" verticalDpi="300" r:id="rId1"/>
</worksheet>
</file>

<file path=xl/worksheets/sheet54.xml><?xml version="1.0" encoding="utf-8"?>
<worksheet xmlns="http://schemas.openxmlformats.org/spreadsheetml/2006/main" xmlns:r="http://schemas.openxmlformats.org/officeDocument/2006/relationships">
  <sheetPr codeName="Sheet26">
    <tabColor theme="7" tint="0.79998168889431442"/>
  </sheetPr>
  <dimension ref="A1:R21"/>
  <sheetViews>
    <sheetView zoomScale="70" zoomScaleNormal="70" workbookViewId="0">
      <pane xSplit="3" ySplit="5" topLeftCell="G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9.140625" defaultRowHeight="15"/>
  <cols>
    <col min="1" max="1" width="10.85546875" style="820" bestFit="1" customWidth="1"/>
    <col min="2" max="2" width="16.140625" style="820" customWidth="1"/>
    <col min="3" max="3" width="46.140625" style="453" customWidth="1"/>
    <col min="4" max="4" width="4.28515625" style="407" bestFit="1" customWidth="1"/>
    <col min="5" max="5" width="14.5703125" style="407" customWidth="1"/>
    <col min="6" max="6" width="22.140625" style="621" bestFit="1" customWidth="1"/>
    <col min="7" max="7" width="15.42578125" style="621" customWidth="1"/>
    <col min="8" max="8" width="9.85546875" style="949" bestFit="1" customWidth="1"/>
    <col min="9" max="9" width="8.140625" style="621" bestFit="1" customWidth="1"/>
    <col min="10" max="10" width="12.140625" style="949" bestFit="1" customWidth="1"/>
    <col min="11" max="11" width="10.140625" style="820" customWidth="1"/>
    <col min="12" max="12" width="10.7109375" style="820" customWidth="1"/>
    <col min="13" max="13" width="13.85546875" style="949" customWidth="1"/>
    <col min="14" max="15" width="9.140625" style="950"/>
    <col min="16" max="16" width="39.85546875" style="398" customWidth="1"/>
    <col min="17" max="17" width="34.42578125" style="950" customWidth="1"/>
    <col min="18" max="16384" width="9.140625" style="950"/>
  </cols>
  <sheetData>
    <row r="1" spans="1:18" s="1164" customFormat="1">
      <c r="A1" s="4634" t="s">
        <v>2131</v>
      </c>
      <c r="B1" s="4634"/>
      <c r="C1" s="4634"/>
      <c r="D1" s="494"/>
      <c r="E1" s="463"/>
      <c r="F1" s="74" t="s">
        <v>3958</v>
      </c>
      <c r="G1" s="921"/>
      <c r="H1" s="921"/>
      <c r="I1" s="1026"/>
      <c r="J1" s="921"/>
      <c r="K1" s="1163"/>
      <c r="L1" s="1163"/>
      <c r="M1" s="921"/>
      <c r="P1" s="1169"/>
    </row>
    <row r="2" spans="1:18" s="1164" customFormat="1">
      <c r="A2" s="868" t="str">
        <f>HYPERLINK("#Index!F3", "Index Pg")</f>
        <v>Index Pg</v>
      </c>
      <c r="B2" s="873"/>
      <c r="C2" s="403" t="str">
        <f>HYPERLINK("#'Budget Summary I'!A1:AL1", "Budget Summary I")</f>
        <v>Budget Summary I</v>
      </c>
      <c r="D2" s="1165"/>
      <c r="E2" s="1144" t="s">
        <v>4599</v>
      </c>
      <c r="F2" s="135">
        <f>R20+R14+R9+R6+R17</f>
        <v>0</v>
      </c>
      <c r="G2" s="921"/>
      <c r="H2" s="921"/>
      <c r="I2" s="682"/>
      <c r="J2" s="921"/>
      <c r="K2" s="1054"/>
      <c r="L2" s="1054"/>
      <c r="M2" s="921"/>
      <c r="P2" s="1169"/>
    </row>
    <row r="3" spans="1:18" s="1164" customFormat="1">
      <c r="A3" s="872"/>
      <c r="B3" s="873"/>
      <c r="C3" s="403" t="str">
        <f>HYPERLINK("#'Budget Summary II'!A3:B5", "Budget Summary II")</f>
        <v>Budget Summary II</v>
      </c>
      <c r="D3" s="1165"/>
      <c r="E3" s="1144" t="s">
        <v>4600</v>
      </c>
      <c r="F3" s="135">
        <f>O20+O14+O9+O6+O17</f>
        <v>385.45249999999999</v>
      </c>
      <c r="G3" s="921"/>
      <c r="H3" s="921"/>
      <c r="I3" s="682"/>
      <c r="J3" s="921"/>
      <c r="K3" s="1054"/>
      <c r="L3" s="1054"/>
      <c r="M3" s="921"/>
      <c r="P3" s="1169"/>
    </row>
    <row r="4" spans="1:18" s="621" customFormat="1" ht="14.45" customHeight="1">
      <c r="A4" s="4323" t="s">
        <v>53</v>
      </c>
      <c r="B4" s="4323" t="s">
        <v>54</v>
      </c>
      <c r="C4" s="4323" t="s">
        <v>55</v>
      </c>
      <c r="D4" s="4323" t="s">
        <v>56</v>
      </c>
      <c r="E4" s="4323" t="s">
        <v>57</v>
      </c>
      <c r="F4" s="4632" t="s">
        <v>4620</v>
      </c>
      <c r="G4" s="4632"/>
      <c r="H4" s="4632"/>
      <c r="I4" s="4632"/>
      <c r="J4" s="4632"/>
      <c r="K4" s="4632" t="s">
        <v>4631</v>
      </c>
      <c r="L4" s="4632"/>
      <c r="M4" s="4632"/>
      <c r="N4" s="4632"/>
      <c r="O4" s="4632"/>
      <c r="P4" s="4632"/>
      <c r="Q4" s="4628" t="s">
        <v>4661</v>
      </c>
      <c r="R4" s="4628"/>
    </row>
    <row r="5" spans="1:18" s="621" customFormat="1" ht="60">
      <c r="A5" s="4323"/>
      <c r="B5" s="4323"/>
      <c r="C5" s="4323"/>
      <c r="D5" s="4323"/>
      <c r="E5" s="4323"/>
      <c r="F5" s="464" t="s">
        <v>4621</v>
      </c>
      <c r="G5" s="464" t="s">
        <v>4629</v>
      </c>
      <c r="H5" s="464" t="s">
        <v>4622</v>
      </c>
      <c r="I5" s="464" t="s">
        <v>4630</v>
      </c>
      <c r="J5" s="1070" t="s">
        <v>2534</v>
      </c>
      <c r="K5" s="1071" t="s">
        <v>58</v>
      </c>
      <c r="L5" s="1071" t="s">
        <v>59</v>
      </c>
      <c r="M5" s="1072" t="s">
        <v>60</v>
      </c>
      <c r="N5" s="1071" t="s">
        <v>61</v>
      </c>
      <c r="O5" s="1072" t="s">
        <v>62</v>
      </c>
      <c r="P5" s="1071" t="s">
        <v>63</v>
      </c>
      <c r="Q5" s="777" t="s">
        <v>2536</v>
      </c>
      <c r="R5" s="813" t="s">
        <v>4662</v>
      </c>
    </row>
    <row r="6" spans="1:18">
      <c r="A6" s="1022">
        <f>'6.Procurement Annex'!A7</f>
        <v>6</v>
      </c>
      <c r="B6" s="1022"/>
      <c r="C6" s="1022" t="str">
        <f>'6.Procurement Annex'!C7</f>
        <v>Procurement</v>
      </c>
      <c r="D6" s="334"/>
      <c r="E6" s="334"/>
      <c r="F6" s="334"/>
      <c r="G6" s="334"/>
      <c r="H6" s="240"/>
      <c r="I6" s="334"/>
      <c r="J6" s="240"/>
      <c r="K6" s="1022"/>
      <c r="L6" s="1022"/>
      <c r="M6" s="240"/>
      <c r="N6" s="1012"/>
      <c r="O6" s="1012">
        <f>O7+O8</f>
        <v>342.95256000000001</v>
      </c>
      <c r="P6" s="1109"/>
      <c r="Q6" s="1012"/>
      <c r="R6" s="1012">
        <f>R7+R8</f>
        <v>0</v>
      </c>
    </row>
    <row r="7" spans="1:18" ht="270">
      <c r="A7" s="4242" t="str">
        <f>'6.Procurement Annex'!A42</f>
        <v>6.1.5.7</v>
      </c>
      <c r="B7" s="970">
        <f>'6-A. Proc. Sub-Annex'!C124</f>
        <v>0</v>
      </c>
      <c r="C7" s="970" t="str">
        <f>'6-A. Proc. Sub-Annex'!D124</f>
        <v>Procurement of equipment</v>
      </c>
      <c r="D7" s="970" t="str">
        <f>'6-A. Proc. Sub-Annex'!E124</f>
        <v>NCD</v>
      </c>
      <c r="E7" s="970" t="str">
        <f>'6-A. Proc. Sub-Annex'!F124</f>
        <v>NPPCD</v>
      </c>
      <c r="F7" s="970">
        <f>'6-A. Proc. Sub-Annex'!G124</f>
        <v>0</v>
      </c>
      <c r="G7" s="970">
        <f>'6-A. Proc. Sub-Annex'!H124</f>
        <v>0</v>
      </c>
      <c r="H7" s="970">
        <f>'6-A. Proc. Sub-Annex'!I124</f>
        <v>0</v>
      </c>
      <c r="I7" s="970">
        <f>'6-A. Proc. Sub-Annex'!J124</f>
        <v>0</v>
      </c>
      <c r="J7" s="970">
        <f>'6-A. Proc. Sub-Annex'!K124</f>
        <v>0</v>
      </c>
      <c r="K7" s="970" t="str">
        <f>'6-A. Proc. Sub-Annex'!L124</f>
        <v>No. of DH</v>
      </c>
      <c r="L7" s="970">
        <f>'6-A. Proc. Sub-Annex'!M124</f>
        <v>56038</v>
      </c>
      <c r="M7" s="970">
        <f>'6-A. Proc. Sub-Annex'!N124</f>
        <v>0.56037999999999999</v>
      </c>
      <c r="N7" s="970">
        <f>'6-A. Proc. Sub-Annex'!O124</f>
        <v>612</v>
      </c>
      <c r="O7" s="970">
        <f>'6-A. Proc. Sub-Annex'!P124</f>
        <v>342.95256000000001</v>
      </c>
      <c r="P7" s="3560" t="str">
        <f>'6-A. Proc. Sub-Annex'!Q124</f>
        <v xml:space="preserve">Continuation of previous activity for 11  Districts namely Vaishali, Muzaffarpur, Rohtas, Kaimur, East Champaran, West Champaran, Banka, Jamui, Gopalganj, Buxar &amp; Purnea .  The total amount of Rs 4,32,95,000/- was received vide (letter No V.19019/35/2013-PH-I(i) Dated 20.03.2014,  Rs 68,06,000/- , Letter No2 - V.19019/35/2013-PH-I(IV) Dated 20.03.2014, Rs 3,60,95,000/- &amp; Letter No3 V.19019/35/2013-PH-I(VII) Dated 20.03.2014 Rs 3,94,000/- ) Administrative approval is desired from GoI for all above disticts (20,00,000X 11, SDH- 50,000X15, CHC 50,000X22, APHC/PHC 563X15,000)
And for Gaya district kindly release Rs. 20,00,000/-.
</v>
      </c>
      <c r="Q7" s="66"/>
      <c r="R7" s="66"/>
    </row>
    <row r="8" spans="1:18">
      <c r="A8" s="4243"/>
      <c r="B8" s="970">
        <f>'6-A. Proc. Sub-Annex'!C125</f>
        <v>0</v>
      </c>
      <c r="C8" s="970" t="str">
        <f>'6-A. Proc. Sub-Annex'!D125</f>
        <v>Any other equipment (please specify)</v>
      </c>
      <c r="D8" s="970" t="str">
        <f>'6-A. Proc. Sub-Annex'!E125</f>
        <v>NCD</v>
      </c>
      <c r="E8" s="970" t="str">
        <f>'6-A. Proc. Sub-Annex'!F125</f>
        <v>NPPCD</v>
      </c>
      <c r="F8" s="970">
        <f>'6-A. Proc. Sub-Annex'!G125</f>
        <v>0</v>
      </c>
      <c r="G8" s="970">
        <f>'6-A. Proc. Sub-Annex'!H125</f>
        <v>0</v>
      </c>
      <c r="H8" s="970">
        <f>'6-A. Proc. Sub-Annex'!I125</f>
        <v>0</v>
      </c>
      <c r="I8" s="970">
        <f>'6-A. Proc. Sub-Annex'!J125</f>
        <v>0</v>
      </c>
      <c r="J8" s="970">
        <f>'6-A. Proc. Sub-Annex'!K125</f>
        <v>0</v>
      </c>
      <c r="K8" s="970">
        <f>'6-A. Proc. Sub-Annex'!L125</f>
        <v>0</v>
      </c>
      <c r="L8" s="970">
        <f>'6-A. Proc. Sub-Annex'!M125</f>
        <v>0</v>
      </c>
      <c r="M8" s="970">
        <f>'6-A. Proc. Sub-Annex'!N125</f>
        <v>0</v>
      </c>
      <c r="N8" s="970">
        <f>'6-A. Proc. Sub-Annex'!O125</f>
        <v>0</v>
      </c>
      <c r="O8" s="970">
        <f>'6-A. Proc. Sub-Annex'!P125</f>
        <v>0</v>
      </c>
      <c r="P8" s="3560">
        <f>'6-A. Proc. Sub-Annex'!Q125</f>
        <v>0</v>
      </c>
      <c r="Q8" s="66"/>
      <c r="R8" s="66"/>
    </row>
    <row r="9" spans="1:18">
      <c r="A9" s="1022">
        <f>'9.Training Annex'!A7</f>
        <v>9</v>
      </c>
      <c r="B9" s="1022"/>
      <c r="C9" s="1022" t="str">
        <f>'9.Training Annex'!C7</f>
        <v>Training and Capacity Building</v>
      </c>
      <c r="D9" s="334"/>
      <c r="E9" s="334"/>
      <c r="F9" s="334"/>
      <c r="G9" s="334"/>
      <c r="H9" s="240"/>
      <c r="I9" s="334"/>
      <c r="J9" s="240"/>
      <c r="K9" s="1022"/>
      <c r="L9" s="1022"/>
      <c r="M9" s="240"/>
      <c r="N9" s="1012"/>
      <c r="O9" s="1252">
        <f>SUM(O10:O13)</f>
        <v>32.499940000000002</v>
      </c>
      <c r="P9" s="1109"/>
      <c r="Q9" s="1166"/>
      <c r="R9" s="1252">
        <f>-SUM(R10:R13)</f>
        <v>0</v>
      </c>
    </row>
    <row r="10" spans="1:18" ht="90">
      <c r="A10" s="970" t="str">
        <f>'9.Training Annex'!A60</f>
        <v>9.2.4.6</v>
      </c>
      <c r="B10" s="970" t="str">
        <f>'9-A.Training Sub-Annex'!C268</f>
        <v>B.25.2.1.b</v>
      </c>
      <c r="C10" s="970" t="str">
        <f>'9-A.Training Sub-Annex'!D268</f>
        <v>Trainings at District Hospital</v>
      </c>
      <c r="D10" s="970" t="str">
        <f>'9-A.Training Sub-Annex'!E268</f>
        <v>NCD</v>
      </c>
      <c r="E10" s="970" t="str">
        <f>'9-A.Training Sub-Annex'!F268</f>
        <v>NPPCD</v>
      </c>
      <c r="F10" s="970">
        <f>'9-A.Training Sub-Annex'!G268</f>
        <v>0</v>
      </c>
      <c r="G10" s="970">
        <f>'9-A.Training Sub-Annex'!H268</f>
        <v>0</v>
      </c>
      <c r="H10" s="970">
        <f>'9-A.Training Sub-Annex'!I268</f>
        <v>0</v>
      </c>
      <c r="I10" s="970">
        <f>'9-A.Training Sub-Annex'!J268</f>
        <v>0</v>
      </c>
      <c r="J10" s="970">
        <f>'9-A.Training Sub-Annex'!K268</f>
        <v>0</v>
      </c>
      <c r="K10" s="970" t="str">
        <f>'9-A.Training Sub-Annex'!L268</f>
        <v>No. of batch</v>
      </c>
      <c r="L10" s="970">
        <f>'9-A.Training Sub-Annex'!M268</f>
        <v>61538</v>
      </c>
      <c r="M10" s="970">
        <f>'9-A.Training Sub-Annex'!N268</f>
        <v>0.61538000000000004</v>
      </c>
      <c r="N10" s="970">
        <f>'9-A.Training Sub-Annex'!O268</f>
        <v>13</v>
      </c>
      <c r="O10" s="970">
        <f>'9-A.Training Sub-Annex'!P268</f>
        <v>7.9999400000000005</v>
      </c>
      <c r="P10" s="3560" t="str">
        <f>'9-A.Training Sub-Annex'!Q268</f>
        <v>Administrative approval is required to spend Rs.600000/- from already released available fund  for 12 Districts, including Gaya. Also administrative approval of Rs.200000 is required at state level for training of ENT Specialist.</v>
      </c>
      <c r="Q10" s="66"/>
      <c r="R10" s="66"/>
    </row>
    <row r="11" spans="1:18" ht="30">
      <c r="A11" s="970"/>
      <c r="B11" s="970" t="str">
        <f>'9-A.Training Sub-Annex'!C269</f>
        <v>B.25.2.1.c</v>
      </c>
      <c r="C11" s="970" t="str">
        <f>'9-A.Training Sub-Annex'!D269</f>
        <v>Trainings at CHC/Sub-Divisional Hospital</v>
      </c>
      <c r="D11" s="970" t="str">
        <f>'9-A.Training Sub-Annex'!E269</f>
        <v>NCD</v>
      </c>
      <c r="E11" s="970" t="str">
        <f>'9-A.Training Sub-Annex'!F269</f>
        <v>NPPCD</v>
      </c>
      <c r="F11" s="970">
        <f>'9-A.Training Sub-Annex'!G269</f>
        <v>0</v>
      </c>
      <c r="G11" s="970">
        <f>'9-A.Training Sub-Annex'!H269</f>
        <v>0</v>
      </c>
      <c r="H11" s="970">
        <f>'9-A.Training Sub-Annex'!I269</f>
        <v>0</v>
      </c>
      <c r="I11" s="970">
        <f>'9-A.Training Sub-Annex'!J269</f>
        <v>0</v>
      </c>
      <c r="J11" s="970">
        <f>'9-A.Training Sub-Annex'!K269</f>
        <v>0</v>
      </c>
      <c r="K11" s="970" t="str">
        <f>'9-A.Training Sub-Annex'!L269</f>
        <v>No. of district</v>
      </c>
      <c r="L11" s="970">
        <f>'9-A.Training Sub-Annex'!M269</f>
        <v>100000</v>
      </c>
      <c r="M11" s="970">
        <f>'9-A.Training Sub-Annex'!N269</f>
        <v>1</v>
      </c>
      <c r="N11" s="970">
        <f>'9-A.Training Sub-Annex'!O269</f>
        <v>12</v>
      </c>
      <c r="O11" s="970">
        <f>'9-A.Training Sub-Annex'!P269</f>
        <v>12</v>
      </c>
      <c r="P11" s="3560" t="str">
        <f>'9-A.Training Sub-Annex'!Q269</f>
        <v xml:space="preserve">1 lakh per district for training on MO from SDH and block PHC/CHC. </v>
      </c>
      <c r="Q11" s="66"/>
      <c r="R11" s="66"/>
    </row>
    <row r="12" spans="1:18" ht="30">
      <c r="A12" s="970"/>
      <c r="B12" s="970" t="str">
        <f>'9-A.Training Sub-Annex'!C270</f>
        <v>B.25.2.1.d</v>
      </c>
      <c r="C12" s="970" t="str">
        <f>'9-A.Training Sub-Annex'!D270</f>
        <v>Trainings at PHC</v>
      </c>
      <c r="D12" s="970" t="str">
        <f>'9-A.Training Sub-Annex'!E270</f>
        <v>NCD</v>
      </c>
      <c r="E12" s="970" t="str">
        <f>'9-A.Training Sub-Annex'!F270</f>
        <v>NPPCD</v>
      </c>
      <c r="F12" s="970">
        <f>'9-A.Training Sub-Annex'!G270</f>
        <v>0</v>
      </c>
      <c r="G12" s="970">
        <f>'9-A.Training Sub-Annex'!H270</f>
        <v>0</v>
      </c>
      <c r="H12" s="970">
        <f>'9-A.Training Sub-Annex'!I270</f>
        <v>0</v>
      </c>
      <c r="I12" s="970">
        <f>'9-A.Training Sub-Annex'!J270</f>
        <v>0</v>
      </c>
      <c r="J12" s="970">
        <f>'9-A.Training Sub-Annex'!K270</f>
        <v>0</v>
      </c>
      <c r="K12" s="970" t="str">
        <f>'9-A.Training Sub-Annex'!L270</f>
        <v>No. of district</v>
      </c>
      <c r="L12" s="970">
        <f>'9-A.Training Sub-Annex'!M270</f>
        <v>100000</v>
      </c>
      <c r="M12" s="970">
        <f>'9-A.Training Sub-Annex'!N270</f>
        <v>1</v>
      </c>
      <c r="N12" s="970">
        <f>'9-A.Training Sub-Annex'!O270</f>
        <v>12</v>
      </c>
      <c r="O12" s="970">
        <f>'9-A.Training Sub-Annex'!P270</f>
        <v>12</v>
      </c>
      <c r="P12" s="3560" t="str">
        <f>'9-A.Training Sub-Annex'!Q270</f>
        <v xml:space="preserve">1 lakh per district for training on MO from APHC/PHC, HWC and RBSK team </v>
      </c>
      <c r="Q12" s="66"/>
      <c r="R12" s="66"/>
    </row>
    <row r="13" spans="1:18" ht="30">
      <c r="A13" s="970"/>
      <c r="B13" s="970">
        <f>'9-A.Training Sub-Annex'!C271</f>
        <v>0</v>
      </c>
      <c r="C13" s="970" t="str">
        <f>'9-A.Training Sub-Annex'!D271</f>
        <v>Any other (please specify)</v>
      </c>
      <c r="D13" s="970" t="str">
        <f>'9-A.Training Sub-Annex'!E271</f>
        <v>NCD</v>
      </c>
      <c r="E13" s="970" t="str">
        <f>'9-A.Training Sub-Annex'!F271</f>
        <v>NPPCD</v>
      </c>
      <c r="F13" s="970">
        <f>'9-A.Training Sub-Annex'!G271</f>
        <v>0</v>
      </c>
      <c r="G13" s="970">
        <f>'9-A.Training Sub-Annex'!H271</f>
        <v>0</v>
      </c>
      <c r="H13" s="970">
        <f>'9-A.Training Sub-Annex'!I271</f>
        <v>0</v>
      </c>
      <c r="I13" s="970">
        <f>'9-A.Training Sub-Annex'!J271</f>
        <v>0</v>
      </c>
      <c r="J13" s="970">
        <f>'9-A.Training Sub-Annex'!K271</f>
        <v>0</v>
      </c>
      <c r="K13" s="970" t="str">
        <f>'9-A.Training Sub-Annex'!L271</f>
        <v>No. of batch</v>
      </c>
      <c r="L13" s="970">
        <f>'9-A.Training Sub-Annex'!M271</f>
        <v>50000</v>
      </c>
      <c r="M13" s="970">
        <f>'9-A.Training Sub-Annex'!N271</f>
        <v>0.5</v>
      </c>
      <c r="N13" s="970">
        <f>'9-A.Training Sub-Annex'!O271</f>
        <v>1</v>
      </c>
      <c r="O13" s="970">
        <f>'9-A.Training Sub-Annex'!P271</f>
        <v>0.5</v>
      </c>
      <c r="P13" s="3560" t="str">
        <f>'9-A.Training Sub-Annex'!Q271</f>
        <v>ToT at maulana Azad medical college, Delhi/ identified regional training centers.</v>
      </c>
      <c r="Q13" s="66"/>
      <c r="R13" s="66"/>
    </row>
    <row r="14" spans="1:18">
      <c r="A14" s="1022">
        <f>'11.IEC-BCC Annex'!A7</f>
        <v>11</v>
      </c>
      <c r="B14" s="1022"/>
      <c r="C14" s="1022" t="str">
        <f>'11.IEC-BCC Annex'!C7</f>
        <v>IEC/BCC</v>
      </c>
      <c r="D14" s="334"/>
      <c r="E14" s="334"/>
      <c r="F14" s="334"/>
      <c r="G14" s="334"/>
      <c r="H14" s="240"/>
      <c r="I14" s="334"/>
      <c r="J14" s="240"/>
      <c r="K14" s="1022"/>
      <c r="L14" s="1022"/>
      <c r="M14" s="240"/>
      <c r="N14" s="1012"/>
      <c r="O14" s="1012">
        <f>O15+O16</f>
        <v>10</v>
      </c>
      <c r="P14" s="1109"/>
      <c r="Q14" s="1166"/>
      <c r="R14" s="1012">
        <f>R15+R16</f>
        <v>0</v>
      </c>
    </row>
    <row r="15" spans="1:18" ht="45">
      <c r="A15" s="4242" t="str">
        <f>'11.IEC-BCC Annex'!A40</f>
        <v>11.4.9</v>
      </c>
      <c r="B15" s="970">
        <f>'11-A. IEC Sub-Annex'!C98</f>
        <v>0</v>
      </c>
      <c r="C15" s="970" t="str">
        <f>'11-A. IEC Sub-Annex'!D98</f>
        <v>IEC activities</v>
      </c>
      <c r="D15" s="970" t="str">
        <f>'11-A. IEC Sub-Annex'!E98</f>
        <v>NCD</v>
      </c>
      <c r="E15" s="970" t="str">
        <f>'11-A. IEC Sub-Annex'!F98</f>
        <v>NPPCD</v>
      </c>
      <c r="F15" s="970">
        <f>'11-A. IEC Sub-Annex'!G98</f>
        <v>0</v>
      </c>
      <c r="G15" s="970">
        <f>'11-A. IEC Sub-Annex'!H98</f>
        <v>0</v>
      </c>
      <c r="H15" s="970">
        <f>'11-A. IEC Sub-Annex'!I98</f>
        <v>0</v>
      </c>
      <c r="I15" s="970">
        <f>'11-A. IEC Sub-Annex'!J98</f>
        <v>0</v>
      </c>
      <c r="J15" s="970">
        <f>'11-A. IEC Sub-Annex'!K98</f>
        <v>0</v>
      </c>
      <c r="K15" s="970" t="str">
        <f>'11-A. IEC Sub-Annex'!L98</f>
        <v>No. of district</v>
      </c>
      <c r="L15" s="970">
        <f>'11-A. IEC Sub-Annex'!M98</f>
        <v>76923.076923076922</v>
      </c>
      <c r="M15" s="970">
        <f>'11-A. IEC Sub-Annex'!N98</f>
        <v>0.76923076923076927</v>
      </c>
      <c r="N15" s="970">
        <f>'11-A. IEC Sub-Annex'!O98</f>
        <v>13</v>
      </c>
      <c r="O15" s="970">
        <f>'11-A. IEC Sub-Annex'!P98</f>
        <v>10</v>
      </c>
      <c r="P15" s="3560" t="str">
        <f>'11-A. IEC Sub-Annex'!Q98</f>
        <v>To celebreate Ear care Day and  awareness generation at State and district level. Rs. 10000 per district+ rest for state etc.</v>
      </c>
      <c r="Q15" s="66"/>
      <c r="R15" s="66"/>
    </row>
    <row r="16" spans="1:18">
      <c r="A16" s="4243"/>
      <c r="B16" s="970">
        <f>'11-A. IEC Sub-Annex'!C99</f>
        <v>0</v>
      </c>
      <c r="C16" s="970" t="str">
        <f>'11-A. IEC Sub-Annex'!D99</f>
        <v>Any Other</v>
      </c>
      <c r="D16" s="970" t="str">
        <f>'11-A. IEC Sub-Annex'!E99</f>
        <v>NCD</v>
      </c>
      <c r="E16" s="970" t="str">
        <f>'11-A. IEC Sub-Annex'!F99</f>
        <v>NPPCD</v>
      </c>
      <c r="F16" s="970">
        <f>'11-A. IEC Sub-Annex'!G99</f>
        <v>0</v>
      </c>
      <c r="G16" s="970">
        <f>'11-A. IEC Sub-Annex'!H99</f>
        <v>0</v>
      </c>
      <c r="H16" s="970">
        <f>'11-A. IEC Sub-Annex'!I99</f>
        <v>0</v>
      </c>
      <c r="I16" s="970">
        <f>'11-A. IEC Sub-Annex'!J99</f>
        <v>0</v>
      </c>
      <c r="J16" s="970">
        <f>'11-A. IEC Sub-Annex'!K99</f>
        <v>0</v>
      </c>
      <c r="K16" s="970">
        <f>'11-A. IEC Sub-Annex'!L99</f>
        <v>0</v>
      </c>
      <c r="L16" s="970">
        <f>'11-A. IEC Sub-Annex'!M99</f>
        <v>0</v>
      </c>
      <c r="M16" s="970">
        <f>'11-A. IEC Sub-Annex'!N99</f>
        <v>0</v>
      </c>
      <c r="N16" s="970">
        <f>'11-A. IEC Sub-Annex'!O99</f>
        <v>0</v>
      </c>
      <c r="O16" s="970">
        <f>'11-A. IEC Sub-Annex'!P99</f>
        <v>0</v>
      </c>
      <c r="P16" s="3560">
        <f>'11-A. IEC Sub-Annex'!Q99</f>
        <v>0</v>
      </c>
      <c r="Q16" s="66"/>
      <c r="R16" s="66"/>
    </row>
    <row r="17" spans="1:18">
      <c r="A17" s="1058">
        <f>'12.Printing Annex'!A7</f>
        <v>12</v>
      </c>
      <c r="B17" s="939"/>
      <c r="C17" s="1058" t="str">
        <f>'12.Printing Annex'!C7</f>
        <v>Printing</v>
      </c>
      <c r="D17" s="890"/>
      <c r="E17" s="890"/>
      <c r="F17" s="937"/>
      <c r="G17" s="937"/>
      <c r="H17" s="938"/>
      <c r="I17" s="937"/>
      <c r="J17" s="938"/>
      <c r="K17" s="939"/>
      <c r="L17" s="939"/>
      <c r="M17" s="938"/>
      <c r="N17" s="999"/>
      <c r="O17" s="999">
        <f>O18</f>
        <v>0</v>
      </c>
      <c r="P17" s="1262"/>
      <c r="Q17" s="1005"/>
      <c r="R17" s="999">
        <f>R18</f>
        <v>0</v>
      </c>
    </row>
    <row r="18" spans="1:18">
      <c r="A18" s="970" t="str">
        <f>'12.Printing Annex'!A41</f>
        <v>12.4.8</v>
      </c>
      <c r="B18" s="970">
        <f>'12-A. Print Sub-Annex'!C105</f>
        <v>0</v>
      </c>
      <c r="C18" s="970" t="str">
        <f>'12-A. Print Sub-Annex'!D105</f>
        <v>Printing activities under NPPCD</v>
      </c>
      <c r="D18" s="970" t="str">
        <f>'12-A. Print Sub-Annex'!E105</f>
        <v>NCD</v>
      </c>
      <c r="E18" s="970" t="str">
        <f>'12-A. Print Sub-Annex'!F105</f>
        <v>NPPCD</v>
      </c>
      <c r="F18" s="970">
        <f>'12-A. Print Sub-Annex'!G105</f>
        <v>0</v>
      </c>
      <c r="G18" s="970">
        <f>'12-A. Print Sub-Annex'!H105</f>
        <v>0</v>
      </c>
      <c r="H18" s="970">
        <f>'12-A. Print Sub-Annex'!I105</f>
        <v>0</v>
      </c>
      <c r="I18" s="970">
        <f>'12-A. Print Sub-Annex'!J105</f>
        <v>0</v>
      </c>
      <c r="J18" s="970">
        <f>'12-A. Print Sub-Annex'!K105</f>
        <v>0</v>
      </c>
      <c r="K18" s="970">
        <f>'12-A. Print Sub-Annex'!L105</f>
        <v>0</v>
      </c>
      <c r="L18" s="970">
        <f>'12-A. Print Sub-Annex'!M105</f>
        <v>0</v>
      </c>
      <c r="M18" s="970">
        <f>'12-A. Print Sub-Annex'!N105</f>
        <v>0</v>
      </c>
      <c r="N18" s="970">
        <f>'12-A. Print Sub-Annex'!O105</f>
        <v>0</v>
      </c>
      <c r="O18" s="970">
        <f>'12-A. Print Sub-Annex'!P105</f>
        <v>0</v>
      </c>
      <c r="P18" s="3560">
        <f>'12-A. Print Sub-Annex'!Q105</f>
        <v>0</v>
      </c>
      <c r="Q18" s="66"/>
      <c r="R18" s="66"/>
    </row>
    <row r="19" spans="1:18">
      <c r="A19" s="970"/>
      <c r="B19" s="970"/>
      <c r="C19" s="78"/>
      <c r="D19" s="990"/>
      <c r="E19" s="990"/>
      <c r="F19" s="989"/>
      <c r="G19" s="989"/>
      <c r="H19" s="945"/>
      <c r="I19" s="989"/>
      <c r="J19" s="945"/>
      <c r="K19" s="970"/>
      <c r="L19" s="970"/>
      <c r="M19" s="945"/>
      <c r="N19" s="630"/>
      <c r="O19" s="630"/>
      <c r="P19" s="442"/>
      <c r="Q19" s="66"/>
      <c r="R19" s="66"/>
    </row>
    <row r="20" spans="1:18">
      <c r="A20" s="1022">
        <f>'15.PPP Annex'!A7</f>
        <v>15</v>
      </c>
      <c r="B20" s="1022"/>
      <c r="C20" s="1022" t="str">
        <f>'15.PPP Annex'!C7</f>
        <v>PPP</v>
      </c>
      <c r="D20" s="334"/>
      <c r="E20" s="334"/>
      <c r="F20" s="334"/>
      <c r="G20" s="334"/>
      <c r="H20" s="240"/>
      <c r="I20" s="334"/>
      <c r="J20" s="240"/>
      <c r="K20" s="1022"/>
      <c r="L20" s="1022"/>
      <c r="M20" s="240"/>
      <c r="N20" s="1012"/>
      <c r="O20" s="1012">
        <f>O21</f>
        <v>0</v>
      </c>
      <c r="P20" s="1109"/>
      <c r="Q20" s="1166"/>
      <c r="R20" s="1012">
        <f>R21</f>
        <v>0</v>
      </c>
    </row>
    <row r="21" spans="1:18">
      <c r="A21" s="970" t="str">
        <f>'15.PPP Annex'!A35</f>
        <v>15.4.1</v>
      </c>
      <c r="B21" s="970" t="str">
        <f>'15.PPP Annex'!B35</f>
        <v>15.2.1/ B.25.1.2</v>
      </c>
      <c r="C21" s="970" t="str">
        <f>'15.PPP Annex'!C35</f>
        <v>Public Private Partnership under NPPCD</v>
      </c>
      <c r="D21" s="970" t="str">
        <f>'15.PPP Annex'!D35</f>
        <v>NCD</v>
      </c>
      <c r="E21" s="970" t="str">
        <f>'15.PPP Annex'!E35</f>
        <v>NPPCD</v>
      </c>
      <c r="F21" s="970">
        <f>'15.PPP Annex'!F35</f>
        <v>0</v>
      </c>
      <c r="G21" s="970">
        <f>'15.PPP Annex'!G35</f>
        <v>0</v>
      </c>
      <c r="H21" s="970">
        <f>'15.PPP Annex'!H35</f>
        <v>0</v>
      </c>
      <c r="I21" s="970">
        <f>'15.PPP Annex'!I35</f>
        <v>0</v>
      </c>
      <c r="J21" s="970">
        <f>'15.PPP Annex'!J35</f>
        <v>0</v>
      </c>
      <c r="K21" s="970">
        <f>'15.PPP Annex'!K35</f>
        <v>0</v>
      </c>
      <c r="L21" s="970">
        <f>'15.PPP Annex'!L35</f>
        <v>0</v>
      </c>
      <c r="M21" s="970">
        <f>'15.PPP Annex'!M35</f>
        <v>0</v>
      </c>
      <c r="N21" s="970">
        <f>'15.PPP Annex'!N35</f>
        <v>0</v>
      </c>
      <c r="O21" s="970">
        <f>'15.PPP Annex'!O35</f>
        <v>0</v>
      </c>
      <c r="P21" s="3560">
        <f>'15.PPP Annex'!P35</f>
        <v>0</v>
      </c>
      <c r="Q21" s="66"/>
      <c r="R21" s="1251"/>
    </row>
  </sheetData>
  <sheetProtection formatCells="0" formatColumns="0" formatRows="0" autoFilter="0"/>
  <autoFilter ref="A5:M21"/>
  <mergeCells count="11">
    <mergeCell ref="A15:A16"/>
    <mergeCell ref="A7:A8"/>
    <mergeCell ref="Q4:R4"/>
    <mergeCell ref="E4:E5"/>
    <mergeCell ref="A1:C1"/>
    <mergeCell ref="A4:A5"/>
    <mergeCell ref="B4:B5"/>
    <mergeCell ref="C4:C5"/>
    <mergeCell ref="D4:D5"/>
    <mergeCell ref="F4:J4"/>
    <mergeCell ref="K4:P4"/>
  </mergeCell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30">
    <tabColor theme="7" tint="0.79998168889431442"/>
  </sheetPr>
  <dimension ref="A1:R22"/>
  <sheetViews>
    <sheetView zoomScale="55" zoomScaleNormal="55" workbookViewId="0">
      <pane xSplit="3" ySplit="5" topLeftCell="F15"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9.140625" defaultRowHeight="15"/>
  <cols>
    <col min="1" max="1" width="10.85546875" style="453" bestFit="1" customWidth="1"/>
    <col min="2" max="2" width="16.85546875" style="453" customWidth="1"/>
    <col min="3" max="3" width="43.140625" style="453" customWidth="1"/>
    <col min="4" max="4" width="4.5703125" style="407" bestFit="1" customWidth="1"/>
    <col min="5" max="5" width="15.140625" style="407" customWidth="1"/>
    <col min="6" max="6" width="22.140625" style="407" customWidth="1"/>
    <col min="7" max="7" width="17.28515625" style="407" bestFit="1" customWidth="1"/>
    <col min="8" max="8" width="18.28515625" style="479" bestFit="1" customWidth="1"/>
    <col min="9" max="9" width="9.140625" style="407" customWidth="1"/>
    <col min="10" max="10" width="12.140625" style="479" customWidth="1"/>
    <col min="11" max="11" width="12.85546875" style="407" customWidth="1"/>
    <col min="12" max="12" width="13.140625" style="407" customWidth="1"/>
    <col min="13" max="13" width="13.85546875" style="479" customWidth="1"/>
    <col min="14" max="14" width="9.140625" style="407"/>
    <col min="15" max="15" width="16.140625" style="479" customWidth="1"/>
    <col min="16" max="16" width="38.7109375" style="453" customWidth="1"/>
    <col min="17" max="17" width="31.5703125" style="453" customWidth="1"/>
    <col min="18" max="18" width="29" style="479" bestFit="1" customWidth="1"/>
    <col min="19" max="16384" width="9.140625" style="398"/>
  </cols>
  <sheetData>
    <row r="1" spans="1:18" ht="14.45" customHeight="1">
      <c r="A1" s="4650" t="s">
        <v>2132</v>
      </c>
      <c r="B1" s="4650"/>
      <c r="C1" s="4650"/>
      <c r="D1" s="618"/>
      <c r="E1" s="463"/>
      <c r="F1" s="74" t="s">
        <v>3958</v>
      </c>
      <c r="G1" s="596"/>
      <c r="H1" s="596"/>
      <c r="I1" s="596"/>
      <c r="J1" s="599"/>
      <c r="K1" s="596"/>
      <c r="L1" s="596"/>
      <c r="M1" s="599"/>
      <c r="N1" s="1150"/>
    </row>
    <row r="2" spans="1:18">
      <c r="A2" s="868" t="str">
        <f>HYPERLINK("#Index!F3", "Index Pg")</f>
        <v>Index Pg</v>
      </c>
      <c r="B2" s="873"/>
      <c r="C2" s="403" t="str">
        <f>HYPERLINK("#'Budget Summary I'!A1:AL1", "Budget Summary I")</f>
        <v>Budget Summary I</v>
      </c>
      <c r="D2" s="1153"/>
      <c r="E2" s="1144" t="s">
        <v>4599</v>
      </c>
      <c r="F2" s="135">
        <f>M14+M11+M6+M19</f>
        <v>0</v>
      </c>
      <c r="G2" s="596"/>
      <c r="H2" s="596"/>
      <c r="I2" s="596"/>
      <c r="J2" s="599"/>
      <c r="K2" s="600"/>
      <c r="L2" s="600"/>
      <c r="M2" s="599"/>
      <c r="N2" s="1150"/>
    </row>
    <row r="3" spans="1:18" s="1169" customFormat="1">
      <c r="A3" s="872"/>
      <c r="B3" s="873"/>
      <c r="C3" s="924" t="str">
        <f>HYPERLINK("#'Budget Summary II'!A3:B5", "Budget Summary II")</f>
        <v>Budget Summary II</v>
      </c>
      <c r="D3" s="1167"/>
      <c r="E3" s="1149" t="s">
        <v>4600</v>
      </c>
      <c r="F3" s="335">
        <f>J14+J11+J6+J19</f>
        <v>0</v>
      </c>
      <c r="G3" s="596"/>
      <c r="H3" s="596"/>
      <c r="I3" s="596"/>
      <c r="J3" s="599"/>
      <c r="K3" s="600"/>
      <c r="L3" s="600"/>
      <c r="M3" s="599"/>
      <c r="N3" s="1150"/>
      <c r="O3" s="1152"/>
      <c r="P3" s="1168"/>
      <c r="Q3" s="1168"/>
      <c r="R3" s="1152"/>
    </row>
    <row r="4" spans="1:18" s="407"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407" customFormat="1"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1022">
        <f>'1.SD Facility Based Annex'!A7</f>
        <v>1</v>
      </c>
      <c r="B6" s="1022"/>
      <c r="C6" s="1022" t="str">
        <f>'1.SD Facility Based Annex'!C7</f>
        <v>Service Delivery - Facility Based</v>
      </c>
      <c r="D6" s="1022"/>
      <c r="E6" s="1022"/>
      <c r="F6" s="334"/>
      <c r="G6" s="334"/>
      <c r="H6" s="334"/>
      <c r="I6" s="334"/>
      <c r="J6" s="334"/>
      <c r="K6" s="334"/>
      <c r="L6" s="334"/>
      <c r="M6" s="240"/>
      <c r="N6" s="334"/>
      <c r="O6" s="240">
        <f>SUM(O7:O10)</f>
        <v>60.5</v>
      </c>
      <c r="P6" s="1022"/>
      <c r="Q6" s="1022"/>
      <c r="R6" s="240">
        <f>SUM(R7:R10)</f>
        <v>0</v>
      </c>
    </row>
    <row r="7" spans="1:18" ht="45">
      <c r="A7" s="78" t="str">
        <f>'1.SD Facility Based Annex'!A43</f>
        <v>1.1.6.3</v>
      </c>
      <c r="B7" s="78" t="str">
        <f>'1.SD Facility Based Annex'!B43</f>
        <v>B.29.1.6</v>
      </c>
      <c r="C7" s="78" t="str">
        <f>'1.SD Facility Based Annex'!C43</f>
        <v>Recurring Grant-in-aid (For newly selected district): Medical Management including Treatment, surgery and rehab</v>
      </c>
      <c r="D7" s="78" t="str">
        <f>'1.SD Facility Based Annex'!D43</f>
        <v>NCD</v>
      </c>
      <c r="E7" s="78" t="str">
        <f>'1.SD Facility Based Annex'!E43</f>
        <v>NPPCF</v>
      </c>
      <c r="F7" s="990">
        <f>'1.SD Facility Based Annex'!F43</f>
        <v>0</v>
      </c>
      <c r="G7" s="990">
        <f>'1.SD Facility Based Annex'!G43</f>
        <v>0</v>
      </c>
      <c r="H7" s="990">
        <f>'1.SD Facility Based Annex'!H43</f>
        <v>0</v>
      </c>
      <c r="I7" s="990">
        <f>'1.SD Facility Based Annex'!I43</f>
        <v>0</v>
      </c>
      <c r="J7" s="990">
        <f>'1.SD Facility Based Annex'!J43</f>
        <v>0</v>
      </c>
      <c r="K7" s="990">
        <f>'1.SD Facility Based Annex'!K43</f>
        <v>0</v>
      </c>
      <c r="L7" s="990">
        <f>'1.SD Facility Based Annex'!L43</f>
        <v>0</v>
      </c>
      <c r="M7" s="136">
        <f>'1.SD Facility Based Annex'!M43</f>
        <v>0</v>
      </c>
      <c r="N7" s="990">
        <f>'1.SD Facility Based Annex'!N43</f>
        <v>0</v>
      </c>
      <c r="O7" s="136">
        <f>'1.SD Facility Based Annex'!O43</f>
        <v>0</v>
      </c>
      <c r="P7" s="78">
        <f>'1.SD Facility Based Annex'!P43</f>
        <v>0</v>
      </c>
      <c r="Q7" s="62"/>
      <c r="R7" s="124"/>
    </row>
    <row r="8" spans="1:18" ht="105">
      <c r="A8" s="78" t="str">
        <f>'1.SD Facility Based Annex'!A44</f>
        <v>1.1.6.4</v>
      </c>
      <c r="B8" s="78" t="str">
        <f>'1.SD Facility Based Annex'!B44</f>
        <v>B.29.2.3</v>
      </c>
      <c r="C8" s="78" t="str">
        <f>'1.SD Facility Based Annex'!C44</f>
        <v>Recurring Grant-in-aid (For ongoing selected district): Medical Management including Treatment, surgery and rehab</v>
      </c>
      <c r="D8" s="78" t="str">
        <f>'1.SD Facility Based Annex'!D44</f>
        <v>NCD</v>
      </c>
      <c r="E8" s="78" t="str">
        <f>'1.SD Facility Based Annex'!E44</f>
        <v>NPPCF</v>
      </c>
      <c r="F8" s="990">
        <f>'1.SD Facility Based Annex'!F44</f>
        <v>0</v>
      </c>
      <c r="G8" s="990">
        <f>'1.SD Facility Based Annex'!G44</f>
        <v>0</v>
      </c>
      <c r="H8" s="990">
        <f>'1.SD Facility Based Annex'!H44</f>
        <v>0</v>
      </c>
      <c r="I8" s="990">
        <f>'1.SD Facility Based Annex'!I44</f>
        <v>0</v>
      </c>
      <c r="J8" s="990">
        <f>'1.SD Facility Based Annex'!J44</f>
        <v>0</v>
      </c>
      <c r="K8" s="990" t="str">
        <f>'1.SD Facility Based Annex'!K44</f>
        <v>No. of District</v>
      </c>
      <c r="L8" s="990">
        <f>'1.SD Facility Based Annex'!L44</f>
        <v>250000</v>
      </c>
      <c r="M8" s="136">
        <f>'1.SD Facility Based Annex'!M44</f>
        <v>2.5</v>
      </c>
      <c r="N8" s="990">
        <f>'1.SD Facility Based Annex'!N44</f>
        <v>11</v>
      </c>
      <c r="O8" s="136">
        <f>'1.SD Facility Based Annex'!O44</f>
        <v>27.5</v>
      </c>
      <c r="P8" s="78" t="str">
        <f>'1.SD Facility Based Annex'!P44</f>
        <v xml:space="preserve">continued activity.Rs2.5 Lakhs are required for 11 identified, districts of Bihar to provide medical/Surgical treatment to the patient suffering from Fluorosis cases (Dntal/skeletal etc) as well as to provode equipments  for their rehabilitation.Creaches,Try cycles etc  </v>
      </c>
      <c r="Q8" s="62"/>
      <c r="R8" s="124"/>
    </row>
    <row r="9" spans="1:18" ht="30">
      <c r="A9" s="78" t="str">
        <f>'1.SD Facility Based Annex'!A110</f>
        <v>1.3.2.2</v>
      </c>
      <c r="B9" s="78" t="str">
        <f>'1.SD Facility Based Annex'!B110</f>
        <v>B.29.1.3</v>
      </c>
      <c r="C9" s="78" t="str">
        <f>'1.SD Facility Based Annex'!C110</f>
        <v>Grant-in-aid (For newly selected districts under NPPCF):  Laboratory Diagnostic facilities</v>
      </c>
      <c r="D9" s="78" t="str">
        <f>'1.SD Facility Based Annex'!D110</f>
        <v>NCD</v>
      </c>
      <c r="E9" s="78" t="str">
        <f>'1.SD Facility Based Annex'!E110</f>
        <v>NPPCF</v>
      </c>
      <c r="F9" s="990">
        <f>'1.SD Facility Based Annex'!F110</f>
        <v>0</v>
      </c>
      <c r="G9" s="990">
        <f>'1.SD Facility Based Annex'!G110</f>
        <v>0</v>
      </c>
      <c r="H9" s="990">
        <f>'1.SD Facility Based Annex'!H110</f>
        <v>0</v>
      </c>
      <c r="I9" s="990">
        <f>'1.SD Facility Based Annex'!I110</f>
        <v>0</v>
      </c>
      <c r="J9" s="990">
        <f>'1.SD Facility Based Annex'!J110</f>
        <v>0</v>
      </c>
      <c r="K9" s="990">
        <f>'1.SD Facility Based Annex'!K110</f>
        <v>0</v>
      </c>
      <c r="L9" s="990">
        <f>'1.SD Facility Based Annex'!L110</f>
        <v>0</v>
      </c>
      <c r="M9" s="136">
        <f>'1.SD Facility Based Annex'!M110</f>
        <v>0</v>
      </c>
      <c r="N9" s="990">
        <f>'1.SD Facility Based Annex'!N110</f>
        <v>0</v>
      </c>
      <c r="O9" s="136">
        <f>'1.SD Facility Based Annex'!O110</f>
        <v>0</v>
      </c>
      <c r="P9" s="78">
        <f>'1.SD Facility Based Annex'!P110</f>
        <v>0</v>
      </c>
      <c r="Q9" s="62"/>
      <c r="R9" s="124"/>
    </row>
    <row r="10" spans="1:18" ht="45">
      <c r="A10" s="78" t="str">
        <f>'1.SD Facility Based Annex'!A111</f>
        <v>1.3.2.3</v>
      </c>
      <c r="B10" s="78" t="str">
        <f>'1.SD Facility Based Annex'!B111</f>
        <v>B.29.2.2</v>
      </c>
      <c r="C10" s="78" t="str">
        <f>'1.SD Facility Based Annex'!C111</f>
        <v>Recurring Grant-in-aid (For ongoing selected districts under NPPCF):  Laboratory Diagnostic facilities</v>
      </c>
      <c r="D10" s="78" t="str">
        <f>'1.SD Facility Based Annex'!D111</f>
        <v>NCD</v>
      </c>
      <c r="E10" s="78" t="str">
        <f>'1.SD Facility Based Annex'!E111</f>
        <v>NPPCF</v>
      </c>
      <c r="F10" s="990">
        <f>'1.SD Facility Based Annex'!F111</f>
        <v>0</v>
      </c>
      <c r="G10" s="990">
        <f>'1.SD Facility Based Annex'!G111</f>
        <v>0</v>
      </c>
      <c r="H10" s="990">
        <f>'1.SD Facility Based Annex'!H111</f>
        <v>0</v>
      </c>
      <c r="I10" s="990">
        <f>'1.SD Facility Based Annex'!I111</f>
        <v>0</v>
      </c>
      <c r="J10" s="990">
        <f>'1.SD Facility Based Annex'!J111</f>
        <v>0</v>
      </c>
      <c r="K10" s="990" t="str">
        <f>'1.SD Facility Based Annex'!K111</f>
        <v>No. of DH</v>
      </c>
      <c r="L10" s="990">
        <f>'1.SD Facility Based Annex'!L111</f>
        <v>300000</v>
      </c>
      <c r="M10" s="136">
        <f>'1.SD Facility Based Annex'!M111</f>
        <v>3</v>
      </c>
      <c r="N10" s="990">
        <f>'1.SD Facility Based Annex'!N111</f>
        <v>11</v>
      </c>
      <c r="O10" s="136">
        <f>'1.SD Facility Based Annex'!O111</f>
        <v>33</v>
      </c>
      <c r="P10" s="78" t="str">
        <f>'1.SD Facility Based Annex'!P111</f>
        <v xml:space="preserve">To Test the level of Fluoride in the water of affected area, Ionmeter in 11 identified Districts of State is required. </v>
      </c>
      <c r="Q10" s="62"/>
      <c r="R10" s="124"/>
    </row>
    <row r="11" spans="1:18">
      <c r="A11" s="1022">
        <f>'9.Training Annex'!A7</f>
        <v>9</v>
      </c>
      <c r="B11" s="1022"/>
      <c r="C11" s="1022" t="str">
        <f>'9.Training Annex'!C7</f>
        <v>Training and Capacity Building</v>
      </c>
      <c r="D11" s="334"/>
      <c r="E11" s="334"/>
      <c r="F11" s="334"/>
      <c r="G11" s="334"/>
      <c r="H11" s="240"/>
      <c r="I11" s="334"/>
      <c r="J11" s="240"/>
      <c r="K11" s="334"/>
      <c r="L11" s="334"/>
      <c r="M11" s="240"/>
      <c r="N11" s="417"/>
      <c r="O11" s="240">
        <f>SUM(O12:O13)</f>
        <v>3.3</v>
      </c>
      <c r="P11" s="416"/>
      <c r="Q11" s="329"/>
      <c r="R11" s="129">
        <f>SUM(R12:R13)</f>
        <v>0</v>
      </c>
    </row>
    <row r="12" spans="1:18" ht="75">
      <c r="A12" s="4637" t="str">
        <f>'9.Training Annex'!A62</f>
        <v>9.2.4.8</v>
      </c>
      <c r="B12" s="78" t="str">
        <f>'9-A.Training Sub-Annex'!C276</f>
        <v>B.29.1.4</v>
      </c>
      <c r="C12" s="78" t="str">
        <f>'9-A.Training Sub-Annex'!D276</f>
        <v>Training of medical and paramedical personnel at district level under NPPCF</v>
      </c>
      <c r="D12" s="78" t="str">
        <f>'9-A.Training Sub-Annex'!E276</f>
        <v>NCD</v>
      </c>
      <c r="E12" s="78" t="str">
        <f>'9-A.Training Sub-Annex'!F276</f>
        <v>NPPCF</v>
      </c>
      <c r="F12" s="990">
        <f>'9-A.Training Sub-Annex'!G276</f>
        <v>0</v>
      </c>
      <c r="G12" s="990">
        <f>'9-A.Training Sub-Annex'!H276</f>
        <v>0</v>
      </c>
      <c r="H12" s="990">
        <f>'9-A.Training Sub-Annex'!I276</f>
        <v>0</v>
      </c>
      <c r="I12" s="990">
        <f>'9-A.Training Sub-Annex'!J276</f>
        <v>0</v>
      </c>
      <c r="J12" s="990">
        <f>'9-A.Training Sub-Annex'!K276</f>
        <v>0</v>
      </c>
      <c r="K12" s="990" t="str">
        <f>'9-A.Training Sub-Annex'!L276</f>
        <v>No. of District</v>
      </c>
      <c r="L12" s="990">
        <f>'9-A.Training Sub-Annex'!M276</f>
        <v>30000</v>
      </c>
      <c r="M12" s="136">
        <f>'9-A.Training Sub-Annex'!N276</f>
        <v>0.3</v>
      </c>
      <c r="N12" s="990">
        <f>'9-A.Training Sub-Annex'!O276</f>
        <v>11</v>
      </c>
      <c r="O12" s="136">
        <f>'9-A.Training Sub-Annex'!P276</f>
        <v>3.3</v>
      </c>
      <c r="P12" s="78" t="str">
        <f>'9-A.Training Sub-Annex'!Q276</f>
        <v xml:space="preserve">Continued activity.To conduct training of Medical and Para medical personnels of the District at District level toidentify,treat, Prevention for Fluorosis cases. </v>
      </c>
      <c r="Q12" s="62"/>
      <c r="R12" s="124"/>
    </row>
    <row r="13" spans="1:18" ht="30">
      <c r="A13" s="4637"/>
      <c r="B13" s="78"/>
      <c r="C13" s="78" t="str">
        <f>'9-A.Training Sub-Annex'!D277</f>
        <v>Any other (please specify)</v>
      </c>
      <c r="D13" s="78" t="str">
        <f>'9-A.Training Sub-Annex'!E277</f>
        <v>NCD</v>
      </c>
      <c r="E13" s="78" t="str">
        <f>'9-A.Training Sub-Annex'!F277</f>
        <v>NPPCF</v>
      </c>
      <c r="F13" s="990">
        <f>'9-A.Training Sub-Annex'!G277</f>
        <v>0</v>
      </c>
      <c r="G13" s="990">
        <f>'9-A.Training Sub-Annex'!H277</f>
        <v>0</v>
      </c>
      <c r="H13" s="990">
        <f>'9-A.Training Sub-Annex'!I277</f>
        <v>0</v>
      </c>
      <c r="I13" s="990">
        <f>'9-A.Training Sub-Annex'!J277</f>
        <v>0</v>
      </c>
      <c r="J13" s="990">
        <f>'9-A.Training Sub-Annex'!K277</f>
        <v>0</v>
      </c>
      <c r="K13" s="990">
        <f>'9-A.Training Sub-Annex'!L277</f>
        <v>0</v>
      </c>
      <c r="L13" s="990">
        <f>'9-A.Training Sub-Annex'!M277</f>
        <v>0</v>
      </c>
      <c r="M13" s="136">
        <f>'9-A.Training Sub-Annex'!N277</f>
        <v>0</v>
      </c>
      <c r="N13" s="990">
        <f>'9-A.Training Sub-Annex'!O277</f>
        <v>0</v>
      </c>
      <c r="O13" s="136">
        <f>'9-A.Training Sub-Annex'!P277</f>
        <v>0</v>
      </c>
      <c r="P13" s="78">
        <f>'9-A.Training Sub-Annex'!Q277</f>
        <v>0</v>
      </c>
      <c r="Q13" s="62"/>
      <c r="R13" s="124"/>
    </row>
    <row r="14" spans="1:18">
      <c r="A14" s="1022">
        <f>'11.IEC-BCC Annex'!A7</f>
        <v>11</v>
      </c>
      <c r="B14" s="1022"/>
      <c r="C14" s="1022" t="str">
        <f>'11.IEC-BCC Annex'!C7</f>
        <v>IEC/BCC</v>
      </c>
      <c r="D14" s="334"/>
      <c r="E14" s="334"/>
      <c r="F14" s="334"/>
      <c r="G14" s="334"/>
      <c r="H14" s="240"/>
      <c r="I14" s="334"/>
      <c r="J14" s="240"/>
      <c r="K14" s="334"/>
      <c r="L14" s="334"/>
      <c r="M14" s="240"/>
      <c r="N14" s="417"/>
      <c r="O14" s="240">
        <f>SUM(O15:O16)</f>
        <v>7.5</v>
      </c>
      <c r="P14" s="416"/>
      <c r="Q14" s="329"/>
      <c r="R14" s="129">
        <f>SUM(R15:R16)</f>
        <v>0</v>
      </c>
    </row>
    <row r="15" spans="1:18" ht="45">
      <c r="A15" s="78" t="str">
        <f>'11.IEC-BCC Annex'!A42</f>
        <v>11.4.11</v>
      </c>
      <c r="B15" s="78" t="str">
        <f>'11-A. IEC Sub-Annex'!C105</f>
        <v>B.10.6.6</v>
      </c>
      <c r="C15" s="78" t="str">
        <f>'11-A. IEC Sub-Annex'!D105</f>
        <v>Health Education &amp; Publicity for National Programme for Fluorosis (State and District Level)</v>
      </c>
      <c r="D15" s="78" t="str">
        <f>'11-A. IEC Sub-Annex'!E105</f>
        <v>NCD</v>
      </c>
      <c r="E15" s="78" t="str">
        <f>'11-A. IEC Sub-Annex'!F105</f>
        <v>NPPCF</v>
      </c>
      <c r="F15" s="990">
        <f>'11-A. IEC Sub-Annex'!G105</f>
        <v>0</v>
      </c>
      <c r="G15" s="990">
        <f>'11-A. IEC Sub-Annex'!H105</f>
        <v>0</v>
      </c>
      <c r="H15" s="990">
        <f>'11-A. IEC Sub-Annex'!I105</f>
        <v>0</v>
      </c>
      <c r="I15" s="990">
        <f>'11-A. IEC Sub-Annex'!J105</f>
        <v>0</v>
      </c>
      <c r="J15" s="990">
        <f>'11-A. IEC Sub-Annex'!K105</f>
        <v>0</v>
      </c>
      <c r="K15" s="990" t="str">
        <f>'11-A. IEC Sub-Annex'!L105</f>
        <v>No. of district</v>
      </c>
      <c r="L15" s="990">
        <f>'11-A. IEC Sub-Annex'!M105</f>
        <v>62500</v>
      </c>
      <c r="M15" s="136">
        <f>'11-A. IEC Sub-Annex'!N105</f>
        <v>0.625</v>
      </c>
      <c r="N15" s="990">
        <f>'11-A. IEC Sub-Annex'!O105</f>
        <v>12</v>
      </c>
      <c r="O15" s="136">
        <f>'11-A. IEC Sub-Annex'!P105</f>
        <v>7.5</v>
      </c>
      <c r="P15" s="78" t="str">
        <f>'11-A. IEC Sub-Annex'!Q105</f>
        <v>Rs. 2 lakhs for state and Rs. 0.50 lac for 11 identified districts for IEC/BCC activities/materials etc.</v>
      </c>
      <c r="Q15" s="62"/>
      <c r="R15" s="124"/>
    </row>
    <row r="16" spans="1:18" ht="30">
      <c r="A16" s="78"/>
      <c r="B16" s="78">
        <f>'11-A. IEC Sub-Annex'!C106</f>
        <v>0</v>
      </c>
      <c r="C16" s="78" t="str">
        <f>'11-A. IEC Sub-Annex'!D106</f>
        <v>Any other IEC/BCC activities (please specify)</v>
      </c>
      <c r="D16" s="78" t="str">
        <f>'11-A. IEC Sub-Annex'!E106</f>
        <v>NCD</v>
      </c>
      <c r="E16" s="78" t="str">
        <f>'11-A. IEC Sub-Annex'!F106</f>
        <v>NPPCF</v>
      </c>
      <c r="F16" s="990">
        <f>'11-A. IEC Sub-Annex'!G106</f>
        <v>0</v>
      </c>
      <c r="G16" s="990">
        <f>'11-A. IEC Sub-Annex'!H106</f>
        <v>0</v>
      </c>
      <c r="H16" s="990">
        <f>'11-A. IEC Sub-Annex'!I106</f>
        <v>0</v>
      </c>
      <c r="I16" s="990">
        <f>'11-A. IEC Sub-Annex'!J106</f>
        <v>0</v>
      </c>
      <c r="J16" s="990">
        <f>'11-A. IEC Sub-Annex'!K106</f>
        <v>0</v>
      </c>
      <c r="K16" s="990">
        <f>'11-A. IEC Sub-Annex'!L106</f>
        <v>0</v>
      </c>
      <c r="L16" s="990">
        <f>'11-A. IEC Sub-Annex'!M106</f>
        <v>0</v>
      </c>
      <c r="M16" s="136">
        <f>'11-A. IEC Sub-Annex'!N106</f>
        <v>0</v>
      </c>
      <c r="N16" s="990">
        <f>'11-A. IEC Sub-Annex'!O106</f>
        <v>0</v>
      </c>
      <c r="O16" s="136">
        <f>'11-A. IEC Sub-Annex'!P106</f>
        <v>0</v>
      </c>
      <c r="P16" s="78">
        <f>'11-A. IEC Sub-Annex'!Q106</f>
        <v>0</v>
      </c>
      <c r="Q16" s="62"/>
      <c r="R16" s="124"/>
    </row>
    <row r="17" spans="1:18">
      <c r="A17" s="416">
        <f>'12.Printing Annex'!A7</f>
        <v>12</v>
      </c>
      <c r="B17" s="416"/>
      <c r="C17" s="416" t="str">
        <f>'12.Printing Annex'!C7</f>
        <v>Printing</v>
      </c>
      <c r="D17" s="417"/>
      <c r="E17" s="417"/>
      <c r="F17" s="417"/>
      <c r="G17" s="417"/>
      <c r="H17" s="240"/>
      <c r="I17" s="417"/>
      <c r="J17" s="240"/>
      <c r="K17" s="417"/>
      <c r="L17" s="417"/>
      <c r="M17" s="240"/>
      <c r="N17" s="417"/>
      <c r="O17" s="240">
        <f>O18</f>
        <v>0</v>
      </c>
      <c r="P17" s="416"/>
      <c r="Q17" s="329"/>
      <c r="R17" s="129">
        <f>R18</f>
        <v>0</v>
      </c>
    </row>
    <row r="18" spans="1:18" ht="30">
      <c r="A18" s="78" t="str">
        <f>'12.Printing Annex'!A42</f>
        <v>12.4.9</v>
      </c>
      <c r="B18" s="78">
        <f>'12-A. Print Sub-Annex'!C106</f>
        <v>0</v>
      </c>
      <c r="C18" s="78" t="str">
        <f>'12-A. Print Sub-Annex'!D106</f>
        <v>Printing activities under NPPCF</v>
      </c>
      <c r="D18" s="78" t="str">
        <f>'12-A. Print Sub-Annex'!E106</f>
        <v>NCD</v>
      </c>
      <c r="E18" s="78" t="str">
        <f>'12-A. Print Sub-Annex'!F106</f>
        <v>NPPCF</v>
      </c>
      <c r="F18" s="990">
        <f>'12-A. Print Sub-Annex'!G106</f>
        <v>0</v>
      </c>
      <c r="G18" s="990">
        <f>'12-A. Print Sub-Annex'!H106</f>
        <v>0</v>
      </c>
      <c r="H18" s="990">
        <f>'12-A. Print Sub-Annex'!I106</f>
        <v>0</v>
      </c>
      <c r="I18" s="990">
        <f>'12-A. Print Sub-Annex'!J106</f>
        <v>0</v>
      </c>
      <c r="J18" s="990">
        <f>'12-A. Print Sub-Annex'!K106</f>
        <v>0</v>
      </c>
      <c r="K18" s="990">
        <f>'12-A. Print Sub-Annex'!L106</f>
        <v>0</v>
      </c>
      <c r="L18" s="990">
        <f>'12-A. Print Sub-Annex'!M106</f>
        <v>0</v>
      </c>
      <c r="M18" s="136">
        <f>'12-A. Print Sub-Annex'!N106</f>
        <v>0</v>
      </c>
      <c r="N18" s="990">
        <f>'12-A. Print Sub-Annex'!O106</f>
        <v>0</v>
      </c>
      <c r="O18" s="136">
        <f>'12-A. Print Sub-Annex'!P106</f>
        <v>0</v>
      </c>
      <c r="P18" s="78">
        <f>'12-A. Print Sub-Annex'!Q106</f>
        <v>0</v>
      </c>
      <c r="Q18" s="62"/>
      <c r="R18" s="124"/>
    </row>
    <row r="19" spans="1:18">
      <c r="A19" s="416">
        <f>'16.PM Annex'!A7</f>
        <v>16</v>
      </c>
      <c r="B19" s="416"/>
      <c r="C19" s="416" t="str">
        <f>'16.PM Annex'!C7</f>
        <v>Programme Management</v>
      </c>
      <c r="D19" s="417"/>
      <c r="E19" s="417"/>
      <c r="F19" s="417"/>
      <c r="G19" s="417"/>
      <c r="H19" s="240"/>
      <c r="I19" s="417"/>
      <c r="J19" s="240"/>
      <c r="K19" s="417"/>
      <c r="L19" s="417"/>
      <c r="M19" s="240"/>
      <c r="N19" s="417"/>
      <c r="O19" s="240">
        <f>SUM(O20:O22)</f>
        <v>4.6199999999999992</v>
      </c>
      <c r="P19" s="416"/>
      <c r="Q19" s="329"/>
      <c r="R19" s="129">
        <f>SUM(R20:R22)</f>
        <v>0</v>
      </c>
    </row>
    <row r="20" spans="1:18" ht="60">
      <c r="A20" s="78" t="str">
        <f>'16-A. PM sub Annex'!B32</f>
        <v>16.1.2.1.12</v>
      </c>
      <c r="B20" s="78" t="str">
        <f>'16-A. PM sub Annex'!D32</f>
        <v>B.29.1.7, B.29.2.4</v>
      </c>
      <c r="C20" s="78" t="str">
        <f>'16-A. PM sub Annex'!E32</f>
        <v>NPPCF Coordination Meeting (Newly Selected Districts and On-going Districts)</v>
      </c>
      <c r="D20" s="990" t="str">
        <f>'16-A. PM sub Annex'!F32</f>
        <v>NCD</v>
      </c>
      <c r="E20" s="990" t="str">
        <f>'16-A. PM sub Annex'!G32</f>
        <v>HRH&amp;HPIP/ NPPCF</v>
      </c>
      <c r="F20" s="990">
        <f>'16-A. PM sub Annex'!H32</f>
        <v>0</v>
      </c>
      <c r="G20" s="990">
        <f>'16-A. PM sub Annex'!I32</f>
        <v>0</v>
      </c>
      <c r="H20" s="990">
        <f>'16-A. PM sub Annex'!J32</f>
        <v>0</v>
      </c>
      <c r="I20" s="990">
        <f>'16-A. PM sub Annex'!K32</f>
        <v>0</v>
      </c>
      <c r="J20" s="990">
        <f>'16-A. PM sub Annex'!L32</f>
        <v>0</v>
      </c>
      <c r="K20" s="990" t="str">
        <f>'16-A. PM sub Annex'!M32</f>
        <v>No. o district</v>
      </c>
      <c r="L20" s="990">
        <f>'16-A. PM sub Annex'!N32</f>
        <v>30000</v>
      </c>
      <c r="M20" s="136">
        <f>'16-A. PM sub Annex'!O32</f>
        <v>0.3</v>
      </c>
      <c r="N20" s="990">
        <f>'16-A. PM sub Annex'!P32</f>
        <v>11</v>
      </c>
      <c r="O20" s="136">
        <f>'16-A. PM sub Annex'!Q32</f>
        <v>3.3</v>
      </c>
      <c r="P20" s="78" t="str">
        <f>'16-A. PM sub Annex'!R32</f>
        <v>Continued activity,For the coordination meeting with different Department and other stake holder.Rs1500x2 per identified district per anum</v>
      </c>
      <c r="Q20" s="62"/>
      <c r="R20" s="124"/>
    </row>
    <row r="21" spans="1:18" ht="75">
      <c r="A21" s="78" t="str">
        <f>'16-A. PM sub Annex'!B99</f>
        <v>16.1.3.3.6</v>
      </c>
      <c r="B21" s="78" t="str">
        <f>'16-A. PM sub Annex'!D99</f>
        <v>B.29.1.2</v>
      </c>
      <c r="C21" s="78" t="str">
        <f>'16-A. PM sub Annex'!E99</f>
        <v>Travel costs under NPPCF</v>
      </c>
      <c r="D21" s="990" t="str">
        <f>'16-A. PM sub Annex'!F99</f>
        <v>NCD</v>
      </c>
      <c r="E21" s="990" t="str">
        <f>'16-A. PM sub Annex'!G99</f>
        <v>HRH&amp;HPIP/ NPPCF</v>
      </c>
      <c r="F21" s="990">
        <f>'16-A. PM sub Annex'!H99</f>
        <v>0</v>
      </c>
      <c r="G21" s="990">
        <f>'16-A. PM sub Annex'!I99</f>
        <v>0</v>
      </c>
      <c r="H21" s="990">
        <f>'16-A. PM sub Annex'!J99</f>
        <v>0</v>
      </c>
      <c r="I21" s="990">
        <f>'16-A. PM sub Annex'!K99</f>
        <v>0</v>
      </c>
      <c r="J21" s="990">
        <f>'16-A. PM sub Annex'!L99</f>
        <v>0</v>
      </c>
      <c r="K21" s="990" t="str">
        <f>'16-A. PM sub Annex'!M99</f>
        <v>No. of district</v>
      </c>
      <c r="L21" s="990">
        <f>'16-A. PM sub Annex'!N99</f>
        <v>12000</v>
      </c>
      <c r="M21" s="136">
        <f>'16-A. PM sub Annex'!O99</f>
        <v>0.12</v>
      </c>
      <c r="N21" s="990">
        <f>'16-A. PM sub Annex'!P99</f>
        <v>11</v>
      </c>
      <c r="O21" s="136">
        <f>'16-A. PM sub Annex'!Q99</f>
        <v>1.3199999999999998</v>
      </c>
      <c r="P21" s="78" t="str">
        <f>'16-A. PM sub Annex'!R99</f>
        <v>continued activity,Ffield visit of Fluorosis consultant, lab technician and field worker,-to identify the Fluorosis cases,collect water for lab test and for other related work.</v>
      </c>
      <c r="Q21" s="62"/>
      <c r="R21" s="124"/>
    </row>
    <row r="22" spans="1:18" ht="30">
      <c r="A22" s="78" t="str">
        <f>'16-A. PM sub Annex'!B123</f>
        <v>16.1.4.1.4</v>
      </c>
      <c r="B22" s="78" t="str">
        <f>'16-A. PM sub Annex'!D123</f>
        <v>B.27.2.2</v>
      </c>
      <c r="C22" s="78" t="str">
        <f>'16-A. PM sub Annex'!E123</f>
        <v>Miscellaneous including Travel/POL/Stationary etc.</v>
      </c>
      <c r="D22" s="990" t="str">
        <f>'16-A. PM sub Annex'!F123</f>
        <v>NCD</v>
      </c>
      <c r="E22" s="990" t="str">
        <f>'16-A. PM sub Annex'!G123</f>
        <v>HRH&amp;HPIP/ NPPCF</v>
      </c>
      <c r="F22" s="990">
        <f>'16-A. PM sub Annex'!H123</f>
        <v>0</v>
      </c>
      <c r="G22" s="990">
        <f>'16-A. PM sub Annex'!I123</f>
        <v>0</v>
      </c>
      <c r="H22" s="990">
        <f>'16-A. PM sub Annex'!J123</f>
        <v>0</v>
      </c>
      <c r="I22" s="990">
        <f>'16-A. PM sub Annex'!K123</f>
        <v>0</v>
      </c>
      <c r="J22" s="990">
        <f>'16-A. PM sub Annex'!L123</f>
        <v>0</v>
      </c>
      <c r="K22" s="990">
        <f>'16-A. PM sub Annex'!M123</f>
        <v>0</v>
      </c>
      <c r="L22" s="990">
        <f>'16-A. PM sub Annex'!N123</f>
        <v>0</v>
      </c>
      <c r="M22" s="136">
        <f>'16-A. PM sub Annex'!O123</f>
        <v>0</v>
      </c>
      <c r="N22" s="990">
        <f>'16-A. PM sub Annex'!P123</f>
        <v>0</v>
      </c>
      <c r="O22" s="136">
        <f>'16-A. PM sub Annex'!Q123</f>
        <v>0</v>
      </c>
      <c r="P22" s="78">
        <f>'16-A. PM sub Annex'!R123</f>
        <v>0</v>
      </c>
      <c r="Q22" s="62"/>
      <c r="R22" s="124"/>
    </row>
  </sheetData>
  <sheetProtection sheet="1" formatCells="0" formatColumns="0" formatRows="0" autoFilter="0"/>
  <autoFilter ref="A5:M22"/>
  <mergeCells count="10">
    <mergeCell ref="A12:A13"/>
    <mergeCell ref="Q4:R4"/>
    <mergeCell ref="E4:E5"/>
    <mergeCell ref="A1:C1"/>
    <mergeCell ref="A4:A5"/>
    <mergeCell ref="B4:B5"/>
    <mergeCell ref="C4:C5"/>
    <mergeCell ref="D4:D5"/>
    <mergeCell ref="F4:J4"/>
    <mergeCell ref="K4:P4"/>
  </mergeCell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Sheet27">
    <tabColor theme="7" tint="0.79998168889431442"/>
  </sheetPr>
  <dimension ref="A1:R15"/>
  <sheetViews>
    <sheetView topLeftCell="B1" zoomScale="60" zoomScaleNormal="60" workbookViewId="0">
      <pane ySplit="5" topLeftCell="A6" activePane="bottomLeft" state="frozen"/>
      <selection activeCell="Q172" sqref="A1:BE179"/>
      <selection pane="bottomLeft" activeCell="Q172" sqref="A1:BE179"/>
    </sheetView>
  </sheetViews>
  <sheetFormatPr defaultColWidth="8.7109375" defaultRowHeight="15"/>
  <cols>
    <col min="1" max="1" width="10.5703125" style="617" customWidth="1"/>
    <col min="2" max="2" width="17.85546875" style="617" customWidth="1"/>
    <col min="3" max="3" width="45.140625" style="617" customWidth="1"/>
    <col min="4" max="4" width="6.42578125" style="617" bestFit="1" customWidth="1"/>
    <col min="5" max="5" width="16.28515625" style="617" customWidth="1"/>
    <col min="6" max="6" width="25.140625" style="820" customWidth="1"/>
    <col min="7" max="7" width="20.85546875" style="617" customWidth="1"/>
    <col min="8" max="8" width="9.85546875" style="617" customWidth="1"/>
    <col min="9" max="9" width="17.5703125" style="617" bestFit="1" customWidth="1"/>
    <col min="10" max="10" width="12.140625" style="617" bestFit="1" customWidth="1"/>
    <col min="11" max="11" width="12.5703125" style="820" customWidth="1"/>
    <col min="12" max="12" width="11.85546875" style="1186" customWidth="1"/>
    <col min="13" max="13" width="11.5703125" style="617" customWidth="1"/>
    <col min="14" max="14" width="8.7109375" style="617"/>
    <col min="15" max="15" width="8.7109375" style="1187"/>
    <col min="16" max="16" width="38.85546875" style="617" customWidth="1"/>
    <col min="17" max="17" width="34.42578125" style="617" customWidth="1"/>
    <col min="18" max="18" width="8.7109375" style="1187"/>
    <col min="19" max="16384" width="8.7109375" style="617"/>
  </cols>
  <sheetData>
    <row r="1" spans="1:18" s="1172" customFormat="1">
      <c r="A1" s="4634" t="s">
        <v>2126</v>
      </c>
      <c r="B1" s="4634"/>
      <c r="C1" s="4634"/>
      <c r="D1" s="1170"/>
      <c r="E1" s="463"/>
      <c r="F1" s="74" t="s">
        <v>3958</v>
      </c>
      <c r="G1" s="1171"/>
      <c r="I1" s="1171"/>
      <c r="J1" s="1171"/>
      <c r="K1" s="1171"/>
      <c r="L1" s="1173"/>
      <c r="M1" s="1171"/>
      <c r="O1" s="1174"/>
      <c r="R1" s="1174"/>
    </row>
    <row r="2" spans="1:18" s="1172" customFormat="1">
      <c r="A2" s="868" t="str">
        <f>HYPERLINK("#Index!F3", "Index Pg")</f>
        <v>Index Pg</v>
      </c>
      <c r="B2" s="873"/>
      <c r="C2" s="403" t="str">
        <f>HYPERLINK("#'Budget Summary I'!A1:AL1", "Budget Summary I")</f>
        <v>Budget Summary I</v>
      </c>
      <c r="D2" s="1175"/>
      <c r="E2" s="1144" t="s">
        <v>4599</v>
      </c>
      <c r="F2" s="483">
        <f>R6+R8+R12+R14</f>
        <v>0</v>
      </c>
      <c r="G2" s="1054"/>
      <c r="I2" s="1054"/>
      <c r="J2" s="1054"/>
      <c r="K2" s="1054"/>
      <c r="L2" s="1176"/>
      <c r="M2" s="1177"/>
      <c r="O2" s="1174"/>
      <c r="R2" s="1174"/>
    </row>
    <row r="3" spans="1:18" s="1172" customFormat="1">
      <c r="A3" s="872"/>
      <c r="B3" s="873"/>
      <c r="C3" s="924" t="str">
        <f>HYPERLINK("#'Budget Summary II'!A3:B5", "Budget Summary II")</f>
        <v>Budget Summary II</v>
      </c>
      <c r="D3" s="1178"/>
      <c r="E3" s="1149" t="s">
        <v>4600</v>
      </c>
      <c r="F3" s="1179">
        <f>O6+O8+O12+O14</f>
        <v>333.54599999999999</v>
      </c>
      <c r="G3" s="1054"/>
      <c r="I3" s="1054"/>
      <c r="J3" s="1054"/>
      <c r="K3" s="1054"/>
      <c r="L3" s="1176"/>
      <c r="M3" s="1177"/>
      <c r="O3" s="1174"/>
      <c r="R3" s="1174"/>
    </row>
    <row r="4" spans="1:18" s="621"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621" customFormat="1" ht="60">
      <c r="A5" s="4323"/>
      <c r="B5" s="4323"/>
      <c r="C5" s="4323"/>
      <c r="D5" s="4323"/>
      <c r="E5" s="4323"/>
      <c r="F5" s="464" t="s">
        <v>4621</v>
      </c>
      <c r="G5" s="464" t="s">
        <v>4629</v>
      </c>
      <c r="H5" s="464" t="s">
        <v>4622</v>
      </c>
      <c r="I5" s="464" t="s">
        <v>4630</v>
      </c>
      <c r="J5" s="464" t="s">
        <v>2534</v>
      </c>
      <c r="K5" s="465" t="s">
        <v>58</v>
      </c>
      <c r="L5" s="466" t="s">
        <v>59</v>
      </c>
      <c r="M5" s="466" t="s">
        <v>60</v>
      </c>
      <c r="N5" s="465" t="s">
        <v>61</v>
      </c>
      <c r="O5" s="466" t="s">
        <v>62</v>
      </c>
      <c r="P5" s="465" t="s">
        <v>63</v>
      </c>
      <c r="Q5" s="467" t="s">
        <v>2536</v>
      </c>
      <c r="R5" s="468" t="s">
        <v>4662</v>
      </c>
    </row>
    <row r="6" spans="1:18">
      <c r="A6" s="1022">
        <f>'5.Infrastructure Annex'!A7</f>
        <v>5</v>
      </c>
      <c r="B6" s="1022"/>
      <c r="C6" s="1022" t="str">
        <f>'5.Infrastructure Annex'!C7</f>
        <v>Infrastructure</v>
      </c>
      <c r="D6" s="334"/>
      <c r="E6" s="334"/>
      <c r="F6" s="334"/>
      <c r="G6" s="334"/>
      <c r="H6" s="334"/>
      <c r="I6" s="334"/>
      <c r="J6" s="971"/>
      <c r="K6" s="334"/>
      <c r="L6" s="240"/>
      <c r="M6" s="971"/>
      <c r="N6" s="1180"/>
      <c r="O6" s="1181">
        <f>O7</f>
        <v>55.5</v>
      </c>
      <c r="P6" s="1182"/>
      <c r="Q6" s="1182"/>
      <c r="R6" s="1181">
        <f>R7</f>
        <v>0</v>
      </c>
    </row>
    <row r="7" spans="1:18" ht="330">
      <c r="A7" s="442" t="str">
        <f>'5.Infrastructure Annex'!A23</f>
        <v>5.1.1.2.2</v>
      </c>
      <c r="B7" s="442" t="str">
        <f>'5.Infrastructure Annex'!B23</f>
        <v>B.26.1.1</v>
      </c>
      <c r="C7" s="442" t="str">
        <f>'5.Infrastructure Annex'!C23</f>
        <v xml:space="preserve">Renovation, Dental Chair, Equipment - District Hospitals </v>
      </c>
      <c r="D7" s="990" t="str">
        <f>'5.Infrastructure Annex'!D23</f>
        <v>NCD</v>
      </c>
      <c r="E7" s="990" t="str">
        <f>'5.Infrastructure Annex'!E23</f>
        <v>NOHP</v>
      </c>
      <c r="F7" s="990">
        <f>'5.Infrastructure Annex'!F23</f>
        <v>0</v>
      </c>
      <c r="G7" s="990">
        <f>'5.Infrastructure Annex'!G23</f>
        <v>0</v>
      </c>
      <c r="H7" s="990">
        <f>'5.Infrastructure Annex'!H23</f>
        <v>0</v>
      </c>
      <c r="I7" s="990">
        <f>'5.Infrastructure Annex'!I23</f>
        <v>0</v>
      </c>
      <c r="J7" s="990">
        <f>'5.Infrastructure Annex'!J23</f>
        <v>0</v>
      </c>
      <c r="K7" s="990" t="str">
        <f>'5.Infrastructure Annex'!K23</f>
        <v>One Dental X - Ray unit ( D.C. )</v>
      </c>
      <c r="L7" s="136">
        <f>'5.Infrastructure Annex'!L23</f>
        <v>150000</v>
      </c>
      <c r="M7" s="990">
        <f>'5.Infrastructure Annex'!M23</f>
        <v>1.5</v>
      </c>
      <c r="N7" s="990">
        <f>'5.Infrastructure Annex'!N23</f>
        <v>37</v>
      </c>
      <c r="O7" s="136">
        <f>'5.Infrastructure Annex'!O23</f>
        <v>55.5</v>
      </c>
      <c r="P7" s="78" t="str">
        <f>'5.Infrastructure Annex'!P23</f>
        <v>In Financial Year 2020-2021 budget of rupees one lack per facility have been allocated to District Hospital for procurement of instruments used in Dentistry after doing gap analysis. The procurement work is likely to be completed in December 2020.                                                  In  financial year 2019 -2020  vide SHSB letter no.9081 dated 05/03/2020 work order for procurement and establishment of 37 RVG machine in District hospital was given to BMSICL. A sum of Rupees 2 lack for each district hospital was allocated for the work.  Compliance has not been made due to shortage of funds for  procurement  and establishment of Dental X-Ray machine and RVG machine .    Therefore in the financial year 2021-2022 the state is proposing a sum of rupees 1.5 lack  for each district hospital  for procurement of Dental X- Ray machine ( D.C.).</v>
      </c>
      <c r="Q7" s="1188"/>
      <c r="R7" s="1189"/>
    </row>
    <row r="8" spans="1:18">
      <c r="A8" s="1022">
        <f>'6.Procurement Annex'!A7</f>
        <v>6</v>
      </c>
      <c r="B8" s="1022"/>
      <c r="C8" s="1022" t="str">
        <f>'6.Procurement Annex'!C7</f>
        <v>Procurement</v>
      </c>
      <c r="D8" s="334"/>
      <c r="E8" s="334"/>
      <c r="F8" s="334"/>
      <c r="G8" s="334"/>
      <c r="H8" s="971"/>
      <c r="I8" s="334"/>
      <c r="J8" s="971"/>
      <c r="K8" s="334"/>
      <c r="L8" s="240"/>
      <c r="M8" s="971"/>
      <c r="N8" s="1180"/>
      <c r="O8" s="1181">
        <f>SUM(O9:O11)</f>
        <v>271</v>
      </c>
      <c r="P8" s="1182"/>
      <c r="Q8" s="1190"/>
      <c r="R8" s="1191">
        <f>SUM(R9:R11)</f>
        <v>0</v>
      </c>
    </row>
    <row r="9" spans="1:18" ht="300">
      <c r="A9" s="442" t="str">
        <f>'6.Procurement Annex'!A43</f>
        <v>6.1.5.8</v>
      </c>
      <c r="B9" s="442" t="str">
        <f>'6-A. Proc. Sub-Annex'!C127</f>
        <v>B.26.1.1</v>
      </c>
      <c r="C9" s="442" t="str">
        <f>'6-A. Proc. Sub-Annex'!D127</f>
        <v>Dental Chair, Equipment</v>
      </c>
      <c r="D9" s="990" t="str">
        <f>'6-A. Proc. Sub-Annex'!E127</f>
        <v>NCD</v>
      </c>
      <c r="E9" s="990" t="str">
        <f>'6-A. Proc. Sub-Annex'!F127</f>
        <v>NOHP</v>
      </c>
      <c r="F9" s="990">
        <f>'6-A. Proc. Sub-Annex'!G127</f>
        <v>0</v>
      </c>
      <c r="G9" s="990">
        <f>'6-A. Proc. Sub-Annex'!H127</f>
        <v>0</v>
      </c>
      <c r="H9" s="990">
        <f>'6-A. Proc. Sub-Annex'!I127</f>
        <v>0</v>
      </c>
      <c r="I9" s="990">
        <f>'6-A. Proc. Sub-Annex'!J127</f>
        <v>0</v>
      </c>
      <c r="J9" s="990">
        <f>'6-A. Proc. Sub-Annex'!K127</f>
        <v>0</v>
      </c>
      <c r="K9" s="990" t="str">
        <f>'6-A. Proc. Sub-Annex'!L127</f>
        <v xml:space="preserve"> One Health facility</v>
      </c>
      <c r="L9" s="136">
        <f>'6-A. Proc. Sub-Annex'!M127</f>
        <v>20000</v>
      </c>
      <c r="M9" s="990">
        <f>'6-A. Proc. Sub-Annex'!N127</f>
        <v>0.2</v>
      </c>
      <c r="N9" s="990">
        <f>'6-A. Proc. Sub-Annex'!O127</f>
        <v>542</v>
      </c>
      <c r="O9" s="136">
        <f>'6-A. Proc. Sub-Annex'!P127</f>
        <v>108.4</v>
      </c>
      <c r="P9" s="78" t="str">
        <f>'6-A. Proc. Sub-Annex'!Q127</f>
        <v xml:space="preserve">work order for procurement and establishmentof 363 Dental chair in different Sub- Divisional hospitals and Primary Health Center of the state has been given to BMSICL by SHSB letter no. 3237 dated 05/08/2020 against which a supply order was generated by BMSICL on 02/10/2020 by letter no. 5438.                                                    Till date (14/12/2020) out of 363 Dental Chair 361 Dental Chair has been supplied. Out of 361 supplied Dental Chair 322 chairs have been installed. Installation of all the Dental chair likely to be completed in the  Current Financial year.      
 In the Financial Year 2021-2022 the state is proposing a sum of rupees 20000/- each for 542 Health Facilities for procurement of additional Dental instruments which were left out in in FY 2020-2021 after doing gap analysis.                                                                       </v>
      </c>
      <c r="Q9" s="1188"/>
      <c r="R9" s="1189"/>
    </row>
    <row r="10" spans="1:18">
      <c r="A10" s="442"/>
      <c r="B10" s="442">
        <f>'6-A. Proc. Sub-Annex'!C128</f>
        <v>0</v>
      </c>
      <c r="C10" s="442" t="str">
        <f>'6-A. Proc. Sub-Annex'!D128</f>
        <v>Any other equipment (please specify)</v>
      </c>
      <c r="D10" s="990" t="str">
        <f>'6-A. Proc. Sub-Annex'!E128</f>
        <v>NCD</v>
      </c>
      <c r="E10" s="990" t="str">
        <f>'6-A. Proc. Sub-Annex'!F128</f>
        <v>NOHP</v>
      </c>
      <c r="F10" s="990">
        <f>'6-A. Proc. Sub-Annex'!G128</f>
        <v>0</v>
      </c>
      <c r="G10" s="990">
        <f>'6-A. Proc. Sub-Annex'!H128</f>
        <v>0</v>
      </c>
      <c r="H10" s="990">
        <f>'6-A. Proc. Sub-Annex'!I128</f>
        <v>0</v>
      </c>
      <c r="I10" s="990">
        <f>'6-A. Proc. Sub-Annex'!J128</f>
        <v>0</v>
      </c>
      <c r="J10" s="990">
        <f>'6-A. Proc. Sub-Annex'!K128</f>
        <v>0</v>
      </c>
      <c r="K10" s="990">
        <f>'6-A. Proc. Sub-Annex'!L128</f>
        <v>0</v>
      </c>
      <c r="L10" s="136">
        <f>'6-A. Proc. Sub-Annex'!M128</f>
        <v>0</v>
      </c>
      <c r="M10" s="990">
        <f>'6-A. Proc. Sub-Annex'!N128</f>
        <v>0</v>
      </c>
      <c r="N10" s="990">
        <f>'6-A. Proc. Sub-Annex'!O128</f>
        <v>0</v>
      </c>
      <c r="O10" s="136">
        <f>'6-A. Proc. Sub-Annex'!P128</f>
        <v>0</v>
      </c>
      <c r="P10" s="78">
        <f>'6-A. Proc. Sub-Annex'!Q128</f>
        <v>0</v>
      </c>
      <c r="Q10" s="1188"/>
      <c r="R10" s="1189"/>
    </row>
    <row r="11" spans="1:18" ht="150">
      <c r="A11" s="442" t="str">
        <f>'6.Procurement Annex'!A85</f>
        <v>6.2.4.7</v>
      </c>
      <c r="B11" s="442" t="str">
        <f>'6-A. Proc. Sub-Annex'!C275</f>
        <v>B.16.2.11.2</v>
      </c>
      <c r="C11" s="442" t="str">
        <f>'6-A. Proc. Sub-Annex'!D275</f>
        <v>Consumables for NOHP</v>
      </c>
      <c r="D11" s="990" t="str">
        <f>'6-A. Proc. Sub-Annex'!E275</f>
        <v>NCD</v>
      </c>
      <c r="E11" s="990" t="str">
        <f>'6-A. Proc. Sub-Annex'!F275</f>
        <v>NOHP</v>
      </c>
      <c r="F11" s="990">
        <f>'6-A. Proc. Sub-Annex'!G275</f>
        <v>0</v>
      </c>
      <c r="G11" s="990">
        <f>'6-A. Proc. Sub-Annex'!H275</f>
        <v>0</v>
      </c>
      <c r="H11" s="990">
        <f>'6-A. Proc. Sub-Annex'!I275</f>
        <v>0</v>
      </c>
      <c r="I11" s="990">
        <f>'6-A. Proc. Sub-Annex'!J275</f>
        <v>0</v>
      </c>
      <c r="J11" s="990">
        <f>'6-A. Proc. Sub-Annex'!K275</f>
        <v>0</v>
      </c>
      <c r="K11" s="990" t="str">
        <f>'6-A. Proc. Sub-Annex'!L275</f>
        <v>One Health facility</v>
      </c>
      <c r="L11" s="136">
        <f>'6-A. Proc. Sub-Annex'!M275</f>
        <v>30000</v>
      </c>
      <c r="M11" s="990">
        <f>'6-A. Proc. Sub-Annex'!N275</f>
        <v>0.3</v>
      </c>
      <c r="N11" s="990">
        <f>'6-A. Proc. Sub-Annex'!O275</f>
        <v>542</v>
      </c>
      <c r="O11" s="136">
        <f>'6-A. Proc. Sub-Annex'!P275</f>
        <v>162.6</v>
      </c>
      <c r="P11" s="78" t="str">
        <f>'6-A. Proc. Sub-Annex'!Q275</f>
        <v xml:space="preserve">As dental chairs are being installed and instruments being procured , health facility will be delivering Oral care .  With the delivery of oral care in health facility there will be a rise in consumption of consumables.                           In the Financial Year 2021-2022 the state is proposing a sum of Rupees 30000/- each for 542 health Facilities for procurement of consumables. </v>
      </c>
      <c r="Q11" s="1188"/>
      <c r="R11" s="1189"/>
    </row>
    <row r="12" spans="1:18">
      <c r="A12" s="1022">
        <f>'11.IEC-BCC Annex'!A7</f>
        <v>11</v>
      </c>
      <c r="B12" s="1022"/>
      <c r="C12" s="1022" t="str">
        <f>'11.IEC-BCC Annex'!C7</f>
        <v>IEC/BCC</v>
      </c>
      <c r="D12" s="334"/>
      <c r="E12" s="334"/>
      <c r="F12" s="334"/>
      <c r="G12" s="334"/>
      <c r="H12" s="971"/>
      <c r="I12" s="334"/>
      <c r="J12" s="971"/>
      <c r="K12" s="334"/>
      <c r="L12" s="240"/>
      <c r="M12" s="971"/>
      <c r="N12" s="1180"/>
      <c r="O12" s="1181">
        <f>O13</f>
        <v>7.0459999999999994</v>
      </c>
      <c r="P12" s="1182"/>
      <c r="Q12" s="1190"/>
      <c r="R12" s="1191">
        <f>R13</f>
        <v>0</v>
      </c>
    </row>
    <row r="13" spans="1:18" ht="45">
      <c r="A13" s="442" t="str">
        <f>'11.IEC-BCC Annex'!A37</f>
        <v>11.4.6</v>
      </c>
      <c r="B13" s="442">
        <f>'11-A. IEC Sub-Annex'!C94</f>
        <v>0</v>
      </c>
      <c r="C13" s="442" t="str">
        <f>'11-A. IEC Sub-Annex'!D94</f>
        <v>IEC/BCC under NOHP</v>
      </c>
      <c r="D13" s="990" t="str">
        <f>'11-A. IEC Sub-Annex'!E94</f>
        <v>NCD</v>
      </c>
      <c r="E13" s="990" t="str">
        <f>'11-A. IEC Sub-Annex'!F94</f>
        <v>NOHP</v>
      </c>
      <c r="F13" s="990">
        <f>'11-A. IEC Sub-Annex'!G94</f>
        <v>0</v>
      </c>
      <c r="G13" s="990">
        <f>'11-A. IEC Sub-Annex'!H94</f>
        <v>0</v>
      </c>
      <c r="H13" s="990">
        <f>'11-A. IEC Sub-Annex'!I94</f>
        <v>0</v>
      </c>
      <c r="I13" s="990">
        <f>'11-A. IEC Sub-Annex'!J94</f>
        <v>0</v>
      </c>
      <c r="J13" s="990">
        <f>'11-A. IEC Sub-Annex'!K94</f>
        <v>0</v>
      </c>
      <c r="K13" s="990">
        <f>'11-A. IEC Sub-Annex'!L94</f>
        <v>0</v>
      </c>
      <c r="L13" s="136">
        <f>'11-A. IEC Sub-Annex'!M94</f>
        <v>1300</v>
      </c>
      <c r="M13" s="990">
        <f>'11-A. IEC Sub-Annex'!N94</f>
        <v>1.2999999999999999E-2</v>
      </c>
      <c r="N13" s="990">
        <f>'11-A. IEC Sub-Annex'!O94</f>
        <v>542</v>
      </c>
      <c r="O13" s="136">
        <f>'11-A. IEC Sub-Annex'!P94</f>
        <v>7.0459999999999994</v>
      </c>
      <c r="P13" s="78" t="str">
        <f>'11-A. IEC Sub-Annex'!Q94</f>
        <v>IEC/BCC Activities and Printing of Reporting Format, Banner, Guideline Booklet etc.</v>
      </c>
      <c r="Q13" s="1188"/>
      <c r="R13" s="1189"/>
    </row>
    <row r="14" spans="1:18">
      <c r="A14" s="1022">
        <f>'12.Printing Annex'!A7</f>
        <v>12</v>
      </c>
      <c r="B14" s="1022"/>
      <c r="C14" s="1022" t="str">
        <f>'12.Printing Annex'!C7</f>
        <v>Printing</v>
      </c>
      <c r="D14" s="334"/>
      <c r="E14" s="334"/>
      <c r="F14" s="334"/>
      <c r="G14" s="334"/>
      <c r="H14" s="971"/>
      <c r="I14" s="334"/>
      <c r="J14" s="971"/>
      <c r="K14" s="334"/>
      <c r="L14" s="240"/>
      <c r="M14" s="971"/>
      <c r="N14" s="1180"/>
      <c r="O14" s="1181">
        <f>O15</f>
        <v>0</v>
      </c>
      <c r="P14" s="1182"/>
      <c r="Q14" s="1190"/>
      <c r="R14" s="1191">
        <f>R15</f>
        <v>0</v>
      </c>
    </row>
    <row r="15" spans="1:18">
      <c r="A15" s="628" t="str">
        <f>'12.Printing Annex'!A43</f>
        <v>12.4.10</v>
      </c>
      <c r="B15" s="628">
        <f>'12-A. Print Sub-Annex'!C107</f>
        <v>0</v>
      </c>
      <c r="C15" s="628" t="str">
        <f>'12-A. Print Sub-Annex'!D107</f>
        <v>Printing activities under NOHP</v>
      </c>
      <c r="D15" s="1184" t="str">
        <f>'12-A. Print Sub-Annex'!E107</f>
        <v>NCD</v>
      </c>
      <c r="E15" s="1184" t="str">
        <f>'12-A. Print Sub-Annex'!F107</f>
        <v>NOHP</v>
      </c>
      <c r="F15" s="1184">
        <f>'12-A. Print Sub-Annex'!G107</f>
        <v>0</v>
      </c>
      <c r="G15" s="1184">
        <f>'12-A. Print Sub-Annex'!H107</f>
        <v>0</v>
      </c>
      <c r="H15" s="1184">
        <f>'12-A. Print Sub-Annex'!I107</f>
        <v>0</v>
      </c>
      <c r="I15" s="1184">
        <f>'12-A. Print Sub-Annex'!J107</f>
        <v>0</v>
      </c>
      <c r="J15" s="1184">
        <f>'12-A. Print Sub-Annex'!K107</f>
        <v>0</v>
      </c>
      <c r="K15" s="1184">
        <f>'12-A. Print Sub-Annex'!L107</f>
        <v>0</v>
      </c>
      <c r="L15" s="1185">
        <f>'12-A. Print Sub-Annex'!M107</f>
        <v>0</v>
      </c>
      <c r="M15" s="1184">
        <f>'12-A. Print Sub-Annex'!N107</f>
        <v>0</v>
      </c>
      <c r="N15" s="1184">
        <f>'12-A. Print Sub-Annex'!O107</f>
        <v>0</v>
      </c>
      <c r="O15" s="1185">
        <f>'12-A. Print Sub-Annex'!P107</f>
        <v>0</v>
      </c>
      <c r="P15" s="1183">
        <f>'12-A. Print Sub-Annex'!Q107</f>
        <v>0</v>
      </c>
      <c r="Q15" s="1188"/>
      <c r="R15" s="1189"/>
    </row>
  </sheetData>
  <sheetProtection sheet="1" formatCells="0" formatColumns="0" formatRows="0" autoFilter="0"/>
  <autoFilter ref="A5:M14"/>
  <mergeCells count="9">
    <mergeCell ref="Q4:R4"/>
    <mergeCell ref="E4:E5"/>
    <mergeCell ref="A1:C1"/>
    <mergeCell ref="A4:A5"/>
    <mergeCell ref="B4:B5"/>
    <mergeCell ref="C4:C5"/>
    <mergeCell ref="D4:D5"/>
    <mergeCell ref="F4:J4"/>
    <mergeCell ref="K4:P4"/>
  </mergeCell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28">
    <tabColor theme="7" tint="0.79998168889431442"/>
  </sheetPr>
  <dimension ref="A1:R23"/>
  <sheetViews>
    <sheetView zoomScale="40" zoomScaleNormal="40" workbookViewId="0">
      <pane xSplit="3" ySplit="5" topLeftCell="D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10.85546875" defaultRowHeight="15"/>
  <cols>
    <col min="1" max="1" width="10.85546875" style="453"/>
    <col min="2" max="2" width="18.140625" style="453" customWidth="1"/>
    <col min="3" max="3" width="45.5703125" style="453" customWidth="1"/>
    <col min="4" max="4" width="5.7109375" style="407" bestFit="1" customWidth="1"/>
    <col min="5" max="5" width="14" style="407" bestFit="1" customWidth="1"/>
    <col min="6" max="6" width="17.42578125" style="407" customWidth="1"/>
    <col min="7" max="7" width="16.7109375" style="407" customWidth="1"/>
    <col min="8" max="8" width="15.140625" style="479" customWidth="1"/>
    <col min="9" max="9" width="10.85546875" style="407"/>
    <col min="10" max="10" width="10.85546875" style="479"/>
    <col min="11" max="11" width="12.42578125" style="453" customWidth="1"/>
    <col min="12" max="12" width="13.140625" style="453" customWidth="1"/>
    <col min="13" max="13" width="13.85546875" style="479" customWidth="1"/>
    <col min="14" max="14" width="10.85546875" style="407"/>
    <col min="15" max="15" width="10.85546875" style="479"/>
    <col min="16" max="16" width="28.140625" style="453" customWidth="1"/>
    <col min="17" max="17" width="28.7109375" style="407" customWidth="1"/>
    <col min="18" max="18" width="16.5703125" style="479" customWidth="1"/>
    <col min="19" max="16384" width="10.85546875" style="407"/>
  </cols>
  <sheetData>
    <row r="1" spans="1:18" s="1150" customFormat="1" ht="30">
      <c r="A1" s="4640" t="s">
        <v>2123</v>
      </c>
      <c r="B1" s="4640"/>
      <c r="C1" s="4640"/>
      <c r="D1" s="481"/>
      <c r="E1" s="463"/>
      <c r="F1" s="74" t="s">
        <v>3958</v>
      </c>
      <c r="G1" s="596"/>
      <c r="H1" s="596"/>
      <c r="I1" s="596"/>
      <c r="J1" s="599"/>
      <c r="K1" s="1151"/>
      <c r="L1" s="1151"/>
      <c r="M1" s="599"/>
      <c r="O1" s="1152"/>
      <c r="P1" s="1168"/>
      <c r="R1" s="1152"/>
    </row>
    <row r="2" spans="1:18" s="1150" customFormat="1">
      <c r="A2" s="868" t="str">
        <f>HYPERLINK("#Index!F3", "Index Pg")</f>
        <v>Index Pg</v>
      </c>
      <c r="B2" s="873"/>
      <c r="C2" s="403" t="str">
        <f>HYPERLINK("#'Budget Summary I'!A1:AL1", "Budget Summary I")</f>
        <v>Budget Summary I</v>
      </c>
      <c r="D2" s="1153"/>
      <c r="E2" s="1144" t="s">
        <v>4599</v>
      </c>
      <c r="F2" s="135">
        <f>R6+R8+R10+R13+R16+R22</f>
        <v>0</v>
      </c>
      <c r="G2" s="596"/>
      <c r="H2" s="596"/>
      <c r="I2" s="600"/>
      <c r="J2" s="599"/>
      <c r="K2" s="1039"/>
      <c r="L2" s="1039"/>
      <c r="M2" s="599"/>
      <c r="O2" s="1152"/>
      <c r="P2" s="1168"/>
      <c r="R2" s="1152"/>
    </row>
    <row r="3" spans="1:18" s="1150" customFormat="1">
      <c r="A3" s="872"/>
      <c r="B3" s="873"/>
      <c r="C3" s="924" t="str">
        <f>HYPERLINK("#'Budget Summary II'!A3:B5", "Budget Summary II")</f>
        <v>Budget Summary II</v>
      </c>
      <c r="D3" s="1167"/>
      <c r="E3" s="1149" t="s">
        <v>4600</v>
      </c>
      <c r="F3" s="335">
        <f>O6+O8+O10+O13+O16+O22</f>
        <v>5.5</v>
      </c>
      <c r="G3" s="596"/>
      <c r="H3" s="596"/>
      <c r="I3" s="600"/>
      <c r="J3" s="599"/>
      <c r="K3" s="1039"/>
      <c r="L3" s="1039"/>
      <c r="M3" s="599"/>
      <c r="O3" s="1152"/>
      <c r="P3" s="1168"/>
      <c r="R3" s="1152"/>
    </row>
    <row r="4" spans="1:18" ht="14.45" customHeigh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932" t="s">
        <v>63</v>
      </c>
      <c r="Q5" s="467" t="s">
        <v>2536</v>
      </c>
      <c r="R5" s="468" t="s">
        <v>4662</v>
      </c>
    </row>
    <row r="6" spans="1:18">
      <c r="A6" s="412">
        <f>'1.SD Facility Based Annex'!A7</f>
        <v>1</v>
      </c>
      <c r="B6" s="412">
        <f>'1.SD Facility Based Annex'!B7</f>
        <v>0</v>
      </c>
      <c r="C6" s="412" t="str">
        <f>'1.SD Facility Based Annex'!C7</f>
        <v>Service Delivery - Facility Based</v>
      </c>
      <c r="D6" s="412"/>
      <c r="E6" s="412"/>
      <c r="F6" s="412"/>
      <c r="G6" s="412"/>
      <c r="H6" s="412"/>
      <c r="I6" s="412"/>
      <c r="J6" s="412"/>
      <c r="K6" s="412"/>
      <c r="L6" s="412"/>
      <c r="M6" s="413"/>
      <c r="N6" s="412"/>
      <c r="O6" s="413">
        <f>O7</f>
        <v>0</v>
      </c>
      <c r="P6" s="412"/>
      <c r="Q6" s="412"/>
      <c r="R6" s="413">
        <f>R7</f>
        <v>0</v>
      </c>
    </row>
    <row r="7" spans="1:18" ht="30">
      <c r="A7" s="78" t="str">
        <f>+'1.SD Facility Based Annex'!A113</f>
        <v>1.3.2.5</v>
      </c>
      <c r="B7" s="78" t="str">
        <f>+'1.SD Facility Based Annex'!B113</f>
        <v>B.27.1.3</v>
      </c>
      <c r="C7" s="78" t="str">
        <f>+'1.SD Facility Based Annex'!C113</f>
        <v>Miscellaneous including Travel/ POL/ Stationary/ Communications/ Drugs etc.</v>
      </c>
      <c r="D7" s="78" t="str">
        <f>+'1.SD Facility Based Annex'!D113</f>
        <v>NCD</v>
      </c>
      <c r="E7" s="78" t="str">
        <f>+'1.SD Facility Based Annex'!E113</f>
        <v>NPPC</v>
      </c>
      <c r="F7" s="78">
        <f>+'1.SD Facility Based Annex'!F113</f>
        <v>0</v>
      </c>
      <c r="G7" s="78">
        <f>+'1.SD Facility Based Annex'!G113</f>
        <v>0</v>
      </c>
      <c r="H7" s="78">
        <f>+'1.SD Facility Based Annex'!H113</f>
        <v>0</v>
      </c>
      <c r="I7" s="78">
        <f>+'1.SD Facility Based Annex'!I113</f>
        <v>0</v>
      </c>
      <c r="J7" s="78">
        <f>+'1.SD Facility Based Annex'!J113</f>
        <v>0</v>
      </c>
      <c r="K7" s="78">
        <f>+'1.SD Facility Based Annex'!K113</f>
        <v>0</v>
      </c>
      <c r="L7" s="78">
        <f>+'1.SD Facility Based Annex'!L113</f>
        <v>0</v>
      </c>
      <c r="M7" s="316">
        <f>+'1.SD Facility Based Annex'!M113</f>
        <v>0</v>
      </c>
      <c r="N7" s="78">
        <f>+'1.SD Facility Based Annex'!N113</f>
        <v>0</v>
      </c>
      <c r="O7" s="316">
        <f>+'1.SD Facility Based Annex'!O113</f>
        <v>0</v>
      </c>
      <c r="P7" s="78">
        <f>+'1.SD Facility Based Annex'!P113</f>
        <v>0</v>
      </c>
      <c r="Q7" s="62"/>
      <c r="R7" s="698"/>
    </row>
    <row r="8" spans="1:18">
      <c r="A8" s="718">
        <f>'5.Infrastructure Annex'!A7</f>
        <v>5</v>
      </c>
      <c r="B8" s="718"/>
      <c r="C8" s="718" t="str">
        <f>'5.Infrastructure Annex'!C7</f>
        <v>Infrastructure</v>
      </c>
      <c r="D8" s="693"/>
      <c r="E8" s="693"/>
      <c r="F8" s="693"/>
      <c r="G8" s="693"/>
      <c r="H8" s="240"/>
      <c r="I8" s="693"/>
      <c r="J8" s="240"/>
      <c r="K8" s="718"/>
      <c r="L8" s="718"/>
      <c r="M8" s="240"/>
      <c r="N8" s="417"/>
      <c r="O8" s="413">
        <f>O9</f>
        <v>0</v>
      </c>
      <c r="P8" s="416"/>
      <c r="Q8" s="330"/>
      <c r="R8" s="129">
        <f>R9</f>
        <v>0</v>
      </c>
    </row>
    <row r="9" spans="1:18" ht="30">
      <c r="A9" s="78" t="str">
        <f>+'5.Infrastructure Annex'!A24</f>
        <v>5.1.1.2.3</v>
      </c>
      <c r="B9" s="78" t="str">
        <f>+'5.Infrastructure Annex'!B24</f>
        <v>B.27.1.4</v>
      </c>
      <c r="C9" s="78" t="str">
        <f>+'5.Infrastructure Annex'!C24</f>
        <v>Renovation of PC unit/ OPD/ Beds/ Miscellaneous equipment etc.</v>
      </c>
      <c r="D9" s="78" t="str">
        <f>+'5.Infrastructure Annex'!D24</f>
        <v>NCD</v>
      </c>
      <c r="E9" s="78" t="str">
        <f>+'5.Infrastructure Annex'!E24</f>
        <v>NPPC</v>
      </c>
      <c r="F9" s="78">
        <f>+'5.Infrastructure Annex'!F24</f>
        <v>0</v>
      </c>
      <c r="G9" s="78">
        <f>+'5.Infrastructure Annex'!G24</f>
        <v>0</v>
      </c>
      <c r="H9" s="78">
        <f>+'5.Infrastructure Annex'!H24</f>
        <v>0</v>
      </c>
      <c r="I9" s="78">
        <f>+'5.Infrastructure Annex'!I24</f>
        <v>0</v>
      </c>
      <c r="J9" s="78">
        <f>+'5.Infrastructure Annex'!J24</f>
        <v>0</v>
      </c>
      <c r="K9" s="78">
        <f>+'5.Infrastructure Annex'!K24</f>
        <v>0</v>
      </c>
      <c r="L9" s="78">
        <f>+'5.Infrastructure Annex'!L24</f>
        <v>0</v>
      </c>
      <c r="M9" s="316">
        <f>+'5.Infrastructure Annex'!M24</f>
        <v>0</v>
      </c>
      <c r="N9" s="78">
        <f>+'5.Infrastructure Annex'!N24</f>
        <v>0</v>
      </c>
      <c r="O9" s="316">
        <f>+'5.Infrastructure Annex'!O24</f>
        <v>0</v>
      </c>
      <c r="P9" s="78">
        <f>+'5.Infrastructure Annex'!P24</f>
        <v>0</v>
      </c>
      <c r="Q9" s="130"/>
      <c r="R9" s="124"/>
    </row>
    <row r="10" spans="1:18">
      <c r="A10" s="817">
        <f>'6.Procurement Annex'!A7</f>
        <v>6</v>
      </c>
      <c r="B10" s="817"/>
      <c r="C10" s="817" t="str">
        <f>'6.Procurement Annex'!C7</f>
        <v>Procurement</v>
      </c>
      <c r="D10" s="818"/>
      <c r="E10" s="818"/>
      <c r="F10" s="818"/>
      <c r="G10" s="818"/>
      <c r="H10" s="240"/>
      <c r="I10" s="818"/>
      <c r="J10" s="240"/>
      <c r="K10" s="817"/>
      <c r="L10" s="817"/>
      <c r="M10" s="240"/>
      <c r="N10" s="417"/>
      <c r="O10" s="413">
        <f>SUM(O11:O12)</f>
        <v>0</v>
      </c>
      <c r="P10" s="416"/>
      <c r="Q10" s="330"/>
      <c r="R10" s="129">
        <f>SUM(R11:R12)</f>
        <v>0</v>
      </c>
    </row>
    <row r="11" spans="1:18">
      <c r="A11" s="4637" t="str">
        <f>'6.Procurement Annex'!A44</f>
        <v>6.1.5.9</v>
      </c>
      <c r="B11" s="78" t="str">
        <f>'6-A. Proc. Sub-Annex'!C130</f>
        <v>B.27.1.4</v>
      </c>
      <c r="C11" s="78" t="str">
        <f>'6-A. Proc. Sub-Annex'!D130</f>
        <v>Equipment</v>
      </c>
      <c r="D11" s="78" t="str">
        <f>'6-A. Proc. Sub-Annex'!E130</f>
        <v>NCD</v>
      </c>
      <c r="E11" s="78" t="str">
        <f>'6-A. Proc. Sub-Annex'!F130</f>
        <v>NPPC</v>
      </c>
      <c r="F11" s="78">
        <f>'6-A. Proc. Sub-Annex'!G130</f>
        <v>0</v>
      </c>
      <c r="G11" s="78">
        <f>'6-A. Proc. Sub-Annex'!H130</f>
        <v>0</v>
      </c>
      <c r="H11" s="78">
        <f>'6-A. Proc. Sub-Annex'!I130</f>
        <v>0</v>
      </c>
      <c r="I11" s="78">
        <f>'6-A. Proc. Sub-Annex'!J130</f>
        <v>0</v>
      </c>
      <c r="J11" s="78">
        <f>'6-A. Proc. Sub-Annex'!K130</f>
        <v>0</v>
      </c>
      <c r="K11" s="78">
        <f>'6-A. Proc. Sub-Annex'!L130</f>
        <v>0</v>
      </c>
      <c r="L11" s="78">
        <f>'6-A. Proc. Sub-Annex'!M130</f>
        <v>0</v>
      </c>
      <c r="M11" s="316">
        <f>'6-A. Proc. Sub-Annex'!N130</f>
        <v>0</v>
      </c>
      <c r="N11" s="78">
        <f>'6-A. Proc. Sub-Annex'!O130</f>
        <v>0</v>
      </c>
      <c r="O11" s="316">
        <f>'6-A. Proc. Sub-Annex'!P130</f>
        <v>0</v>
      </c>
      <c r="P11" s="78">
        <f>'6-A. Proc. Sub-Annex'!Q130</f>
        <v>0</v>
      </c>
      <c r="Q11" s="130"/>
      <c r="R11" s="124"/>
    </row>
    <row r="12" spans="1:18">
      <c r="A12" s="4637"/>
      <c r="B12" s="78">
        <f>'6-A. Proc. Sub-Annex'!C131</f>
        <v>0</v>
      </c>
      <c r="C12" s="78" t="str">
        <f>'6-A. Proc. Sub-Annex'!D131</f>
        <v>Any other equipment (please specify)</v>
      </c>
      <c r="D12" s="78" t="str">
        <f>'6-A. Proc. Sub-Annex'!E131</f>
        <v>NCD</v>
      </c>
      <c r="E12" s="78" t="str">
        <f>'6-A. Proc. Sub-Annex'!F131</f>
        <v>NPPC</v>
      </c>
      <c r="F12" s="78">
        <f>'6-A. Proc. Sub-Annex'!G131</f>
        <v>0</v>
      </c>
      <c r="G12" s="78">
        <f>'6-A. Proc. Sub-Annex'!H131</f>
        <v>0</v>
      </c>
      <c r="H12" s="78">
        <f>'6-A. Proc. Sub-Annex'!I131</f>
        <v>0</v>
      </c>
      <c r="I12" s="78">
        <f>'6-A. Proc. Sub-Annex'!J131</f>
        <v>0</v>
      </c>
      <c r="J12" s="78">
        <f>'6-A. Proc. Sub-Annex'!K131</f>
        <v>0</v>
      </c>
      <c r="K12" s="78">
        <f>'6-A. Proc. Sub-Annex'!L131</f>
        <v>0</v>
      </c>
      <c r="L12" s="78">
        <f>'6-A. Proc. Sub-Annex'!M131</f>
        <v>0</v>
      </c>
      <c r="M12" s="316">
        <f>'6-A. Proc. Sub-Annex'!N131</f>
        <v>0</v>
      </c>
      <c r="N12" s="78">
        <f>'6-A. Proc. Sub-Annex'!O131</f>
        <v>0</v>
      </c>
      <c r="O12" s="316">
        <f>'6-A. Proc. Sub-Annex'!P131</f>
        <v>0</v>
      </c>
      <c r="P12" s="78">
        <f>'6-A. Proc. Sub-Annex'!Q131</f>
        <v>0</v>
      </c>
      <c r="Q12" s="130"/>
      <c r="R12" s="124"/>
    </row>
    <row r="13" spans="1:18">
      <c r="A13" s="718">
        <f>'9.Training Annex'!A7</f>
        <v>9</v>
      </c>
      <c r="B13" s="718"/>
      <c r="C13" s="718" t="str">
        <f>'9.Training Annex'!C7</f>
        <v>Training and Capacity Building</v>
      </c>
      <c r="D13" s="693"/>
      <c r="E13" s="693"/>
      <c r="F13" s="693"/>
      <c r="G13" s="693"/>
      <c r="H13" s="240"/>
      <c r="I13" s="693"/>
      <c r="J13" s="240"/>
      <c r="K13" s="718"/>
      <c r="L13" s="718"/>
      <c r="M13" s="240"/>
      <c r="N13" s="417"/>
      <c r="O13" s="413">
        <f>SUM(O14:O15)</f>
        <v>0</v>
      </c>
      <c r="P13" s="416"/>
      <c r="Q13" s="330"/>
      <c r="R13" s="129">
        <f>SUM(R14:R15)</f>
        <v>0</v>
      </c>
    </row>
    <row r="14" spans="1:18" ht="45">
      <c r="A14" s="4637" t="str">
        <f>'9.Training Annex'!A61</f>
        <v>9.2.4.7</v>
      </c>
      <c r="B14" s="78" t="str">
        <f>'9-A.Training Sub-Annex'!C273</f>
        <v>B.27.1.2</v>
      </c>
      <c r="C14" s="78" t="str">
        <f>'9-A.Training Sub-Annex'!D273</f>
        <v>Training of PHC Medical Officers, nurses, Paramedical Workers &amp; Other Health Staff under NPPC</v>
      </c>
      <c r="D14" s="78" t="str">
        <f>'9-A.Training Sub-Annex'!E273</f>
        <v>NCD</v>
      </c>
      <c r="E14" s="78" t="str">
        <f>'9-A.Training Sub-Annex'!F273</f>
        <v>NPPC</v>
      </c>
      <c r="F14" s="78">
        <f>'9-A.Training Sub-Annex'!G273</f>
        <v>0</v>
      </c>
      <c r="G14" s="78">
        <f>'9-A.Training Sub-Annex'!H273</f>
        <v>0</v>
      </c>
      <c r="H14" s="78">
        <f>'9-A.Training Sub-Annex'!I273</f>
        <v>0</v>
      </c>
      <c r="I14" s="78">
        <f>'9-A.Training Sub-Annex'!J273</f>
        <v>0</v>
      </c>
      <c r="J14" s="78">
        <f>'9-A.Training Sub-Annex'!K273</f>
        <v>0</v>
      </c>
      <c r="K14" s="78">
        <f>'9-A.Training Sub-Annex'!L273</f>
        <v>0</v>
      </c>
      <c r="L14" s="78">
        <f>'9-A.Training Sub-Annex'!M273</f>
        <v>0</v>
      </c>
      <c r="M14" s="316">
        <f>'9-A.Training Sub-Annex'!N273</f>
        <v>0</v>
      </c>
      <c r="N14" s="78">
        <f>'9-A.Training Sub-Annex'!O273</f>
        <v>0</v>
      </c>
      <c r="O14" s="316">
        <f>'9-A.Training Sub-Annex'!P273</f>
        <v>0</v>
      </c>
      <c r="P14" s="78">
        <f>'9-A.Training Sub-Annex'!Q273</f>
        <v>0</v>
      </c>
      <c r="Q14" s="130"/>
      <c r="R14" s="124"/>
    </row>
    <row r="15" spans="1:18">
      <c r="A15" s="4637"/>
      <c r="B15" s="78">
        <f>'9-A.Training Sub-Annex'!C274</f>
        <v>0</v>
      </c>
      <c r="C15" s="78" t="str">
        <f>'9-A.Training Sub-Annex'!D274</f>
        <v>Any other (please specify)</v>
      </c>
      <c r="D15" s="78" t="str">
        <f>'9-A.Training Sub-Annex'!E274</f>
        <v>NCD</v>
      </c>
      <c r="E15" s="78" t="str">
        <f>'9-A.Training Sub-Annex'!F274</f>
        <v>NPPC</v>
      </c>
      <c r="F15" s="78">
        <f>'9-A.Training Sub-Annex'!G274</f>
        <v>0</v>
      </c>
      <c r="G15" s="78">
        <f>'9-A.Training Sub-Annex'!H274</f>
        <v>0</v>
      </c>
      <c r="H15" s="78">
        <f>'9-A.Training Sub-Annex'!I274</f>
        <v>0</v>
      </c>
      <c r="I15" s="78">
        <f>'9-A.Training Sub-Annex'!J274</f>
        <v>0</v>
      </c>
      <c r="J15" s="78">
        <f>'9-A.Training Sub-Annex'!K274</f>
        <v>0</v>
      </c>
      <c r="K15" s="78">
        <f>'9-A.Training Sub-Annex'!L274</f>
        <v>0</v>
      </c>
      <c r="L15" s="78">
        <f>'9-A.Training Sub-Annex'!M274</f>
        <v>0</v>
      </c>
      <c r="M15" s="316">
        <f>'9-A.Training Sub-Annex'!N274</f>
        <v>0</v>
      </c>
      <c r="N15" s="78">
        <f>'9-A.Training Sub-Annex'!O274</f>
        <v>0</v>
      </c>
      <c r="O15" s="316">
        <f>'9-A.Training Sub-Annex'!P274</f>
        <v>0</v>
      </c>
      <c r="P15" s="78">
        <f>'9-A.Training Sub-Annex'!Q274</f>
        <v>0</v>
      </c>
      <c r="Q15" s="130"/>
      <c r="R15" s="124"/>
    </row>
    <row r="16" spans="1:18">
      <c r="A16" s="817">
        <f>'11.IEC-BCC Annex'!A7</f>
        <v>11</v>
      </c>
      <c r="B16" s="817"/>
      <c r="C16" s="817" t="str">
        <f>'11.IEC-BCC Annex'!C7</f>
        <v>IEC/BCC</v>
      </c>
      <c r="D16" s="818"/>
      <c r="E16" s="818"/>
      <c r="F16" s="818"/>
      <c r="G16" s="818"/>
      <c r="H16" s="240"/>
      <c r="I16" s="818"/>
      <c r="J16" s="240"/>
      <c r="K16" s="817"/>
      <c r="L16" s="817"/>
      <c r="M16" s="240"/>
      <c r="N16" s="417"/>
      <c r="O16" s="413">
        <f>SUM(O17:O19)</f>
        <v>0</v>
      </c>
      <c r="P16" s="416"/>
      <c r="Q16" s="330"/>
      <c r="R16" s="129">
        <f>SUM(R17:R19)</f>
        <v>0</v>
      </c>
    </row>
    <row r="17" spans="1:18">
      <c r="A17" s="4637" t="str">
        <f>'11.IEC-BCC Annex'!A41</f>
        <v>11.4.10</v>
      </c>
      <c r="B17" s="78" t="str">
        <f>+'11-A. IEC Sub-Annex'!C101</f>
        <v>B.27.1.3</v>
      </c>
      <c r="C17" s="78" t="str">
        <f>+'11-A. IEC Sub-Annex'!D101</f>
        <v>IEC for DH</v>
      </c>
      <c r="D17" s="78" t="str">
        <f>+'11-A. IEC Sub-Annex'!E101</f>
        <v>NCD</v>
      </c>
      <c r="E17" s="78" t="str">
        <f>+'11-A. IEC Sub-Annex'!F101</f>
        <v>NPPC</v>
      </c>
      <c r="F17" s="78">
        <f>+'11-A. IEC Sub-Annex'!G101</f>
        <v>0</v>
      </c>
      <c r="G17" s="78">
        <f>+'11-A. IEC Sub-Annex'!H101</f>
        <v>0</v>
      </c>
      <c r="H17" s="78">
        <f>+'11-A. IEC Sub-Annex'!I101</f>
        <v>0</v>
      </c>
      <c r="I17" s="78">
        <f>+'11-A. IEC Sub-Annex'!J101</f>
        <v>0</v>
      </c>
      <c r="J17" s="78">
        <f>+'11-A. IEC Sub-Annex'!K101</f>
        <v>0</v>
      </c>
      <c r="K17" s="78">
        <f>+'11-A. IEC Sub-Annex'!L101</f>
        <v>0</v>
      </c>
      <c r="L17" s="78">
        <f>+'11-A. IEC Sub-Annex'!M101</f>
        <v>0</v>
      </c>
      <c r="M17" s="316">
        <f>+'11-A. IEC Sub-Annex'!N101</f>
        <v>0</v>
      </c>
      <c r="N17" s="78">
        <f>+'11-A. IEC Sub-Annex'!O101</f>
        <v>0</v>
      </c>
      <c r="O17" s="316">
        <f>+'11-A. IEC Sub-Annex'!P101</f>
        <v>0</v>
      </c>
      <c r="P17" s="78">
        <f>+'11-A. IEC Sub-Annex'!Q101</f>
        <v>0</v>
      </c>
      <c r="Q17" s="130"/>
      <c r="R17" s="124"/>
    </row>
    <row r="18" spans="1:18">
      <c r="A18" s="4637"/>
      <c r="B18" s="78" t="str">
        <f>+'11-A. IEC Sub-Annex'!C102</f>
        <v>B.27.2.2</v>
      </c>
      <c r="C18" s="78" t="str">
        <f>+'11-A. IEC Sub-Annex'!D102</f>
        <v>IEC for State Palliative care cell</v>
      </c>
      <c r="D18" s="78" t="str">
        <f>+'11-A. IEC Sub-Annex'!E102</f>
        <v>NCD</v>
      </c>
      <c r="E18" s="78" t="str">
        <f>+'11-A. IEC Sub-Annex'!F102</f>
        <v>NPPC</v>
      </c>
      <c r="F18" s="78">
        <f>+'11-A. IEC Sub-Annex'!G102</f>
        <v>0</v>
      </c>
      <c r="G18" s="78">
        <f>+'11-A. IEC Sub-Annex'!H102</f>
        <v>0</v>
      </c>
      <c r="H18" s="78">
        <f>+'11-A. IEC Sub-Annex'!I102</f>
        <v>0</v>
      </c>
      <c r="I18" s="78">
        <f>+'11-A. IEC Sub-Annex'!J102</f>
        <v>0</v>
      </c>
      <c r="J18" s="78">
        <f>+'11-A. IEC Sub-Annex'!K102</f>
        <v>0</v>
      </c>
      <c r="K18" s="78">
        <f>+'11-A. IEC Sub-Annex'!L102</f>
        <v>0</v>
      </c>
      <c r="L18" s="78">
        <f>+'11-A. IEC Sub-Annex'!M102</f>
        <v>0</v>
      </c>
      <c r="M18" s="316">
        <f>+'11-A. IEC Sub-Annex'!N102</f>
        <v>0</v>
      </c>
      <c r="N18" s="78">
        <f>+'11-A. IEC Sub-Annex'!O102</f>
        <v>0</v>
      </c>
      <c r="O18" s="316">
        <f>+'11-A. IEC Sub-Annex'!P102</f>
        <v>0</v>
      </c>
      <c r="P18" s="78">
        <f>+'11-A. IEC Sub-Annex'!Q102</f>
        <v>0</v>
      </c>
      <c r="Q18" s="130"/>
      <c r="R18" s="124"/>
    </row>
    <row r="19" spans="1:18">
      <c r="A19" s="4637"/>
      <c r="B19" s="78">
        <f>+'11-A. IEC Sub-Annex'!C103</f>
        <v>0</v>
      </c>
      <c r="C19" s="78" t="str">
        <f>+'11-A. IEC Sub-Annex'!D103</f>
        <v>Any other IEC/BCC activities (please specify)</v>
      </c>
      <c r="D19" s="78" t="str">
        <f>+'11-A. IEC Sub-Annex'!E103</f>
        <v>NCD</v>
      </c>
      <c r="E19" s="78" t="str">
        <f>+'11-A. IEC Sub-Annex'!F103</f>
        <v>NPPC</v>
      </c>
      <c r="F19" s="78">
        <f>+'11-A. IEC Sub-Annex'!G103</f>
        <v>0</v>
      </c>
      <c r="G19" s="78">
        <f>+'11-A. IEC Sub-Annex'!H103</f>
        <v>0</v>
      </c>
      <c r="H19" s="78">
        <f>+'11-A. IEC Sub-Annex'!I103</f>
        <v>0</v>
      </c>
      <c r="I19" s="78">
        <f>+'11-A. IEC Sub-Annex'!J103</f>
        <v>0</v>
      </c>
      <c r="J19" s="78">
        <f>+'11-A. IEC Sub-Annex'!K103</f>
        <v>0</v>
      </c>
      <c r="K19" s="78">
        <f>+'11-A. IEC Sub-Annex'!L103</f>
        <v>0</v>
      </c>
      <c r="L19" s="78">
        <f>+'11-A. IEC Sub-Annex'!M103</f>
        <v>0</v>
      </c>
      <c r="M19" s="316">
        <f>+'11-A. IEC Sub-Annex'!N103</f>
        <v>0</v>
      </c>
      <c r="N19" s="78">
        <f>+'11-A. IEC Sub-Annex'!O103</f>
        <v>0</v>
      </c>
      <c r="O19" s="316">
        <f>+'11-A. IEC Sub-Annex'!P103</f>
        <v>0</v>
      </c>
      <c r="P19" s="78">
        <f>+'11-A. IEC Sub-Annex'!Q103</f>
        <v>0</v>
      </c>
      <c r="Q19" s="130"/>
      <c r="R19" s="124"/>
    </row>
    <row r="20" spans="1:18">
      <c r="A20" s="817">
        <f>'12.Printing Annex'!A7</f>
        <v>12</v>
      </c>
      <c r="B20" s="817"/>
      <c r="C20" s="817" t="str">
        <f>'12.Printing Annex'!C7</f>
        <v>Printing</v>
      </c>
      <c r="D20" s="818"/>
      <c r="E20" s="818"/>
      <c r="F20" s="818"/>
      <c r="G20" s="818"/>
      <c r="H20" s="240"/>
      <c r="I20" s="818"/>
      <c r="J20" s="240"/>
      <c r="K20" s="817"/>
      <c r="L20" s="817"/>
      <c r="M20" s="240"/>
      <c r="N20" s="417"/>
      <c r="O20" s="413">
        <f>SUM(O21:O23)</f>
        <v>11</v>
      </c>
      <c r="P20" s="416"/>
      <c r="Q20" s="330"/>
      <c r="R20" s="129">
        <f>SUM(R21:R23)</f>
        <v>0</v>
      </c>
    </row>
    <row r="21" spans="1:18">
      <c r="A21" s="78" t="str">
        <f>'12.Printing Annex'!A44</f>
        <v>12.4.11</v>
      </c>
      <c r="B21" s="78">
        <f>'12-A. Print Sub-Annex'!C108</f>
        <v>0</v>
      </c>
      <c r="C21" s="78" t="str">
        <f>'12-A. Print Sub-Annex'!D108</f>
        <v>Printing activities under NPPC</v>
      </c>
      <c r="D21" s="78" t="str">
        <f>'12-A. Print Sub-Annex'!E108</f>
        <v>NCD</v>
      </c>
      <c r="E21" s="78" t="str">
        <f>'12-A. Print Sub-Annex'!F108</f>
        <v>NPPC</v>
      </c>
      <c r="F21" s="78">
        <f>'12-A. Print Sub-Annex'!G108</f>
        <v>0</v>
      </c>
      <c r="G21" s="78">
        <f>'12-A. Print Sub-Annex'!H108</f>
        <v>0</v>
      </c>
      <c r="H21" s="78">
        <f>'12-A. Print Sub-Annex'!I108</f>
        <v>0</v>
      </c>
      <c r="I21" s="78">
        <f>'12-A. Print Sub-Annex'!J108</f>
        <v>0</v>
      </c>
      <c r="J21" s="78">
        <f>'12-A. Print Sub-Annex'!K108</f>
        <v>0</v>
      </c>
      <c r="K21" s="78">
        <f>'12-A. Print Sub-Annex'!L108</f>
        <v>0</v>
      </c>
      <c r="L21" s="78">
        <f>'12-A. Print Sub-Annex'!M108</f>
        <v>0</v>
      </c>
      <c r="M21" s="316">
        <f>'12-A. Print Sub-Annex'!N108</f>
        <v>0</v>
      </c>
      <c r="N21" s="78">
        <f>'12-A. Print Sub-Annex'!O108</f>
        <v>0</v>
      </c>
      <c r="O21" s="316">
        <f>'12-A. Print Sub-Annex'!P108</f>
        <v>0</v>
      </c>
      <c r="P21" s="78">
        <f>'12-A. Print Sub-Annex'!Q108</f>
        <v>0</v>
      </c>
      <c r="Q21" s="130"/>
      <c r="R21" s="124"/>
    </row>
    <row r="22" spans="1:18">
      <c r="A22" s="416">
        <f>'16.PM Annex'!A7</f>
        <v>16</v>
      </c>
      <c r="B22" s="416">
        <f>'16.PM Annex'!B7</f>
        <v>0</v>
      </c>
      <c r="C22" s="416" t="str">
        <f>'16.PM Annex'!C7</f>
        <v>Programme Management</v>
      </c>
      <c r="D22" s="417"/>
      <c r="E22" s="417"/>
      <c r="F22" s="417"/>
      <c r="G22" s="417"/>
      <c r="H22" s="240"/>
      <c r="I22" s="417"/>
      <c r="J22" s="240"/>
      <c r="K22" s="416"/>
      <c r="L22" s="416"/>
      <c r="M22" s="240"/>
      <c r="N22" s="417"/>
      <c r="O22" s="413">
        <f>O23</f>
        <v>5.5</v>
      </c>
      <c r="P22" s="416"/>
      <c r="Q22" s="330"/>
      <c r="R22" s="129">
        <f>R23</f>
        <v>0</v>
      </c>
    </row>
    <row r="23" spans="1:18" ht="30">
      <c r="A23" s="78" t="str">
        <f>'16-A. PM sub Annex'!B137</f>
        <v>16.1.4.2.2</v>
      </c>
      <c r="B23" s="78" t="str">
        <f>'16-A. PM sub Annex'!D137</f>
        <v>B.29.1.2</v>
      </c>
      <c r="C23" s="78" t="str">
        <f>'16-A. PM sub Annex'!E137</f>
        <v>Contingencies under NPPCF</v>
      </c>
      <c r="D23" s="78" t="str">
        <f>'16-A. PM sub Annex'!F137</f>
        <v>NCD</v>
      </c>
      <c r="E23" s="78" t="str">
        <f>'16-A. PM sub Annex'!G137</f>
        <v>HRH&amp;HPIP/ NPPC</v>
      </c>
      <c r="F23" s="78">
        <f>'16-A. PM sub Annex'!H137</f>
        <v>0</v>
      </c>
      <c r="G23" s="78">
        <f>'16-A. PM sub Annex'!I137</f>
        <v>0</v>
      </c>
      <c r="H23" s="78">
        <f>'16-A. PM sub Annex'!J137</f>
        <v>0</v>
      </c>
      <c r="I23" s="78">
        <f>'16-A. PM sub Annex'!K137</f>
        <v>0</v>
      </c>
      <c r="J23" s="78">
        <f>'16-A. PM sub Annex'!L137</f>
        <v>0</v>
      </c>
      <c r="K23" s="78" t="str">
        <f>'16-A. PM sub Annex'!M137</f>
        <v>No. of district</v>
      </c>
      <c r="L23" s="78">
        <f>'16-A. PM sub Annex'!N137</f>
        <v>50000</v>
      </c>
      <c r="M23" s="316">
        <f>'16-A. PM sub Annex'!O137</f>
        <v>0.5</v>
      </c>
      <c r="N23" s="78">
        <f>'16-A. PM sub Annex'!P137</f>
        <v>11</v>
      </c>
      <c r="O23" s="316">
        <f>'16-A. PM sub Annex'!Q137</f>
        <v>5.5</v>
      </c>
      <c r="P23" s="78">
        <f>'16-A. PM sub Annex'!R137</f>
        <v>0</v>
      </c>
      <c r="Q23" s="130"/>
      <c r="R23" s="124"/>
    </row>
  </sheetData>
  <sheetProtection sheet="1" formatCells="0" formatColumns="0" formatRows="0" autoFilter="0"/>
  <autoFilter ref="A5:M23"/>
  <mergeCells count="12">
    <mergeCell ref="A11:A12"/>
    <mergeCell ref="A14:A15"/>
    <mergeCell ref="A17:A19"/>
    <mergeCell ref="Q4:R4"/>
    <mergeCell ref="E4:E5"/>
    <mergeCell ref="F4:J4"/>
    <mergeCell ref="K4:P4"/>
    <mergeCell ref="A1:C1"/>
    <mergeCell ref="A4:A5"/>
    <mergeCell ref="B4:B5"/>
    <mergeCell ref="C4:C5"/>
    <mergeCell ref="D4:D5"/>
  </mergeCell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Sheet29">
    <tabColor theme="7" tint="0.79998168889431442"/>
  </sheetPr>
  <dimension ref="A1:R12"/>
  <sheetViews>
    <sheetView zoomScale="70" zoomScaleNormal="70" workbookViewId="0">
      <pane xSplit="3" ySplit="5" topLeftCell="K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10.5703125" defaultRowHeight="15"/>
  <cols>
    <col min="1" max="1" width="10.7109375" style="820" bestFit="1" customWidth="1"/>
    <col min="2" max="2" width="16.85546875" style="820" customWidth="1"/>
    <col min="3" max="3" width="45.5703125" style="820" bestFit="1" customWidth="1"/>
    <col min="4" max="4" width="4.85546875" style="621" bestFit="1" customWidth="1"/>
    <col min="5" max="5" width="17.140625" style="621" customWidth="1"/>
    <col min="6" max="6" width="17.85546875" style="621" customWidth="1"/>
    <col min="7" max="7" width="14" style="621" customWidth="1"/>
    <col min="8" max="8" width="9.140625" style="621" bestFit="1" customWidth="1"/>
    <col min="9" max="9" width="10" style="621" bestFit="1" customWidth="1"/>
    <col min="10" max="10" width="8.28515625" style="621" customWidth="1"/>
    <col min="11" max="11" width="11.5703125" style="950" customWidth="1"/>
    <col min="12" max="12" width="11.7109375" style="950" customWidth="1"/>
    <col min="13" max="13" width="11.85546875" style="590" bestFit="1" customWidth="1"/>
    <col min="14" max="14" width="10.5703125" style="950"/>
    <col min="15" max="15" width="10.5703125" style="974"/>
    <col min="16" max="16" width="41.28515625" style="950" customWidth="1"/>
    <col min="17" max="17" width="48.5703125" style="950" customWidth="1"/>
    <col min="18" max="18" width="10.5703125" style="974"/>
    <col min="19" max="16384" width="10.5703125" style="950"/>
  </cols>
  <sheetData>
    <row r="1" spans="1:18" s="1016" customFormat="1">
      <c r="A1" s="4636" t="s">
        <v>3960</v>
      </c>
      <c r="B1" s="4636"/>
      <c r="C1" s="4636"/>
      <c r="D1" s="1192"/>
      <c r="E1" s="463"/>
      <c r="F1" s="1015" t="s">
        <v>4773</v>
      </c>
      <c r="G1" s="1192"/>
      <c r="H1" s="1192"/>
      <c r="I1" s="1192"/>
      <c r="J1" s="1192"/>
      <c r="K1" s="1192"/>
      <c r="L1" s="1192"/>
      <c r="M1" s="1193"/>
      <c r="O1" s="1017"/>
      <c r="R1" s="1017"/>
    </row>
    <row r="2" spans="1:18" s="1016" customFormat="1">
      <c r="A2" s="868" t="str">
        <f>HYPERLINK("#Index!F3", "Index Pg")</f>
        <v>Index Pg</v>
      </c>
      <c r="B2" s="873"/>
      <c r="C2" s="403" t="str">
        <f>HYPERLINK("#'Budget Summary I'!A1:AL1", "Budget Summary I")</f>
        <v>Budget Summary I</v>
      </c>
      <c r="D2" s="1194"/>
      <c r="E2" s="1144" t="s">
        <v>4599</v>
      </c>
      <c r="F2" s="1195">
        <f>R8+R6+R11</f>
        <v>0</v>
      </c>
      <c r="G2" s="1196"/>
      <c r="H2" s="1196"/>
      <c r="I2" s="1196"/>
      <c r="J2" s="1196"/>
      <c r="K2" s="1197"/>
      <c r="L2" s="1197"/>
      <c r="M2" s="1198"/>
      <c r="O2" s="1017"/>
      <c r="R2" s="1017"/>
    </row>
    <row r="3" spans="1:18" s="1016" customFormat="1">
      <c r="A3" s="872"/>
      <c r="B3" s="873"/>
      <c r="C3" s="924" t="str">
        <f>HYPERLINK("#'Budget Summary II'!A3:B5", "Budget Summary II")</f>
        <v>Budget Summary II</v>
      </c>
      <c r="D3" s="1194"/>
      <c r="E3" s="1149" t="s">
        <v>4600</v>
      </c>
      <c r="F3" s="335">
        <f>O8+O6+O11</f>
        <v>0</v>
      </c>
      <c r="G3" s="1196"/>
      <c r="H3" s="1196"/>
      <c r="I3" s="1196"/>
      <c r="J3" s="1196"/>
      <c r="K3" s="1197"/>
      <c r="L3" s="1197"/>
      <c r="M3" s="1198"/>
      <c r="O3" s="1017"/>
      <c r="R3" s="1017"/>
    </row>
    <row r="4" spans="1:18" s="621" customFormat="1" ht="14.45" customHeigh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621" customFormat="1" ht="9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1022">
        <f>'5.Infrastructure Annex'!A7</f>
        <v>5</v>
      </c>
      <c r="B6" s="1022"/>
      <c r="C6" s="1022" t="str">
        <f>'5.Infrastructure Annex'!C7</f>
        <v>Infrastructure</v>
      </c>
      <c r="D6" s="334"/>
      <c r="E6" s="334"/>
      <c r="F6" s="1009"/>
      <c r="G6" s="1009"/>
      <c r="H6" s="1010"/>
      <c r="I6" s="1009"/>
      <c r="J6" s="240"/>
      <c r="K6" s="1199"/>
      <c r="L6" s="1199"/>
      <c r="M6" s="149"/>
      <c r="N6" s="1012"/>
      <c r="O6" s="969">
        <f>O7</f>
        <v>0</v>
      </c>
      <c r="P6" s="964"/>
      <c r="Q6" s="964"/>
      <c r="R6" s="969">
        <f>R7</f>
        <v>0</v>
      </c>
    </row>
    <row r="7" spans="1:18" ht="30">
      <c r="A7" s="970" t="str">
        <f>'5.Infrastructure Annex'!A88</f>
        <v>5.3.8</v>
      </c>
      <c r="B7" s="970" t="str">
        <f>'5.Infrastructure Annex'!B88</f>
        <v>B.28.1</v>
      </c>
      <c r="C7" s="78" t="str">
        <f>'5.Infrastructure Annex'!C88</f>
        <v>Assistance to State for Capacity building (Burns &amp; injury): Civil Work</v>
      </c>
      <c r="D7" s="78" t="str">
        <f>'5.Infrastructure Annex'!D88</f>
        <v>NCD</v>
      </c>
      <c r="E7" s="78" t="str">
        <f>'5.Infrastructure Annex'!E88</f>
        <v>NPPMBI</v>
      </c>
      <c r="F7" s="78">
        <f>'5.Infrastructure Annex'!F88</f>
        <v>0</v>
      </c>
      <c r="G7" s="78">
        <f>'5.Infrastructure Annex'!G88</f>
        <v>0</v>
      </c>
      <c r="H7" s="78">
        <f>'5.Infrastructure Annex'!H88</f>
        <v>0</v>
      </c>
      <c r="I7" s="78">
        <f>'5.Infrastructure Annex'!I88</f>
        <v>0</v>
      </c>
      <c r="J7" s="78">
        <f>'5.Infrastructure Annex'!J88</f>
        <v>0</v>
      </c>
      <c r="K7" s="78">
        <f>'5.Infrastructure Annex'!K88</f>
        <v>0</v>
      </c>
      <c r="L7" s="78">
        <f>'5.Infrastructure Annex'!L88</f>
        <v>0</v>
      </c>
      <c r="M7" s="316">
        <f>'5.Infrastructure Annex'!M88</f>
        <v>0</v>
      </c>
      <c r="N7" s="78">
        <f>'5.Infrastructure Annex'!N88</f>
        <v>0</v>
      </c>
      <c r="O7" s="316">
        <f>'5.Infrastructure Annex'!O88</f>
        <v>0</v>
      </c>
      <c r="P7" s="78">
        <f>'5.Infrastructure Annex'!P88</f>
        <v>0</v>
      </c>
      <c r="Q7" s="63"/>
      <c r="R7" s="979"/>
    </row>
    <row r="8" spans="1:18">
      <c r="A8" s="1022">
        <f>'6.Procurement Annex'!A7</f>
        <v>6</v>
      </c>
      <c r="B8" s="1022"/>
      <c r="C8" s="1022" t="str">
        <f>'6.Procurement Annex'!C7</f>
        <v>Procurement</v>
      </c>
      <c r="D8" s="334"/>
      <c r="E8" s="334"/>
      <c r="F8" s="1009"/>
      <c r="G8" s="1009"/>
      <c r="H8" s="1010"/>
      <c r="I8" s="1009"/>
      <c r="J8" s="240"/>
      <c r="K8" s="1199"/>
      <c r="L8" s="1199"/>
      <c r="M8" s="149"/>
      <c r="N8" s="1012"/>
      <c r="O8" s="969">
        <f>SUM(O9:O10)</f>
        <v>0</v>
      </c>
      <c r="P8" s="964"/>
      <c r="Q8" s="977"/>
      <c r="R8" s="978">
        <f>SUM(R9:R10)</f>
        <v>0</v>
      </c>
    </row>
    <row r="9" spans="1:18">
      <c r="A9" s="970" t="str">
        <f>'6.Procurement Annex'!A45</f>
        <v>6.1.5.10</v>
      </c>
      <c r="B9" s="970" t="str">
        <f>'6-A. Proc. Sub-Annex'!C133</f>
        <v>B.28.2</v>
      </c>
      <c r="C9" s="970" t="str">
        <f>'6-A. Proc. Sub-Annex'!D133</f>
        <v>Procurement of Equipment</v>
      </c>
      <c r="D9" s="970" t="str">
        <f>'6-A. Proc. Sub-Annex'!E133</f>
        <v>NCD</v>
      </c>
      <c r="E9" s="970" t="str">
        <f>'6-A. Proc. Sub-Annex'!F133</f>
        <v>NPPMBI</v>
      </c>
      <c r="F9" s="970">
        <f>'6-A. Proc. Sub-Annex'!G133</f>
        <v>0</v>
      </c>
      <c r="G9" s="970">
        <f>'6-A. Proc. Sub-Annex'!H133</f>
        <v>0</v>
      </c>
      <c r="H9" s="970">
        <f>'6-A. Proc. Sub-Annex'!I133</f>
        <v>0</v>
      </c>
      <c r="I9" s="970">
        <f>'6-A. Proc. Sub-Annex'!J133</f>
        <v>0</v>
      </c>
      <c r="J9" s="970">
        <f>'6-A. Proc. Sub-Annex'!K133</f>
        <v>0</v>
      </c>
      <c r="K9" s="970">
        <f>'6-A. Proc. Sub-Annex'!L133</f>
        <v>0</v>
      </c>
      <c r="L9" s="970">
        <f>'6-A. Proc. Sub-Annex'!M133</f>
        <v>0</v>
      </c>
      <c r="M9" s="388">
        <f>'6-A. Proc. Sub-Annex'!N133</f>
        <v>0</v>
      </c>
      <c r="N9" s="970">
        <f>'6-A. Proc. Sub-Annex'!O133</f>
        <v>0</v>
      </c>
      <c r="O9" s="388">
        <f>'6-A. Proc. Sub-Annex'!P133</f>
        <v>0</v>
      </c>
      <c r="P9" s="970">
        <f>'6-A. Proc. Sub-Annex'!Q133</f>
        <v>0</v>
      </c>
      <c r="Q9" s="63"/>
      <c r="R9" s="979"/>
    </row>
    <row r="10" spans="1:18">
      <c r="A10" s="970"/>
      <c r="B10" s="970">
        <f>'6-A. Proc. Sub-Annex'!C134</f>
        <v>0</v>
      </c>
      <c r="C10" s="970" t="str">
        <f>'6-A. Proc. Sub-Annex'!D134</f>
        <v>Any other equipment (please specify)</v>
      </c>
      <c r="D10" s="970" t="str">
        <f>'6-A. Proc. Sub-Annex'!E134</f>
        <v>NCD</v>
      </c>
      <c r="E10" s="970" t="str">
        <f>'6-A. Proc. Sub-Annex'!F134</f>
        <v>NPPMBI</v>
      </c>
      <c r="F10" s="970">
        <f>'6-A. Proc. Sub-Annex'!G134</f>
        <v>0</v>
      </c>
      <c r="G10" s="970">
        <f>'6-A. Proc. Sub-Annex'!H134</f>
        <v>0</v>
      </c>
      <c r="H10" s="970">
        <f>'6-A. Proc. Sub-Annex'!I134</f>
        <v>0</v>
      </c>
      <c r="I10" s="970">
        <f>'6-A. Proc. Sub-Annex'!J134</f>
        <v>0</v>
      </c>
      <c r="J10" s="970">
        <f>'6-A. Proc. Sub-Annex'!K134</f>
        <v>0</v>
      </c>
      <c r="K10" s="970">
        <f>'6-A. Proc. Sub-Annex'!L134</f>
        <v>0</v>
      </c>
      <c r="L10" s="970">
        <f>'6-A. Proc. Sub-Annex'!M134</f>
        <v>0</v>
      </c>
      <c r="M10" s="388">
        <f>'6-A. Proc. Sub-Annex'!N134</f>
        <v>0</v>
      </c>
      <c r="N10" s="970">
        <f>'6-A. Proc. Sub-Annex'!O134</f>
        <v>0</v>
      </c>
      <c r="O10" s="388">
        <f>'6-A. Proc. Sub-Annex'!P134</f>
        <v>0</v>
      </c>
      <c r="P10" s="970">
        <f>'6-A. Proc. Sub-Annex'!Q134</f>
        <v>0</v>
      </c>
      <c r="Q10" s="63"/>
      <c r="R10" s="979"/>
    </row>
    <row r="11" spans="1:18">
      <c r="A11" s="988">
        <f>'12.Printing Annex'!A7</f>
        <v>12</v>
      </c>
      <c r="B11" s="964"/>
      <c r="C11" s="988" t="str">
        <f>'12.Printing Annex'!C7</f>
        <v>Printing</v>
      </c>
      <c r="D11" s="962"/>
      <c r="E11" s="962"/>
      <c r="F11" s="962"/>
      <c r="G11" s="962"/>
      <c r="H11" s="962"/>
      <c r="I11" s="962"/>
      <c r="J11" s="962"/>
      <c r="K11" s="1012"/>
      <c r="L11" s="1012"/>
      <c r="M11" s="1200"/>
      <c r="N11" s="1012"/>
      <c r="O11" s="969">
        <f>O12</f>
        <v>0</v>
      </c>
      <c r="P11" s="964"/>
      <c r="Q11" s="977"/>
      <c r="R11" s="978">
        <f>R12</f>
        <v>0</v>
      </c>
    </row>
    <row r="12" spans="1:18">
      <c r="A12" s="970" t="str">
        <f>'12.Printing Annex'!A45</f>
        <v>12.4.12</v>
      </c>
      <c r="B12" s="970">
        <f>'12-A. Print Sub-Annex'!C109</f>
        <v>0</v>
      </c>
      <c r="C12" s="970" t="str">
        <f>'12-A. Print Sub-Annex'!D109</f>
        <v>Printing activities under Burns and Injuries</v>
      </c>
      <c r="D12" s="970" t="str">
        <f>'12-A. Print Sub-Annex'!E109</f>
        <v>NCD</v>
      </c>
      <c r="E12" s="970" t="str">
        <f>'12-A. Print Sub-Annex'!F109</f>
        <v>NPPMBI</v>
      </c>
      <c r="F12" s="970">
        <f>'12-A. Print Sub-Annex'!G109</f>
        <v>0</v>
      </c>
      <c r="G12" s="970">
        <f>'12-A. Print Sub-Annex'!H109</f>
        <v>0</v>
      </c>
      <c r="H12" s="970">
        <f>'12-A. Print Sub-Annex'!I109</f>
        <v>0</v>
      </c>
      <c r="I12" s="970">
        <f>'12-A. Print Sub-Annex'!J109</f>
        <v>0</v>
      </c>
      <c r="J12" s="970">
        <f>'12-A. Print Sub-Annex'!K109</f>
        <v>0</v>
      </c>
      <c r="K12" s="970">
        <f>'12-A. Print Sub-Annex'!L109</f>
        <v>0</v>
      </c>
      <c r="L12" s="970">
        <f>'12-A. Print Sub-Annex'!M109</f>
        <v>0</v>
      </c>
      <c r="M12" s="388">
        <f>'12-A. Print Sub-Annex'!N109</f>
        <v>0</v>
      </c>
      <c r="N12" s="970">
        <f>'12-A. Print Sub-Annex'!O109</f>
        <v>0</v>
      </c>
      <c r="O12" s="388">
        <f>'12-A. Print Sub-Annex'!P109</f>
        <v>0</v>
      </c>
      <c r="P12" s="970">
        <f>'12-A. Print Sub-Annex'!Q109</f>
        <v>0</v>
      </c>
      <c r="Q12" s="63"/>
      <c r="R12" s="979"/>
    </row>
  </sheetData>
  <sheetProtection sheet="1" formatCells="0" formatColumns="0" formatRows="0" autoFilter="0"/>
  <autoFilter ref="A5:M10"/>
  <mergeCells count="9">
    <mergeCell ref="Q4:R4"/>
    <mergeCell ref="E4:E5"/>
    <mergeCell ref="A1:C1"/>
    <mergeCell ref="A4:A5"/>
    <mergeCell ref="B4:B5"/>
    <mergeCell ref="C4:C5"/>
    <mergeCell ref="D4:D5"/>
    <mergeCell ref="F4:J4"/>
    <mergeCell ref="K4:P4"/>
  </mergeCell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Sheet35">
    <tabColor theme="7" tint="0.79998168889431442"/>
  </sheetPr>
  <dimension ref="A1:R43"/>
  <sheetViews>
    <sheetView zoomScale="60" zoomScaleNormal="60" workbookViewId="0">
      <pane xSplit="3" ySplit="5" topLeftCell="J2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10.42578125" defaultRowHeight="15"/>
  <cols>
    <col min="1" max="1" width="10.42578125" style="453"/>
    <col min="2" max="2" width="15.7109375" style="453" bestFit="1" customWidth="1"/>
    <col min="3" max="3" width="40" style="453" customWidth="1"/>
    <col min="4" max="4" width="7.5703125" style="407" bestFit="1" customWidth="1"/>
    <col min="5" max="5" width="14.28515625" style="407" customWidth="1"/>
    <col min="6" max="6" width="22.140625" style="407" bestFit="1" customWidth="1"/>
    <col min="7" max="7" width="16.140625" style="407" bestFit="1" customWidth="1"/>
    <col min="8" max="8" width="17.140625" style="479" bestFit="1" customWidth="1"/>
    <col min="9" max="9" width="22.5703125" style="407" customWidth="1"/>
    <col min="10" max="10" width="13.140625" style="479" customWidth="1"/>
    <col min="11" max="11" width="15.85546875" style="453" customWidth="1"/>
    <col min="12" max="12" width="15.42578125" style="453" customWidth="1"/>
    <col min="13" max="13" width="13.140625" style="479" customWidth="1"/>
    <col min="14" max="14" width="10.42578125" style="398"/>
    <col min="15" max="15" width="10.42578125" style="614"/>
    <col min="16" max="16" width="44.42578125" style="453" customWidth="1"/>
    <col min="17" max="17" width="45.85546875" style="453" customWidth="1"/>
    <col min="18" max="18" width="10.42578125" style="614"/>
    <col min="19" max="16384" width="10.42578125" style="398"/>
  </cols>
  <sheetData>
    <row r="1" spans="1:18" s="400" customFormat="1">
      <c r="A1" s="4650" t="s">
        <v>4604</v>
      </c>
      <c r="B1" s="4650"/>
      <c r="C1" s="4650"/>
      <c r="D1" s="866"/>
      <c r="E1" s="863"/>
      <c r="F1" s="74" t="s">
        <v>3965</v>
      </c>
      <c r="G1" s="873"/>
      <c r="H1" s="873"/>
      <c r="I1" s="873"/>
      <c r="J1" s="867"/>
      <c r="K1" s="1037"/>
      <c r="L1" s="1037"/>
      <c r="M1" s="867"/>
      <c r="O1" s="615"/>
      <c r="P1" s="1028"/>
      <c r="Q1" s="1028"/>
      <c r="R1" s="615"/>
    </row>
    <row r="2" spans="1:18" s="400" customFormat="1">
      <c r="A2" s="868" t="str">
        <f>HYPERLINK("#Index!F3", "Index Pg")</f>
        <v>Index Pg</v>
      </c>
      <c r="B2" s="873"/>
      <c r="C2" s="403" t="str">
        <f>HYPERLINK("#'Budget Summary I'!A1:AL1", "Budget Summary I")</f>
        <v>Budget Summary I</v>
      </c>
      <c r="D2" s="1035"/>
      <c r="E2" s="713" t="s">
        <v>4599</v>
      </c>
      <c r="F2" s="135">
        <f>R6+R11+R13+R22+R25+R27+R32+R40+R42+R30</f>
        <v>0</v>
      </c>
      <c r="G2" s="873"/>
      <c r="H2" s="873"/>
      <c r="I2" s="873"/>
      <c r="J2" s="867"/>
      <c r="K2" s="996"/>
      <c r="L2" s="996"/>
      <c r="M2" s="867"/>
      <c r="O2" s="615"/>
      <c r="P2" s="1028"/>
      <c r="Q2" s="1028"/>
      <c r="R2" s="615"/>
    </row>
    <row r="3" spans="1:18" s="400" customFormat="1">
      <c r="A3" s="872"/>
      <c r="B3" s="873"/>
      <c r="C3" s="924" t="str">
        <f>HYPERLINK("#'Budget Summary II'!A3:B5", "Budget Summary II")</f>
        <v>Budget Summary II</v>
      </c>
      <c r="D3" s="1035"/>
      <c r="E3" s="1055" t="s">
        <v>4600</v>
      </c>
      <c r="F3" s="335">
        <f>O6+O11+O13+O22+O25+O27+O32+O40+O42+O30</f>
        <v>3847.05</v>
      </c>
      <c r="G3" s="873"/>
      <c r="H3" s="873"/>
      <c r="I3" s="873"/>
      <c r="J3" s="867"/>
      <c r="K3" s="996"/>
      <c r="M3" s="867"/>
      <c r="O3" s="615"/>
      <c r="P3" s="1028"/>
      <c r="Q3" s="1028"/>
      <c r="R3" s="615"/>
    </row>
    <row r="4" spans="1:18" s="407" customFormat="1">
      <c r="A4" s="4323" t="s">
        <v>53</v>
      </c>
      <c r="B4" s="4323" t="s">
        <v>54</v>
      </c>
      <c r="C4" s="4323" t="s">
        <v>55</v>
      </c>
      <c r="D4" s="4323" t="s">
        <v>56</v>
      </c>
      <c r="E4" s="4323" t="s">
        <v>57</v>
      </c>
      <c r="F4" s="4409" t="s">
        <v>4620</v>
      </c>
      <c r="G4" s="4409"/>
      <c r="H4" s="4409"/>
      <c r="I4" s="4409"/>
      <c r="J4" s="4409"/>
      <c r="K4" s="4409" t="s">
        <v>4631</v>
      </c>
      <c r="L4" s="4409"/>
      <c r="M4" s="4409"/>
      <c r="N4" s="4409"/>
      <c r="O4" s="4409"/>
      <c r="P4" s="4409"/>
      <c r="Q4" s="4323" t="s">
        <v>4661</v>
      </c>
      <c r="R4" s="4323"/>
    </row>
    <row r="5" spans="1:18" s="407" customFormat="1" ht="60">
      <c r="A5" s="4323"/>
      <c r="B5" s="4323"/>
      <c r="C5" s="4323"/>
      <c r="D5" s="4323"/>
      <c r="E5" s="4323"/>
      <c r="F5" s="464" t="s">
        <v>4621</v>
      </c>
      <c r="G5" s="464" t="s">
        <v>4629</v>
      </c>
      <c r="H5" s="464" t="s">
        <v>4622</v>
      </c>
      <c r="I5" s="464" t="s">
        <v>4630</v>
      </c>
      <c r="J5" s="464" t="s">
        <v>2534</v>
      </c>
      <c r="K5" s="465" t="s">
        <v>58</v>
      </c>
      <c r="L5" s="465" t="s">
        <v>59</v>
      </c>
      <c r="M5" s="466" t="s">
        <v>60</v>
      </c>
      <c r="N5" s="465" t="s">
        <v>61</v>
      </c>
      <c r="O5" s="466" t="s">
        <v>62</v>
      </c>
      <c r="P5" s="465" t="s">
        <v>63</v>
      </c>
      <c r="Q5" s="467" t="s">
        <v>2536</v>
      </c>
      <c r="R5" s="468" t="s">
        <v>4662</v>
      </c>
    </row>
    <row r="6" spans="1:18">
      <c r="A6" s="1022">
        <f>'2.SD Community Based Annex'!A7</f>
        <v>2</v>
      </c>
      <c r="B6" s="1022"/>
      <c r="C6" s="1022" t="str">
        <f>'2.SD Community Based Annex'!C7</f>
        <v>Service Delivery - Community Based</v>
      </c>
      <c r="D6" s="334"/>
      <c r="E6" s="334"/>
      <c r="F6" s="1009"/>
      <c r="G6" s="1009"/>
      <c r="H6" s="1010"/>
      <c r="I6" s="1009"/>
      <c r="J6" s="240"/>
      <c r="K6" s="1011"/>
      <c r="L6" s="1011"/>
      <c r="M6" s="240"/>
      <c r="N6" s="1109"/>
      <c r="O6" s="1110">
        <f>SUM(O7:O10)</f>
        <v>386</v>
      </c>
      <c r="P6" s="1111"/>
      <c r="Q6" s="1111"/>
      <c r="R6" s="1110">
        <f>SUM(R7:R10)</f>
        <v>0</v>
      </c>
    </row>
    <row r="7" spans="1:18">
      <c r="A7" s="78" t="str">
        <f>'2.SD Community Based Annex'!A17</f>
        <v>2.1.3.2</v>
      </c>
      <c r="B7" s="78" t="str">
        <f>'2.SD Community Based Annex'!B17</f>
        <v>I.2.8</v>
      </c>
      <c r="C7" s="78" t="str">
        <f>'2.SD Community Based Annex'!C17</f>
        <v xml:space="preserve">Grant in aid for Mobile Ophthalmic Units </v>
      </c>
      <c r="D7" s="990" t="str">
        <f>'2.SD Community Based Annex'!D17</f>
        <v>NCD</v>
      </c>
      <c r="E7" s="990" t="str">
        <f>'2.SD Community Based Annex'!E17</f>
        <v>NPCB</v>
      </c>
      <c r="F7" s="990">
        <f>'2.SD Community Based Annex'!F17</f>
        <v>0</v>
      </c>
      <c r="G7" s="990">
        <f>'2.SD Community Based Annex'!G17</f>
        <v>0</v>
      </c>
      <c r="H7" s="990">
        <f>'2.SD Community Based Annex'!H17</f>
        <v>0</v>
      </c>
      <c r="I7" s="990">
        <f>'2.SD Community Based Annex'!I17</f>
        <v>0</v>
      </c>
      <c r="J7" s="990">
        <f>'2.SD Community Based Annex'!J17</f>
        <v>0</v>
      </c>
      <c r="K7" s="990">
        <f>'2.SD Community Based Annex'!K17</f>
        <v>0</v>
      </c>
      <c r="L7" s="990">
        <f>'2.SD Community Based Annex'!L17</f>
        <v>0</v>
      </c>
      <c r="M7" s="136">
        <f>'2.SD Community Based Annex'!M17</f>
        <v>0</v>
      </c>
      <c r="N7" s="990">
        <f>'2.SD Community Based Annex'!N17</f>
        <v>0</v>
      </c>
      <c r="O7" s="136">
        <f>'2.SD Community Based Annex'!O17</f>
        <v>0</v>
      </c>
      <c r="P7" s="78">
        <f>'2.SD Community Based Annex'!P17</f>
        <v>0</v>
      </c>
      <c r="Q7" s="62"/>
      <c r="R7" s="318"/>
    </row>
    <row r="8" spans="1:18" ht="75">
      <c r="A8" s="224" t="str">
        <f>'2.SD Community Based Annex'!A50</f>
        <v>2.3.2.4</v>
      </c>
      <c r="B8" s="224" t="str">
        <f>'2.SD Community Based Annex'!B50</f>
        <v>I.1.5</v>
      </c>
      <c r="C8" s="224" t="str">
        <f>'2.SD Community Based Annex'!C50</f>
        <v>Recurring grant for collection of eye balls by eye banks and eye donation centres</v>
      </c>
      <c r="D8" s="606" t="str">
        <f>'2.SD Community Based Annex'!D50</f>
        <v>NCD</v>
      </c>
      <c r="E8" s="606" t="str">
        <f>'2.SD Community Based Annex'!E50</f>
        <v>NPCB</v>
      </c>
      <c r="F8" s="606">
        <f>'2.SD Community Based Annex'!F50</f>
        <v>0</v>
      </c>
      <c r="G8" s="606">
        <f>'2.SD Community Based Annex'!G50</f>
        <v>0</v>
      </c>
      <c r="H8" s="606">
        <f>'2.SD Community Based Annex'!H50</f>
        <v>0</v>
      </c>
      <c r="I8" s="606">
        <f>'2.SD Community Based Annex'!I50</f>
        <v>0</v>
      </c>
      <c r="J8" s="606">
        <f>'2.SD Community Based Annex'!J50</f>
        <v>0</v>
      </c>
      <c r="K8" s="606" t="str">
        <f>'2.SD Community Based Annex'!K50</f>
        <v>Per Pair Eye Ball</v>
      </c>
      <c r="L8" s="606">
        <f>'2.SD Community Based Annex'!L50</f>
        <v>2000</v>
      </c>
      <c r="M8" s="136">
        <f>'2.SD Community Based Annex'!M50</f>
        <v>0.02</v>
      </c>
      <c r="N8" s="606">
        <f>'2.SD Community Based Annex'!N50</f>
        <v>400</v>
      </c>
      <c r="O8" s="136">
        <f>'2.SD Community Based Annex'!O50</f>
        <v>8</v>
      </c>
      <c r="P8" s="224" t="str">
        <f>'2.SD Community Based Annex'!P50</f>
        <v xml:space="preserve"> Eye Bank in PMCH Patna &amp; RIO IGIMS, Patna are Functional. 
Eye Bank in Muzaffarpur, Gaya,and Bhagalpur medical Colleges are also become functional soon.</v>
      </c>
      <c r="Q8" s="62"/>
      <c r="R8" s="318"/>
    </row>
    <row r="9" spans="1:18" ht="45">
      <c r="A9" s="78" t="str">
        <f>'2.SD Community Based Annex'!A57</f>
        <v>2.3.3.2</v>
      </c>
      <c r="B9" s="78" t="str">
        <f>'2.SD Community Based Annex'!B57</f>
        <v>I.1.3</v>
      </c>
      <c r="C9" s="78" t="str">
        <f>'2.SD Community Based Annex'!C57</f>
        <v>Screening and free spectacles to school children</v>
      </c>
      <c r="D9" s="990" t="str">
        <f>'2.SD Community Based Annex'!D57</f>
        <v>NCD</v>
      </c>
      <c r="E9" s="990" t="str">
        <f>'2.SD Community Based Annex'!E57</f>
        <v>NPCB</v>
      </c>
      <c r="F9" s="990">
        <f>'2.SD Community Based Annex'!F57</f>
        <v>0</v>
      </c>
      <c r="G9" s="990">
        <f>'2.SD Community Based Annex'!G57</f>
        <v>0</v>
      </c>
      <c r="H9" s="990">
        <f>'2.SD Community Based Annex'!H57</f>
        <v>0</v>
      </c>
      <c r="I9" s="990">
        <f>'2.SD Community Based Annex'!I57</f>
        <v>0</v>
      </c>
      <c r="J9" s="990">
        <f>'2.SD Community Based Annex'!J57</f>
        <v>0</v>
      </c>
      <c r="K9" s="990" t="str">
        <f>'2.SD Community Based Annex'!K57</f>
        <v>Per Spectacles</v>
      </c>
      <c r="L9" s="990">
        <f>'2.SD Community Based Annex'!L57</f>
        <v>350</v>
      </c>
      <c r="M9" s="136">
        <f>'2.SD Community Based Annex'!M57</f>
        <v>3.5000000000000001E-3</v>
      </c>
      <c r="N9" s="990">
        <f>'2.SD Community Based Annex'!N57</f>
        <v>54000</v>
      </c>
      <c r="O9" s="136">
        <f>'2.SD Community Based Annex'!O57</f>
        <v>189</v>
      </c>
      <c r="P9" s="78" t="str">
        <f>'2.SD Community Based Annex'!P57</f>
        <v>Continuous Activity:-
Screening and free Spectacles to the School going children @350/-  per spectacles.</v>
      </c>
      <c r="Q9" s="62"/>
      <c r="R9" s="318"/>
    </row>
    <row r="10" spans="1:18" ht="60">
      <c r="A10" s="78" t="str">
        <f>'2.SD Community Based Annex'!A58</f>
        <v>2.3.3.3</v>
      </c>
      <c r="B10" s="78" t="str">
        <f>'2.SD Community Based Annex'!B58</f>
        <v>I.1.4</v>
      </c>
      <c r="C10" s="78" t="str">
        <f>'2.SD Community Based Annex'!C58</f>
        <v>Screening and free spectacles for near work to Old Person</v>
      </c>
      <c r="D10" s="990" t="str">
        <f>'2.SD Community Based Annex'!D58</f>
        <v>NCD</v>
      </c>
      <c r="E10" s="990" t="str">
        <f>'2.SD Community Based Annex'!E58</f>
        <v>NPCB</v>
      </c>
      <c r="F10" s="990">
        <f>'2.SD Community Based Annex'!F58</f>
        <v>0</v>
      </c>
      <c r="G10" s="990">
        <f>'2.SD Community Based Annex'!G58</f>
        <v>0</v>
      </c>
      <c r="H10" s="990">
        <f>'2.SD Community Based Annex'!H58</f>
        <v>0</v>
      </c>
      <c r="I10" s="990">
        <f>'2.SD Community Based Annex'!I58</f>
        <v>0</v>
      </c>
      <c r="J10" s="990">
        <f>'2.SD Community Based Annex'!J58</f>
        <v>0</v>
      </c>
      <c r="K10" s="990" t="str">
        <f>'2.SD Community Based Annex'!K58</f>
        <v>Per Spectacles</v>
      </c>
      <c r="L10" s="990">
        <f>'2.SD Community Based Annex'!L58</f>
        <v>350</v>
      </c>
      <c r="M10" s="136">
        <f>'2.SD Community Based Annex'!M58</f>
        <v>3.5000000000000001E-3</v>
      </c>
      <c r="N10" s="990">
        <f>'2.SD Community Based Annex'!N58</f>
        <v>54000</v>
      </c>
      <c r="O10" s="136">
        <f>'2.SD Community Based Annex'!O58</f>
        <v>189</v>
      </c>
      <c r="P10" s="78" t="str">
        <f>'2.SD Community Based Annex'!P58</f>
        <v xml:space="preserve">Continuous Activity:-
Screening and free Spectacles to the near work to old Person @ 350/- Per Spectacles.
</v>
      </c>
      <c r="Q10" s="62"/>
      <c r="R10" s="318"/>
    </row>
    <row r="11" spans="1:18">
      <c r="A11" s="1022">
        <f>'5.Infrastructure Annex'!A7</f>
        <v>5</v>
      </c>
      <c r="B11" s="1022"/>
      <c r="C11" s="1022" t="str">
        <f>'5.Infrastructure Annex'!C7</f>
        <v>Infrastructure</v>
      </c>
      <c r="D11" s="334"/>
      <c r="E11" s="334"/>
      <c r="F11" s="334"/>
      <c r="G11" s="334"/>
      <c r="H11" s="240"/>
      <c r="I11" s="334"/>
      <c r="J11" s="240"/>
      <c r="K11" s="1022"/>
      <c r="L11" s="1022"/>
      <c r="M11" s="240"/>
      <c r="N11" s="1109"/>
      <c r="O11" s="1110">
        <f>O12</f>
        <v>0</v>
      </c>
      <c r="P11" s="1111"/>
      <c r="Q11" s="1112"/>
      <c r="R11" s="1113">
        <f>R12</f>
        <v>0</v>
      </c>
    </row>
    <row r="12" spans="1:18" ht="45">
      <c r="A12" s="78" t="str">
        <f>'5.Infrastructure Annex'!A18</f>
        <v>5.1.1.1.8</v>
      </c>
      <c r="B12" s="78" t="str">
        <f>'5.Infrastructure Annex'!B18</f>
        <v>I.2.7</v>
      </c>
      <c r="C12" s="78" t="str">
        <f>'5.Infrastructure Annex'!C18</f>
        <v>Grant-in-aid for construction of Eye Wards and Eye OTS (renamed as  dedicated eye unit)</v>
      </c>
      <c r="D12" s="990" t="str">
        <f>'5.Infrastructure Annex'!D18</f>
        <v>NCD</v>
      </c>
      <c r="E12" s="990" t="str">
        <f>'5.Infrastructure Annex'!E18</f>
        <v>NPCB</v>
      </c>
      <c r="F12" s="990">
        <f>'5.Infrastructure Annex'!F18</f>
        <v>0</v>
      </c>
      <c r="G12" s="990">
        <f>'5.Infrastructure Annex'!G18</f>
        <v>0</v>
      </c>
      <c r="H12" s="990">
        <f>'5.Infrastructure Annex'!H18</f>
        <v>0</v>
      </c>
      <c r="I12" s="990">
        <f>'5.Infrastructure Annex'!I18</f>
        <v>0</v>
      </c>
      <c r="J12" s="990">
        <f>'5.Infrastructure Annex'!J18</f>
        <v>0</v>
      </c>
      <c r="K12" s="990">
        <f>'5.Infrastructure Annex'!K18</f>
        <v>0</v>
      </c>
      <c r="L12" s="990">
        <f>'5.Infrastructure Annex'!L18</f>
        <v>0</v>
      </c>
      <c r="M12" s="136">
        <f>'5.Infrastructure Annex'!M18</f>
        <v>0</v>
      </c>
      <c r="N12" s="990">
        <f>'5.Infrastructure Annex'!N18</f>
        <v>0</v>
      </c>
      <c r="O12" s="136">
        <f>'5.Infrastructure Annex'!O18</f>
        <v>0</v>
      </c>
      <c r="P12" s="78">
        <f>'5.Infrastructure Annex'!P18</f>
        <v>0</v>
      </c>
      <c r="Q12" s="62"/>
      <c r="R12" s="318"/>
    </row>
    <row r="13" spans="1:18">
      <c r="A13" s="1022">
        <f>'6.Procurement Annex'!A7</f>
        <v>6</v>
      </c>
      <c r="B13" s="1022"/>
      <c r="C13" s="1022" t="str">
        <f>'6.Procurement Annex'!C7</f>
        <v>Procurement</v>
      </c>
      <c r="D13" s="334"/>
      <c r="E13" s="334"/>
      <c r="F13" s="1009"/>
      <c r="G13" s="1009"/>
      <c r="H13" s="1010"/>
      <c r="I13" s="1009"/>
      <c r="J13" s="240"/>
      <c r="K13" s="1011"/>
      <c r="L13" s="1011"/>
      <c r="M13" s="240"/>
      <c r="N13" s="1109"/>
      <c r="O13" s="1110">
        <f>SUM(O14:O21)</f>
        <v>435</v>
      </c>
      <c r="P13" s="1111"/>
      <c r="Q13" s="1112"/>
      <c r="R13" s="1113">
        <f>SUM(R14:R21)</f>
        <v>0</v>
      </c>
    </row>
    <row r="14" spans="1:18" ht="45">
      <c r="A14" s="4633" t="str">
        <f>'6.Procurement Annex'!A36</f>
        <v>6.1.5.1</v>
      </c>
      <c r="B14" s="78" t="str">
        <f>'6-A. Proc. Sub-Annex'!C94</f>
        <v>I.2.1.</v>
      </c>
      <c r="C14" s="78" t="str">
        <f>'6-A. Proc. Sub-Annex'!D94</f>
        <v>Grant-in-aid for District Hospitals</v>
      </c>
      <c r="D14" s="990" t="str">
        <f>'6-A. Proc. Sub-Annex'!E94</f>
        <v>NCD</v>
      </c>
      <c r="E14" s="990" t="str">
        <f>'6-A. Proc. Sub-Annex'!F94</f>
        <v>NPCB</v>
      </c>
      <c r="F14" s="990">
        <f>'6-A. Proc. Sub-Annex'!G94</f>
        <v>0</v>
      </c>
      <c r="G14" s="990">
        <f>'6-A. Proc. Sub-Annex'!H94</f>
        <v>0</v>
      </c>
      <c r="H14" s="990">
        <f>'6-A. Proc. Sub-Annex'!I94</f>
        <v>0</v>
      </c>
      <c r="I14" s="990">
        <f>'6-A. Proc. Sub-Annex'!J94</f>
        <v>0</v>
      </c>
      <c r="J14" s="990">
        <f>'6-A. Proc. Sub-Annex'!K94</f>
        <v>0</v>
      </c>
      <c r="K14" s="990" t="str">
        <f>'6-A. Proc. Sub-Annex'!L94</f>
        <v>Per District Hospital</v>
      </c>
      <c r="L14" s="990">
        <f>'6-A. Proc. Sub-Annex'!M94</f>
        <v>4000000</v>
      </c>
      <c r="M14" s="136">
        <f>'6-A. Proc. Sub-Annex'!N94</f>
        <v>40</v>
      </c>
      <c r="N14" s="990">
        <f>'6-A. Proc. Sub-Annex'!O94</f>
        <v>5</v>
      </c>
      <c r="O14" s="136">
        <f>'6-A. Proc. Sub-Annex'!P94</f>
        <v>200</v>
      </c>
      <c r="P14" s="78" t="str">
        <f>'6-A. Proc. Sub-Annex'!Q94</f>
        <v>Continuous Activity:-
For Strengthening of Eye Health facilities in  District Hospital.</v>
      </c>
      <c r="Q14" s="62"/>
      <c r="R14" s="318"/>
    </row>
    <row r="15" spans="1:18">
      <c r="A15" s="4633"/>
      <c r="B15" s="78" t="str">
        <f>'6-A. Proc. Sub-Annex'!C95</f>
        <v>I.2.2.</v>
      </c>
      <c r="C15" s="78" t="str">
        <f>'6-A. Proc. Sub-Annex'!D95</f>
        <v>Grant-in-aid for Sub Divisional Hospitals</v>
      </c>
      <c r="D15" s="990" t="str">
        <f>'6-A. Proc. Sub-Annex'!E95</f>
        <v>NCD</v>
      </c>
      <c r="E15" s="990" t="str">
        <f>'6-A. Proc. Sub-Annex'!F95</f>
        <v>NPCB</v>
      </c>
      <c r="F15" s="990">
        <f>'6-A. Proc. Sub-Annex'!G95</f>
        <v>0</v>
      </c>
      <c r="G15" s="990">
        <f>'6-A. Proc. Sub-Annex'!H95</f>
        <v>0</v>
      </c>
      <c r="H15" s="990">
        <f>'6-A. Proc. Sub-Annex'!I95</f>
        <v>0</v>
      </c>
      <c r="I15" s="990">
        <f>'6-A. Proc. Sub-Annex'!J95</f>
        <v>0</v>
      </c>
      <c r="J15" s="990">
        <f>'6-A. Proc. Sub-Annex'!K95</f>
        <v>0</v>
      </c>
      <c r="K15" s="990">
        <f>'6-A. Proc. Sub-Annex'!L95</f>
        <v>0</v>
      </c>
      <c r="L15" s="990">
        <f>'6-A. Proc. Sub-Annex'!M95</f>
        <v>0</v>
      </c>
      <c r="M15" s="136">
        <f>'6-A. Proc. Sub-Annex'!N95</f>
        <v>0</v>
      </c>
      <c r="N15" s="990">
        <f>'6-A. Proc. Sub-Annex'!O95</f>
        <v>0</v>
      </c>
      <c r="O15" s="136">
        <f>'6-A. Proc. Sub-Annex'!P95</f>
        <v>0</v>
      </c>
      <c r="P15" s="78">
        <f>'6-A. Proc. Sub-Annex'!Q95</f>
        <v>0</v>
      </c>
      <c r="Q15" s="62"/>
      <c r="R15" s="318"/>
    </row>
    <row r="16" spans="1:18" ht="30">
      <c r="A16" s="4633"/>
      <c r="B16" s="78" t="str">
        <f>'6-A. Proc. Sub-Annex'!C96</f>
        <v>I.2.3</v>
      </c>
      <c r="C16" s="78" t="str">
        <f>'6-A. Proc. Sub-Annex'!D96</f>
        <v xml:space="preserve">Grant-in-aid for Vision Centre (PHC) (Govt.) </v>
      </c>
      <c r="D16" s="990" t="str">
        <f>'6-A. Proc. Sub-Annex'!E96</f>
        <v>NCD</v>
      </c>
      <c r="E16" s="990" t="str">
        <f>'6-A. Proc. Sub-Annex'!F96</f>
        <v>NPCB</v>
      </c>
      <c r="F16" s="990">
        <f>'6-A. Proc. Sub-Annex'!G96</f>
        <v>0</v>
      </c>
      <c r="G16" s="990">
        <f>'6-A. Proc. Sub-Annex'!H96</f>
        <v>0</v>
      </c>
      <c r="H16" s="990">
        <f>'6-A. Proc. Sub-Annex'!I96</f>
        <v>0</v>
      </c>
      <c r="I16" s="990">
        <f>'6-A. Proc. Sub-Annex'!J96</f>
        <v>0</v>
      </c>
      <c r="J16" s="990">
        <f>'6-A. Proc. Sub-Annex'!K96</f>
        <v>0</v>
      </c>
      <c r="K16" s="990">
        <f>'6-A. Proc. Sub-Annex'!L96</f>
        <v>0</v>
      </c>
      <c r="L16" s="990">
        <f>'6-A. Proc. Sub-Annex'!M96</f>
        <v>0</v>
      </c>
      <c r="M16" s="136">
        <f>'6-A. Proc. Sub-Annex'!N96</f>
        <v>0</v>
      </c>
      <c r="N16" s="990">
        <f>'6-A. Proc. Sub-Annex'!O96</f>
        <v>0</v>
      </c>
      <c r="O16" s="136">
        <f>'6-A. Proc. Sub-Annex'!P96</f>
        <v>0</v>
      </c>
      <c r="P16" s="78">
        <f>'6-A. Proc. Sub-Annex'!Q96</f>
        <v>0</v>
      </c>
      <c r="Q16" s="62"/>
      <c r="R16" s="318"/>
    </row>
    <row r="17" spans="1:18">
      <c r="A17" s="4633"/>
      <c r="B17" s="78" t="str">
        <f>'6-A. Proc. Sub-Annex'!C97</f>
        <v>I.2.4</v>
      </c>
      <c r="C17" s="78" t="str">
        <f>'6-A. Proc. Sub-Annex'!D97</f>
        <v>Grant-in-aid for Eye Bank (Govt.)</v>
      </c>
      <c r="D17" s="990" t="str">
        <f>'6-A. Proc. Sub-Annex'!E97</f>
        <v>NCD</v>
      </c>
      <c r="E17" s="990" t="str">
        <f>'6-A. Proc. Sub-Annex'!F97</f>
        <v>NPCB</v>
      </c>
      <c r="F17" s="990">
        <f>'6-A. Proc. Sub-Annex'!G97</f>
        <v>0</v>
      </c>
      <c r="G17" s="990">
        <f>'6-A. Proc. Sub-Annex'!H97</f>
        <v>0</v>
      </c>
      <c r="H17" s="990">
        <f>'6-A. Proc. Sub-Annex'!I97</f>
        <v>0</v>
      </c>
      <c r="I17" s="990">
        <f>'6-A. Proc. Sub-Annex'!J97</f>
        <v>0</v>
      </c>
      <c r="J17" s="990">
        <f>'6-A. Proc. Sub-Annex'!K97</f>
        <v>0</v>
      </c>
      <c r="K17" s="990">
        <f>'6-A. Proc. Sub-Annex'!L97</f>
        <v>0</v>
      </c>
      <c r="L17" s="990">
        <f>'6-A. Proc. Sub-Annex'!M97</f>
        <v>0</v>
      </c>
      <c r="M17" s="136">
        <f>'6-A. Proc. Sub-Annex'!N97</f>
        <v>0</v>
      </c>
      <c r="N17" s="990">
        <f>'6-A. Proc. Sub-Annex'!O97</f>
        <v>0</v>
      </c>
      <c r="O17" s="136">
        <f>'6-A. Proc. Sub-Annex'!P97</f>
        <v>0</v>
      </c>
      <c r="P17" s="78">
        <f>'6-A. Proc. Sub-Annex'!Q97</f>
        <v>0</v>
      </c>
      <c r="Q17" s="62"/>
      <c r="R17" s="318"/>
    </row>
    <row r="18" spans="1:18" ht="30">
      <c r="A18" s="4633"/>
      <c r="B18" s="78" t="str">
        <f>'6-A. Proc. Sub-Annex'!C98</f>
        <v>I.2.5</v>
      </c>
      <c r="C18" s="78" t="str">
        <f>'6-A. Proc. Sub-Annex'!D98</f>
        <v>Grant-in-aid for Eye Donation Centre (Govt.)</v>
      </c>
      <c r="D18" s="990" t="str">
        <f>'6-A. Proc. Sub-Annex'!E98</f>
        <v>NCD</v>
      </c>
      <c r="E18" s="990" t="str">
        <f>'6-A. Proc. Sub-Annex'!F98</f>
        <v>NPCB</v>
      </c>
      <c r="F18" s="990">
        <f>'6-A. Proc. Sub-Annex'!G98</f>
        <v>0</v>
      </c>
      <c r="G18" s="990">
        <f>'6-A. Proc. Sub-Annex'!H98</f>
        <v>0</v>
      </c>
      <c r="H18" s="990">
        <f>'6-A. Proc. Sub-Annex'!I98</f>
        <v>0</v>
      </c>
      <c r="I18" s="990">
        <f>'6-A. Proc. Sub-Annex'!J98</f>
        <v>0</v>
      </c>
      <c r="J18" s="990">
        <f>'6-A. Proc. Sub-Annex'!K98</f>
        <v>0</v>
      </c>
      <c r="K18" s="990">
        <f>'6-A. Proc. Sub-Annex'!L98</f>
        <v>0</v>
      </c>
      <c r="L18" s="990">
        <f>'6-A. Proc. Sub-Annex'!M98</f>
        <v>0</v>
      </c>
      <c r="M18" s="136">
        <f>'6-A. Proc. Sub-Annex'!N98</f>
        <v>0</v>
      </c>
      <c r="N18" s="990">
        <f>'6-A. Proc. Sub-Annex'!O98</f>
        <v>0</v>
      </c>
      <c r="O18" s="136">
        <f>'6-A. Proc. Sub-Annex'!P98</f>
        <v>0</v>
      </c>
      <c r="P18" s="78">
        <f>'6-A. Proc. Sub-Annex'!Q98</f>
        <v>0</v>
      </c>
      <c r="Q18" s="62"/>
      <c r="R18" s="318"/>
    </row>
    <row r="19" spans="1:18">
      <c r="A19" s="78" t="str">
        <f>'6.Procurement Annex'!A51</f>
        <v>6.1.6.5</v>
      </c>
      <c r="B19" s="78" t="str">
        <f>'6-A. Proc. Sub-Annex'!C141</f>
        <v>I.1.8</v>
      </c>
      <c r="C19" s="78" t="str">
        <f>'6-A. Proc. Sub-Annex'!D141</f>
        <v>Maintenance of Ophthalmic Equipment</v>
      </c>
      <c r="D19" s="990" t="str">
        <f>'6-A. Proc. Sub-Annex'!E141</f>
        <v>NCD</v>
      </c>
      <c r="E19" s="990" t="str">
        <f>'6-A. Proc. Sub-Annex'!F141</f>
        <v>NPCB</v>
      </c>
      <c r="F19" s="990">
        <f>'6-A. Proc. Sub-Annex'!G141</f>
        <v>0</v>
      </c>
      <c r="G19" s="990">
        <f>'6-A. Proc. Sub-Annex'!H141</f>
        <v>0</v>
      </c>
      <c r="H19" s="990">
        <f>'6-A. Proc. Sub-Annex'!I141</f>
        <v>0</v>
      </c>
      <c r="I19" s="990">
        <f>'6-A. Proc. Sub-Annex'!J141</f>
        <v>0</v>
      </c>
      <c r="J19" s="990">
        <f>'6-A. Proc. Sub-Annex'!K141</f>
        <v>0</v>
      </c>
      <c r="K19" s="990">
        <f>'6-A. Proc. Sub-Annex'!L141</f>
        <v>0</v>
      </c>
      <c r="L19" s="990">
        <f>'6-A. Proc. Sub-Annex'!M141</f>
        <v>0</v>
      </c>
      <c r="M19" s="136">
        <f>'6-A. Proc. Sub-Annex'!N141</f>
        <v>0</v>
      </c>
      <c r="N19" s="990">
        <f>'6-A. Proc. Sub-Annex'!O141</f>
        <v>0</v>
      </c>
      <c r="O19" s="136">
        <f>'6-A. Proc. Sub-Annex'!P141</f>
        <v>0</v>
      </c>
      <c r="P19" s="78">
        <f>'6-A. Proc. Sub-Annex'!Q141</f>
        <v>0</v>
      </c>
      <c r="Q19" s="62"/>
      <c r="R19" s="318"/>
    </row>
    <row r="20" spans="1:18" ht="45">
      <c r="A20" s="4633" t="str">
        <f>'6.Procurement Annex'!A79</f>
        <v>6.2.4.1</v>
      </c>
      <c r="B20" s="78" t="str">
        <f>'6-A. Proc. Sub-Annex'!C251</f>
        <v>B.16.2.11.4.a</v>
      </c>
      <c r="C20" s="78" t="str">
        <f>'6-A. Proc. Sub-Annex'!D251</f>
        <v>Assistance for consumables/drugs/medicines to the Govt./District Hospital for Cat sx etc</v>
      </c>
      <c r="D20" s="990" t="str">
        <f>'6-A. Proc. Sub-Annex'!E251</f>
        <v>NCD</v>
      </c>
      <c r="E20" s="990" t="str">
        <f>'6-A. Proc. Sub-Annex'!F251</f>
        <v>NPCB</v>
      </c>
      <c r="F20" s="990">
        <f>'6-A. Proc. Sub-Annex'!G251</f>
        <v>0</v>
      </c>
      <c r="G20" s="990">
        <f>'6-A. Proc. Sub-Annex'!H251</f>
        <v>0</v>
      </c>
      <c r="H20" s="990">
        <f>'6-A. Proc. Sub-Annex'!I251</f>
        <v>0</v>
      </c>
      <c r="I20" s="990">
        <f>'6-A. Proc. Sub-Annex'!J251</f>
        <v>0</v>
      </c>
      <c r="J20" s="990">
        <f>'6-A. Proc. Sub-Annex'!K251</f>
        <v>0</v>
      </c>
      <c r="K20" s="990" t="str">
        <f>'6-A. Proc. Sub-Annex'!L251</f>
        <v>Per Cataract Operation</v>
      </c>
      <c r="L20" s="990">
        <f>'6-A. Proc. Sub-Annex'!M251</f>
        <v>1000</v>
      </c>
      <c r="M20" s="136">
        <f>'6-A. Proc. Sub-Annex'!N251</f>
        <v>0.01</v>
      </c>
      <c r="N20" s="990">
        <f>'6-A. Proc. Sub-Annex'!O251</f>
        <v>23500</v>
      </c>
      <c r="O20" s="136">
        <f>'6-A. Proc. Sub-Annex'!P251</f>
        <v>235</v>
      </c>
      <c r="P20" s="78" t="str">
        <f>'6-A. Proc. Sub-Annex'!Q251</f>
        <v>Continuous Activity:-
For Cataract Surgery in District Hospital @1000/- per Cataract Surgery.</v>
      </c>
      <c r="Q20" s="62"/>
      <c r="R20" s="318"/>
    </row>
    <row r="21" spans="1:18" ht="30">
      <c r="A21" s="4633"/>
      <c r="B21" s="78"/>
      <c r="C21" s="78" t="str">
        <f>'6-A. Proc. Sub-Annex'!D252</f>
        <v>Any other drugs &amp; supplies (please specify)</v>
      </c>
      <c r="D21" s="990" t="str">
        <f>'6-A. Proc. Sub-Annex'!E252</f>
        <v>NCD</v>
      </c>
      <c r="E21" s="990" t="str">
        <f>'6-A. Proc. Sub-Annex'!F252</f>
        <v>NPCB</v>
      </c>
      <c r="F21" s="990">
        <f>'6-A. Proc. Sub-Annex'!G252</f>
        <v>0</v>
      </c>
      <c r="G21" s="990">
        <f>'6-A. Proc. Sub-Annex'!H252</f>
        <v>0</v>
      </c>
      <c r="H21" s="990">
        <f>'6-A. Proc. Sub-Annex'!I252</f>
        <v>0</v>
      </c>
      <c r="I21" s="990">
        <f>'6-A. Proc. Sub-Annex'!J252</f>
        <v>0</v>
      </c>
      <c r="J21" s="990">
        <f>'6-A. Proc. Sub-Annex'!K252</f>
        <v>0</v>
      </c>
      <c r="K21" s="990">
        <f>'6-A. Proc. Sub-Annex'!L252</f>
        <v>0</v>
      </c>
      <c r="L21" s="990">
        <f>'6-A. Proc. Sub-Annex'!M252</f>
        <v>0</v>
      </c>
      <c r="M21" s="136">
        <f>'6-A. Proc. Sub-Annex'!N252</f>
        <v>0</v>
      </c>
      <c r="N21" s="990">
        <f>'6-A. Proc. Sub-Annex'!O252</f>
        <v>0</v>
      </c>
      <c r="O21" s="136">
        <f>'6-A. Proc. Sub-Annex'!P252</f>
        <v>0</v>
      </c>
      <c r="P21" s="78">
        <f>'6-A. Proc. Sub-Annex'!Q252</f>
        <v>0</v>
      </c>
      <c r="Q21" s="62"/>
      <c r="R21" s="318"/>
    </row>
    <row r="22" spans="1:18">
      <c r="A22" s="1022">
        <f>'9.Training Annex'!A7</f>
        <v>9</v>
      </c>
      <c r="B22" s="1022"/>
      <c r="C22" s="1022" t="str">
        <f>'9.Training Annex'!C7</f>
        <v>Training and Capacity Building</v>
      </c>
      <c r="D22" s="334"/>
      <c r="E22" s="334"/>
      <c r="F22" s="334"/>
      <c r="G22" s="334"/>
      <c r="H22" s="240"/>
      <c r="I22" s="334"/>
      <c r="J22" s="240"/>
      <c r="K22" s="1022"/>
      <c r="L22" s="1022"/>
      <c r="M22" s="240"/>
      <c r="N22" s="1109"/>
      <c r="O22" s="1110">
        <f>SUM(O23:O24)</f>
        <v>4</v>
      </c>
      <c r="P22" s="1111"/>
      <c r="Q22" s="1112"/>
      <c r="R22" s="1113">
        <f>SUM(R23:R24)</f>
        <v>0</v>
      </c>
    </row>
    <row r="23" spans="1:18">
      <c r="A23" s="4633" t="str">
        <f>'9.Training Annex'!A55</f>
        <v>9.2.4.1</v>
      </c>
      <c r="B23" s="78" t="str">
        <f>'9-A.Training Sub-Annex'!C249</f>
        <v>I.1.6</v>
      </c>
      <c r="C23" s="78" t="str">
        <f>'9-A.Training Sub-Annex'!D249</f>
        <v>Training of PMOA under NPCB</v>
      </c>
      <c r="D23" s="990" t="str">
        <f>'9-A.Training Sub-Annex'!E249</f>
        <v>NCD</v>
      </c>
      <c r="E23" s="990" t="str">
        <f>'9-A.Training Sub-Annex'!F249</f>
        <v>NPCB</v>
      </c>
      <c r="F23" s="990">
        <f>'9-A.Training Sub-Annex'!G249</f>
        <v>0</v>
      </c>
      <c r="G23" s="990">
        <f>'9-A.Training Sub-Annex'!H249</f>
        <v>0</v>
      </c>
      <c r="H23" s="990">
        <f>'9-A.Training Sub-Annex'!I249</f>
        <v>0</v>
      </c>
      <c r="I23" s="990">
        <f>'9-A.Training Sub-Annex'!J249</f>
        <v>0</v>
      </c>
      <c r="J23" s="990">
        <f>'9-A.Training Sub-Annex'!K249</f>
        <v>0</v>
      </c>
      <c r="K23" s="990" t="str">
        <f>'9-A.Training Sub-Annex'!L249</f>
        <v>Per Participant</v>
      </c>
      <c r="L23" s="990">
        <f>'9-A.Training Sub-Annex'!M249</f>
        <v>40000</v>
      </c>
      <c r="M23" s="136">
        <f>'9-A.Training Sub-Annex'!N249</f>
        <v>0.4</v>
      </c>
      <c r="N23" s="990">
        <f>'9-A.Training Sub-Annex'!O249</f>
        <v>10</v>
      </c>
      <c r="O23" s="136">
        <f>'9-A.Training Sub-Annex'!P249</f>
        <v>4</v>
      </c>
      <c r="P23" s="78" t="str">
        <f>'9-A.Training Sub-Annex'!Q249</f>
        <v>Continuous Activity:-</v>
      </c>
      <c r="Q23" s="62"/>
      <c r="R23" s="318"/>
    </row>
    <row r="24" spans="1:18">
      <c r="A24" s="4633"/>
      <c r="B24" s="78"/>
      <c r="C24" s="78" t="str">
        <f>'9-A.Training Sub-Annex'!D250</f>
        <v>Any other (please specify)</v>
      </c>
      <c r="D24" s="990" t="str">
        <f>'9-A.Training Sub-Annex'!E250</f>
        <v>NCD</v>
      </c>
      <c r="E24" s="990" t="str">
        <f>'9-A.Training Sub-Annex'!F250</f>
        <v>NPCB</v>
      </c>
      <c r="F24" s="990">
        <f>'9-A.Training Sub-Annex'!G250</f>
        <v>0</v>
      </c>
      <c r="G24" s="990">
        <f>'9-A.Training Sub-Annex'!H250</f>
        <v>0</v>
      </c>
      <c r="H24" s="990">
        <f>'9-A.Training Sub-Annex'!I250</f>
        <v>0</v>
      </c>
      <c r="I24" s="990">
        <f>'9-A.Training Sub-Annex'!J250</f>
        <v>0</v>
      </c>
      <c r="J24" s="990">
        <f>'9-A.Training Sub-Annex'!K250</f>
        <v>0</v>
      </c>
      <c r="K24" s="990">
        <f>'9-A.Training Sub-Annex'!L250</f>
        <v>0</v>
      </c>
      <c r="L24" s="990">
        <f>'9-A.Training Sub-Annex'!M250</f>
        <v>0</v>
      </c>
      <c r="M24" s="136">
        <f>'9-A.Training Sub-Annex'!N250</f>
        <v>0</v>
      </c>
      <c r="N24" s="990">
        <f>'9-A.Training Sub-Annex'!O250</f>
        <v>0</v>
      </c>
      <c r="O24" s="136">
        <f>'9-A.Training Sub-Annex'!P250</f>
        <v>0</v>
      </c>
      <c r="P24" s="78">
        <f>'9-A.Training Sub-Annex'!Q250</f>
        <v>0</v>
      </c>
      <c r="Q24" s="62"/>
      <c r="R24" s="318"/>
    </row>
    <row r="25" spans="1:18" ht="30">
      <c r="A25" s="1022">
        <f>'10.Review Research &amp; Surveillen'!A7</f>
        <v>10</v>
      </c>
      <c r="B25" s="1022">
        <f>'10.Review Research &amp; Surveillen'!B7</f>
        <v>0</v>
      </c>
      <c r="C25" s="1022" t="str">
        <f>'10.Review Research &amp; Surveillen'!C7</f>
        <v>Reviews, Research, Surveys and Surveillance</v>
      </c>
      <c r="D25" s="334"/>
      <c r="E25" s="334"/>
      <c r="F25" s="334"/>
      <c r="G25" s="334"/>
      <c r="H25" s="240"/>
      <c r="I25" s="334"/>
      <c r="J25" s="240"/>
      <c r="K25" s="1022"/>
      <c r="L25" s="1022"/>
      <c r="M25" s="240"/>
      <c r="N25" s="1109"/>
      <c r="O25" s="1110">
        <f>O26</f>
        <v>0</v>
      </c>
      <c r="P25" s="1111"/>
      <c r="Q25" s="1112"/>
      <c r="R25" s="1113">
        <f>R26</f>
        <v>0</v>
      </c>
    </row>
    <row r="26" spans="1:18" ht="30">
      <c r="A26" s="78" t="str">
        <f>'10.Review Research &amp; Surveillen'!A61</f>
        <v>10.5.6</v>
      </c>
      <c r="B26" s="78">
        <f>'10.Review Research &amp; Surveillen'!B61</f>
        <v>0</v>
      </c>
      <c r="C26" s="78" t="str">
        <f>'10.Review Research &amp; Surveillen'!C61</f>
        <v>Sub-national Disease Free Certification: Cataract/Blindness</v>
      </c>
      <c r="D26" s="990" t="str">
        <f>'10.Review Research &amp; Surveillen'!D61</f>
        <v>NCD</v>
      </c>
      <c r="E26" s="990" t="str">
        <f>'10.Review Research &amp; Surveillen'!E61</f>
        <v>NPCB</v>
      </c>
      <c r="F26" s="990">
        <f>'10.Review Research &amp; Surveillen'!F61</f>
        <v>0</v>
      </c>
      <c r="G26" s="990">
        <f>'10.Review Research &amp; Surveillen'!G61</f>
        <v>0</v>
      </c>
      <c r="H26" s="990">
        <f>'10.Review Research &amp; Surveillen'!H61</f>
        <v>0</v>
      </c>
      <c r="I26" s="990">
        <f>'10.Review Research &amp; Surveillen'!I61</f>
        <v>0</v>
      </c>
      <c r="J26" s="990">
        <f>'10.Review Research &amp; Surveillen'!J61</f>
        <v>0</v>
      </c>
      <c r="K26" s="990">
        <f>'10.Review Research &amp; Surveillen'!K61</f>
        <v>0</v>
      </c>
      <c r="L26" s="990">
        <f>'10.Review Research &amp; Surveillen'!L61</f>
        <v>0</v>
      </c>
      <c r="M26" s="136">
        <f>'10.Review Research &amp; Surveillen'!M61</f>
        <v>0</v>
      </c>
      <c r="N26" s="990">
        <f>'10.Review Research &amp; Surveillen'!N61</f>
        <v>0</v>
      </c>
      <c r="O26" s="136">
        <f>'10.Review Research &amp; Surveillen'!O61</f>
        <v>0</v>
      </c>
      <c r="P26" s="78">
        <f>'10.Review Research &amp; Surveillen'!P61</f>
        <v>0</v>
      </c>
      <c r="Q26" s="62"/>
      <c r="R26" s="318"/>
    </row>
    <row r="27" spans="1:18">
      <c r="A27" s="1022">
        <f>'11.IEC-BCC Annex'!A7</f>
        <v>11</v>
      </c>
      <c r="B27" s="1022"/>
      <c r="C27" s="1022" t="str">
        <f>'11.IEC-BCC Annex'!C7</f>
        <v>IEC/BCC</v>
      </c>
      <c r="D27" s="334"/>
      <c r="E27" s="334"/>
      <c r="F27" s="1009"/>
      <c r="G27" s="1009"/>
      <c r="H27" s="1010"/>
      <c r="I27" s="1009"/>
      <c r="J27" s="240"/>
      <c r="K27" s="1011"/>
      <c r="L27" s="1011"/>
      <c r="M27" s="240"/>
      <c r="N27" s="1109"/>
      <c r="O27" s="1110">
        <f>SUM(O28:O29)</f>
        <v>22.05</v>
      </c>
      <c r="P27" s="1111"/>
      <c r="Q27" s="1112"/>
      <c r="R27" s="1113">
        <f>SUM(R28:R29)</f>
        <v>0</v>
      </c>
    </row>
    <row r="28" spans="1:18" ht="60">
      <c r="A28" s="4633" t="str">
        <f>'11.IEC-BCC Annex'!A32</f>
        <v>11.4.1</v>
      </c>
      <c r="B28" s="78" t="str">
        <f>'11-A. IEC Sub-Annex'!C78</f>
        <v>B.10.6.11</v>
      </c>
      <c r="C28" s="78" t="str">
        <f>'11-A. IEC Sub-Annex'!D78</f>
        <v>State level IEC for Minor State @ Rs. 10 lakh and for Major States @ Rs. 20 lakh under NPCB&amp;VI</v>
      </c>
      <c r="D28" s="990" t="str">
        <f>'11-A. IEC Sub-Annex'!E78</f>
        <v>NCD</v>
      </c>
      <c r="E28" s="990" t="str">
        <f>'11-A. IEC Sub-Annex'!F78</f>
        <v>NPCB</v>
      </c>
      <c r="F28" s="990">
        <f>'11-A. IEC Sub-Annex'!G78</f>
        <v>0</v>
      </c>
      <c r="G28" s="990">
        <f>'11-A. IEC Sub-Annex'!H78</f>
        <v>0</v>
      </c>
      <c r="H28" s="990">
        <f>'11-A. IEC Sub-Annex'!I78</f>
        <v>0</v>
      </c>
      <c r="I28" s="990">
        <f>'11-A. IEC Sub-Annex'!J78</f>
        <v>0</v>
      </c>
      <c r="J28" s="990">
        <f>'11-A. IEC Sub-Annex'!K78</f>
        <v>0</v>
      </c>
      <c r="K28" s="990" t="str">
        <f>'11-A. IEC Sub-Annex'!L78</f>
        <v>Per Activity</v>
      </c>
      <c r="L28" s="990">
        <f>'11-A. IEC Sub-Annex'!M78</f>
        <v>15000</v>
      </c>
      <c r="M28" s="136">
        <f>'11-A. IEC Sub-Annex'!N78</f>
        <v>0.15</v>
      </c>
      <c r="N28" s="990">
        <f>'11-A. IEC Sub-Annex'!O78</f>
        <v>147</v>
      </c>
      <c r="O28" s="136">
        <f>'11-A. IEC Sub-Annex'!P78</f>
        <v>22.05</v>
      </c>
      <c r="P28" s="78" t="str">
        <f>'11-A. IEC Sub-Annex'!Q78</f>
        <v>Continued Activity:
3 Activities per district @ 15000/- for 38 districts. As well as for 10 Medical colleges and 1 Super Speciality Eye Hospital (Rajendranagar).</v>
      </c>
      <c r="Q28" s="62"/>
      <c r="R28" s="318"/>
    </row>
    <row r="29" spans="1:18" ht="30">
      <c r="A29" s="4633"/>
      <c r="B29" s="78"/>
      <c r="C29" s="78" t="str">
        <f>'11-A. IEC Sub-Annex'!D79</f>
        <v>Any other IEC/BCC activities (please specify)</v>
      </c>
      <c r="D29" s="990" t="str">
        <f>'11-A. IEC Sub-Annex'!E79</f>
        <v>NCD</v>
      </c>
      <c r="E29" s="990" t="str">
        <f>'11-A. IEC Sub-Annex'!F79</f>
        <v>NPCB</v>
      </c>
      <c r="F29" s="990">
        <f>'11-A. IEC Sub-Annex'!G79</f>
        <v>0</v>
      </c>
      <c r="G29" s="990">
        <f>'11-A. IEC Sub-Annex'!H79</f>
        <v>0</v>
      </c>
      <c r="H29" s="990">
        <f>'11-A. IEC Sub-Annex'!I79</f>
        <v>0</v>
      </c>
      <c r="I29" s="990">
        <f>'11-A. IEC Sub-Annex'!J79</f>
        <v>0</v>
      </c>
      <c r="J29" s="990">
        <f>'11-A. IEC Sub-Annex'!K79</f>
        <v>0</v>
      </c>
      <c r="K29" s="990">
        <f>'11-A. IEC Sub-Annex'!L79</f>
        <v>0</v>
      </c>
      <c r="L29" s="990">
        <f>'11-A. IEC Sub-Annex'!M79</f>
        <v>0</v>
      </c>
      <c r="M29" s="136">
        <f>'11-A. IEC Sub-Annex'!N79</f>
        <v>0</v>
      </c>
      <c r="N29" s="990">
        <f>'11-A. IEC Sub-Annex'!O79</f>
        <v>0</v>
      </c>
      <c r="O29" s="136">
        <f>'11-A. IEC Sub-Annex'!P79</f>
        <v>0</v>
      </c>
      <c r="P29" s="78">
        <f>'11-A. IEC Sub-Annex'!Q79</f>
        <v>0</v>
      </c>
      <c r="Q29" s="62"/>
      <c r="R29" s="318"/>
    </row>
    <row r="30" spans="1:18">
      <c r="A30" s="1022">
        <f>'12.Printing Annex'!A7</f>
        <v>12</v>
      </c>
      <c r="B30" s="1022"/>
      <c r="C30" s="1022" t="str">
        <f>'11.IEC-BCC Annex'!C10</f>
        <v>IEC/BCC activities under CH</v>
      </c>
      <c r="D30" s="334"/>
      <c r="E30" s="334"/>
      <c r="F30" s="1009"/>
      <c r="G30" s="1009"/>
      <c r="H30" s="1010"/>
      <c r="I30" s="1009"/>
      <c r="J30" s="240"/>
      <c r="K30" s="1011"/>
      <c r="L30" s="1011"/>
      <c r="M30" s="240"/>
      <c r="N30" s="1109"/>
      <c r="O30" s="1110">
        <f>SUM(O31:O31)</f>
        <v>0</v>
      </c>
      <c r="P30" s="1111"/>
      <c r="Q30" s="1112"/>
      <c r="R30" s="1113">
        <f>SUM(R31:R31)</f>
        <v>0</v>
      </c>
    </row>
    <row r="31" spans="1:18" s="400" customFormat="1">
      <c r="A31" s="1201" t="str">
        <f>'12.Printing Annex'!A34</f>
        <v>12.4.1</v>
      </c>
      <c r="B31" s="1202">
        <f>'12-A. Print Sub-Annex'!C92</f>
        <v>0</v>
      </c>
      <c r="C31" s="1202" t="str">
        <f>'12-A. Print Sub-Annex'!D92</f>
        <v>Printing activities under NPCB+VI</v>
      </c>
      <c r="D31" s="1201" t="str">
        <f>'12-A. Print Sub-Annex'!E92</f>
        <v>NCD</v>
      </c>
      <c r="E31" s="1201" t="str">
        <f>'12-A. Print Sub-Annex'!F92</f>
        <v>NPCB</v>
      </c>
      <c r="F31" s="1201">
        <f>'12-A. Print Sub-Annex'!G92</f>
        <v>0</v>
      </c>
      <c r="G31" s="1201">
        <f>'12-A. Print Sub-Annex'!H92</f>
        <v>0</v>
      </c>
      <c r="H31" s="1201">
        <f>'12-A. Print Sub-Annex'!I92</f>
        <v>0</v>
      </c>
      <c r="I31" s="1201">
        <f>'12-A. Print Sub-Annex'!J92</f>
        <v>0</v>
      </c>
      <c r="J31" s="1201">
        <f>'12-A. Print Sub-Annex'!K92</f>
        <v>0</v>
      </c>
      <c r="K31" s="1201">
        <f>'12-A. Print Sub-Annex'!L92</f>
        <v>0</v>
      </c>
      <c r="L31" s="1201">
        <f>'12-A. Print Sub-Annex'!M92</f>
        <v>0</v>
      </c>
      <c r="M31" s="967">
        <f>'12-A. Print Sub-Annex'!N92</f>
        <v>0</v>
      </c>
      <c r="N31" s="1201">
        <f>'12-A. Print Sub-Annex'!O92</f>
        <v>0</v>
      </c>
      <c r="O31" s="967">
        <f>'12-A. Print Sub-Annex'!P92</f>
        <v>0</v>
      </c>
      <c r="P31" s="1202">
        <f>'12-A. Print Sub-Annex'!Q92</f>
        <v>0</v>
      </c>
      <c r="Q31" s="1203"/>
      <c r="R31" s="1204"/>
    </row>
    <row r="32" spans="1:18">
      <c r="A32" s="1022">
        <f>'15.PPP Annex'!A7</f>
        <v>15</v>
      </c>
      <c r="B32" s="1022"/>
      <c r="C32" s="1022" t="str">
        <f>'15.PPP Annex'!C7</f>
        <v>PPP</v>
      </c>
      <c r="D32" s="334"/>
      <c r="E32" s="334"/>
      <c r="F32" s="1009"/>
      <c r="G32" s="1009"/>
      <c r="H32" s="1010"/>
      <c r="I32" s="1009"/>
      <c r="J32" s="240"/>
      <c r="K32" s="1011"/>
      <c r="L32" s="1011"/>
      <c r="M32" s="240"/>
      <c r="N32" s="1109"/>
      <c r="O32" s="1110">
        <f>SUM(O33:O39)</f>
        <v>3000</v>
      </c>
      <c r="P32" s="1111"/>
      <c r="Q32" s="1112"/>
      <c r="R32" s="1113">
        <f>SUM(R33:R39)</f>
        <v>0</v>
      </c>
    </row>
    <row r="33" spans="1:18" ht="45">
      <c r="A33" s="78" t="str">
        <f>'15.PPP Annex'!A36</f>
        <v>15.4.2</v>
      </c>
      <c r="B33" s="78" t="str">
        <f>'15.PPP Annex'!B36</f>
        <v>15.6.1/ I.1.1</v>
      </c>
      <c r="C33" s="78" t="str">
        <f>'15.PPP Annex'!C36</f>
        <v>Reimbursement for cataract operation for NGO and Private  Practitioners as per NGO norms @ Rs. 2000</v>
      </c>
      <c r="D33" s="990" t="str">
        <f>'15.PPP Annex'!D36</f>
        <v>NCD</v>
      </c>
      <c r="E33" s="990" t="str">
        <f>'15.PPP Annex'!E36</f>
        <v>NPCB</v>
      </c>
      <c r="F33" s="990">
        <f>'15.PPP Annex'!F36</f>
        <v>0</v>
      </c>
      <c r="G33" s="990">
        <f>'15.PPP Annex'!G36</f>
        <v>0</v>
      </c>
      <c r="H33" s="990">
        <f>'15.PPP Annex'!H36</f>
        <v>0</v>
      </c>
      <c r="I33" s="990">
        <f>'15.PPP Annex'!I36</f>
        <v>0</v>
      </c>
      <c r="J33" s="990">
        <f>'15.PPP Annex'!J36</f>
        <v>0</v>
      </c>
      <c r="K33" s="990" t="str">
        <f>'15.PPP Annex'!K36</f>
        <v>Per Cataract Surgery</v>
      </c>
      <c r="L33" s="990">
        <f>'15.PPP Annex'!L36</f>
        <v>2000</v>
      </c>
      <c r="M33" s="136">
        <f>'15.PPP Annex'!M36</f>
        <v>0.02</v>
      </c>
      <c r="N33" s="990">
        <f>'15.PPP Annex'!N36</f>
        <v>150000</v>
      </c>
      <c r="O33" s="136">
        <f>'15.PPP Annex'!O36</f>
        <v>3000</v>
      </c>
      <c r="P33" s="78" t="str">
        <f>'15.PPP Annex'!P36</f>
        <v>On Going  Activity:-</v>
      </c>
      <c r="Q33" s="62"/>
      <c r="R33" s="318"/>
    </row>
    <row r="34" spans="1:18">
      <c r="A34" s="78" t="str">
        <f>'15.PPP Annex'!A38</f>
        <v>15.4.3.1</v>
      </c>
      <c r="B34" s="78"/>
      <c r="C34" s="78" t="str">
        <f>'15.PPP Annex'!C38</f>
        <v>Diabetic Retinopathy @ Rs. 2000</v>
      </c>
      <c r="D34" s="990" t="str">
        <f>'15.PPP Annex'!D38</f>
        <v>NCD</v>
      </c>
      <c r="E34" s="990" t="str">
        <f>'15.PPP Annex'!E38</f>
        <v>NPCB</v>
      </c>
      <c r="F34" s="990">
        <f>'15.PPP Annex'!F38</f>
        <v>0</v>
      </c>
      <c r="G34" s="990">
        <f>'15.PPP Annex'!G38</f>
        <v>0</v>
      </c>
      <c r="H34" s="990">
        <f>'15.PPP Annex'!H38</f>
        <v>0</v>
      </c>
      <c r="I34" s="990">
        <f>'15.PPP Annex'!I38</f>
        <v>0</v>
      </c>
      <c r="J34" s="990">
        <f>'15.PPP Annex'!J38</f>
        <v>0</v>
      </c>
      <c r="K34" s="990">
        <f>'15.PPP Annex'!K38</f>
        <v>0</v>
      </c>
      <c r="L34" s="990">
        <f>'15.PPP Annex'!L38</f>
        <v>0</v>
      </c>
      <c r="M34" s="136">
        <f>'15.PPP Annex'!M38</f>
        <v>0</v>
      </c>
      <c r="N34" s="990">
        <f>'15.PPP Annex'!N38</f>
        <v>0</v>
      </c>
      <c r="O34" s="136">
        <f>'15.PPP Annex'!O38</f>
        <v>0</v>
      </c>
      <c r="P34" s="78">
        <f>'15.PPP Annex'!P38</f>
        <v>0</v>
      </c>
      <c r="Q34" s="62"/>
      <c r="R34" s="318"/>
    </row>
    <row r="35" spans="1:18">
      <c r="A35" s="78" t="str">
        <f>'15.PPP Annex'!A39</f>
        <v>15.4.3.2</v>
      </c>
      <c r="B35" s="78"/>
      <c r="C35" s="78" t="str">
        <f>'15.PPP Annex'!C39</f>
        <v>Childhood Blindness @ Rs. 2000</v>
      </c>
      <c r="D35" s="990" t="str">
        <f>'15.PPP Annex'!D39</f>
        <v>NCD</v>
      </c>
      <c r="E35" s="990" t="str">
        <f>'15.PPP Annex'!E39</f>
        <v>NPCB</v>
      </c>
      <c r="F35" s="990">
        <f>'15.PPP Annex'!F39</f>
        <v>0</v>
      </c>
      <c r="G35" s="990">
        <f>'15.PPP Annex'!G39</f>
        <v>0</v>
      </c>
      <c r="H35" s="990">
        <f>'15.PPP Annex'!H39</f>
        <v>0</v>
      </c>
      <c r="I35" s="990">
        <f>'15.PPP Annex'!I39</f>
        <v>0</v>
      </c>
      <c r="J35" s="990">
        <f>'15.PPP Annex'!J39</f>
        <v>0</v>
      </c>
      <c r="K35" s="990">
        <f>'15.PPP Annex'!K39</f>
        <v>0</v>
      </c>
      <c r="L35" s="990">
        <f>'15.PPP Annex'!L39</f>
        <v>0</v>
      </c>
      <c r="M35" s="136">
        <f>'15.PPP Annex'!M39</f>
        <v>0</v>
      </c>
      <c r="N35" s="990">
        <f>'15.PPP Annex'!N39</f>
        <v>0</v>
      </c>
      <c r="O35" s="136">
        <f>'15.PPP Annex'!O39</f>
        <v>0</v>
      </c>
      <c r="P35" s="78">
        <f>'15.PPP Annex'!P39</f>
        <v>0</v>
      </c>
      <c r="Q35" s="62"/>
      <c r="R35" s="318"/>
    </row>
    <row r="36" spans="1:18">
      <c r="A36" s="78" t="str">
        <f>'15.PPP Annex'!A40</f>
        <v>15.5.3</v>
      </c>
      <c r="B36" s="78"/>
      <c r="C36" s="78" t="str">
        <f>'15.PPP Annex'!C40</f>
        <v>Glaucoma @ Rs. 2000</v>
      </c>
      <c r="D36" s="990" t="str">
        <f>'15.PPP Annex'!D40</f>
        <v>NCD</v>
      </c>
      <c r="E36" s="990" t="str">
        <f>'15.PPP Annex'!E40</f>
        <v>NPCB</v>
      </c>
      <c r="F36" s="990">
        <f>'15.PPP Annex'!F40</f>
        <v>0</v>
      </c>
      <c r="G36" s="990">
        <f>'15.PPP Annex'!G40</f>
        <v>0</v>
      </c>
      <c r="H36" s="990">
        <f>'15.PPP Annex'!H40</f>
        <v>0</v>
      </c>
      <c r="I36" s="990">
        <f>'15.PPP Annex'!I40</f>
        <v>0</v>
      </c>
      <c r="J36" s="990">
        <f>'15.PPP Annex'!J40</f>
        <v>0</v>
      </c>
      <c r="K36" s="990">
        <f>'15.PPP Annex'!K40</f>
        <v>0</v>
      </c>
      <c r="L36" s="990">
        <f>'15.PPP Annex'!L40</f>
        <v>0</v>
      </c>
      <c r="M36" s="136">
        <f>'15.PPP Annex'!M40</f>
        <v>0</v>
      </c>
      <c r="N36" s="990">
        <f>'15.PPP Annex'!N40</f>
        <v>0</v>
      </c>
      <c r="O36" s="136">
        <f>'15.PPP Annex'!O40</f>
        <v>0</v>
      </c>
      <c r="P36" s="78">
        <f>'15.PPP Annex'!P40</f>
        <v>0</v>
      </c>
      <c r="Q36" s="62"/>
      <c r="R36" s="318"/>
    </row>
    <row r="37" spans="1:18">
      <c r="A37" s="78" t="str">
        <f>'15.PPP Annex'!A41</f>
        <v>15.4.3.4</v>
      </c>
      <c r="B37" s="78"/>
      <c r="C37" s="78" t="str">
        <f>'15.PPP Annex'!C41</f>
        <v>Keratoplasty @ Rs. 5000</v>
      </c>
      <c r="D37" s="990" t="str">
        <f>'15.PPP Annex'!D41</f>
        <v>NCD</v>
      </c>
      <c r="E37" s="990" t="str">
        <f>'15.PPP Annex'!E41</f>
        <v>NPCB</v>
      </c>
      <c r="F37" s="990">
        <f>'15.PPP Annex'!F41</f>
        <v>0</v>
      </c>
      <c r="G37" s="990">
        <f>'15.PPP Annex'!G41</f>
        <v>0</v>
      </c>
      <c r="H37" s="990">
        <f>'15.PPP Annex'!H41</f>
        <v>0</v>
      </c>
      <c r="I37" s="990">
        <f>'15.PPP Annex'!I41</f>
        <v>0</v>
      </c>
      <c r="J37" s="990">
        <f>'15.PPP Annex'!J41</f>
        <v>0</v>
      </c>
      <c r="K37" s="990">
        <f>'15.PPP Annex'!K41</f>
        <v>0</v>
      </c>
      <c r="L37" s="990">
        <f>'15.PPP Annex'!L41</f>
        <v>0</v>
      </c>
      <c r="M37" s="136">
        <f>'15.PPP Annex'!M41</f>
        <v>0</v>
      </c>
      <c r="N37" s="990">
        <f>'15.PPP Annex'!N41</f>
        <v>0</v>
      </c>
      <c r="O37" s="136">
        <f>'15.PPP Annex'!O41</f>
        <v>0</v>
      </c>
      <c r="P37" s="78">
        <f>'15.PPP Annex'!P41</f>
        <v>0</v>
      </c>
      <c r="Q37" s="62"/>
      <c r="R37" s="318"/>
    </row>
    <row r="38" spans="1:18">
      <c r="A38" s="78" t="str">
        <f>'15.PPP Annex'!A42</f>
        <v>15.4.3.5</v>
      </c>
      <c r="B38" s="78"/>
      <c r="C38" s="78" t="str">
        <f>'15.PPP Annex'!C42</f>
        <v>Vitreoretinal Surgery@ Rs. 7500</v>
      </c>
      <c r="D38" s="990" t="str">
        <f>'15.PPP Annex'!D42</f>
        <v>NCD</v>
      </c>
      <c r="E38" s="990" t="str">
        <f>'15.PPP Annex'!E42</f>
        <v>NPCB</v>
      </c>
      <c r="F38" s="990">
        <f>'15.PPP Annex'!F42</f>
        <v>0</v>
      </c>
      <c r="G38" s="990">
        <f>'15.PPP Annex'!G42</f>
        <v>0</v>
      </c>
      <c r="H38" s="990">
        <f>'15.PPP Annex'!H42</f>
        <v>0</v>
      </c>
      <c r="I38" s="990">
        <f>'15.PPP Annex'!I42</f>
        <v>0</v>
      </c>
      <c r="J38" s="990">
        <f>'15.PPP Annex'!J42</f>
        <v>0</v>
      </c>
      <c r="K38" s="990">
        <f>'15.PPP Annex'!K42</f>
        <v>0</v>
      </c>
      <c r="L38" s="990">
        <f>'15.PPP Annex'!L42</f>
        <v>0</v>
      </c>
      <c r="M38" s="136">
        <f>'15.PPP Annex'!M42</f>
        <v>0</v>
      </c>
      <c r="N38" s="990">
        <f>'15.PPP Annex'!N42</f>
        <v>0</v>
      </c>
      <c r="O38" s="136">
        <f>'15.PPP Annex'!O42</f>
        <v>0</v>
      </c>
      <c r="P38" s="78">
        <f>'15.PPP Annex'!P42</f>
        <v>0</v>
      </c>
      <c r="Q38" s="62"/>
      <c r="R38" s="318"/>
    </row>
    <row r="39" spans="1:18">
      <c r="A39" s="78" t="str">
        <f>'15.PPP Annex'!A45</f>
        <v>15.4.3.6</v>
      </c>
      <c r="B39" s="78"/>
      <c r="C39" s="78" t="str">
        <f>'15.PPP Annex'!C45</f>
        <v>Any other (please specify)</v>
      </c>
      <c r="D39" s="990" t="str">
        <f>'15.PPP Annex'!D45</f>
        <v>NCD</v>
      </c>
      <c r="E39" s="990" t="str">
        <f>'15.PPP Annex'!E45</f>
        <v>NPCB</v>
      </c>
      <c r="F39" s="990">
        <f>'15.PPP Annex'!F45</f>
        <v>0</v>
      </c>
      <c r="G39" s="990">
        <f>'15.PPP Annex'!G45</f>
        <v>0</v>
      </c>
      <c r="H39" s="990">
        <f>'15.PPP Annex'!H45</f>
        <v>0</v>
      </c>
      <c r="I39" s="990">
        <f>'15.PPP Annex'!I45</f>
        <v>0</v>
      </c>
      <c r="J39" s="990">
        <f>'15.PPP Annex'!J45</f>
        <v>0</v>
      </c>
      <c r="K39" s="990">
        <f>'15.PPP Annex'!K45</f>
        <v>0</v>
      </c>
      <c r="L39" s="990">
        <f>'15.PPP Annex'!L45</f>
        <v>0</v>
      </c>
      <c r="M39" s="136">
        <f>'15.PPP Annex'!M45</f>
        <v>0</v>
      </c>
      <c r="N39" s="990">
        <f>'15.PPP Annex'!N45</f>
        <v>0</v>
      </c>
      <c r="O39" s="136">
        <f>'15.PPP Annex'!O45</f>
        <v>0</v>
      </c>
      <c r="P39" s="78">
        <f>'15.PPP Annex'!P45</f>
        <v>0</v>
      </c>
      <c r="Q39" s="62"/>
      <c r="R39" s="318"/>
    </row>
    <row r="40" spans="1:18">
      <c r="A40" s="416">
        <f>'16.PM Annex'!A7</f>
        <v>16</v>
      </c>
      <c r="B40" s="416">
        <f>'16.PM Annex'!B7</f>
        <v>0</v>
      </c>
      <c r="C40" s="416" t="str">
        <f>'16.PM Annex'!C7</f>
        <v>Programme Management</v>
      </c>
      <c r="D40" s="417"/>
      <c r="E40" s="417"/>
      <c r="F40" s="417"/>
      <c r="G40" s="417"/>
      <c r="H40" s="240"/>
      <c r="I40" s="417"/>
      <c r="J40" s="240"/>
      <c r="K40" s="416"/>
      <c r="L40" s="416"/>
      <c r="M40" s="240"/>
      <c r="N40" s="1109"/>
      <c r="O40" s="1110">
        <f>SUM(O41)</f>
        <v>0</v>
      </c>
      <c r="P40" s="1111"/>
      <c r="Q40" s="1112"/>
      <c r="R40" s="1113">
        <f>SUM(R41)</f>
        <v>0</v>
      </c>
    </row>
    <row r="41" spans="1:18" ht="45">
      <c r="A41" s="78" t="str">
        <f>'16-A. PM sub Annex'!B170</f>
        <v>16.1.5.3.10</v>
      </c>
      <c r="B41" s="78" t="str">
        <f>'16-A. PM sub Annex'!D170</f>
        <v>I.1.7</v>
      </c>
      <c r="C41" s="78" t="str">
        <f>'16-A. PM sub Annex'!E170</f>
        <v>Management of Health Society (State to provide details of PM Staff in the remarks column separately)</v>
      </c>
      <c r="D41" s="990" t="str">
        <f>'16-A. PM sub Annex'!F170</f>
        <v>NCD</v>
      </c>
      <c r="E41" s="990" t="str">
        <f>'16-A. PM sub Annex'!G170</f>
        <v>HRH&amp;HPIP/NPCB</v>
      </c>
      <c r="F41" s="990">
        <f>'16-A. PM sub Annex'!H170</f>
        <v>0</v>
      </c>
      <c r="G41" s="990">
        <f>'16-A. PM sub Annex'!I170</f>
        <v>0</v>
      </c>
      <c r="H41" s="990">
        <f>'16-A. PM sub Annex'!J170</f>
        <v>0</v>
      </c>
      <c r="I41" s="990">
        <f>'16-A. PM sub Annex'!K170</f>
        <v>0</v>
      </c>
      <c r="J41" s="990">
        <f>'16-A. PM sub Annex'!L170</f>
        <v>0</v>
      </c>
      <c r="K41" s="990">
        <f>'16-A. PM sub Annex'!M170</f>
        <v>0</v>
      </c>
      <c r="L41" s="990">
        <f>'16-A. PM sub Annex'!N170</f>
        <v>0</v>
      </c>
      <c r="M41" s="136">
        <f>'16-A. PM sub Annex'!O170</f>
        <v>0</v>
      </c>
      <c r="N41" s="990">
        <f>'16-A. PM sub Annex'!P170</f>
        <v>0</v>
      </c>
      <c r="O41" s="136">
        <f>'16-A. PM sub Annex'!Q170</f>
        <v>0</v>
      </c>
      <c r="P41" s="78">
        <f>'16-A. PM sub Annex'!R170</f>
        <v>0</v>
      </c>
      <c r="Q41" s="62"/>
      <c r="R41" s="318"/>
    </row>
    <row r="42" spans="1:18" ht="30">
      <c r="A42" s="1022">
        <f>'17.IT Initiatives_SD'!A7</f>
        <v>17</v>
      </c>
      <c r="B42" s="1022"/>
      <c r="C42" s="1022" t="str">
        <f>'17.IT Initiatives_SD'!C7</f>
        <v>IT Initiatives for strengthening Service Delivery</v>
      </c>
      <c r="D42" s="334"/>
      <c r="E42" s="334"/>
      <c r="F42" s="334"/>
      <c r="G42" s="334"/>
      <c r="H42" s="240"/>
      <c r="I42" s="334"/>
      <c r="J42" s="240"/>
      <c r="K42" s="1022"/>
      <c r="L42" s="1022"/>
      <c r="M42" s="240"/>
      <c r="N42" s="1109"/>
      <c r="O42" s="1110">
        <f>O43</f>
        <v>0</v>
      </c>
      <c r="P42" s="1111"/>
      <c r="Q42" s="1112"/>
      <c r="R42" s="1113">
        <f>R43</f>
        <v>0</v>
      </c>
    </row>
    <row r="43" spans="1:18" ht="45">
      <c r="A43" s="1030">
        <f>'17.IT Initiatives_SD'!A8</f>
        <v>17.100000000000001</v>
      </c>
      <c r="B43" s="1030" t="str">
        <f>'17.IT Initiatives_SD'!B8</f>
        <v>I.2.9</v>
      </c>
      <c r="C43" s="1030" t="str">
        <f>'17.IT Initiatives_SD'!C8</f>
        <v>Fixed tele- ophthalmic network unit in Got. Set up/ internet based ophthalmic consultation unit)</v>
      </c>
      <c r="D43" s="487" t="str">
        <f>'17.IT Initiatives_SD'!D8</f>
        <v>NCD</v>
      </c>
      <c r="E43" s="487" t="str">
        <f>'17.IT Initiatives_SD'!E8</f>
        <v>NPCB</v>
      </c>
      <c r="F43" s="487">
        <f>'17.IT Initiatives_SD'!F8</f>
        <v>0</v>
      </c>
      <c r="G43" s="487">
        <f>'17.IT Initiatives_SD'!G8</f>
        <v>0</v>
      </c>
      <c r="H43" s="487">
        <f>'17.IT Initiatives_SD'!H8</f>
        <v>0</v>
      </c>
      <c r="I43" s="487">
        <f>'17.IT Initiatives_SD'!I8</f>
        <v>0</v>
      </c>
      <c r="J43" s="487">
        <f>'17.IT Initiatives_SD'!J8</f>
        <v>0</v>
      </c>
      <c r="K43" s="487">
        <f>'17.IT Initiatives_SD'!K8</f>
        <v>0</v>
      </c>
      <c r="L43" s="487">
        <f>'17.IT Initiatives_SD'!L8</f>
        <v>0</v>
      </c>
      <c r="M43" s="136">
        <f>'17.IT Initiatives_SD'!M8</f>
        <v>0</v>
      </c>
      <c r="N43" s="487">
        <f>'17.IT Initiatives_SD'!N8</f>
        <v>0</v>
      </c>
      <c r="O43" s="136">
        <f>'17.IT Initiatives_SD'!O8</f>
        <v>0</v>
      </c>
      <c r="P43" s="1030">
        <f>'17.IT Initiatives_SD'!P8</f>
        <v>0</v>
      </c>
      <c r="Q43" s="62"/>
      <c r="R43" s="318"/>
    </row>
  </sheetData>
  <sheetProtection sheet="1" formatCells="0" formatColumns="0" formatRows="0" autoFilter="0"/>
  <autoFilter ref="A5:M43"/>
  <mergeCells count="13">
    <mergeCell ref="A14:A18"/>
    <mergeCell ref="A20:A21"/>
    <mergeCell ref="A23:A24"/>
    <mergeCell ref="A28:A29"/>
    <mergeCell ref="Q4:R4"/>
    <mergeCell ref="E4:E5"/>
    <mergeCell ref="F4:J4"/>
    <mergeCell ref="K4:P4"/>
    <mergeCell ref="A1:C1"/>
    <mergeCell ref="A4:A5"/>
    <mergeCell ref="B4:B5"/>
    <mergeCell ref="C4:C5"/>
    <mergeCell ref="D4:D5"/>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sheetPr>
    <tabColor rgb="FF00B0F0"/>
  </sheetPr>
  <dimension ref="A1:BB61"/>
  <sheetViews>
    <sheetView zoomScale="80" zoomScaleNormal="80" workbookViewId="0">
      <pane xSplit="2" ySplit="5" topLeftCell="AD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7109375" defaultRowHeight="15"/>
  <cols>
    <col min="1" max="1" width="32.5703125" style="64" customWidth="1"/>
    <col min="2" max="2" width="47.28515625" style="65" customWidth="1"/>
    <col min="3" max="3" width="17.85546875" style="65" bestFit="1" customWidth="1"/>
    <col min="4" max="4" width="17.28515625" style="65" bestFit="1" customWidth="1"/>
    <col min="5" max="6" width="16.28515625" style="65" bestFit="1" customWidth="1"/>
    <col min="7" max="9" width="16.5703125" style="65" bestFit="1" customWidth="1"/>
    <col min="10" max="10" width="15.7109375" style="65" bestFit="1" customWidth="1"/>
    <col min="11" max="11" width="14.7109375" style="122" bestFit="1" customWidth="1"/>
    <col min="12" max="12" width="15" style="122" bestFit="1" customWidth="1"/>
    <col min="13" max="13" width="14.7109375" style="65" bestFit="1" customWidth="1"/>
    <col min="14" max="14" width="15" style="65" bestFit="1" customWidth="1"/>
    <col min="15" max="15" width="14.7109375" style="65" bestFit="1" customWidth="1"/>
    <col min="16" max="16" width="15" style="65" bestFit="1" customWidth="1"/>
    <col min="17" max="17" width="14.7109375" style="65" bestFit="1" customWidth="1"/>
    <col min="18" max="18" width="15" style="65" bestFit="1" customWidth="1"/>
    <col min="19" max="19" width="14.7109375" style="65" bestFit="1" customWidth="1"/>
    <col min="20" max="20" width="15" style="65" bestFit="1" customWidth="1"/>
    <col min="21" max="21" width="14.7109375" style="65" bestFit="1" customWidth="1"/>
    <col min="22" max="22" width="15" style="65" bestFit="1" customWidth="1"/>
    <col min="23" max="23" width="14.7109375" style="65" bestFit="1" customWidth="1"/>
    <col min="24" max="24" width="15" style="65" bestFit="1" customWidth="1"/>
    <col min="25" max="25" width="14.7109375" style="65" bestFit="1" customWidth="1"/>
    <col min="26" max="26" width="15" style="65" bestFit="1" customWidth="1"/>
    <col min="27" max="27" width="14.7109375" style="65" bestFit="1" customWidth="1"/>
    <col min="28" max="28" width="15" style="65" bestFit="1" customWidth="1"/>
    <col min="29" max="29" width="14.7109375" style="65" bestFit="1" customWidth="1"/>
    <col min="30" max="30" width="15" style="65" bestFit="1" customWidth="1"/>
    <col min="31" max="31" width="14.7109375" style="65" bestFit="1" customWidth="1"/>
    <col min="32" max="32" width="15" style="65" bestFit="1" customWidth="1"/>
    <col min="33" max="33" width="14.7109375" style="65" bestFit="1" customWidth="1"/>
    <col min="34" max="34" width="15" style="65" bestFit="1" customWidth="1"/>
    <col min="35" max="35" width="14.7109375" style="65" bestFit="1" customWidth="1"/>
    <col min="36" max="38" width="15" style="65" bestFit="1" customWidth="1"/>
    <col min="39" max="39" width="16.5703125" style="65" bestFit="1" customWidth="1"/>
    <col min="40" max="40" width="16" style="65" bestFit="1" customWidth="1"/>
    <col min="41" max="16384" width="8.7109375" style="65"/>
  </cols>
  <sheetData>
    <row r="1" spans="1:54" ht="21" customHeight="1">
      <c r="A1" s="4258" t="s">
        <v>4699</v>
      </c>
      <c r="B1" s="4259"/>
      <c r="C1" s="350"/>
      <c r="D1" s="350"/>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row>
    <row r="2" spans="1:54" s="81" customFormat="1">
      <c r="A2" s="294" t="str">
        <f>HYPERLINK("#Index!B1", "Index Pg")</f>
        <v>Index Pg</v>
      </c>
      <c r="B2" s="4266" t="s">
        <v>3308</v>
      </c>
      <c r="C2" s="4260" t="s">
        <v>4709</v>
      </c>
      <c r="D2" s="4261"/>
      <c r="E2" s="4257" t="s">
        <v>5</v>
      </c>
      <c r="F2" s="4257"/>
      <c r="G2" s="4257"/>
      <c r="H2" s="4257"/>
      <c r="I2" s="4257"/>
      <c r="J2" s="4257"/>
      <c r="K2" s="4257"/>
      <c r="L2" s="4257"/>
      <c r="M2" s="4257"/>
      <c r="N2" s="4257"/>
      <c r="O2" s="4257"/>
      <c r="P2" s="4257"/>
      <c r="Q2" s="4257"/>
      <c r="R2" s="4257"/>
      <c r="S2" s="4257"/>
      <c r="T2" s="4257"/>
      <c r="U2" s="4257" t="s">
        <v>4678</v>
      </c>
      <c r="V2" s="4257"/>
      <c r="W2" s="4257"/>
      <c r="X2" s="4257"/>
      <c r="Y2" s="4257" t="s">
        <v>4679</v>
      </c>
      <c r="Z2" s="4257"/>
      <c r="AA2" s="4257"/>
      <c r="AB2" s="4257"/>
      <c r="AC2" s="4257" t="s">
        <v>4689</v>
      </c>
      <c r="AD2" s="4257"/>
      <c r="AE2" s="4257"/>
      <c r="AF2" s="4257"/>
      <c r="AG2" s="4257" t="s">
        <v>4690</v>
      </c>
      <c r="AH2" s="4257"/>
      <c r="AI2" s="4257" t="s">
        <v>4680</v>
      </c>
      <c r="AJ2" s="4257"/>
      <c r="AK2" s="4257"/>
      <c r="AL2" s="4257"/>
      <c r="AM2" s="4257" t="s">
        <v>2344</v>
      </c>
      <c r="AN2" s="4257"/>
    </row>
    <row r="3" spans="1:54">
      <c r="A3" s="295" t="str">
        <f>HYPERLINK("#'Budget Summary II'!A2:B2", "Budget Summary II")</f>
        <v>Budget Summary II</v>
      </c>
      <c r="B3" s="4266"/>
      <c r="C3" s="4262"/>
      <c r="D3" s="4263"/>
      <c r="E3" s="4256" t="s">
        <v>4728</v>
      </c>
      <c r="F3" s="4256"/>
      <c r="G3" s="4256" t="s">
        <v>4729</v>
      </c>
      <c r="H3" s="4256"/>
      <c r="I3" s="4256" t="s">
        <v>4730</v>
      </c>
      <c r="J3" s="4256"/>
      <c r="K3" s="4256" t="s">
        <v>4731</v>
      </c>
      <c r="L3" s="4256"/>
      <c r="M3" s="4256" t="s">
        <v>4732</v>
      </c>
      <c r="N3" s="4256"/>
      <c r="O3" s="4256" t="s">
        <v>4733</v>
      </c>
      <c r="P3" s="4256"/>
      <c r="Q3" s="4256" t="s">
        <v>4734</v>
      </c>
      <c r="R3" s="4256"/>
      <c r="S3" s="4256" t="s">
        <v>4735</v>
      </c>
      <c r="T3" s="4256"/>
      <c r="U3" s="4256" t="s">
        <v>4736</v>
      </c>
      <c r="V3" s="4256"/>
      <c r="W3" s="4256" t="s">
        <v>4737</v>
      </c>
      <c r="X3" s="4256"/>
      <c r="Y3" s="4256" t="s">
        <v>4738</v>
      </c>
      <c r="Z3" s="4256"/>
      <c r="AA3" s="4256" t="s">
        <v>4739</v>
      </c>
      <c r="AB3" s="4256"/>
      <c r="AC3" s="4256" t="s">
        <v>4740</v>
      </c>
      <c r="AD3" s="4256"/>
      <c r="AE3" s="4256" t="s">
        <v>4741</v>
      </c>
      <c r="AF3" s="4256"/>
      <c r="AG3" s="4256" t="s">
        <v>4742</v>
      </c>
      <c r="AH3" s="4256"/>
      <c r="AI3" s="4256" t="s">
        <v>4743</v>
      </c>
      <c r="AJ3" s="4256"/>
      <c r="AK3" s="4256" t="s">
        <v>4744</v>
      </c>
      <c r="AL3" s="4256"/>
      <c r="AM3" s="4256" t="s">
        <v>4745</v>
      </c>
      <c r="AN3" s="4256"/>
    </row>
    <row r="4" spans="1:54" s="70" customFormat="1">
      <c r="A4" s="97"/>
      <c r="B4" s="4266"/>
      <c r="C4" s="4264"/>
      <c r="D4" s="4265"/>
      <c r="E4" s="4255" t="s">
        <v>4</v>
      </c>
      <c r="F4" s="4255"/>
      <c r="G4" s="4255" t="s">
        <v>6</v>
      </c>
      <c r="H4" s="4255"/>
      <c r="I4" s="4255" t="s">
        <v>10</v>
      </c>
      <c r="J4" s="4255"/>
      <c r="K4" s="4255" t="s">
        <v>14</v>
      </c>
      <c r="L4" s="4255"/>
      <c r="M4" s="4255" t="s">
        <v>20</v>
      </c>
      <c r="N4" s="4255"/>
      <c r="O4" s="4255" t="s">
        <v>1342</v>
      </c>
      <c r="P4" s="4255"/>
      <c r="Q4" s="4255" t="s">
        <v>29</v>
      </c>
      <c r="R4" s="4255"/>
      <c r="S4" s="4255" t="s">
        <v>30</v>
      </c>
      <c r="T4" s="4255"/>
      <c r="U4" s="4255" t="s">
        <v>2722</v>
      </c>
      <c r="V4" s="4255"/>
      <c r="W4" s="4255" t="s">
        <v>33</v>
      </c>
      <c r="X4" s="4255"/>
      <c r="Y4" s="4255" t="s">
        <v>18</v>
      </c>
      <c r="Z4" s="4255"/>
      <c r="AA4" s="4255" t="s">
        <v>1264</v>
      </c>
      <c r="AB4" s="4255"/>
      <c r="AC4" s="4255" t="s">
        <v>41</v>
      </c>
      <c r="AD4" s="4255"/>
      <c r="AE4" s="4255" t="s">
        <v>742</v>
      </c>
      <c r="AF4" s="4255"/>
      <c r="AG4" s="4255" t="s">
        <v>34</v>
      </c>
      <c r="AH4" s="4255"/>
      <c r="AI4" s="4255" t="s">
        <v>2855</v>
      </c>
      <c r="AJ4" s="4255"/>
      <c r="AK4" s="4255" t="s">
        <v>4691</v>
      </c>
      <c r="AL4" s="4255"/>
      <c r="AM4" s="4255" t="s">
        <v>2782</v>
      </c>
      <c r="AN4" s="4255"/>
    </row>
    <row r="5" spans="1:54">
      <c r="A5" s="97"/>
      <c r="B5" s="351"/>
      <c r="C5" s="349" t="s">
        <v>4600</v>
      </c>
      <c r="D5" s="349" t="s">
        <v>4599</v>
      </c>
      <c r="E5" s="349" t="s">
        <v>4600</v>
      </c>
      <c r="F5" s="349" t="s">
        <v>4599</v>
      </c>
      <c r="G5" s="349" t="s">
        <v>4600</v>
      </c>
      <c r="H5" s="349" t="s">
        <v>4599</v>
      </c>
      <c r="I5" s="349" t="s">
        <v>4600</v>
      </c>
      <c r="J5" s="349" t="s">
        <v>4599</v>
      </c>
      <c r="K5" s="349" t="s">
        <v>4600</v>
      </c>
      <c r="L5" s="349" t="s">
        <v>4599</v>
      </c>
      <c r="M5" s="349" t="s">
        <v>4600</v>
      </c>
      <c r="N5" s="349" t="s">
        <v>4599</v>
      </c>
      <c r="O5" s="349" t="s">
        <v>4600</v>
      </c>
      <c r="P5" s="349" t="s">
        <v>4599</v>
      </c>
      <c r="Q5" s="349" t="s">
        <v>4600</v>
      </c>
      <c r="R5" s="349" t="s">
        <v>4599</v>
      </c>
      <c r="S5" s="349" t="s">
        <v>4600</v>
      </c>
      <c r="T5" s="349" t="s">
        <v>4599</v>
      </c>
      <c r="U5" s="349" t="s">
        <v>4600</v>
      </c>
      <c r="V5" s="349" t="s">
        <v>4599</v>
      </c>
      <c r="W5" s="349" t="s">
        <v>4600</v>
      </c>
      <c r="X5" s="349" t="s">
        <v>4599</v>
      </c>
      <c r="Y5" s="349" t="s">
        <v>4600</v>
      </c>
      <c r="Z5" s="349" t="s">
        <v>4599</v>
      </c>
      <c r="AA5" s="349" t="s">
        <v>4600</v>
      </c>
      <c r="AB5" s="349" t="s">
        <v>4599</v>
      </c>
      <c r="AC5" s="349" t="s">
        <v>4600</v>
      </c>
      <c r="AD5" s="349" t="s">
        <v>4599</v>
      </c>
      <c r="AE5" s="349" t="s">
        <v>4600</v>
      </c>
      <c r="AF5" s="349" t="s">
        <v>4599</v>
      </c>
      <c r="AG5" s="349" t="s">
        <v>4600</v>
      </c>
      <c r="AH5" s="349" t="s">
        <v>4599</v>
      </c>
      <c r="AI5" s="349" t="s">
        <v>4600</v>
      </c>
      <c r="AJ5" s="349" t="s">
        <v>4599</v>
      </c>
      <c r="AK5" s="349" t="s">
        <v>4600</v>
      </c>
      <c r="AL5" s="349" t="s">
        <v>4599</v>
      </c>
      <c r="AM5" s="349" t="s">
        <v>4600</v>
      </c>
      <c r="AN5" s="349" t="s">
        <v>4599</v>
      </c>
    </row>
    <row r="6" spans="1:54" s="122" customFormat="1">
      <c r="A6" s="4250" t="s">
        <v>4709</v>
      </c>
      <c r="B6" s="313" t="s">
        <v>4726</v>
      </c>
      <c r="C6" s="349">
        <f>SUM(C8:C58)</f>
        <v>504857.90432982671</v>
      </c>
      <c r="D6" s="349">
        <f t="shared" ref="D6:AN6" si="0">SUM(D8:D58)</f>
        <v>0</v>
      </c>
      <c r="E6" s="349">
        <f t="shared" si="0"/>
        <v>60487.076651599986</v>
      </c>
      <c r="F6" s="349">
        <f t="shared" si="0"/>
        <v>0</v>
      </c>
      <c r="G6" s="349">
        <f t="shared" si="0"/>
        <v>10479.038322099999</v>
      </c>
      <c r="H6" s="349">
        <f t="shared" si="0"/>
        <v>0</v>
      </c>
      <c r="I6" s="349">
        <f t="shared" si="0"/>
        <v>72191.713420200016</v>
      </c>
      <c r="J6" s="349">
        <f t="shared" si="0"/>
        <v>0</v>
      </c>
      <c r="K6" s="349">
        <f t="shared" si="0"/>
        <v>71308.335629999987</v>
      </c>
      <c r="L6" s="349">
        <f t="shared" si="0"/>
        <v>0</v>
      </c>
      <c r="M6" s="349">
        <f t="shared" si="0"/>
        <v>27573.3</v>
      </c>
      <c r="N6" s="349">
        <f t="shared" si="0"/>
        <v>0</v>
      </c>
      <c r="O6" s="349">
        <f t="shared" si="0"/>
        <v>2594.622751478908</v>
      </c>
      <c r="P6" s="349">
        <f t="shared" si="0"/>
        <v>0</v>
      </c>
      <c r="Q6" s="349">
        <f t="shared" si="0"/>
        <v>3705.2656358850363</v>
      </c>
      <c r="R6" s="349">
        <f t="shared" si="0"/>
        <v>0</v>
      </c>
      <c r="S6" s="349">
        <f t="shared" si="0"/>
        <v>2241.01566</v>
      </c>
      <c r="T6" s="349">
        <f t="shared" si="0"/>
        <v>0</v>
      </c>
      <c r="U6" s="349">
        <f t="shared" si="0"/>
        <v>7413.8649999999998</v>
      </c>
      <c r="V6" s="349">
        <f t="shared" si="0"/>
        <v>0</v>
      </c>
      <c r="W6" s="349">
        <f t="shared" si="0"/>
        <v>9461.0301779999991</v>
      </c>
      <c r="X6" s="349">
        <f t="shared" si="0"/>
        <v>0</v>
      </c>
      <c r="Y6" s="349">
        <f t="shared" si="0"/>
        <v>48033.747391399986</v>
      </c>
      <c r="Z6" s="349">
        <f t="shared" si="0"/>
        <v>0</v>
      </c>
      <c r="AA6" s="349">
        <f t="shared" si="0"/>
        <v>4862.9865710200002</v>
      </c>
      <c r="AB6" s="349">
        <f t="shared" si="0"/>
        <v>0</v>
      </c>
      <c r="AC6" s="349">
        <f t="shared" si="0"/>
        <v>99331.498919999998</v>
      </c>
      <c r="AD6" s="349">
        <f t="shared" si="0"/>
        <v>0</v>
      </c>
      <c r="AE6" s="349">
        <f t="shared" si="0"/>
        <v>12931.217954800002</v>
      </c>
      <c r="AF6" s="349">
        <f t="shared" si="0"/>
        <v>0</v>
      </c>
      <c r="AG6" s="349">
        <f t="shared" si="0"/>
        <v>33681.205715590004</v>
      </c>
      <c r="AH6" s="349">
        <f t="shared" si="0"/>
        <v>0</v>
      </c>
      <c r="AI6" s="349">
        <f t="shared" si="0"/>
        <v>628.00415975299995</v>
      </c>
      <c r="AJ6" s="349">
        <f t="shared" si="0"/>
        <v>0</v>
      </c>
      <c r="AK6" s="349">
        <f t="shared" si="0"/>
        <v>33773.883969999995</v>
      </c>
      <c r="AL6" s="349">
        <f t="shared" si="0"/>
        <v>0</v>
      </c>
      <c r="AM6" s="349">
        <f t="shared" si="0"/>
        <v>4160.0963979999997</v>
      </c>
      <c r="AN6" s="349">
        <f t="shared" si="0"/>
        <v>0</v>
      </c>
    </row>
    <row r="7" spans="1:54" s="122" customFormat="1">
      <c r="A7" s="4250"/>
      <c r="B7" s="313" t="s">
        <v>4727</v>
      </c>
      <c r="C7" s="349">
        <f>SUM(C59:C61)</f>
        <v>5437.438874200001</v>
      </c>
      <c r="D7" s="349">
        <f>SUM(D59:D61)</f>
        <v>0</v>
      </c>
      <c r="E7" s="349">
        <f>SUM(E59:E61)</f>
        <v>315.44</v>
      </c>
      <c r="F7" s="349">
        <f t="shared" ref="F7:AN7" si="1">SUM(F59:F61)</f>
        <v>0</v>
      </c>
      <c r="G7" s="349">
        <f t="shared" si="1"/>
        <v>261</v>
      </c>
      <c r="H7" s="349">
        <f t="shared" si="1"/>
        <v>0</v>
      </c>
      <c r="I7" s="349">
        <f t="shared" si="1"/>
        <v>296.34596900000003</v>
      </c>
      <c r="J7" s="349">
        <f t="shared" si="1"/>
        <v>0</v>
      </c>
      <c r="K7" s="349">
        <f t="shared" si="1"/>
        <v>232</v>
      </c>
      <c r="L7" s="349">
        <f t="shared" si="1"/>
        <v>0</v>
      </c>
      <c r="M7" s="349">
        <f t="shared" si="1"/>
        <v>0</v>
      </c>
      <c r="N7" s="349">
        <f t="shared" si="1"/>
        <v>0</v>
      </c>
      <c r="O7" s="349">
        <f t="shared" si="1"/>
        <v>38.5</v>
      </c>
      <c r="P7" s="349">
        <f t="shared" si="1"/>
        <v>0</v>
      </c>
      <c r="Q7" s="349">
        <f t="shared" si="1"/>
        <v>53.5</v>
      </c>
      <c r="R7" s="349">
        <f t="shared" si="1"/>
        <v>0</v>
      </c>
      <c r="S7" s="349">
        <f t="shared" si="1"/>
        <v>38.679994600000001</v>
      </c>
      <c r="T7" s="349">
        <f t="shared" si="1"/>
        <v>0</v>
      </c>
      <c r="U7" s="349">
        <f t="shared" si="1"/>
        <v>162.15</v>
      </c>
      <c r="V7" s="349">
        <f t="shared" si="1"/>
        <v>0</v>
      </c>
      <c r="W7" s="349">
        <f t="shared" si="1"/>
        <v>0</v>
      </c>
      <c r="X7" s="349">
        <f t="shared" si="1"/>
        <v>0</v>
      </c>
      <c r="Y7" s="349">
        <f t="shared" si="1"/>
        <v>558.26967000000002</v>
      </c>
      <c r="Z7" s="349">
        <f t="shared" si="1"/>
        <v>0</v>
      </c>
      <c r="AA7" s="349">
        <f t="shared" si="1"/>
        <v>6.6</v>
      </c>
      <c r="AB7" s="349">
        <f t="shared" si="1"/>
        <v>0</v>
      </c>
      <c r="AC7" s="349">
        <f t="shared" si="1"/>
        <v>2973.8878680000003</v>
      </c>
      <c r="AD7" s="349">
        <f t="shared" si="1"/>
        <v>0</v>
      </c>
      <c r="AE7" s="349">
        <f t="shared" si="1"/>
        <v>82.124996600000003</v>
      </c>
      <c r="AF7" s="349">
        <f t="shared" si="1"/>
        <v>0</v>
      </c>
      <c r="AG7" s="349">
        <f t="shared" si="1"/>
        <v>389.140376</v>
      </c>
      <c r="AH7" s="349">
        <f t="shared" si="1"/>
        <v>0</v>
      </c>
      <c r="AI7" s="349">
        <f t="shared" si="1"/>
        <v>0</v>
      </c>
      <c r="AJ7" s="349">
        <f t="shared" si="1"/>
        <v>0</v>
      </c>
      <c r="AK7" s="349">
        <f t="shared" si="1"/>
        <v>0</v>
      </c>
      <c r="AL7" s="349">
        <f t="shared" si="1"/>
        <v>0</v>
      </c>
      <c r="AM7" s="349">
        <f t="shared" si="1"/>
        <v>29.8</v>
      </c>
      <c r="AN7" s="349">
        <f t="shared" si="1"/>
        <v>0</v>
      </c>
    </row>
    <row r="8" spans="1:54" s="122" customFormat="1">
      <c r="A8" s="4253" t="s">
        <v>4349</v>
      </c>
      <c r="B8" s="314" t="s">
        <v>4677</v>
      </c>
      <c r="C8" s="351">
        <f t="shared" ref="C8:C61" si="2">E8+G8+I8+K8+M8+O8+Q8+S8+U8+W8+Y8+AA8+AC8+AE8+AG8+AI8+AK8+AM8</f>
        <v>66863.811522687465</v>
      </c>
      <c r="D8" s="351">
        <f t="shared" ref="D8:D61" si="3">F8+H8+J8+L8+N8+P8+R8+T8+V8+X8+Z8+AB8+AD8+AF8+AH8+AJ8+AL8+AN8</f>
        <v>0</v>
      </c>
      <c r="E8" s="165">
        <f>'1.SD Facility Based Annex'!F4</f>
        <v>34292.875</v>
      </c>
      <c r="F8" s="165">
        <f>'1.SD Facility Based Annex'!F3</f>
        <v>0</v>
      </c>
      <c r="G8" s="165">
        <f>'2.SD Community Based Annex'!F4</f>
        <v>37.26</v>
      </c>
      <c r="H8" s="166">
        <f>'2.SD Community Based Annex'!F3</f>
        <v>0</v>
      </c>
      <c r="I8" s="165">
        <f>'3.Community Intervention Annexn'!F4</f>
        <v>13204.952000000001</v>
      </c>
      <c r="J8" s="165">
        <f>'3.Community Intervention Annexn'!F3</f>
        <v>0</v>
      </c>
      <c r="K8" s="289">
        <f>'5.Infrastructure Annex'!F4</f>
        <v>0</v>
      </c>
      <c r="L8" s="289">
        <f>'5.Infrastructure Annex'!F3</f>
        <v>0</v>
      </c>
      <c r="M8" s="289">
        <f>'7.Referral Transport Annex'!F4</f>
        <v>10750</v>
      </c>
      <c r="N8" s="289">
        <f>'7.Referral Transport Annex'!F3</f>
        <v>0</v>
      </c>
      <c r="O8" s="289">
        <f>'11.IEC-BCC Annex'!F4</f>
        <v>46.17</v>
      </c>
      <c r="P8" s="289">
        <f>'11.IEC-BCC Annex'!F3</f>
        <v>0</v>
      </c>
      <c r="Q8" s="289">
        <f>'12.Printing Annex'!F4</f>
        <v>841.22730268747398</v>
      </c>
      <c r="R8" s="289">
        <f>'12.Printing Annex'!F3</f>
        <v>0</v>
      </c>
      <c r="S8" s="289">
        <f>'13.Quality Assurance Annex'!F4</f>
        <v>0</v>
      </c>
      <c r="T8" s="291">
        <f>'13.Quality Assurance Annex'!F3</f>
        <v>0</v>
      </c>
      <c r="U8" s="289">
        <f>'4.Untied grants Annex'!F4</f>
        <v>0</v>
      </c>
      <c r="V8" s="289">
        <f>'4.Untied grants Annex'!F3</f>
        <v>0</v>
      </c>
      <c r="W8" s="289">
        <f>'15.PPP Annex'!F4</f>
        <v>0</v>
      </c>
      <c r="X8" s="289">
        <f>'15.PPP Annex'!F3</f>
        <v>0</v>
      </c>
      <c r="Y8" s="289">
        <f>'6.Procurement Annex'!F4</f>
        <v>6390.0212199999996</v>
      </c>
      <c r="Z8" s="289">
        <f>'6.Procurement Annex'!F3</f>
        <v>0</v>
      </c>
      <c r="AA8" s="289">
        <f>'14.Drug warehouse &amp;Logistic Anx'!F4</f>
        <v>0</v>
      </c>
      <c r="AB8" s="289">
        <f>'14.Drug warehouse &amp;Logistic Anx'!F3</f>
        <v>0</v>
      </c>
      <c r="AC8" s="289">
        <f>'8.Human Resources (SD) Annex'!F4</f>
        <v>0</v>
      </c>
      <c r="AD8" s="289">
        <f>'8.Human Resources (SD) Annex'!F3</f>
        <v>0</v>
      </c>
      <c r="AE8" s="291">
        <f>'9.Training Annex'!F4</f>
        <v>1229.4960000000001</v>
      </c>
      <c r="AF8" s="291">
        <f>'9.Training Annex'!F3</f>
        <v>0</v>
      </c>
      <c r="AG8" s="289">
        <f>'16.PM Annex'!F4</f>
        <v>0</v>
      </c>
      <c r="AH8" s="289">
        <f>'16.PM Annex'!F3</f>
        <v>0</v>
      </c>
      <c r="AI8" s="289">
        <f>'10.Review Research &amp; Surveillen'!F4</f>
        <v>71.81</v>
      </c>
      <c r="AJ8" s="289">
        <f>'10.Review Research &amp; Surveillen'!F3</f>
        <v>0</v>
      </c>
      <c r="AK8" s="289">
        <f>'17.IT Initiatives_SD'!F4</f>
        <v>0</v>
      </c>
      <c r="AL8" s="289">
        <f>'17.IT Initiatives_SD'!F3</f>
        <v>0</v>
      </c>
      <c r="AM8" s="289">
        <f>'18.Innovation'!F4</f>
        <v>0</v>
      </c>
      <c r="AN8" s="289">
        <f>'18.Innovation'!F3</f>
        <v>0</v>
      </c>
      <c r="AO8" s="292"/>
      <c r="AP8" s="165"/>
      <c r="AQ8" s="165"/>
      <c r="AR8" s="165"/>
      <c r="AS8" s="165"/>
      <c r="AT8" s="165"/>
      <c r="AU8" s="165"/>
      <c r="AV8" s="165"/>
      <c r="AW8" s="165"/>
      <c r="AX8" s="165"/>
      <c r="AY8" s="165"/>
      <c r="AZ8" s="165"/>
      <c r="BA8" s="165"/>
      <c r="BB8" s="165"/>
    </row>
    <row r="9" spans="1:54" s="122" customFormat="1">
      <c r="A9" s="4253"/>
      <c r="B9" s="314" t="s">
        <v>4063</v>
      </c>
      <c r="C9" s="351">
        <f t="shared" si="2"/>
        <v>15187.641351934373</v>
      </c>
      <c r="D9" s="351">
        <f t="shared" si="3"/>
        <v>0</v>
      </c>
      <c r="E9" s="164">
        <f>'1.SD Facility Based Annex'!G4</f>
        <v>1821.6366</v>
      </c>
      <c r="F9" s="164">
        <f>'1.SD Facility Based Annex'!G3</f>
        <v>0</v>
      </c>
      <c r="G9" s="165">
        <f>'2.SD Community Based Annex'!G4</f>
        <v>0</v>
      </c>
      <c r="H9" s="166">
        <f>'2.SD Community Based Annex'!G3</f>
        <v>0</v>
      </c>
      <c r="I9" s="165">
        <f>'3.Community Intervention Annexn'!G4</f>
        <v>4810</v>
      </c>
      <c r="J9" s="165">
        <f>'3.Community Intervention Annexn'!G3</f>
        <v>0</v>
      </c>
      <c r="K9" s="289">
        <f>'5.Infrastructure Annex'!G4</f>
        <v>0</v>
      </c>
      <c r="L9" s="289">
        <f>'5.Infrastructure Annex'!G3</f>
        <v>0</v>
      </c>
      <c r="M9" s="289">
        <f>'7.Referral Transport Annex'!G4</f>
        <v>0</v>
      </c>
      <c r="N9" s="289">
        <f>'7.Referral Transport Annex'!G3</f>
        <v>0</v>
      </c>
      <c r="O9" s="289">
        <f>'11.IEC-BCC Annex'!G4</f>
        <v>183.02352199999996</v>
      </c>
      <c r="P9" s="289">
        <f>'11.IEC-BCC Annex'!G3</f>
        <v>0</v>
      </c>
      <c r="Q9" s="289">
        <f>'12.Printing Annex'!G4</f>
        <v>698.74327493437499</v>
      </c>
      <c r="R9" s="289">
        <f>'12.Printing Annex'!G3</f>
        <v>0</v>
      </c>
      <c r="S9" s="289">
        <f>'13.Quality Assurance Annex'!G4</f>
        <v>0</v>
      </c>
      <c r="T9" s="291">
        <f>'13.Quality Assurance Annex'!G3</f>
        <v>0</v>
      </c>
      <c r="U9" s="289">
        <f>'4.Untied grants Annex'!G4</f>
        <v>0</v>
      </c>
      <c r="V9" s="289">
        <f>'4.Untied grants Annex'!G3</f>
        <v>0</v>
      </c>
      <c r="W9" s="289">
        <f>'15.PPP Annex'!G4</f>
        <v>0</v>
      </c>
      <c r="X9" s="289">
        <f>'15.PPP Annex'!G3</f>
        <v>0</v>
      </c>
      <c r="Y9" s="289">
        <f>'6.Procurement Annex'!G4</f>
        <v>6769.5305049999988</v>
      </c>
      <c r="Z9" s="289">
        <f>'6.Procurement Annex'!G3</f>
        <v>0</v>
      </c>
      <c r="AA9" s="289">
        <f>'14.Drug warehouse &amp;Logistic Anx'!G4</f>
        <v>0</v>
      </c>
      <c r="AB9" s="289">
        <f>'14.Drug warehouse &amp;Logistic Anx'!G3</f>
        <v>0</v>
      </c>
      <c r="AC9" s="289">
        <f>'8.Human Resources (SD) Annex'!G4</f>
        <v>0</v>
      </c>
      <c r="AD9" s="289">
        <f>'8.Human Resources (SD) Annex'!G3</f>
        <v>0</v>
      </c>
      <c r="AE9" s="291">
        <f>'9.Training Annex'!G4</f>
        <v>864.70744999999977</v>
      </c>
      <c r="AF9" s="291">
        <f>'9.Training Annex'!G3</f>
        <v>0</v>
      </c>
      <c r="AG9" s="289">
        <f>'16.PM Annex'!G4</f>
        <v>0</v>
      </c>
      <c r="AH9" s="289">
        <f>'16.PM Annex'!G3</f>
        <v>0</v>
      </c>
      <c r="AI9" s="289">
        <f>'10.Review Research &amp; Surveillen'!G4</f>
        <v>40</v>
      </c>
      <c r="AJ9" s="289">
        <f>'10.Review Research &amp; Surveillen'!G3</f>
        <v>0</v>
      </c>
      <c r="AK9" s="289">
        <f>'17.IT Initiatives_SD'!G4</f>
        <v>0</v>
      </c>
      <c r="AL9" s="289">
        <f>'17.IT Initiatives_SD'!G3</f>
        <v>0</v>
      </c>
      <c r="AM9" s="289">
        <f>'18.Innovation'!G4</f>
        <v>0</v>
      </c>
      <c r="AN9" s="289">
        <f>'18.Innovation'!G3</f>
        <v>0</v>
      </c>
    </row>
    <row r="10" spans="1:54" s="122" customFormat="1">
      <c r="A10" s="4253"/>
      <c r="B10" s="314" t="s">
        <v>2941</v>
      </c>
      <c r="C10" s="351">
        <f t="shared" si="2"/>
        <v>19309.831709100003</v>
      </c>
      <c r="D10" s="351">
        <f t="shared" si="3"/>
        <v>0</v>
      </c>
      <c r="E10" s="165">
        <f>'1.SD Facility Based Annex'!H4</f>
        <v>12677.650025000001</v>
      </c>
      <c r="F10" s="165">
        <f>'1.SD Facility Based Annex'!H3</f>
        <v>0</v>
      </c>
      <c r="G10" s="165">
        <f>'2.SD Community Based Annex'!H4</f>
        <v>107.26991389999999</v>
      </c>
      <c r="H10" s="166">
        <f>'2.SD Community Based Annex'!H3</f>
        <v>0</v>
      </c>
      <c r="I10" s="165">
        <f>'3.Community Intervention Annexn'!H4</f>
        <v>3553.5290002000002</v>
      </c>
      <c r="J10" s="165">
        <f>'3.Community Intervention Annexn'!H3</f>
        <v>0</v>
      </c>
      <c r="K10" s="289">
        <f>'5.Infrastructure Annex'!H4</f>
        <v>0</v>
      </c>
      <c r="L10" s="289">
        <f>'5.Infrastructure Annex'!H3</f>
        <v>0</v>
      </c>
      <c r="M10" s="289">
        <f>'7.Referral Transport Annex'!H4</f>
        <v>750</v>
      </c>
      <c r="N10" s="289">
        <f>'7.Referral Transport Annex'!H3</f>
        <v>0</v>
      </c>
      <c r="O10" s="289">
        <f>'11.IEC-BCC Annex'!H4</f>
        <v>418.61</v>
      </c>
      <c r="P10" s="289">
        <f>'11.IEC-BCC Annex'!H3</f>
        <v>0</v>
      </c>
      <c r="Q10" s="289">
        <f>'12.Printing Annex'!H4</f>
        <v>135</v>
      </c>
      <c r="R10" s="289">
        <f>'12.Printing Annex'!H3</f>
        <v>0</v>
      </c>
      <c r="S10" s="289">
        <f>'13.Quality Assurance Annex'!H4</f>
        <v>0</v>
      </c>
      <c r="T10" s="291">
        <f>'13.Quality Assurance Annex'!H3</f>
        <v>0</v>
      </c>
      <c r="U10" s="289">
        <f>'4.Untied grants Annex'!H4</f>
        <v>0</v>
      </c>
      <c r="V10" s="289">
        <f>'4.Untied grants Annex'!H3</f>
        <v>0</v>
      </c>
      <c r="W10" s="289">
        <f>'15.PPP Annex'!H4</f>
        <v>2.5</v>
      </c>
      <c r="X10" s="289">
        <f>'15.PPP Annex'!H3</f>
        <v>0</v>
      </c>
      <c r="Y10" s="289">
        <f>'6.Procurement Annex'!H4</f>
        <v>707.07609000000002</v>
      </c>
      <c r="Z10" s="289">
        <f>'6.Procurement Annex'!H3</f>
        <v>0</v>
      </c>
      <c r="AA10" s="289">
        <f>'14.Drug warehouse &amp;Logistic Anx'!H4</f>
        <v>39.499980000000001</v>
      </c>
      <c r="AB10" s="289">
        <f>'14.Drug warehouse &amp;Logistic Anx'!H3</f>
        <v>0</v>
      </c>
      <c r="AC10" s="289">
        <f>'8.Human Resources (SD) Annex'!H4</f>
        <v>367.20042000000001</v>
      </c>
      <c r="AD10" s="289">
        <f>'8.Human Resources (SD) Annex'!H3</f>
        <v>0</v>
      </c>
      <c r="AE10" s="291">
        <f>'9.Training Annex'!H4</f>
        <v>551.49628000000007</v>
      </c>
      <c r="AF10" s="291">
        <f>'9.Training Annex'!H3</f>
        <v>0</v>
      </c>
      <c r="AG10" s="289">
        <f>'16.PM Annex'!H4</f>
        <v>0</v>
      </c>
      <c r="AH10" s="289">
        <f>'16.PM Annex'!H3</f>
        <v>0</v>
      </c>
      <c r="AI10" s="289">
        <f>'10.Review Research &amp; Surveillen'!H4</f>
        <v>0</v>
      </c>
      <c r="AJ10" s="289">
        <f>'10.Review Research &amp; Surveillen'!H3</f>
        <v>0</v>
      </c>
      <c r="AK10" s="289">
        <f>'17.IT Initiatives_SD'!H4</f>
        <v>0</v>
      </c>
      <c r="AL10" s="289">
        <f>'17.IT Initiatives_SD'!H3</f>
        <v>0</v>
      </c>
      <c r="AM10" s="289">
        <f>'18.Innovation'!H4</f>
        <v>0</v>
      </c>
      <c r="AN10" s="289">
        <f>'18.Innovation'!H3</f>
        <v>0</v>
      </c>
    </row>
    <row r="11" spans="1:54" s="122" customFormat="1">
      <c r="A11" s="4253"/>
      <c r="B11" s="314" t="s">
        <v>4071</v>
      </c>
      <c r="C11" s="351">
        <f t="shared" si="2"/>
        <v>2663.0975215999997</v>
      </c>
      <c r="D11" s="351">
        <f t="shared" si="3"/>
        <v>0</v>
      </c>
      <c r="E11" s="164">
        <f>'1.SD Facility Based Annex'!I4</f>
        <v>30</v>
      </c>
      <c r="F11" s="164">
        <f>'1.SD Facility Based Annex'!I3</f>
        <v>0</v>
      </c>
      <c r="G11" s="165">
        <f>'2.SD Community Based Annex'!I4</f>
        <v>398.40000000000003</v>
      </c>
      <c r="H11" s="166">
        <f>'2.SD Community Based Annex'!I3</f>
        <v>0</v>
      </c>
      <c r="I11" s="165">
        <f>'3.Community Intervention Annexn'!I4</f>
        <v>118.75200000000001</v>
      </c>
      <c r="J11" s="165">
        <f>'3.Community Intervention Annexn'!I3</f>
        <v>0</v>
      </c>
      <c r="K11" s="289">
        <f>'5.Infrastructure Annex'!I4</f>
        <v>0</v>
      </c>
      <c r="L11" s="289">
        <f>'5.Infrastructure Annex'!I3</f>
        <v>0</v>
      </c>
      <c r="M11" s="289">
        <f>'7.Referral Transport Annex'!I4</f>
        <v>0</v>
      </c>
      <c r="N11" s="289">
        <f>'7.Referral Transport Annex'!I3</f>
        <v>0</v>
      </c>
      <c r="O11" s="289">
        <f>'11.IEC-BCC Annex'!I4</f>
        <v>25</v>
      </c>
      <c r="P11" s="289">
        <f>'11.IEC-BCC Annex'!I3</f>
        <v>0</v>
      </c>
      <c r="Q11" s="289">
        <f>'12.Printing Annex'!I4</f>
        <v>393.33100000000002</v>
      </c>
      <c r="R11" s="289">
        <f>'12.Printing Annex'!I3</f>
        <v>0</v>
      </c>
      <c r="S11" s="289">
        <f>'13.Quality Assurance Annex'!I4</f>
        <v>0</v>
      </c>
      <c r="T11" s="291">
        <f>'13.Quality Assurance Annex'!I3</f>
        <v>0</v>
      </c>
      <c r="U11" s="289">
        <f>'4.Untied grants Annex'!I4</f>
        <v>0</v>
      </c>
      <c r="V11" s="289">
        <f>'4.Untied grants Annex'!I3</f>
        <v>0</v>
      </c>
      <c r="W11" s="289">
        <f>'15.PPP Annex'!I4</f>
        <v>0</v>
      </c>
      <c r="X11" s="289">
        <f>'15.PPP Annex'!I3</f>
        <v>0</v>
      </c>
      <c r="Y11" s="289">
        <f>'6.Procurement Annex'!I4</f>
        <v>1040.8356415999999</v>
      </c>
      <c r="Z11" s="289">
        <f>'6.Procurement Annex'!I3</f>
        <v>0</v>
      </c>
      <c r="AA11" s="289">
        <f>'14.Drug warehouse &amp;Logistic Anx'!I4</f>
        <v>0</v>
      </c>
      <c r="AB11" s="289">
        <f>'14.Drug warehouse &amp;Logistic Anx'!I3</f>
        <v>0</v>
      </c>
      <c r="AC11" s="289">
        <f>'8.Human Resources (SD) Annex'!I4</f>
        <v>0</v>
      </c>
      <c r="AD11" s="289">
        <f>'8.Human Resources (SD) Annex'!I3</f>
        <v>0</v>
      </c>
      <c r="AE11" s="291">
        <f>'9.Training Annex'!I4</f>
        <v>656.77887999999996</v>
      </c>
      <c r="AF11" s="291">
        <f>'9.Training Annex'!I3</f>
        <v>0</v>
      </c>
      <c r="AG11" s="289">
        <f>'16.PM Annex'!I4</f>
        <v>0</v>
      </c>
      <c r="AH11" s="289">
        <f>'16.PM Annex'!I3</f>
        <v>0</v>
      </c>
      <c r="AI11" s="289">
        <f>'10.Review Research &amp; Surveillen'!I4</f>
        <v>0</v>
      </c>
      <c r="AJ11" s="289">
        <f>'10.Review Research &amp; Surveillen'!I3</f>
        <v>0</v>
      </c>
      <c r="AK11" s="289">
        <f>'17.IT Initiatives_SD'!I4</f>
        <v>0</v>
      </c>
      <c r="AL11" s="289">
        <f>'17.IT Initiatives_SD'!I3</f>
        <v>0</v>
      </c>
      <c r="AM11" s="289">
        <f>'18.Innovation'!I4</f>
        <v>0</v>
      </c>
      <c r="AN11" s="289">
        <f>'18.Innovation'!I3</f>
        <v>0</v>
      </c>
    </row>
    <row r="12" spans="1:54" s="122" customFormat="1">
      <c r="A12" s="4253"/>
      <c r="B12" s="314" t="s">
        <v>96</v>
      </c>
      <c r="C12" s="351">
        <f t="shared" si="2"/>
        <v>4309.6365481761877</v>
      </c>
      <c r="D12" s="351">
        <f t="shared" si="3"/>
        <v>0</v>
      </c>
      <c r="E12" s="165">
        <f>'1.SD Facility Based Annex'!J4</f>
        <v>523.35004660000004</v>
      </c>
      <c r="F12" s="165">
        <f>'1.SD Facility Based Annex'!J3</f>
        <v>0</v>
      </c>
      <c r="G12" s="165">
        <f>'2.SD Community Based Annex'!J4</f>
        <v>2914.3080850000001</v>
      </c>
      <c r="H12" s="166">
        <f>'2.SD Community Based Annex'!J3</f>
        <v>0</v>
      </c>
      <c r="I12" s="165">
        <f>'3.Community Intervention Annexn'!J4</f>
        <v>0</v>
      </c>
      <c r="J12" s="165">
        <f>'3.Community Intervention Annexn'!J3</f>
        <v>0</v>
      </c>
      <c r="K12" s="289">
        <f>'5.Infrastructure Annex'!J4</f>
        <v>0</v>
      </c>
      <c r="L12" s="289">
        <f>'5.Infrastructure Annex'!J3</f>
        <v>0</v>
      </c>
      <c r="M12" s="289">
        <f>'7.Referral Transport Annex'!J4</f>
        <v>0</v>
      </c>
      <c r="N12" s="289">
        <f>'7.Referral Transport Annex'!J3</f>
        <v>0</v>
      </c>
      <c r="O12" s="289">
        <f>'11.IEC-BCC Annex'!J4</f>
        <v>0</v>
      </c>
      <c r="P12" s="289">
        <f>'11.IEC-BCC Annex'!J3</f>
        <v>0</v>
      </c>
      <c r="Q12" s="289">
        <f>'12.Printing Annex'!J4</f>
        <v>444.15748077618753</v>
      </c>
      <c r="R12" s="289">
        <f>'12.Printing Annex'!J3</f>
        <v>0</v>
      </c>
      <c r="S12" s="289">
        <f>'13.Quality Assurance Annex'!J4</f>
        <v>0</v>
      </c>
      <c r="T12" s="291">
        <f>'13.Quality Assurance Annex'!J3</f>
        <v>0</v>
      </c>
      <c r="U12" s="289">
        <f>'4.Untied grants Annex'!J4</f>
        <v>0</v>
      </c>
      <c r="V12" s="289">
        <f>'4.Untied grants Annex'!J3</f>
        <v>0</v>
      </c>
      <c r="W12" s="289">
        <f>'15.PPP Annex'!J4</f>
        <v>0</v>
      </c>
      <c r="X12" s="289">
        <f>'15.PPP Annex'!J3</f>
        <v>0</v>
      </c>
      <c r="Y12" s="289">
        <f>'6.Procurement Annex'!J4</f>
        <v>322.08622079999998</v>
      </c>
      <c r="Z12" s="289">
        <f>'6.Procurement Annex'!J3</f>
        <v>0</v>
      </c>
      <c r="AA12" s="289">
        <f>'14.Drug warehouse &amp;Logistic Anx'!J4</f>
        <v>0</v>
      </c>
      <c r="AB12" s="289">
        <f>'14.Drug warehouse &amp;Logistic Anx'!J3</f>
        <v>0</v>
      </c>
      <c r="AC12" s="289">
        <f>'8.Human Resources (SD) Annex'!J4</f>
        <v>0</v>
      </c>
      <c r="AD12" s="289">
        <f>'8.Human Resources (SD) Annex'!J3</f>
        <v>0</v>
      </c>
      <c r="AE12" s="291">
        <f>'9.Training Annex'!J4</f>
        <v>105.73471499999999</v>
      </c>
      <c r="AF12" s="291">
        <f>'9.Training Annex'!J3</f>
        <v>0</v>
      </c>
      <c r="AG12" s="289">
        <f>'16.PM Annex'!J4</f>
        <v>0</v>
      </c>
      <c r="AH12" s="289">
        <f>'16.PM Annex'!J3</f>
        <v>0</v>
      </c>
      <c r="AI12" s="289">
        <f>'10.Review Research &amp; Surveillen'!J4</f>
        <v>0</v>
      </c>
      <c r="AJ12" s="289">
        <f>'10.Review Research &amp; Surveillen'!J3</f>
        <v>0</v>
      </c>
      <c r="AK12" s="289">
        <f>'17.IT Initiatives_SD'!J4</f>
        <v>0</v>
      </c>
      <c r="AL12" s="289">
        <f>'17.IT Initiatives_SD'!J3</f>
        <v>0</v>
      </c>
      <c r="AM12" s="289">
        <f>'18.Innovation'!J4</f>
        <v>0</v>
      </c>
      <c r="AN12" s="289">
        <f>'18.Innovation'!J3</f>
        <v>0</v>
      </c>
    </row>
    <row r="13" spans="1:54" s="122" customFormat="1">
      <c r="A13" s="4253"/>
      <c r="B13" s="314" t="s">
        <v>4064</v>
      </c>
      <c r="C13" s="351">
        <f t="shared" si="2"/>
        <v>901.69999999999993</v>
      </c>
      <c r="D13" s="351">
        <f t="shared" si="3"/>
        <v>0</v>
      </c>
      <c r="E13" s="167">
        <f>'1.SD Facility Based Annex'!K4</f>
        <v>0</v>
      </c>
      <c r="F13" s="167">
        <f>'1.SD Facility Based Annex'!K3</f>
        <v>0</v>
      </c>
      <c r="G13" s="165">
        <f>'2.SD Community Based Annex'!K4</f>
        <v>0</v>
      </c>
      <c r="H13" s="166">
        <f>'2.SD Community Based Annex'!K3</f>
        <v>0</v>
      </c>
      <c r="I13" s="165">
        <f>'3.Community Intervention Annexn'!K4</f>
        <v>0</v>
      </c>
      <c r="J13" s="165">
        <f>'3.Community Intervention Annexn'!K3</f>
        <v>0</v>
      </c>
      <c r="K13" s="289">
        <f>'5.Infrastructure Annex'!K4</f>
        <v>0</v>
      </c>
      <c r="L13" s="289">
        <f>'5.Infrastructure Annex'!K3</f>
        <v>0</v>
      </c>
      <c r="M13" s="289">
        <f>'7.Referral Transport Annex'!K4</f>
        <v>0</v>
      </c>
      <c r="N13" s="289">
        <f>'7.Referral Transport Annex'!K3</f>
        <v>0</v>
      </c>
      <c r="O13" s="289">
        <f>'11.IEC-BCC Annex'!K4</f>
        <v>16.8</v>
      </c>
      <c r="P13" s="289">
        <f>'11.IEC-BCC Annex'!K3</f>
        <v>0</v>
      </c>
      <c r="Q13" s="289">
        <f>'12.Printing Annex'!K4</f>
        <v>0</v>
      </c>
      <c r="R13" s="289">
        <f>'12.Printing Annex'!K3</f>
        <v>0</v>
      </c>
      <c r="S13" s="289">
        <f>'13.Quality Assurance Annex'!K4</f>
        <v>0</v>
      </c>
      <c r="T13" s="291">
        <f>'13.Quality Assurance Annex'!K3</f>
        <v>0</v>
      </c>
      <c r="U13" s="289">
        <f>'4.Untied grants Annex'!K4</f>
        <v>0</v>
      </c>
      <c r="V13" s="289">
        <f>'4.Untied grants Annex'!K3</f>
        <v>0</v>
      </c>
      <c r="W13" s="289">
        <f>'15.PPP Annex'!K4</f>
        <v>0</v>
      </c>
      <c r="X13" s="289">
        <f>'15.PPP Annex'!K3</f>
        <v>0</v>
      </c>
      <c r="Y13" s="289">
        <f>'6.Procurement Annex'!K4</f>
        <v>0</v>
      </c>
      <c r="Z13" s="289">
        <f>'6.Procurement Annex'!K3</f>
        <v>0</v>
      </c>
      <c r="AA13" s="289">
        <f>'14.Drug warehouse &amp;Logistic Anx'!K4</f>
        <v>0</v>
      </c>
      <c r="AB13" s="289">
        <f>'14.Drug warehouse &amp;Logistic Anx'!K3</f>
        <v>0</v>
      </c>
      <c r="AC13" s="289">
        <f>'8.Human Resources (SD) Annex'!K4</f>
        <v>0</v>
      </c>
      <c r="AD13" s="289">
        <f>'8.Human Resources (SD) Annex'!K3</f>
        <v>0</v>
      </c>
      <c r="AE13" s="291">
        <f>'9.Training Annex'!K4</f>
        <v>7.5</v>
      </c>
      <c r="AF13" s="291">
        <f>'9.Training Annex'!K3</f>
        <v>0</v>
      </c>
      <c r="AG13" s="289">
        <f>'16.PM Annex'!K4</f>
        <v>877.4</v>
      </c>
      <c r="AH13" s="289">
        <f>'16.PM Annex'!K3</f>
        <v>0</v>
      </c>
      <c r="AI13" s="289">
        <f>'10.Review Research &amp; Surveillen'!K4</f>
        <v>0</v>
      </c>
      <c r="AJ13" s="289">
        <f>'10.Review Research &amp; Surveillen'!K3</f>
        <v>0</v>
      </c>
      <c r="AK13" s="289">
        <f>'17.IT Initiatives_SD'!K4</f>
        <v>0</v>
      </c>
      <c r="AL13" s="289">
        <f>'17.IT Initiatives_SD'!K3</f>
        <v>0</v>
      </c>
      <c r="AM13" s="289">
        <f>'18.Innovation'!K4</f>
        <v>0</v>
      </c>
      <c r="AN13" s="289">
        <f>'18.Innovation'!K3</f>
        <v>0</v>
      </c>
    </row>
    <row r="14" spans="1:54" s="122" customFormat="1">
      <c r="A14" s="4253"/>
      <c r="B14" s="314" t="s">
        <v>4065</v>
      </c>
      <c r="C14" s="351">
        <f t="shared" si="2"/>
        <v>19397.230112919999</v>
      </c>
      <c r="D14" s="351">
        <f t="shared" si="3"/>
        <v>0</v>
      </c>
      <c r="E14" s="167">
        <f>'1.SD Facility Based Annex'!L4</f>
        <v>6.84</v>
      </c>
      <c r="F14" s="167">
        <f>'1.SD Facility Based Annex'!L3</f>
        <v>0</v>
      </c>
      <c r="G14" s="165">
        <f>'2.SD Community Based Annex'!L4</f>
        <v>6076.2779232000003</v>
      </c>
      <c r="H14" s="166">
        <f>'2.SD Community Based Annex'!L3</f>
        <v>0</v>
      </c>
      <c r="I14" s="165">
        <f>'3.Community Intervention Annexn'!L4</f>
        <v>8949.6311999999998</v>
      </c>
      <c r="J14" s="165">
        <f>'3.Community Intervention Annexn'!L3</f>
        <v>0</v>
      </c>
      <c r="K14" s="289">
        <f>'5.Infrastructure Annex'!L4</f>
        <v>0</v>
      </c>
      <c r="L14" s="289">
        <f>'5.Infrastructure Annex'!L3</f>
        <v>0</v>
      </c>
      <c r="M14" s="289">
        <f>'7.Referral Transport Annex'!L4</f>
        <v>0</v>
      </c>
      <c r="N14" s="289">
        <f>'7.Referral Transport Annex'!L3</f>
        <v>0</v>
      </c>
      <c r="O14" s="289">
        <f>'11.IEC-BCC Annex'!L4</f>
        <v>400</v>
      </c>
      <c r="P14" s="289">
        <f>'11.IEC-BCC Annex'!L3</f>
        <v>0</v>
      </c>
      <c r="Q14" s="289">
        <f>'12.Printing Annex'!L4</f>
        <v>640</v>
      </c>
      <c r="R14" s="289">
        <f>'12.Printing Annex'!L3</f>
        <v>0</v>
      </c>
      <c r="S14" s="289">
        <f>'13.Quality Assurance Annex'!L4</f>
        <v>5.8739999999999997</v>
      </c>
      <c r="T14" s="291">
        <f>'13.Quality Assurance Annex'!L3</f>
        <v>0</v>
      </c>
      <c r="U14" s="289">
        <f>'4.Untied grants Annex'!L4</f>
        <v>0</v>
      </c>
      <c r="V14" s="289">
        <f>'4.Untied grants Annex'!L3</f>
        <v>0</v>
      </c>
      <c r="W14" s="289">
        <f>'15.PPP Annex'!L4</f>
        <v>0</v>
      </c>
      <c r="X14" s="289">
        <f>'15.PPP Annex'!L3</f>
        <v>0</v>
      </c>
      <c r="Y14" s="289">
        <f>'6.Procurement Annex'!L4</f>
        <v>200.70083999999997</v>
      </c>
      <c r="Z14" s="289">
        <f>'6.Procurement Annex'!L3</f>
        <v>0</v>
      </c>
      <c r="AA14" s="289">
        <f>'14.Drug warehouse &amp;Logistic Anx'!L4</f>
        <v>3004.81862972</v>
      </c>
      <c r="AB14" s="289">
        <f>'14.Drug warehouse &amp;Logistic Anx'!L3</f>
        <v>0</v>
      </c>
      <c r="AC14" s="289">
        <f>'8.Human Resources (SD) Annex'!L4</f>
        <v>0</v>
      </c>
      <c r="AD14" s="289">
        <f>'8.Human Resources (SD) Annex'!L3</f>
        <v>0</v>
      </c>
      <c r="AE14" s="291">
        <f>'9.Training Annex'!L4</f>
        <v>113.08752</v>
      </c>
      <c r="AF14" s="291">
        <f>'9.Training Annex'!L3</f>
        <v>0</v>
      </c>
      <c r="AG14" s="289">
        <f>'16.PM Annex'!L4</f>
        <v>0</v>
      </c>
      <c r="AH14" s="289">
        <f>'16.PM Annex'!L3</f>
        <v>0</v>
      </c>
      <c r="AI14" s="289">
        <f>'10.Review Research &amp; Surveillen'!L4</f>
        <v>0</v>
      </c>
      <c r="AJ14" s="289">
        <f>'10.Review Research &amp; Surveillen'!L3</f>
        <v>0</v>
      </c>
      <c r="AK14" s="289">
        <f>'17.IT Initiatives_SD'!L4</f>
        <v>0</v>
      </c>
      <c r="AL14" s="289">
        <f>'17.IT Initiatives_SD'!L3</f>
        <v>0</v>
      </c>
      <c r="AM14" s="289">
        <f>'18.Innovation'!L4</f>
        <v>0</v>
      </c>
      <c r="AN14" s="289">
        <f>'18.Innovation'!L3</f>
        <v>0</v>
      </c>
    </row>
    <row r="15" spans="1:54" s="122" customFormat="1">
      <c r="A15" s="4253"/>
      <c r="B15" s="314" t="s">
        <v>5268</v>
      </c>
      <c r="C15" s="351">
        <f t="shared" si="2"/>
        <v>0</v>
      </c>
      <c r="D15" s="351">
        <f t="shared" si="3"/>
        <v>0</v>
      </c>
      <c r="E15" s="165">
        <f>'1.SD Facility Based Annex'!M4</f>
        <v>0</v>
      </c>
      <c r="F15" s="165">
        <f>'1.SD Facility Based Annex'!M3</f>
        <v>0</v>
      </c>
      <c r="G15" s="165">
        <f>'2.SD Community Based Annex'!M4</f>
        <v>0</v>
      </c>
      <c r="H15" s="166">
        <f>'2.SD Community Based Annex'!M3</f>
        <v>0</v>
      </c>
      <c r="I15" s="165">
        <f>'3.Community Intervention Annexn'!M4</f>
        <v>0</v>
      </c>
      <c r="J15" s="165">
        <f>'3.Community Intervention Annexn'!M3</f>
        <v>0</v>
      </c>
      <c r="K15" s="289">
        <f>'5.Infrastructure Annex'!M4</f>
        <v>0</v>
      </c>
      <c r="L15" s="289">
        <f>'5.Infrastructure Annex'!M3</f>
        <v>0</v>
      </c>
      <c r="M15" s="289">
        <f>'7.Referral Transport Annex'!M4</f>
        <v>0</v>
      </c>
      <c r="N15" s="289">
        <f>'7.Referral Transport Annex'!M3</f>
        <v>0</v>
      </c>
      <c r="O15" s="289">
        <f>'11.IEC-BCC Annex'!M4</f>
        <v>0</v>
      </c>
      <c r="P15" s="289">
        <f>'11.IEC-BCC Annex'!M3</f>
        <v>0</v>
      </c>
      <c r="Q15" s="289">
        <f>'12.Printing Annex'!M4</f>
        <v>0</v>
      </c>
      <c r="R15" s="289">
        <f>'12.Printing Annex'!M3</f>
        <v>0</v>
      </c>
      <c r="S15" s="289">
        <f>'13.Quality Assurance Annex'!M4</f>
        <v>0</v>
      </c>
      <c r="T15" s="291">
        <f>'13.Quality Assurance Annex'!M3</f>
        <v>0</v>
      </c>
      <c r="U15" s="289">
        <f>'4.Untied grants Annex'!M4</f>
        <v>0</v>
      </c>
      <c r="V15" s="289">
        <f>'4.Untied grants Annex'!M3</f>
        <v>0</v>
      </c>
      <c r="W15" s="289">
        <f>'15.PPP Annex'!M4</f>
        <v>0</v>
      </c>
      <c r="X15" s="289">
        <f>'15.PPP Annex'!M3</f>
        <v>0</v>
      </c>
      <c r="Y15" s="289">
        <f>'6.Procurement Annex'!M4</f>
        <v>0</v>
      </c>
      <c r="Z15" s="289">
        <f>'6.Procurement Annex'!M3</f>
        <v>0</v>
      </c>
      <c r="AA15" s="289">
        <f>'14.Drug warehouse &amp;Logistic Anx'!M4</f>
        <v>0</v>
      </c>
      <c r="AB15" s="289">
        <f>'14.Drug warehouse &amp;Logistic Anx'!M3</f>
        <v>0</v>
      </c>
      <c r="AC15" s="289">
        <f>'8.Human Resources (SD) Annex'!M4</f>
        <v>0</v>
      </c>
      <c r="AD15" s="289">
        <f>'8.Human Resources (SD) Annex'!M3</f>
        <v>0</v>
      </c>
      <c r="AE15" s="291">
        <f>'9.Training Annex'!M4</f>
        <v>0</v>
      </c>
      <c r="AF15" s="291">
        <f>'9.Training Annex'!M3</f>
        <v>0</v>
      </c>
      <c r="AG15" s="289">
        <f>'16.PM Annex'!M4</f>
        <v>0</v>
      </c>
      <c r="AH15" s="289">
        <f>'16.PM Annex'!M3</f>
        <v>0</v>
      </c>
      <c r="AI15" s="289">
        <f>'10.Review Research &amp; Surveillen'!M4</f>
        <v>0</v>
      </c>
      <c r="AJ15" s="289">
        <f>'10.Review Research &amp; Surveillen'!M3</f>
        <v>0</v>
      </c>
      <c r="AK15" s="289">
        <f>'17.IT Initiatives_SD'!M4</f>
        <v>0</v>
      </c>
      <c r="AL15" s="289">
        <f>'17.IT Initiatives_SD'!M3</f>
        <v>0</v>
      </c>
      <c r="AM15" s="289">
        <f>'18.Innovation'!M4</f>
        <v>0</v>
      </c>
      <c r="AN15" s="289">
        <f>'18.Innovation'!M3</f>
        <v>0</v>
      </c>
    </row>
    <row r="16" spans="1:54" s="122" customFormat="1">
      <c r="A16" s="4253"/>
      <c r="B16" s="314" t="s">
        <v>5269</v>
      </c>
      <c r="C16" s="351">
        <f t="shared" si="2"/>
        <v>4529.0968635899999</v>
      </c>
      <c r="D16" s="351">
        <f t="shared" si="3"/>
        <v>0</v>
      </c>
      <c r="E16" s="165"/>
      <c r="F16" s="165"/>
      <c r="G16" s="165"/>
      <c r="H16" s="166"/>
      <c r="I16" s="165"/>
      <c r="J16" s="165"/>
      <c r="K16" s="289"/>
      <c r="L16" s="289"/>
      <c r="M16" s="289"/>
      <c r="N16" s="289"/>
      <c r="O16" s="289"/>
      <c r="P16" s="289"/>
      <c r="Q16" s="289"/>
      <c r="R16" s="289"/>
      <c r="S16" s="289"/>
      <c r="T16" s="291"/>
      <c r="U16" s="289"/>
      <c r="V16" s="289"/>
      <c r="W16" s="289">
        <f>'15.PPP Annex'!BB4</f>
        <v>0</v>
      </c>
      <c r="X16" s="289">
        <f>'15.PPP Annex'!BB3</f>
        <v>0</v>
      </c>
      <c r="Y16" s="289"/>
      <c r="Z16" s="289"/>
      <c r="AA16" s="289"/>
      <c r="AB16" s="289"/>
      <c r="AC16" s="289"/>
      <c r="AD16" s="289"/>
      <c r="AE16" s="291"/>
      <c r="AF16" s="291"/>
      <c r="AG16" s="289">
        <f>'16.PM Annex'!BB4</f>
        <v>1395.64698559</v>
      </c>
      <c r="AH16" s="289">
        <f>'16.PM Annex'!BB3</f>
        <v>0</v>
      </c>
      <c r="AI16" s="289"/>
      <c r="AJ16" s="289"/>
      <c r="AK16" s="289"/>
      <c r="AL16" s="289"/>
      <c r="AM16" s="289">
        <f>'18.Innovation'!BB4</f>
        <v>3133.4498779999999</v>
      </c>
      <c r="AN16" s="289">
        <f>'18.Innovation'!BB3</f>
        <v>0</v>
      </c>
    </row>
    <row r="17" spans="1:40" s="122" customFormat="1" ht="30">
      <c r="A17" s="4253"/>
      <c r="B17" s="314" t="s">
        <v>3877</v>
      </c>
      <c r="C17" s="351">
        <f t="shared" si="2"/>
        <v>96.241</v>
      </c>
      <c r="D17" s="351">
        <f t="shared" si="3"/>
        <v>0</v>
      </c>
      <c r="E17" s="165">
        <f>'1.SD Facility Based Annex'!N4</f>
        <v>0</v>
      </c>
      <c r="F17" s="165">
        <f>'1.SD Facility Based Annex'!N3</f>
        <v>0</v>
      </c>
      <c r="G17" s="165">
        <f>'2.SD Community Based Annex'!N4</f>
        <v>0</v>
      </c>
      <c r="H17" s="166">
        <f>'2.SD Community Based Annex'!N3</f>
        <v>0</v>
      </c>
      <c r="I17" s="165">
        <f>'3.Community Intervention Annexn'!N4</f>
        <v>31.870500000000003</v>
      </c>
      <c r="J17" s="165">
        <f>'3.Community Intervention Annexn'!N3</f>
        <v>0</v>
      </c>
      <c r="K17" s="289">
        <f>'5.Infrastructure Annex'!N4</f>
        <v>4</v>
      </c>
      <c r="L17" s="289">
        <f>'5.Infrastructure Annex'!N3</f>
        <v>0</v>
      </c>
      <c r="M17" s="289">
        <f>'7.Referral Transport Annex'!N4</f>
        <v>0</v>
      </c>
      <c r="N17" s="289">
        <f>'7.Referral Transport Annex'!N3</f>
        <v>0</v>
      </c>
      <c r="O17" s="289">
        <f>'11.IEC-BCC Annex'!N4</f>
        <v>12.4</v>
      </c>
      <c r="P17" s="289">
        <f>'11.IEC-BCC Annex'!N3</f>
        <v>0</v>
      </c>
      <c r="Q17" s="289">
        <f>'12.Printing Annex'!N4</f>
        <v>0</v>
      </c>
      <c r="R17" s="289">
        <f>'12.Printing Annex'!N3</f>
        <v>0</v>
      </c>
      <c r="S17" s="289">
        <f>'13.Quality Assurance Annex'!N4</f>
        <v>0</v>
      </c>
      <c r="T17" s="291">
        <f>'13.Quality Assurance Annex'!N3</f>
        <v>0</v>
      </c>
      <c r="U17" s="289">
        <f>'4.Untied grants Annex'!N4</f>
        <v>0</v>
      </c>
      <c r="V17" s="289">
        <f>'4.Untied grants Annex'!N3</f>
        <v>0</v>
      </c>
      <c r="W17" s="289">
        <f>'15.PPP Annex'!N4</f>
        <v>0</v>
      </c>
      <c r="X17" s="289">
        <f>'15.PPP Annex'!N3</f>
        <v>0</v>
      </c>
      <c r="Y17" s="289">
        <f>'6.Procurement Annex'!N4</f>
        <v>34.3705</v>
      </c>
      <c r="Z17" s="289">
        <f>'6.Procurement Annex'!N3</f>
        <v>0</v>
      </c>
      <c r="AA17" s="289">
        <f>'14.Drug warehouse &amp;Logistic Anx'!N4</f>
        <v>0</v>
      </c>
      <c r="AB17" s="289">
        <f>'14.Drug warehouse &amp;Logistic Anx'!N3</f>
        <v>0</v>
      </c>
      <c r="AC17" s="289">
        <f>'8.Human Resources (SD) Annex'!N4</f>
        <v>0</v>
      </c>
      <c r="AD17" s="289">
        <f>'8.Human Resources (SD) Annex'!N3</f>
        <v>0</v>
      </c>
      <c r="AE17" s="291">
        <f>'9.Training Annex'!N4</f>
        <v>0</v>
      </c>
      <c r="AF17" s="291">
        <f>'9.Training Annex'!N3</f>
        <v>0</v>
      </c>
      <c r="AG17" s="289">
        <f>'16.PM Annex'!N4</f>
        <v>0</v>
      </c>
      <c r="AH17" s="289">
        <f>'16.PM Annex'!N3</f>
        <v>0</v>
      </c>
      <c r="AI17" s="289">
        <f>'10.Review Research &amp; Surveillen'!N4</f>
        <v>13.6</v>
      </c>
      <c r="AJ17" s="289">
        <f>'10.Review Research &amp; Surveillen'!N3</f>
        <v>0</v>
      </c>
      <c r="AK17" s="289">
        <f>'17.IT Initiatives_SD'!N4</f>
        <v>0</v>
      </c>
      <c r="AL17" s="289">
        <f>'17.IT Initiatives_SD'!N3</f>
        <v>0</v>
      </c>
      <c r="AM17" s="289">
        <f>'18.Innovation'!N4</f>
        <v>0</v>
      </c>
      <c r="AN17" s="289">
        <f>'18.Innovation'!N3</f>
        <v>0</v>
      </c>
    </row>
    <row r="18" spans="1:40" s="122" customFormat="1">
      <c r="A18" s="4253" t="s">
        <v>4704</v>
      </c>
      <c r="B18" s="314" t="s">
        <v>4698</v>
      </c>
      <c r="C18" s="351">
        <f t="shared" si="2"/>
        <v>58498.912039999996</v>
      </c>
      <c r="D18" s="351">
        <f t="shared" si="3"/>
        <v>0</v>
      </c>
      <c r="E18" s="165">
        <f>'1.SD Facility Based Annex'!O4</f>
        <v>0</v>
      </c>
      <c r="F18" s="165">
        <f>'1.SD Facility Based Annex'!O3</f>
        <v>0</v>
      </c>
      <c r="G18" s="165">
        <f>'2.SD Community Based Annex'!O4</f>
        <v>0</v>
      </c>
      <c r="H18" s="166">
        <f>'2.SD Community Based Annex'!O3</f>
        <v>0</v>
      </c>
      <c r="I18" s="165">
        <f>'3.Community Intervention Annexn'!O4</f>
        <v>0</v>
      </c>
      <c r="J18" s="165">
        <f>'3.Community Intervention Annexn'!O3</f>
        <v>0</v>
      </c>
      <c r="K18" s="289">
        <f>'5.Infrastructure Annex'!O4</f>
        <v>29418</v>
      </c>
      <c r="L18" s="289">
        <f>'5.Infrastructure Annex'!O3</f>
        <v>0</v>
      </c>
      <c r="M18" s="289">
        <f>'7.Referral Transport Annex'!O4</f>
        <v>0</v>
      </c>
      <c r="N18" s="289">
        <f>'7.Referral Transport Annex'!O3</f>
        <v>0</v>
      </c>
      <c r="O18" s="289">
        <f>'11.IEC-BCC Annex'!O4</f>
        <v>637.91999999999996</v>
      </c>
      <c r="P18" s="289">
        <f>'11.IEC-BCC Annex'!O3</f>
        <v>0</v>
      </c>
      <c r="Q18" s="289">
        <f>'12.Printing Annex'!O4</f>
        <v>159.47999999999999</v>
      </c>
      <c r="R18" s="289">
        <f>'12.Printing Annex'!O3</f>
        <v>0</v>
      </c>
      <c r="S18" s="289">
        <f>'13.Quality Assurance Annex'!O4</f>
        <v>0</v>
      </c>
      <c r="T18" s="291">
        <f>'13.Quality Assurance Annex'!O3</f>
        <v>0</v>
      </c>
      <c r="U18" s="289">
        <f>'4.Untied grants Annex'!O4</f>
        <v>0</v>
      </c>
      <c r="V18" s="289">
        <f>'4.Untied grants Annex'!O3</f>
        <v>0</v>
      </c>
      <c r="W18" s="289">
        <f>'15.PPP Annex'!O4</f>
        <v>3671.4</v>
      </c>
      <c r="X18" s="289">
        <f>'15.PPP Annex'!O3</f>
        <v>0</v>
      </c>
      <c r="Y18" s="289">
        <f>'6.Procurement Annex'!O4</f>
        <v>439.34999999999997</v>
      </c>
      <c r="Z18" s="289">
        <f>'6.Procurement Annex'!O3</f>
        <v>0</v>
      </c>
      <c r="AA18" s="289">
        <f>'14.Drug warehouse &amp;Logistic Anx'!O4</f>
        <v>0</v>
      </c>
      <c r="AB18" s="289">
        <f>'14.Drug warehouse &amp;Logistic Anx'!O3</f>
        <v>0</v>
      </c>
      <c r="AC18" s="289">
        <f>'8.Human Resources (SD) Annex'!O4</f>
        <v>18239.7</v>
      </c>
      <c r="AD18" s="289">
        <f>'8.Human Resources (SD) Annex'!O3</f>
        <v>0</v>
      </c>
      <c r="AE18" s="291">
        <f>'9.Training Annex'!O4</f>
        <v>3980.3190000000004</v>
      </c>
      <c r="AF18" s="291">
        <f>'9.Training Annex'!O3</f>
        <v>0</v>
      </c>
      <c r="AG18" s="289">
        <f>'16.PM Annex'!O4</f>
        <v>0</v>
      </c>
      <c r="AH18" s="289">
        <f>'16.PM Annex'!O3</f>
        <v>0</v>
      </c>
      <c r="AI18" s="289">
        <f>'10.Review Research &amp; Surveillen'!O4</f>
        <v>0</v>
      </c>
      <c r="AJ18" s="289">
        <f>'10.Review Research &amp; Surveillen'!O3</f>
        <v>0</v>
      </c>
      <c r="AK18" s="289">
        <f>'17.IT Initiatives_SD'!O4</f>
        <v>1952.7430400000001</v>
      </c>
      <c r="AL18" s="289">
        <f>'17.IT Initiatives_SD'!O3</f>
        <v>0</v>
      </c>
      <c r="AM18" s="289">
        <f>'18.Innovation'!O4</f>
        <v>0</v>
      </c>
      <c r="AN18" s="289">
        <f>'18.Innovation'!O3</f>
        <v>0</v>
      </c>
    </row>
    <row r="19" spans="1:40" s="122" customFormat="1">
      <c r="A19" s="4253"/>
      <c r="B19" s="314" t="s">
        <v>3848</v>
      </c>
      <c r="C19" s="351">
        <f t="shared" si="2"/>
        <v>33809.324340000006</v>
      </c>
      <c r="D19" s="351">
        <f t="shared" si="3"/>
        <v>0</v>
      </c>
      <c r="E19" s="165">
        <f>'1.SD Facility Based Annex'!P4</f>
        <v>0</v>
      </c>
      <c r="F19" s="165">
        <f>'1.SD Facility Based Annex'!P3</f>
        <v>0</v>
      </c>
      <c r="G19" s="165">
        <f>'2.SD Community Based Annex'!P4</f>
        <v>0</v>
      </c>
      <c r="H19" s="166">
        <f>'2.SD Community Based Annex'!P3</f>
        <v>0</v>
      </c>
      <c r="I19" s="165">
        <f>'3.Community Intervention Annexn'!P4</f>
        <v>33600.524340000004</v>
      </c>
      <c r="J19" s="165">
        <f>'3.Community Intervention Annexn'!P3</f>
        <v>0</v>
      </c>
      <c r="K19" s="289">
        <f>'5.Infrastructure Annex'!P4</f>
        <v>0</v>
      </c>
      <c r="L19" s="289">
        <f>'5.Infrastructure Annex'!P3</f>
        <v>0</v>
      </c>
      <c r="M19" s="289">
        <f>'7.Referral Transport Annex'!P4</f>
        <v>0</v>
      </c>
      <c r="N19" s="289">
        <f>'7.Referral Transport Annex'!P3</f>
        <v>0</v>
      </c>
      <c r="O19" s="289">
        <f>'11.IEC-BCC Annex'!P4</f>
        <v>0</v>
      </c>
      <c r="P19" s="289">
        <f>'11.IEC-BCC Annex'!P3</f>
        <v>0</v>
      </c>
      <c r="Q19" s="289">
        <f>'12.Printing Annex'!P4</f>
        <v>0</v>
      </c>
      <c r="R19" s="289">
        <f>'12.Printing Annex'!P3</f>
        <v>0</v>
      </c>
      <c r="S19" s="289">
        <f>'13.Quality Assurance Annex'!P4</f>
        <v>0</v>
      </c>
      <c r="T19" s="291">
        <f>'13.Quality Assurance Annex'!P3</f>
        <v>0</v>
      </c>
      <c r="U19" s="289">
        <f>'4.Untied grants Annex'!P4</f>
        <v>0</v>
      </c>
      <c r="V19" s="289">
        <f>'4.Untied grants Annex'!P3</f>
        <v>0</v>
      </c>
      <c r="W19" s="289">
        <f>'15.PPP Annex'!P4</f>
        <v>0</v>
      </c>
      <c r="X19" s="289">
        <f>'15.PPP Annex'!P3</f>
        <v>0</v>
      </c>
      <c r="Y19" s="289">
        <f>'6.Procurement Annex'!P4</f>
        <v>151.14000000000001</v>
      </c>
      <c r="Z19" s="289">
        <f>'6.Procurement Annex'!P3</f>
        <v>0</v>
      </c>
      <c r="AA19" s="289">
        <f>'14.Drug warehouse &amp;Logistic Anx'!P4</f>
        <v>0</v>
      </c>
      <c r="AB19" s="289">
        <f>'14.Drug warehouse &amp;Logistic Anx'!P3</f>
        <v>0</v>
      </c>
      <c r="AC19" s="289">
        <f>'8.Human Resources (SD) Annex'!P4</f>
        <v>0</v>
      </c>
      <c r="AD19" s="289">
        <f>'8.Human Resources (SD) Annex'!P3</f>
        <v>0</v>
      </c>
      <c r="AE19" s="291">
        <f>'9.Training Annex'!P4</f>
        <v>57.66</v>
      </c>
      <c r="AF19" s="291">
        <f>'9.Training Annex'!P3</f>
        <v>0</v>
      </c>
      <c r="AG19" s="289">
        <f>'16.PM Annex'!P4</f>
        <v>0</v>
      </c>
      <c r="AH19" s="289">
        <f>'16.PM Annex'!P3</f>
        <v>0</v>
      </c>
      <c r="AI19" s="289">
        <f>'10.Review Research &amp; Surveillen'!P4</f>
        <v>0</v>
      </c>
      <c r="AJ19" s="289">
        <f>'10.Review Research &amp; Surveillen'!P3</f>
        <v>0</v>
      </c>
      <c r="AK19" s="289">
        <f>'17.IT Initiatives_SD'!P4</f>
        <v>0</v>
      </c>
      <c r="AL19" s="289">
        <f>'17.IT Initiatives_SD'!P3</f>
        <v>0</v>
      </c>
      <c r="AM19" s="289">
        <f>'18.Innovation'!P4</f>
        <v>0</v>
      </c>
      <c r="AN19" s="289">
        <f>'18.Innovation'!P3</f>
        <v>0</v>
      </c>
    </row>
    <row r="20" spans="1:40" s="122" customFormat="1">
      <c r="A20" s="4253"/>
      <c r="B20" s="314" t="s">
        <v>14</v>
      </c>
      <c r="C20" s="351">
        <f t="shared" si="2"/>
        <v>41403.155630000001</v>
      </c>
      <c r="D20" s="351">
        <f t="shared" si="3"/>
        <v>0</v>
      </c>
      <c r="E20" s="165">
        <f>'1.SD Facility Based Annex'!Q4</f>
        <v>0</v>
      </c>
      <c r="F20" s="165">
        <f>'1.SD Facility Based Annex'!Q3</f>
        <v>0</v>
      </c>
      <c r="G20" s="165">
        <f>'2.SD Community Based Annex'!Q4</f>
        <v>0</v>
      </c>
      <c r="H20" s="166">
        <f>'2.SD Community Based Annex'!Q3</f>
        <v>0</v>
      </c>
      <c r="I20" s="167">
        <f>'3.Community Intervention Annexn'!Q4</f>
        <v>0</v>
      </c>
      <c r="J20" s="167">
        <f>'3.Community Intervention Annexn'!Q3</f>
        <v>0</v>
      </c>
      <c r="K20" s="289">
        <f>'5.Infrastructure Annex'!Q4</f>
        <v>41403.155630000001</v>
      </c>
      <c r="L20" s="289">
        <f>'5.Infrastructure Annex'!Q3</f>
        <v>0</v>
      </c>
      <c r="M20" s="289">
        <f>'7.Referral Transport Annex'!Q4</f>
        <v>0</v>
      </c>
      <c r="N20" s="289">
        <f>'7.Referral Transport Annex'!Q3</f>
        <v>0</v>
      </c>
      <c r="O20" s="289">
        <f>'11.IEC-BCC Annex'!Q4</f>
        <v>0</v>
      </c>
      <c r="P20" s="289">
        <f>'11.IEC-BCC Annex'!Q3</f>
        <v>0</v>
      </c>
      <c r="Q20" s="289">
        <f>'12.Printing Annex'!Q4</f>
        <v>0</v>
      </c>
      <c r="R20" s="289">
        <f>'12.Printing Annex'!Q3</f>
        <v>0</v>
      </c>
      <c r="S20" s="289">
        <f>'13.Quality Assurance Annex'!Q4</f>
        <v>0</v>
      </c>
      <c r="T20" s="291">
        <f>'13.Quality Assurance Annex'!Q3</f>
        <v>0</v>
      </c>
      <c r="U20" s="289">
        <f>'4.Untied grants Annex'!Q4</f>
        <v>0</v>
      </c>
      <c r="V20" s="289">
        <f>'4.Untied grants Annex'!Q3</f>
        <v>0</v>
      </c>
      <c r="W20" s="289">
        <f>'15.PPP Annex'!Q4</f>
        <v>0</v>
      </c>
      <c r="X20" s="289">
        <f>'15.PPP Annex'!Q3</f>
        <v>0</v>
      </c>
      <c r="Y20" s="289">
        <f>'6.Procurement Annex'!Q4</f>
        <v>0</v>
      </c>
      <c r="Z20" s="289">
        <f>'6.Procurement Annex'!Q3</f>
        <v>0</v>
      </c>
      <c r="AA20" s="289">
        <f>'14.Drug warehouse &amp;Logistic Anx'!Q4</f>
        <v>0</v>
      </c>
      <c r="AB20" s="289">
        <f>'14.Drug warehouse &amp;Logistic Anx'!Q3</f>
        <v>0</v>
      </c>
      <c r="AC20" s="289">
        <f>'8.Human Resources (SD) Annex'!Q4</f>
        <v>0</v>
      </c>
      <c r="AD20" s="289">
        <f>'8.Human Resources (SD) Annex'!Q3</f>
        <v>0</v>
      </c>
      <c r="AE20" s="291">
        <f>'9.Training Annex'!Q4</f>
        <v>0</v>
      </c>
      <c r="AF20" s="291">
        <f>'9.Training Annex'!Q3</f>
        <v>0</v>
      </c>
      <c r="AG20" s="289">
        <f>'16.PM Annex'!Q4</f>
        <v>0</v>
      </c>
      <c r="AH20" s="289">
        <f>'16.PM Annex'!Q3</f>
        <v>0</v>
      </c>
      <c r="AI20" s="289">
        <f>'10.Review Research &amp; Surveillen'!Q4</f>
        <v>0</v>
      </c>
      <c r="AJ20" s="289">
        <f>'10.Review Research &amp; Surveillen'!Q3</f>
        <v>0</v>
      </c>
      <c r="AK20" s="289">
        <f>'17.IT Initiatives_SD'!Q4</f>
        <v>0</v>
      </c>
      <c r="AL20" s="289">
        <f>'17.IT Initiatives_SD'!Q3</f>
        <v>0</v>
      </c>
      <c r="AM20" s="289">
        <f>'18.Innovation'!Q4</f>
        <v>0</v>
      </c>
      <c r="AN20" s="289">
        <f>'18.Innovation'!Q3</f>
        <v>0</v>
      </c>
    </row>
    <row r="21" spans="1:40" s="122" customFormat="1">
      <c r="A21" s="4253"/>
      <c r="B21" s="314" t="s">
        <v>4692</v>
      </c>
      <c r="C21" s="351">
        <f t="shared" si="2"/>
        <v>15775.56</v>
      </c>
      <c r="D21" s="351">
        <f t="shared" si="3"/>
        <v>0</v>
      </c>
      <c r="E21" s="165">
        <f>'1.SD Facility Based Annex'!R4</f>
        <v>0</v>
      </c>
      <c r="F21" s="165">
        <f>'1.SD Facility Based Annex'!R3</f>
        <v>0</v>
      </c>
      <c r="G21" s="165">
        <f>'2.SD Community Based Annex'!R4</f>
        <v>0</v>
      </c>
      <c r="H21" s="166">
        <f>'2.SD Community Based Annex'!R3</f>
        <v>0</v>
      </c>
      <c r="I21" s="165">
        <f>'3.Community Intervention Annexn'!R4</f>
        <v>0</v>
      </c>
      <c r="J21" s="165">
        <f>'3.Community Intervention Annexn'!R3</f>
        <v>0</v>
      </c>
      <c r="K21" s="289">
        <f>'5.Infrastructure Annex'!R4</f>
        <v>0</v>
      </c>
      <c r="L21" s="289">
        <f>'5.Infrastructure Annex'!R3</f>
        <v>0</v>
      </c>
      <c r="M21" s="289">
        <f>'7.Referral Transport Annex'!R4</f>
        <v>15775.56</v>
      </c>
      <c r="N21" s="289">
        <f>'7.Referral Transport Annex'!R3</f>
        <v>0</v>
      </c>
      <c r="O21" s="289">
        <f>'11.IEC-BCC Annex'!R4</f>
        <v>0</v>
      </c>
      <c r="P21" s="289">
        <f>'11.IEC-BCC Annex'!R3</f>
        <v>0</v>
      </c>
      <c r="Q21" s="289">
        <f>'12.Printing Annex'!R4</f>
        <v>0</v>
      </c>
      <c r="R21" s="289">
        <f>'12.Printing Annex'!R3</f>
        <v>0</v>
      </c>
      <c r="S21" s="289">
        <f>'13.Quality Assurance Annex'!R4</f>
        <v>0</v>
      </c>
      <c r="T21" s="291">
        <f>'13.Quality Assurance Annex'!R3</f>
        <v>0</v>
      </c>
      <c r="U21" s="289">
        <f>'4.Untied grants Annex'!R4</f>
        <v>0</v>
      </c>
      <c r="V21" s="289">
        <f>'4.Untied grants Annex'!R3</f>
        <v>0</v>
      </c>
      <c r="W21" s="289">
        <f>'15.PPP Annex'!R4</f>
        <v>0</v>
      </c>
      <c r="X21" s="289">
        <f>'15.PPP Annex'!R3</f>
        <v>0</v>
      </c>
      <c r="Y21" s="289">
        <f>'6.Procurement Annex'!R4</f>
        <v>0</v>
      </c>
      <c r="Z21" s="289">
        <f>'6.Procurement Annex'!R3</f>
        <v>0</v>
      </c>
      <c r="AA21" s="289">
        <f>'14.Drug warehouse &amp;Logistic Anx'!R4</f>
        <v>0</v>
      </c>
      <c r="AB21" s="289">
        <f>'14.Drug warehouse &amp;Logistic Anx'!R3</f>
        <v>0</v>
      </c>
      <c r="AC21" s="289">
        <f>'8.Human Resources (SD) Annex'!R4</f>
        <v>0</v>
      </c>
      <c r="AD21" s="289">
        <f>'8.Human Resources (SD) Annex'!R3</f>
        <v>0</v>
      </c>
      <c r="AE21" s="291">
        <f>'9.Training Annex'!R4</f>
        <v>0</v>
      </c>
      <c r="AF21" s="291">
        <f>'9.Training Annex'!R3</f>
        <v>0</v>
      </c>
      <c r="AG21" s="289">
        <f>'16.PM Annex'!R4</f>
        <v>0</v>
      </c>
      <c r="AH21" s="289">
        <f>'16.PM Annex'!R3</f>
        <v>0</v>
      </c>
      <c r="AI21" s="289">
        <f>'10.Review Research &amp; Surveillen'!R4</f>
        <v>0</v>
      </c>
      <c r="AJ21" s="289">
        <f>'10.Review Research &amp; Surveillen'!R3</f>
        <v>0</v>
      </c>
      <c r="AK21" s="289">
        <f>'17.IT Initiatives_SD'!R4</f>
        <v>0</v>
      </c>
      <c r="AL21" s="289">
        <f>'17.IT Initiatives_SD'!R3</f>
        <v>0</v>
      </c>
      <c r="AM21" s="289">
        <f>'18.Innovation'!R4</f>
        <v>0</v>
      </c>
      <c r="AN21" s="289">
        <f>'18.Innovation'!R3</f>
        <v>0</v>
      </c>
    </row>
    <row r="22" spans="1:40" s="122" customFormat="1">
      <c r="A22" s="4253"/>
      <c r="B22" s="314" t="s">
        <v>4693</v>
      </c>
      <c r="C22" s="351">
        <f t="shared" si="2"/>
        <v>144</v>
      </c>
      <c r="D22" s="351">
        <f t="shared" si="3"/>
        <v>0</v>
      </c>
      <c r="E22" s="165">
        <f>'1.SD Facility Based Annex'!S4</f>
        <v>0</v>
      </c>
      <c r="F22" s="165">
        <f>'1.SD Facility Based Annex'!S3</f>
        <v>0</v>
      </c>
      <c r="G22" s="165">
        <f>'2.SD Community Based Annex'!S4</f>
        <v>144</v>
      </c>
      <c r="H22" s="166">
        <f>'2.SD Community Based Annex'!S3</f>
        <v>0</v>
      </c>
      <c r="I22" s="165">
        <f>'3.Community Intervention Annexn'!S4</f>
        <v>0</v>
      </c>
      <c r="J22" s="165">
        <f>'3.Community Intervention Annexn'!S3</f>
        <v>0</v>
      </c>
      <c r="K22" s="289">
        <f>'5.Infrastructure Annex'!S4</f>
        <v>0</v>
      </c>
      <c r="L22" s="289">
        <f>'5.Infrastructure Annex'!S3</f>
        <v>0</v>
      </c>
      <c r="M22" s="289">
        <f>'7.Referral Transport Annex'!S4</f>
        <v>0</v>
      </c>
      <c r="N22" s="289">
        <f>'7.Referral Transport Annex'!S3</f>
        <v>0</v>
      </c>
      <c r="O22" s="289">
        <f>'11.IEC-BCC Annex'!S4</f>
        <v>0</v>
      </c>
      <c r="P22" s="289">
        <f>'11.IEC-BCC Annex'!S3</f>
        <v>0</v>
      </c>
      <c r="Q22" s="289">
        <f>'12.Printing Annex'!S4</f>
        <v>0</v>
      </c>
      <c r="R22" s="289">
        <f>'12.Printing Annex'!S3</f>
        <v>0</v>
      </c>
      <c r="S22" s="289">
        <f>'13.Quality Assurance Annex'!S4</f>
        <v>0</v>
      </c>
      <c r="T22" s="291">
        <f>'13.Quality Assurance Annex'!S3</f>
        <v>0</v>
      </c>
      <c r="U22" s="289">
        <f>'4.Untied grants Annex'!S4</f>
        <v>0</v>
      </c>
      <c r="V22" s="289">
        <f>'4.Untied grants Annex'!S3</f>
        <v>0</v>
      </c>
      <c r="W22" s="289">
        <f>'15.PPP Annex'!S4</f>
        <v>0</v>
      </c>
      <c r="X22" s="289">
        <f>'15.PPP Annex'!S3</f>
        <v>0</v>
      </c>
      <c r="Y22" s="289">
        <f>'6.Procurement Annex'!S4</f>
        <v>0</v>
      </c>
      <c r="Z22" s="289">
        <f>'6.Procurement Annex'!S3</f>
        <v>0</v>
      </c>
      <c r="AA22" s="289">
        <f>'14.Drug warehouse &amp;Logistic Anx'!S4</f>
        <v>0</v>
      </c>
      <c r="AB22" s="289">
        <f>'14.Drug warehouse &amp;Logistic Anx'!S3</f>
        <v>0</v>
      </c>
      <c r="AC22" s="289">
        <f>'8.Human Resources (SD) Annex'!S4</f>
        <v>0</v>
      </c>
      <c r="AD22" s="289">
        <f>'8.Human Resources (SD) Annex'!S3</f>
        <v>0</v>
      </c>
      <c r="AE22" s="291">
        <f>'9.Training Annex'!S4</f>
        <v>0</v>
      </c>
      <c r="AF22" s="291">
        <f>'9.Training Annex'!S3</f>
        <v>0</v>
      </c>
      <c r="AG22" s="289">
        <f>'16.PM Annex'!S4</f>
        <v>0</v>
      </c>
      <c r="AH22" s="289">
        <f>'16.PM Annex'!S3</f>
        <v>0</v>
      </c>
      <c r="AI22" s="289">
        <f>'10.Review Research &amp; Surveillen'!S4</f>
        <v>0</v>
      </c>
      <c r="AJ22" s="289">
        <f>'10.Review Research &amp; Surveillen'!S3</f>
        <v>0</v>
      </c>
      <c r="AK22" s="289">
        <f>'17.IT Initiatives_SD'!S4</f>
        <v>0</v>
      </c>
      <c r="AL22" s="289">
        <f>'17.IT Initiatives_SD'!S3</f>
        <v>0</v>
      </c>
      <c r="AM22" s="289">
        <f>'18.Innovation'!S4</f>
        <v>0</v>
      </c>
      <c r="AN22" s="289">
        <f>'18.Innovation'!S3</f>
        <v>0</v>
      </c>
    </row>
    <row r="23" spans="1:40" s="122" customFormat="1">
      <c r="A23" s="4253"/>
      <c r="B23" s="314" t="s">
        <v>4694</v>
      </c>
      <c r="C23" s="351">
        <f t="shared" si="2"/>
        <v>20.75</v>
      </c>
      <c r="D23" s="351">
        <f t="shared" si="3"/>
        <v>0</v>
      </c>
      <c r="E23" s="165">
        <f>'1.SD Facility Based Annex'!T4</f>
        <v>0</v>
      </c>
      <c r="F23" s="165">
        <f>'1.SD Facility Based Annex'!T3</f>
        <v>0</v>
      </c>
      <c r="G23" s="166">
        <f>'2.SD Community Based Annex'!T4</f>
        <v>0</v>
      </c>
      <c r="H23" s="166">
        <f>'2.SD Community Based Annex'!T3</f>
        <v>0</v>
      </c>
      <c r="I23" s="165">
        <f>'3.Community Intervention Annexn'!T4</f>
        <v>20.75</v>
      </c>
      <c r="J23" s="165">
        <f>'3.Community Intervention Annexn'!T3</f>
        <v>0</v>
      </c>
      <c r="K23" s="289">
        <f>'5.Infrastructure Annex'!T4</f>
        <v>0</v>
      </c>
      <c r="L23" s="289">
        <f>'5.Infrastructure Annex'!T3</f>
        <v>0</v>
      </c>
      <c r="M23" s="289">
        <f>'7.Referral Transport Annex'!T4</f>
        <v>0</v>
      </c>
      <c r="N23" s="289">
        <f>'7.Referral Transport Annex'!T3</f>
        <v>0</v>
      </c>
      <c r="O23" s="289">
        <f>'11.IEC-BCC Annex'!T4</f>
        <v>0</v>
      </c>
      <c r="P23" s="289">
        <f>'11.IEC-BCC Annex'!T3</f>
        <v>0</v>
      </c>
      <c r="Q23" s="289">
        <f>'12.Printing Annex'!T4</f>
        <v>0</v>
      </c>
      <c r="R23" s="289">
        <f>'12.Printing Annex'!T3</f>
        <v>0</v>
      </c>
      <c r="S23" s="289">
        <f>'13.Quality Assurance Annex'!T4</f>
        <v>0</v>
      </c>
      <c r="T23" s="291">
        <f>'13.Quality Assurance Annex'!T3</f>
        <v>0</v>
      </c>
      <c r="U23" s="289">
        <f>'4.Untied grants Annex'!T4</f>
        <v>0</v>
      </c>
      <c r="V23" s="289">
        <f>'4.Untied grants Annex'!T3</f>
        <v>0</v>
      </c>
      <c r="W23" s="289">
        <f>'15.PPP Annex'!T4</f>
        <v>0</v>
      </c>
      <c r="X23" s="289">
        <f>'15.PPP Annex'!T3</f>
        <v>0</v>
      </c>
      <c r="Y23" s="289">
        <f>'6.Procurement Annex'!T4</f>
        <v>0</v>
      </c>
      <c r="Z23" s="289">
        <f>'6.Procurement Annex'!T3</f>
        <v>0</v>
      </c>
      <c r="AA23" s="289">
        <f>'14.Drug warehouse &amp;Logistic Anx'!T4</f>
        <v>0</v>
      </c>
      <c r="AB23" s="289">
        <f>'14.Drug warehouse &amp;Logistic Anx'!T3</f>
        <v>0</v>
      </c>
      <c r="AC23" s="289">
        <f>'8.Human Resources (SD) Annex'!T4</f>
        <v>0</v>
      </c>
      <c r="AD23" s="289">
        <f>'8.Human Resources (SD) Annex'!T3</f>
        <v>0</v>
      </c>
      <c r="AE23" s="291">
        <f>'9.Training Annex'!T4</f>
        <v>0</v>
      </c>
      <c r="AF23" s="291">
        <f>'9.Training Annex'!T3</f>
        <v>0</v>
      </c>
      <c r="AG23" s="289">
        <f>'16.PM Annex'!T4</f>
        <v>0</v>
      </c>
      <c r="AH23" s="289">
        <f>'16.PM Annex'!T3</f>
        <v>0</v>
      </c>
      <c r="AI23" s="289">
        <f>'10.Review Research &amp; Surveillen'!T4</f>
        <v>0</v>
      </c>
      <c r="AJ23" s="289">
        <f>'10.Review Research &amp; Surveillen'!T3</f>
        <v>0</v>
      </c>
      <c r="AK23" s="289">
        <f>'17.IT Initiatives_SD'!T4</f>
        <v>0</v>
      </c>
      <c r="AL23" s="289">
        <f>'17.IT Initiatives_SD'!T3</f>
        <v>0</v>
      </c>
      <c r="AM23" s="289">
        <f>'18.Innovation'!T4</f>
        <v>0</v>
      </c>
      <c r="AN23" s="289">
        <f>'18.Innovation'!T3</f>
        <v>0</v>
      </c>
    </row>
    <row r="24" spans="1:40" s="122" customFormat="1">
      <c r="A24" s="4253"/>
      <c r="B24" s="314" t="s">
        <v>30</v>
      </c>
      <c r="C24" s="351">
        <f t="shared" si="2"/>
        <v>22246.94311</v>
      </c>
      <c r="D24" s="351">
        <f t="shared" si="3"/>
        <v>0</v>
      </c>
      <c r="E24" s="165">
        <f>'1.SD Facility Based Annex'!U4</f>
        <v>0</v>
      </c>
      <c r="F24" s="165">
        <f>'1.SD Facility Based Annex'!U3</f>
        <v>0</v>
      </c>
      <c r="G24" s="166">
        <f>'2.SD Community Based Annex'!U4</f>
        <v>0</v>
      </c>
      <c r="H24" s="166">
        <f>'2.SD Community Based Annex'!U3</f>
        <v>0</v>
      </c>
      <c r="I24" s="165">
        <f>'3.Community Intervention Annexn'!U4</f>
        <v>0</v>
      </c>
      <c r="J24" s="165">
        <f>'3.Community Intervention Annexn'!U3</f>
        <v>0</v>
      </c>
      <c r="K24" s="289">
        <f>'5.Infrastructure Annex'!U4</f>
        <v>0</v>
      </c>
      <c r="L24" s="289">
        <f>'5.Infrastructure Annex'!U3</f>
        <v>0</v>
      </c>
      <c r="M24" s="289">
        <f>'7.Referral Transport Annex'!U4</f>
        <v>0</v>
      </c>
      <c r="N24" s="289">
        <f>'7.Referral Transport Annex'!U3</f>
        <v>0</v>
      </c>
      <c r="O24" s="289">
        <f>'11.IEC-BCC Annex'!U4</f>
        <v>0</v>
      </c>
      <c r="P24" s="289">
        <f>'11.IEC-BCC Annex'!U3</f>
        <v>0</v>
      </c>
      <c r="Q24" s="289">
        <f>'12.Printing Annex'!U4</f>
        <v>0</v>
      </c>
      <c r="R24" s="289">
        <f>'12.Printing Annex'!U3</f>
        <v>0</v>
      </c>
      <c r="S24" s="289">
        <f>'13.Quality Assurance Annex'!U4</f>
        <v>1467.3675000000001</v>
      </c>
      <c r="T24" s="291">
        <f>'13.Quality Assurance Annex'!U3</f>
        <v>0</v>
      </c>
      <c r="U24" s="289">
        <f>'4.Untied grants Annex'!U4</f>
        <v>0</v>
      </c>
      <c r="V24" s="289">
        <f>'4.Untied grants Annex'!U3</f>
        <v>0</v>
      </c>
      <c r="W24" s="289">
        <f>'15.PPP Annex'!U4</f>
        <v>0</v>
      </c>
      <c r="X24" s="289">
        <f>'15.PPP Annex'!U3</f>
        <v>0</v>
      </c>
      <c r="Y24" s="289">
        <f>'6.Procurement Annex'!U4</f>
        <v>0</v>
      </c>
      <c r="Z24" s="289">
        <f>'6.Procurement Annex'!U3</f>
        <v>0</v>
      </c>
      <c r="AA24" s="289">
        <f>'14.Drug warehouse &amp;Logistic Anx'!U4</f>
        <v>0</v>
      </c>
      <c r="AB24" s="289">
        <f>'14.Drug warehouse &amp;Logistic Anx'!U3</f>
        <v>0</v>
      </c>
      <c r="AC24" s="289">
        <f>'8.Human Resources (SD) Annex'!U4</f>
        <v>0</v>
      </c>
      <c r="AD24" s="289">
        <f>'8.Human Resources (SD) Annex'!U3</f>
        <v>0</v>
      </c>
      <c r="AE24" s="291">
        <f>'9.Training Annex'!U4</f>
        <v>79.8</v>
      </c>
      <c r="AF24" s="291">
        <f>'9.Training Annex'!U3</f>
        <v>0</v>
      </c>
      <c r="AG24" s="289">
        <f>'16.PM Annex'!U4</f>
        <v>0</v>
      </c>
      <c r="AH24" s="289">
        <f>'16.PM Annex'!U3</f>
        <v>0</v>
      </c>
      <c r="AI24" s="289">
        <f>'10.Review Research &amp; Surveillen'!U4</f>
        <v>0</v>
      </c>
      <c r="AJ24" s="289">
        <f>'10.Review Research &amp; Surveillen'!U3</f>
        <v>0</v>
      </c>
      <c r="AK24" s="289">
        <f>'17.IT Initiatives_SD'!U4</f>
        <v>20699.775610000001</v>
      </c>
      <c r="AL24" s="289">
        <f>'17.IT Initiatives_SD'!U3</f>
        <v>0</v>
      </c>
      <c r="AM24" s="289">
        <f>'18.Innovation'!U4</f>
        <v>0</v>
      </c>
      <c r="AN24" s="289">
        <f>'18.Innovation'!U3</f>
        <v>0</v>
      </c>
    </row>
    <row r="25" spans="1:40" s="122" customFormat="1">
      <c r="A25" s="4253"/>
      <c r="B25" s="314" t="s">
        <v>4695</v>
      </c>
      <c r="C25" s="351">
        <f t="shared" si="2"/>
        <v>248.43906947890821</v>
      </c>
      <c r="D25" s="351">
        <f t="shared" si="3"/>
        <v>0</v>
      </c>
      <c r="E25" s="165">
        <f>'1.SD Facility Based Annex'!V4</f>
        <v>0</v>
      </c>
      <c r="F25" s="165">
        <f>'1.SD Facility Based Annex'!V3</f>
        <v>0</v>
      </c>
      <c r="G25" s="166">
        <f>'2.SD Community Based Annex'!V4</f>
        <v>0</v>
      </c>
      <c r="H25" s="166">
        <f>'2.SD Community Based Annex'!V3</f>
        <v>0</v>
      </c>
      <c r="I25" s="165">
        <f>'3.Community Intervention Annexn'!V4</f>
        <v>0</v>
      </c>
      <c r="J25" s="165">
        <f>'3.Community Intervention Annexn'!V3</f>
        <v>0</v>
      </c>
      <c r="K25" s="289">
        <f>'5.Infrastructure Annex'!V4</f>
        <v>0</v>
      </c>
      <c r="L25" s="289">
        <f>'5.Infrastructure Annex'!V3</f>
        <v>0</v>
      </c>
      <c r="M25" s="289">
        <f>'7.Referral Transport Annex'!V4</f>
        <v>0</v>
      </c>
      <c r="N25" s="289">
        <f>'7.Referral Transport Annex'!V3</f>
        <v>0</v>
      </c>
      <c r="O25" s="289">
        <f>'11.IEC-BCC Annex'!V4</f>
        <v>248.43906947890821</v>
      </c>
      <c r="P25" s="289">
        <f>'11.IEC-BCC Annex'!V3</f>
        <v>0</v>
      </c>
      <c r="Q25" s="289">
        <f>'12.Printing Annex'!V4</f>
        <v>0</v>
      </c>
      <c r="R25" s="289">
        <f>'12.Printing Annex'!V3</f>
        <v>0</v>
      </c>
      <c r="S25" s="289">
        <f>'13.Quality Assurance Annex'!V4</f>
        <v>0</v>
      </c>
      <c r="T25" s="291">
        <f>'13.Quality Assurance Annex'!V3</f>
        <v>0</v>
      </c>
      <c r="U25" s="289">
        <f>'4.Untied grants Annex'!V4</f>
        <v>0</v>
      </c>
      <c r="V25" s="289">
        <f>'4.Untied grants Annex'!V3</f>
        <v>0</v>
      </c>
      <c r="W25" s="289">
        <f>'15.PPP Annex'!V4</f>
        <v>0</v>
      </c>
      <c r="X25" s="289">
        <f>'15.PPP Annex'!V3</f>
        <v>0</v>
      </c>
      <c r="Y25" s="289">
        <f>'6.Procurement Annex'!V4</f>
        <v>0</v>
      </c>
      <c r="Z25" s="289">
        <f>'6.Procurement Annex'!V3</f>
        <v>0</v>
      </c>
      <c r="AA25" s="289">
        <f>'14.Drug warehouse &amp;Logistic Anx'!V4</f>
        <v>0</v>
      </c>
      <c r="AB25" s="289">
        <f>'14.Drug warehouse &amp;Logistic Anx'!V3</f>
        <v>0</v>
      </c>
      <c r="AC25" s="289">
        <f>'8.Human Resources (SD) Annex'!V4</f>
        <v>0</v>
      </c>
      <c r="AD25" s="289">
        <f>'8.Human Resources (SD) Annex'!V3</f>
        <v>0</v>
      </c>
      <c r="AE25" s="291">
        <f>'9.Training Annex'!V4</f>
        <v>0</v>
      </c>
      <c r="AF25" s="291">
        <f>'9.Training Annex'!V3</f>
        <v>0</v>
      </c>
      <c r="AG25" s="289">
        <f>'16.PM Annex'!V4</f>
        <v>0</v>
      </c>
      <c r="AH25" s="289">
        <f>'16.PM Annex'!V3</f>
        <v>0</v>
      </c>
      <c r="AI25" s="289">
        <f>'10.Review Research &amp; Surveillen'!V4</f>
        <v>0</v>
      </c>
      <c r="AJ25" s="289">
        <f>'10.Review Research &amp; Surveillen'!V3</f>
        <v>0</v>
      </c>
      <c r="AK25" s="289">
        <f>'17.IT Initiatives_SD'!V4</f>
        <v>0</v>
      </c>
      <c r="AL25" s="289">
        <f>'17.IT Initiatives_SD'!V3</f>
        <v>0</v>
      </c>
      <c r="AM25" s="289">
        <f>'18.Innovation'!V4</f>
        <v>0</v>
      </c>
      <c r="AN25" s="289">
        <f>'18.Innovation'!V3</f>
        <v>0</v>
      </c>
    </row>
    <row r="26" spans="1:40" s="122" customFormat="1">
      <c r="A26" s="4253"/>
      <c r="B26" s="314" t="s">
        <v>2722</v>
      </c>
      <c r="C26" s="351">
        <f t="shared" si="2"/>
        <v>7413.8649999999998</v>
      </c>
      <c r="D26" s="351">
        <f t="shared" si="3"/>
        <v>0</v>
      </c>
      <c r="E26" s="165">
        <f>'1.SD Facility Based Annex'!W4</f>
        <v>0</v>
      </c>
      <c r="F26" s="165">
        <f>'1.SD Facility Based Annex'!W3</f>
        <v>0</v>
      </c>
      <c r="G26" s="166">
        <f>'2.SD Community Based Annex'!W4</f>
        <v>0</v>
      </c>
      <c r="H26" s="166">
        <f>'2.SD Community Based Annex'!W3</f>
        <v>0</v>
      </c>
      <c r="I26" s="165">
        <f>'3.Community Intervention Annexn'!W4</f>
        <v>0</v>
      </c>
      <c r="J26" s="165">
        <f>'3.Community Intervention Annexn'!W3</f>
        <v>0</v>
      </c>
      <c r="K26" s="289">
        <f>'5.Infrastructure Annex'!W4</f>
        <v>0</v>
      </c>
      <c r="L26" s="289">
        <f>'5.Infrastructure Annex'!W3</f>
        <v>0</v>
      </c>
      <c r="M26" s="289">
        <f>'7.Referral Transport Annex'!W4</f>
        <v>0</v>
      </c>
      <c r="N26" s="289">
        <f>'7.Referral Transport Annex'!W3</f>
        <v>0</v>
      </c>
      <c r="O26" s="289">
        <f>'11.IEC-BCC Annex'!W4</f>
        <v>0</v>
      </c>
      <c r="P26" s="289">
        <f>'11.IEC-BCC Annex'!W3</f>
        <v>0</v>
      </c>
      <c r="Q26" s="289">
        <f>'12.Printing Annex'!W4</f>
        <v>0</v>
      </c>
      <c r="R26" s="289">
        <f>'12.Printing Annex'!W3</f>
        <v>0</v>
      </c>
      <c r="S26" s="289">
        <f>'13.Quality Assurance Annex'!W4</f>
        <v>0</v>
      </c>
      <c r="T26" s="291">
        <f>'13.Quality Assurance Annex'!W3</f>
        <v>0</v>
      </c>
      <c r="U26" s="289">
        <f>'4.Untied grants Annex'!W4</f>
        <v>7413.8649999999998</v>
      </c>
      <c r="V26" s="289">
        <f>'4.Untied grants Annex'!W3</f>
        <v>0</v>
      </c>
      <c r="W26" s="289">
        <f>'15.PPP Annex'!W4</f>
        <v>0</v>
      </c>
      <c r="X26" s="289">
        <f>'15.PPP Annex'!W3</f>
        <v>0</v>
      </c>
      <c r="Y26" s="289">
        <f>'6.Procurement Annex'!W4</f>
        <v>0</v>
      </c>
      <c r="Z26" s="289">
        <f>'6.Procurement Annex'!W3</f>
        <v>0</v>
      </c>
      <c r="AA26" s="289">
        <f>'14.Drug warehouse &amp;Logistic Anx'!W4</f>
        <v>0</v>
      </c>
      <c r="AB26" s="289">
        <f>'14.Drug warehouse &amp;Logistic Anx'!W3</f>
        <v>0</v>
      </c>
      <c r="AC26" s="289">
        <f>'8.Human Resources (SD) Annex'!W4</f>
        <v>0</v>
      </c>
      <c r="AD26" s="289">
        <f>'8.Human Resources (SD) Annex'!W3</f>
        <v>0</v>
      </c>
      <c r="AE26" s="291">
        <f>'9.Training Annex'!W4</f>
        <v>0</v>
      </c>
      <c r="AF26" s="291">
        <f>'9.Training Annex'!W3</f>
        <v>0</v>
      </c>
      <c r="AG26" s="289">
        <f>'16.PM Annex'!W4</f>
        <v>0</v>
      </c>
      <c r="AH26" s="289">
        <f>'16.PM Annex'!W3</f>
        <v>0</v>
      </c>
      <c r="AI26" s="289">
        <f>'10.Review Research &amp; Surveillen'!W4</f>
        <v>0</v>
      </c>
      <c r="AJ26" s="289">
        <f>'10.Review Research &amp; Surveillen'!W3</f>
        <v>0</v>
      </c>
      <c r="AK26" s="289">
        <f>'17.IT Initiatives_SD'!W4</f>
        <v>0</v>
      </c>
      <c r="AL26" s="289">
        <f>'17.IT Initiatives_SD'!W3</f>
        <v>0</v>
      </c>
      <c r="AM26" s="289">
        <f>'18.Innovation'!W4</f>
        <v>0</v>
      </c>
      <c r="AN26" s="289">
        <f>'18.Innovation'!W3</f>
        <v>0</v>
      </c>
    </row>
    <row r="27" spans="1:40" s="122" customFormat="1">
      <c r="A27" s="4253"/>
      <c r="B27" s="314" t="s">
        <v>33</v>
      </c>
      <c r="C27" s="351">
        <f t="shared" si="2"/>
        <v>0</v>
      </c>
      <c r="D27" s="351">
        <f t="shared" si="3"/>
        <v>0</v>
      </c>
      <c r="E27" s="165">
        <f>'1.SD Facility Based Annex'!X4</f>
        <v>0</v>
      </c>
      <c r="F27" s="165">
        <f>'1.SD Facility Based Annex'!X3</f>
        <v>0</v>
      </c>
      <c r="G27" s="166">
        <f>'2.SD Community Based Annex'!X4</f>
        <v>0</v>
      </c>
      <c r="H27" s="166">
        <f>'2.SD Community Based Annex'!X3</f>
        <v>0</v>
      </c>
      <c r="I27" s="165">
        <f>'3.Community Intervention Annexn'!X4</f>
        <v>0</v>
      </c>
      <c r="J27" s="165">
        <f>'3.Community Intervention Annexn'!X3</f>
        <v>0</v>
      </c>
      <c r="K27" s="289">
        <f>'5.Infrastructure Annex'!X4</f>
        <v>0</v>
      </c>
      <c r="L27" s="289">
        <f>'5.Infrastructure Annex'!X3</f>
        <v>0</v>
      </c>
      <c r="M27" s="289">
        <f>'7.Referral Transport Annex'!X4</f>
        <v>0</v>
      </c>
      <c r="N27" s="289">
        <f>'7.Referral Transport Annex'!X3</f>
        <v>0</v>
      </c>
      <c r="O27" s="289">
        <f>'11.IEC-BCC Annex'!X4</f>
        <v>0</v>
      </c>
      <c r="P27" s="289">
        <f>'11.IEC-BCC Annex'!X3</f>
        <v>0</v>
      </c>
      <c r="Q27" s="289">
        <f>'12.Printing Annex'!X4</f>
        <v>0</v>
      </c>
      <c r="R27" s="289">
        <f>'12.Printing Annex'!X3</f>
        <v>0</v>
      </c>
      <c r="S27" s="289">
        <f>'13.Quality Assurance Annex'!X4</f>
        <v>0</v>
      </c>
      <c r="T27" s="291">
        <f>'13.Quality Assurance Annex'!X3</f>
        <v>0</v>
      </c>
      <c r="U27" s="289">
        <f>'4.Untied grants Annex'!X4</f>
        <v>0</v>
      </c>
      <c r="V27" s="289">
        <f>'4.Untied grants Annex'!X3</f>
        <v>0</v>
      </c>
      <c r="W27" s="289">
        <f>'15.PPP Annex'!X4</f>
        <v>0</v>
      </c>
      <c r="X27" s="289">
        <f>'15.PPP Annex'!X3</f>
        <v>0</v>
      </c>
      <c r="Y27" s="289">
        <f>'6.Procurement Annex'!X4</f>
        <v>0</v>
      </c>
      <c r="Z27" s="289">
        <f>'6.Procurement Annex'!X3</f>
        <v>0</v>
      </c>
      <c r="AA27" s="289">
        <f>'14.Drug warehouse &amp;Logistic Anx'!X4</f>
        <v>0</v>
      </c>
      <c r="AB27" s="289">
        <f>'14.Drug warehouse &amp;Logistic Anx'!X3</f>
        <v>0</v>
      </c>
      <c r="AC27" s="289">
        <f>'8.Human Resources (SD) Annex'!X4</f>
        <v>0</v>
      </c>
      <c r="AD27" s="289">
        <f>'8.Human Resources (SD) Annex'!X3</f>
        <v>0</v>
      </c>
      <c r="AE27" s="291">
        <f>'9.Training Annex'!X4</f>
        <v>0</v>
      </c>
      <c r="AF27" s="291">
        <f>'9.Training Annex'!X3</f>
        <v>0</v>
      </c>
      <c r="AG27" s="289">
        <f>'16.PM Annex'!X4</f>
        <v>0</v>
      </c>
      <c r="AH27" s="289">
        <f>'16.PM Annex'!X3</f>
        <v>0</v>
      </c>
      <c r="AI27" s="289">
        <f>'10.Review Research &amp; Surveillen'!X4</f>
        <v>0</v>
      </c>
      <c r="AJ27" s="289">
        <f>'10.Review Research &amp; Surveillen'!X3</f>
        <v>0</v>
      </c>
      <c r="AK27" s="289">
        <f>'17.IT Initiatives_SD'!X4</f>
        <v>0</v>
      </c>
      <c r="AL27" s="289">
        <f>'17.IT Initiatives_SD'!X3</f>
        <v>0</v>
      </c>
      <c r="AM27" s="289">
        <f>'18.Innovation'!X4</f>
        <v>0</v>
      </c>
      <c r="AN27" s="289">
        <f>'18.Innovation'!X3</f>
        <v>0</v>
      </c>
    </row>
    <row r="28" spans="1:40" s="122" customFormat="1">
      <c r="A28" s="4253"/>
      <c r="B28" s="314" t="s">
        <v>4712</v>
      </c>
      <c r="C28" s="351">
        <f t="shared" si="2"/>
        <v>16000</v>
      </c>
      <c r="D28" s="351">
        <f t="shared" si="3"/>
        <v>0</v>
      </c>
      <c r="E28" s="165">
        <f>'1.SD Facility Based Annex'!Y4</f>
        <v>0</v>
      </c>
      <c r="F28" s="165">
        <f>'1.SD Facility Based Annex'!Y3</f>
        <v>0</v>
      </c>
      <c r="G28" s="166">
        <f>'2.SD Community Based Annex'!Y4</f>
        <v>0</v>
      </c>
      <c r="H28" s="166">
        <f>'2.SD Community Based Annex'!Y3</f>
        <v>0</v>
      </c>
      <c r="I28" s="165">
        <f>'3.Community Intervention Annexn'!Y4</f>
        <v>0</v>
      </c>
      <c r="J28" s="165">
        <f>'3.Community Intervention Annexn'!Y3</f>
        <v>0</v>
      </c>
      <c r="K28" s="289">
        <f>'5.Infrastructure Annex'!Y4</f>
        <v>0</v>
      </c>
      <c r="L28" s="289">
        <f>'5.Infrastructure Annex'!Y3</f>
        <v>0</v>
      </c>
      <c r="M28" s="289">
        <f>'7.Referral Transport Annex'!Y4</f>
        <v>0</v>
      </c>
      <c r="N28" s="289">
        <f>'7.Referral Transport Annex'!Y3</f>
        <v>0</v>
      </c>
      <c r="O28" s="289">
        <f>'11.IEC-BCC Annex'!Y4</f>
        <v>0</v>
      </c>
      <c r="P28" s="289">
        <f>'11.IEC-BCC Annex'!Y3</f>
        <v>0</v>
      </c>
      <c r="Q28" s="289">
        <f>'12.Printing Annex'!Y4</f>
        <v>0</v>
      </c>
      <c r="R28" s="289">
        <f>'12.Printing Annex'!Y3</f>
        <v>0</v>
      </c>
      <c r="S28" s="289">
        <f>'13.Quality Assurance Annex'!Y4</f>
        <v>0</v>
      </c>
      <c r="T28" s="291">
        <f>'13.Quality Assurance Annex'!Y3</f>
        <v>0</v>
      </c>
      <c r="U28" s="289">
        <f>'4.Untied grants Annex'!Y4</f>
        <v>0</v>
      </c>
      <c r="V28" s="289">
        <f>'4.Untied grants Annex'!Y3</f>
        <v>0</v>
      </c>
      <c r="W28" s="289">
        <f>'15.PPP Annex'!Y4</f>
        <v>0</v>
      </c>
      <c r="X28" s="289">
        <f>'15.PPP Annex'!Y3</f>
        <v>0</v>
      </c>
      <c r="Y28" s="289">
        <f>'6.Procurement Annex'!Y4</f>
        <v>16000</v>
      </c>
      <c r="Z28" s="289">
        <f>'6.Procurement Annex'!Y3</f>
        <v>0</v>
      </c>
      <c r="AA28" s="289">
        <f>'14.Drug warehouse &amp;Logistic Anx'!Y4</f>
        <v>0</v>
      </c>
      <c r="AB28" s="289">
        <f>'14.Drug warehouse &amp;Logistic Anx'!Y3</f>
        <v>0</v>
      </c>
      <c r="AC28" s="289">
        <f>'8.Human Resources (SD) Annex'!Y4</f>
        <v>0</v>
      </c>
      <c r="AD28" s="289">
        <f>'8.Human Resources (SD) Annex'!Y3</f>
        <v>0</v>
      </c>
      <c r="AE28" s="291">
        <f>'9.Training Annex'!Y4</f>
        <v>0</v>
      </c>
      <c r="AF28" s="291">
        <f>'9.Training Annex'!Y3</f>
        <v>0</v>
      </c>
      <c r="AG28" s="289">
        <f>'16.PM Annex'!Y4</f>
        <v>0</v>
      </c>
      <c r="AH28" s="289">
        <f>'16.PM Annex'!Y3</f>
        <v>0</v>
      </c>
      <c r="AI28" s="289">
        <f>'10.Review Research &amp; Surveillen'!Y4</f>
        <v>0</v>
      </c>
      <c r="AJ28" s="289">
        <f>'10.Review Research &amp; Surveillen'!Y3</f>
        <v>0</v>
      </c>
      <c r="AK28" s="289">
        <f>'17.IT Initiatives_SD'!Y4</f>
        <v>0</v>
      </c>
      <c r="AL28" s="289">
        <f>'17.IT Initiatives_SD'!Y3</f>
        <v>0</v>
      </c>
      <c r="AM28" s="289">
        <f>'18.Innovation'!Y4</f>
        <v>0</v>
      </c>
      <c r="AN28" s="289">
        <f>'18.Innovation'!Y3</f>
        <v>0</v>
      </c>
    </row>
    <row r="29" spans="1:40" s="122" customFormat="1">
      <c r="A29" s="4253"/>
      <c r="B29" s="314" t="s">
        <v>4696</v>
      </c>
      <c r="C29" s="351">
        <f t="shared" si="2"/>
        <v>7444.8819999999996</v>
      </c>
      <c r="D29" s="351">
        <f t="shared" si="3"/>
        <v>0</v>
      </c>
      <c r="E29" s="165">
        <f>'1.SD Facility Based Annex'!Z4</f>
        <v>0</v>
      </c>
      <c r="F29" s="165">
        <f>'1.SD Facility Based Annex'!Z3</f>
        <v>0</v>
      </c>
      <c r="G29" s="166">
        <f>'2.SD Community Based Annex'!Z4</f>
        <v>0</v>
      </c>
      <c r="H29" s="166">
        <f>'2.SD Community Based Annex'!Z3</f>
        <v>0</v>
      </c>
      <c r="I29" s="165">
        <f>'3.Community Intervention Annexn'!Z4</f>
        <v>0</v>
      </c>
      <c r="J29" s="165">
        <f>'3.Community Intervention Annexn'!Z3</f>
        <v>0</v>
      </c>
      <c r="K29" s="289">
        <f>'5.Infrastructure Annex'!Z4</f>
        <v>0</v>
      </c>
      <c r="L29" s="289">
        <f>'5.Infrastructure Annex'!Z3</f>
        <v>0</v>
      </c>
      <c r="M29" s="289">
        <f>'7.Referral Transport Annex'!Z4</f>
        <v>0</v>
      </c>
      <c r="N29" s="289">
        <f>'7.Referral Transport Annex'!Z3</f>
        <v>0</v>
      </c>
      <c r="O29" s="289">
        <f>'11.IEC-BCC Annex'!Z4</f>
        <v>20</v>
      </c>
      <c r="P29" s="289">
        <f>'11.IEC-BCC Annex'!Z3</f>
        <v>0</v>
      </c>
      <c r="Q29" s="289">
        <f>'12.Printing Annex'!Z4</f>
        <v>0</v>
      </c>
      <c r="R29" s="289">
        <f>'12.Printing Annex'!Z3</f>
        <v>0</v>
      </c>
      <c r="S29" s="289">
        <f>'13.Quality Assurance Annex'!Z4</f>
        <v>0</v>
      </c>
      <c r="T29" s="291">
        <f>'13.Quality Assurance Annex'!Z3</f>
        <v>0</v>
      </c>
      <c r="U29" s="289">
        <f>'4.Untied grants Annex'!Z4</f>
        <v>0</v>
      </c>
      <c r="V29" s="289">
        <f>'4.Untied grants Annex'!Z3</f>
        <v>0</v>
      </c>
      <c r="W29" s="289">
        <f>'15.PPP Annex'!Z4</f>
        <v>0</v>
      </c>
      <c r="X29" s="289">
        <f>'15.PPP Annex'!Z3</f>
        <v>0</v>
      </c>
      <c r="Y29" s="289">
        <f>'6.Procurement Annex'!Z4</f>
        <v>7424.8819999999996</v>
      </c>
      <c r="Z29" s="289">
        <f>'6.Procurement Annex'!Z3</f>
        <v>0</v>
      </c>
      <c r="AA29" s="289">
        <f>'14.Drug warehouse &amp;Logistic Anx'!Z4</f>
        <v>0</v>
      </c>
      <c r="AB29" s="289">
        <f>'14.Drug warehouse &amp;Logistic Anx'!Z3</f>
        <v>0</v>
      </c>
      <c r="AC29" s="289">
        <f>'8.Human Resources (SD) Annex'!Z4</f>
        <v>0</v>
      </c>
      <c r="AD29" s="289">
        <f>'8.Human Resources (SD) Annex'!Z3</f>
        <v>0</v>
      </c>
      <c r="AE29" s="291">
        <f>'9.Training Annex'!Z4</f>
        <v>0</v>
      </c>
      <c r="AF29" s="291">
        <f>'9.Training Annex'!Z3</f>
        <v>0</v>
      </c>
      <c r="AG29" s="289">
        <f>'16.PM Annex'!Z4</f>
        <v>0</v>
      </c>
      <c r="AH29" s="289">
        <f>'16.PM Annex'!Z3</f>
        <v>0</v>
      </c>
      <c r="AI29" s="289">
        <f>'10.Review Research &amp; Surveillen'!Z4</f>
        <v>0</v>
      </c>
      <c r="AJ29" s="289">
        <f>'10.Review Research &amp; Surveillen'!Z3</f>
        <v>0</v>
      </c>
      <c r="AK29" s="289">
        <f>'17.IT Initiatives_SD'!Z4</f>
        <v>0</v>
      </c>
      <c r="AL29" s="289">
        <f>'17.IT Initiatives_SD'!Z3</f>
        <v>0</v>
      </c>
      <c r="AM29" s="289">
        <f>'18.Innovation'!Z4</f>
        <v>0</v>
      </c>
      <c r="AN29" s="289">
        <f>'18.Innovation'!Z3</f>
        <v>0</v>
      </c>
    </row>
    <row r="30" spans="1:40" s="122" customFormat="1">
      <c r="A30" s="4253"/>
      <c r="B30" s="314" t="s">
        <v>4697</v>
      </c>
      <c r="C30" s="351">
        <f t="shared" si="2"/>
        <v>81783.322999800002</v>
      </c>
      <c r="D30" s="351">
        <f t="shared" si="3"/>
        <v>0</v>
      </c>
      <c r="E30" s="165">
        <f>'1.SD Facility Based Annex'!AA4</f>
        <v>0</v>
      </c>
      <c r="F30" s="165">
        <f>'1.SD Facility Based Annex'!AA3</f>
        <v>0</v>
      </c>
      <c r="G30" s="166">
        <f>'2.SD Community Based Annex'!AA4</f>
        <v>0</v>
      </c>
      <c r="H30" s="166">
        <f>'2.SD Community Based Annex'!AA3</f>
        <v>0</v>
      </c>
      <c r="I30" s="165">
        <f>'3.Community Intervention Annexn'!AA4</f>
        <v>0</v>
      </c>
      <c r="J30" s="165">
        <f>'3.Community Intervention Annexn'!AA3</f>
        <v>0</v>
      </c>
      <c r="K30" s="289">
        <f>'5.Infrastructure Annex'!AA4</f>
        <v>0</v>
      </c>
      <c r="L30" s="289">
        <f>'5.Infrastructure Annex'!AA3</f>
        <v>0</v>
      </c>
      <c r="M30" s="289">
        <f>'7.Referral Transport Annex'!AA4</f>
        <v>0</v>
      </c>
      <c r="N30" s="289">
        <f>'7.Referral Transport Annex'!AA3</f>
        <v>0</v>
      </c>
      <c r="O30" s="289">
        <f>'11.IEC-BCC Annex'!AA4</f>
        <v>0</v>
      </c>
      <c r="P30" s="289">
        <f>'11.IEC-BCC Annex'!AA3</f>
        <v>0</v>
      </c>
      <c r="Q30" s="289">
        <f>'12.Printing Annex'!AA4</f>
        <v>0</v>
      </c>
      <c r="R30" s="289">
        <f>'12.Printing Annex'!AA3</f>
        <v>0</v>
      </c>
      <c r="S30" s="289">
        <f>'13.Quality Assurance Annex'!AA4</f>
        <v>0</v>
      </c>
      <c r="T30" s="291">
        <f>'13.Quality Assurance Annex'!AA3</f>
        <v>0</v>
      </c>
      <c r="U30" s="289">
        <f>'4.Untied grants Annex'!AA4</f>
        <v>0</v>
      </c>
      <c r="V30" s="289">
        <f>'4.Untied grants Annex'!AA3</f>
        <v>0</v>
      </c>
      <c r="W30" s="289">
        <f>'15.PPP Annex'!AA4</f>
        <v>0</v>
      </c>
      <c r="X30" s="289">
        <f>'15.PPP Annex'!AA3</f>
        <v>0</v>
      </c>
      <c r="Y30" s="289">
        <f>'6.Procurement Annex'!AA4</f>
        <v>0</v>
      </c>
      <c r="Z30" s="289">
        <f>'6.Procurement Annex'!AA3</f>
        <v>0</v>
      </c>
      <c r="AA30" s="289">
        <f>'14.Drug warehouse &amp;Logistic Anx'!AA4</f>
        <v>0</v>
      </c>
      <c r="AB30" s="289">
        <f>'14.Drug warehouse &amp;Logistic Anx'!AA3</f>
        <v>0</v>
      </c>
      <c r="AC30" s="289">
        <f>'8.Human Resources (SD) Annex'!AA4</f>
        <v>80724.598499999993</v>
      </c>
      <c r="AD30" s="289">
        <f>'8.Human Resources (SD) Annex'!AA3</f>
        <v>0</v>
      </c>
      <c r="AE30" s="291">
        <f>'9.Training Annex'!AA4</f>
        <v>982.33249980000005</v>
      </c>
      <c r="AF30" s="291">
        <f>'9.Training Annex'!AA3</f>
        <v>0</v>
      </c>
      <c r="AG30" s="289">
        <f>'16.PM Annex'!AA4</f>
        <v>0</v>
      </c>
      <c r="AH30" s="289">
        <f>'16.PM Annex'!AA3</f>
        <v>0</v>
      </c>
      <c r="AI30" s="289">
        <f>'10.Review Research &amp; Surveillen'!AA4</f>
        <v>0</v>
      </c>
      <c r="AJ30" s="289">
        <f>'10.Review Research &amp; Surveillen'!AA3</f>
        <v>0</v>
      </c>
      <c r="AK30" s="289">
        <f>'17.IT Initiatives_SD'!AA4</f>
        <v>76.391999999999996</v>
      </c>
      <c r="AL30" s="289">
        <f>'17.IT Initiatives_SD'!AA3</f>
        <v>0</v>
      </c>
      <c r="AM30" s="289">
        <f>'18.Innovation'!AA4</f>
        <v>0</v>
      </c>
      <c r="AN30" s="289">
        <f>'18.Innovation'!AA3</f>
        <v>0</v>
      </c>
    </row>
    <row r="31" spans="1:40" s="122" customFormat="1">
      <c r="A31" s="4253"/>
      <c r="B31" s="314" t="s">
        <v>742</v>
      </c>
      <c r="C31" s="351">
        <f t="shared" si="2"/>
        <v>0</v>
      </c>
      <c r="D31" s="351">
        <f t="shared" si="3"/>
        <v>0</v>
      </c>
      <c r="E31" s="165">
        <f>'1.SD Facility Based Annex'!AB4</f>
        <v>0</v>
      </c>
      <c r="F31" s="165">
        <f>'1.SD Facility Based Annex'!AB3</f>
        <v>0</v>
      </c>
      <c r="G31" s="166">
        <f>'2.SD Community Based Annex'!AB4</f>
        <v>0</v>
      </c>
      <c r="H31" s="166">
        <f>'2.SD Community Based Annex'!AB3</f>
        <v>0</v>
      </c>
      <c r="I31" s="165">
        <f>'3.Community Intervention Annexn'!AB4</f>
        <v>0</v>
      </c>
      <c r="J31" s="165">
        <f>'3.Community Intervention Annexn'!AB3</f>
        <v>0</v>
      </c>
      <c r="K31" s="289">
        <f>'5.Infrastructure Annex'!AB4</f>
        <v>0</v>
      </c>
      <c r="L31" s="289">
        <f>'5.Infrastructure Annex'!AB3</f>
        <v>0</v>
      </c>
      <c r="M31" s="289">
        <f>'7.Referral Transport Annex'!AB4</f>
        <v>0</v>
      </c>
      <c r="N31" s="289">
        <f>'7.Referral Transport Annex'!AB3</f>
        <v>0</v>
      </c>
      <c r="O31" s="289">
        <f>'11.IEC-BCC Annex'!AB4</f>
        <v>0</v>
      </c>
      <c r="P31" s="289">
        <f>'11.IEC-BCC Annex'!AB3</f>
        <v>0</v>
      </c>
      <c r="Q31" s="289">
        <f>'12.Printing Annex'!AB4</f>
        <v>0</v>
      </c>
      <c r="R31" s="289">
        <f>'12.Printing Annex'!AB3</f>
        <v>0</v>
      </c>
      <c r="S31" s="289">
        <f>'13.Quality Assurance Annex'!AB4</f>
        <v>0</v>
      </c>
      <c r="T31" s="291">
        <f>'13.Quality Assurance Annex'!AB3</f>
        <v>0</v>
      </c>
      <c r="U31" s="289">
        <f>'4.Untied grants Annex'!AB4</f>
        <v>0</v>
      </c>
      <c r="V31" s="289">
        <f>'4.Untied grants Annex'!AB3</f>
        <v>0</v>
      </c>
      <c r="W31" s="289">
        <f>'15.PPP Annex'!AB4</f>
        <v>0</v>
      </c>
      <c r="X31" s="289">
        <f>'15.PPP Annex'!AB3</f>
        <v>0</v>
      </c>
      <c r="Y31" s="289">
        <f>'6.Procurement Annex'!AB4</f>
        <v>0</v>
      </c>
      <c r="Z31" s="289">
        <f>'6.Procurement Annex'!AB3</f>
        <v>0</v>
      </c>
      <c r="AA31" s="289">
        <f>'14.Drug warehouse &amp;Logistic Anx'!AB4</f>
        <v>0</v>
      </c>
      <c r="AB31" s="289">
        <f>'14.Drug warehouse &amp;Logistic Anx'!AB3</f>
        <v>0</v>
      </c>
      <c r="AC31" s="289">
        <f>'8.Human Resources (SD) Annex'!AB4</f>
        <v>0</v>
      </c>
      <c r="AD31" s="289">
        <f>'8.Human Resources (SD) Annex'!AB3</f>
        <v>0</v>
      </c>
      <c r="AE31" s="291">
        <f>'9.Training Annex'!AB4</f>
        <v>0</v>
      </c>
      <c r="AF31" s="291">
        <f>'9.Training Annex'!AB3</f>
        <v>0</v>
      </c>
      <c r="AG31" s="289">
        <f>'16.PM Annex'!AB4</f>
        <v>0</v>
      </c>
      <c r="AH31" s="289">
        <f>'16.PM Annex'!AB3</f>
        <v>0</v>
      </c>
      <c r="AI31" s="289">
        <f>'10.Review Research &amp; Surveillen'!AB4</f>
        <v>0</v>
      </c>
      <c r="AJ31" s="289">
        <f>'10.Review Research &amp; Surveillen'!AB3</f>
        <v>0</v>
      </c>
      <c r="AK31" s="289">
        <f>'17.IT Initiatives_SD'!AB4</f>
        <v>0</v>
      </c>
      <c r="AL31" s="289">
        <f>'17.IT Initiatives_SD'!AB3</f>
        <v>0</v>
      </c>
      <c r="AM31" s="289">
        <f>'18.Innovation'!AB4</f>
        <v>0</v>
      </c>
      <c r="AN31" s="289">
        <f>'18.Innovation'!AB3</f>
        <v>0</v>
      </c>
    </row>
    <row r="32" spans="1:40" s="122" customFormat="1">
      <c r="A32" s="4253"/>
      <c r="B32" s="314" t="s">
        <v>34</v>
      </c>
      <c r="C32" s="351">
        <f t="shared" si="2"/>
        <v>21337.704000000002</v>
      </c>
      <c r="D32" s="351">
        <f t="shared" si="3"/>
        <v>0</v>
      </c>
      <c r="E32" s="165">
        <f>'1.SD Facility Based Annex'!AC4</f>
        <v>0</v>
      </c>
      <c r="F32" s="165">
        <f>'1.SD Facility Based Annex'!AC3</f>
        <v>0</v>
      </c>
      <c r="G32" s="166">
        <f>'2.SD Community Based Annex'!AC4</f>
        <v>0</v>
      </c>
      <c r="H32" s="166">
        <f>'2.SD Community Based Annex'!AC3</f>
        <v>0</v>
      </c>
      <c r="I32" s="165">
        <f>'3.Community Intervention Annexn'!AC4</f>
        <v>0</v>
      </c>
      <c r="J32" s="165">
        <f>'3.Community Intervention Annexn'!AC3</f>
        <v>0</v>
      </c>
      <c r="K32" s="289">
        <f>'5.Infrastructure Annex'!AC4</f>
        <v>0</v>
      </c>
      <c r="L32" s="289">
        <f>'5.Infrastructure Annex'!AC3</f>
        <v>0</v>
      </c>
      <c r="M32" s="289">
        <f>'7.Referral Transport Annex'!AC4</f>
        <v>0</v>
      </c>
      <c r="N32" s="289">
        <f>'7.Referral Transport Annex'!AC3</f>
        <v>0</v>
      </c>
      <c r="O32" s="289">
        <f>'11.IEC-BCC Annex'!AC4</f>
        <v>0</v>
      </c>
      <c r="P32" s="289">
        <f>'11.IEC-BCC Annex'!AC3</f>
        <v>0</v>
      </c>
      <c r="Q32" s="289">
        <f>'12.Printing Annex'!AC4</f>
        <v>0</v>
      </c>
      <c r="R32" s="289">
        <f>'12.Printing Annex'!AC3</f>
        <v>0</v>
      </c>
      <c r="S32" s="289">
        <f>'13.Quality Assurance Annex'!AC4</f>
        <v>0</v>
      </c>
      <c r="T32" s="291">
        <f>'13.Quality Assurance Annex'!AC3</f>
        <v>0</v>
      </c>
      <c r="U32" s="289">
        <f>'4.Untied grants Annex'!AC4</f>
        <v>0</v>
      </c>
      <c r="V32" s="289">
        <f>'4.Untied grants Annex'!AC3</f>
        <v>0</v>
      </c>
      <c r="W32" s="289">
        <f>'15.PPP Annex'!AC4</f>
        <v>0</v>
      </c>
      <c r="X32" s="289">
        <f>'15.PPP Annex'!AC3</f>
        <v>0</v>
      </c>
      <c r="Y32" s="289">
        <f>'6.Procurement Annex'!AC4</f>
        <v>0</v>
      </c>
      <c r="Z32" s="289">
        <f>'6.Procurement Annex'!AC3</f>
        <v>0</v>
      </c>
      <c r="AA32" s="289">
        <f>'14.Drug warehouse &amp;Logistic Anx'!AC4</f>
        <v>0</v>
      </c>
      <c r="AB32" s="289">
        <f>'14.Drug warehouse &amp;Logistic Anx'!AC3</f>
        <v>0</v>
      </c>
      <c r="AC32" s="289">
        <f>'8.Human Resources (SD) Annex'!AC4</f>
        <v>0</v>
      </c>
      <c r="AD32" s="289">
        <f>'8.Human Resources (SD) Annex'!AC3</f>
        <v>0</v>
      </c>
      <c r="AE32" s="291">
        <f>'9.Training Annex'!AC4</f>
        <v>0</v>
      </c>
      <c r="AF32" s="291">
        <f>'9.Training Annex'!AC3</f>
        <v>0</v>
      </c>
      <c r="AG32" s="289">
        <f>'16.PM Annex'!AC4</f>
        <v>21337.704000000002</v>
      </c>
      <c r="AH32" s="289">
        <f>'16.PM Annex'!AC3</f>
        <v>0</v>
      </c>
      <c r="AI32" s="289">
        <f>'10.Review Research &amp; Surveillen'!AC4</f>
        <v>0</v>
      </c>
      <c r="AJ32" s="289">
        <f>'10.Review Research &amp; Surveillen'!AC3</f>
        <v>0</v>
      </c>
      <c r="AK32" s="289">
        <f>'17.IT Initiatives_SD'!AC4</f>
        <v>0</v>
      </c>
      <c r="AL32" s="289">
        <f>'17.IT Initiatives_SD'!AC3</f>
        <v>0</v>
      </c>
      <c r="AM32" s="289">
        <f>'18.Innovation'!AC4</f>
        <v>0</v>
      </c>
      <c r="AN32" s="289">
        <f>'18.Innovation'!AC3</f>
        <v>0</v>
      </c>
    </row>
    <row r="33" spans="1:40" s="122" customFormat="1">
      <c r="A33" s="4253"/>
      <c r="B33" s="314" t="s">
        <v>3116</v>
      </c>
      <c r="C33" s="351">
        <f t="shared" si="2"/>
        <v>656.05600000000004</v>
      </c>
      <c r="D33" s="351">
        <f t="shared" si="3"/>
        <v>0</v>
      </c>
      <c r="E33" s="165">
        <f>'1.SD Facility Based Annex'!AD4</f>
        <v>0</v>
      </c>
      <c r="F33" s="165">
        <f>'1.SD Facility Based Annex'!AD3</f>
        <v>0</v>
      </c>
      <c r="G33" s="166">
        <f>'2.SD Community Based Annex'!AD4</f>
        <v>0</v>
      </c>
      <c r="H33" s="166">
        <f>'2.SD Community Based Annex'!AD3</f>
        <v>0</v>
      </c>
      <c r="I33" s="165">
        <f>'3.Community Intervention Annexn'!AD4</f>
        <v>0</v>
      </c>
      <c r="J33" s="165">
        <f>'3.Community Intervention Annexn'!AD3</f>
        <v>0</v>
      </c>
      <c r="K33" s="289">
        <f>'5.Infrastructure Annex'!AD4</f>
        <v>0</v>
      </c>
      <c r="L33" s="289">
        <f>'5.Infrastructure Annex'!AD3</f>
        <v>0</v>
      </c>
      <c r="M33" s="289">
        <f>'7.Referral Transport Annex'!AD4</f>
        <v>0</v>
      </c>
      <c r="N33" s="289">
        <f>'7.Referral Transport Annex'!AD3</f>
        <v>0</v>
      </c>
      <c r="O33" s="289">
        <f>'11.IEC-BCC Annex'!AD4</f>
        <v>0</v>
      </c>
      <c r="P33" s="289">
        <f>'11.IEC-BCC Annex'!AD3</f>
        <v>0</v>
      </c>
      <c r="Q33" s="289">
        <f>'12.Printing Annex'!AD4</f>
        <v>0</v>
      </c>
      <c r="R33" s="289">
        <f>'12.Printing Annex'!AD3</f>
        <v>0</v>
      </c>
      <c r="S33" s="289">
        <f>'13.Quality Assurance Annex'!AD4</f>
        <v>0</v>
      </c>
      <c r="T33" s="291">
        <f>'13.Quality Assurance Annex'!AD3</f>
        <v>0</v>
      </c>
      <c r="U33" s="289">
        <f>'4.Untied grants Annex'!AD4</f>
        <v>0</v>
      </c>
      <c r="V33" s="289">
        <f>'4.Untied grants Annex'!AD3</f>
        <v>0</v>
      </c>
      <c r="W33" s="289">
        <f>'15.PPP Annex'!AD4</f>
        <v>0</v>
      </c>
      <c r="X33" s="289">
        <f>'15.PPP Annex'!AD3</f>
        <v>0</v>
      </c>
      <c r="Y33" s="289">
        <f>'6.Procurement Annex'!AD4</f>
        <v>0</v>
      </c>
      <c r="Z33" s="289">
        <f>'6.Procurement Annex'!AD3</f>
        <v>0</v>
      </c>
      <c r="AA33" s="289">
        <f>'14.Drug warehouse &amp;Logistic Anx'!AD4</f>
        <v>0</v>
      </c>
      <c r="AB33" s="289">
        <f>'14.Drug warehouse &amp;Logistic Anx'!AD3</f>
        <v>0</v>
      </c>
      <c r="AC33" s="289">
        <f>'8.Human Resources (SD) Annex'!AD4</f>
        <v>0</v>
      </c>
      <c r="AD33" s="289">
        <f>'8.Human Resources (SD) Annex'!AD3</f>
        <v>0</v>
      </c>
      <c r="AE33" s="291">
        <f>'9.Training Annex'!AD4</f>
        <v>0</v>
      </c>
      <c r="AF33" s="291">
        <f>'9.Training Annex'!AD3</f>
        <v>0</v>
      </c>
      <c r="AG33" s="289">
        <f>'16.PM Annex'!AD4</f>
        <v>0</v>
      </c>
      <c r="AH33" s="289">
        <f>'16.PM Annex'!AD3</f>
        <v>0</v>
      </c>
      <c r="AI33" s="289">
        <f>'10.Review Research &amp; Surveillen'!AD4</f>
        <v>0</v>
      </c>
      <c r="AJ33" s="289">
        <f>'10.Review Research &amp; Surveillen'!AD3</f>
        <v>0</v>
      </c>
      <c r="AK33" s="289">
        <f>'17.IT Initiatives_SD'!AD4</f>
        <v>0</v>
      </c>
      <c r="AL33" s="289">
        <f>'17.IT Initiatives_SD'!AD3</f>
        <v>0</v>
      </c>
      <c r="AM33" s="289">
        <f>'18.Innovation'!AD4</f>
        <v>656.05600000000004</v>
      </c>
      <c r="AN33" s="289">
        <f>'18.Innovation'!AD3</f>
        <v>0</v>
      </c>
    </row>
    <row r="34" spans="1:40" s="122" customFormat="1">
      <c r="A34" s="4253"/>
      <c r="B34" s="314" t="s">
        <v>2379</v>
      </c>
      <c r="C34" s="351">
        <f t="shared" si="2"/>
        <v>6562.3012799999997</v>
      </c>
      <c r="D34" s="351">
        <f t="shared" si="3"/>
        <v>0</v>
      </c>
      <c r="E34" s="165">
        <f>'1.SD Facility Based Annex'!AE4</f>
        <v>0</v>
      </c>
      <c r="F34" s="165">
        <f>'1.SD Facility Based Annex'!AE3</f>
        <v>0</v>
      </c>
      <c r="G34" s="166">
        <f>'2.SD Community Based Annex'!AE4</f>
        <v>0</v>
      </c>
      <c r="H34" s="166">
        <f>'2.SD Community Based Annex'!AE3</f>
        <v>0</v>
      </c>
      <c r="I34" s="165">
        <f>'3.Community Intervention Annexn'!AE4</f>
        <v>0</v>
      </c>
      <c r="J34" s="165">
        <f>'3.Community Intervention Annexn'!AE3</f>
        <v>0</v>
      </c>
      <c r="K34" s="289">
        <f>'5.Infrastructure Annex'!AE4</f>
        <v>0</v>
      </c>
      <c r="L34" s="289">
        <f>'5.Infrastructure Annex'!AE3</f>
        <v>0</v>
      </c>
      <c r="M34" s="289">
        <f>'7.Referral Transport Annex'!AE4</f>
        <v>0</v>
      </c>
      <c r="N34" s="289">
        <f>'7.Referral Transport Annex'!AE3</f>
        <v>0</v>
      </c>
      <c r="O34" s="289">
        <f>'11.IEC-BCC Annex'!AE4</f>
        <v>0</v>
      </c>
      <c r="P34" s="289">
        <f>'11.IEC-BCC Annex'!AE3</f>
        <v>0</v>
      </c>
      <c r="Q34" s="289">
        <f>'12.Printing Annex'!AE4</f>
        <v>15.120000000000001</v>
      </c>
      <c r="R34" s="289">
        <f>'12.Printing Annex'!AE3</f>
        <v>0</v>
      </c>
      <c r="S34" s="289">
        <f>'13.Quality Assurance Annex'!AE4</f>
        <v>0</v>
      </c>
      <c r="T34" s="291">
        <f>'13.Quality Assurance Annex'!AE3</f>
        <v>0</v>
      </c>
      <c r="U34" s="289">
        <f>'4.Untied grants Annex'!AE4</f>
        <v>0</v>
      </c>
      <c r="V34" s="289">
        <f>'4.Untied grants Annex'!AE3</f>
        <v>0</v>
      </c>
      <c r="W34" s="289">
        <f>'15.PPP Annex'!AE4</f>
        <v>0</v>
      </c>
      <c r="X34" s="289">
        <f>'15.PPP Annex'!AE3</f>
        <v>0</v>
      </c>
      <c r="Y34" s="289">
        <f>'6.Procurement Annex'!AE4</f>
        <v>60</v>
      </c>
      <c r="Z34" s="289">
        <f>'6.Procurement Annex'!AE3</f>
        <v>0</v>
      </c>
      <c r="AA34" s="289">
        <f>'14.Drug warehouse &amp;Logistic Anx'!AE4</f>
        <v>151.13999999999999</v>
      </c>
      <c r="AB34" s="289">
        <f>'14.Drug warehouse &amp;Logistic Anx'!AE3</f>
        <v>0</v>
      </c>
      <c r="AC34" s="289">
        <f>'8.Human Resources (SD) Annex'!AE4</f>
        <v>0</v>
      </c>
      <c r="AD34" s="289">
        <f>'8.Human Resources (SD) Annex'!AE3</f>
        <v>0</v>
      </c>
      <c r="AE34" s="291">
        <f>'9.Training Annex'!AE4</f>
        <v>1025.4760000000001</v>
      </c>
      <c r="AF34" s="291">
        <f>'9.Training Annex'!AE3</f>
        <v>0</v>
      </c>
      <c r="AG34" s="289">
        <f>'16.PM Annex'!AE4</f>
        <v>3029.9084000000003</v>
      </c>
      <c r="AH34" s="289">
        <f>'16.PM Annex'!AE3</f>
        <v>0</v>
      </c>
      <c r="AI34" s="289">
        <f>'10.Review Research &amp; Surveillen'!AE4</f>
        <v>0</v>
      </c>
      <c r="AJ34" s="289">
        <f>'10.Review Research &amp; Surveillen'!AE3</f>
        <v>0</v>
      </c>
      <c r="AK34" s="289">
        <f>'17.IT Initiatives_SD'!AE4</f>
        <v>2280.65688</v>
      </c>
      <c r="AL34" s="289">
        <f>'17.IT Initiatives_SD'!AE3</f>
        <v>0</v>
      </c>
      <c r="AM34" s="289">
        <f>'18.Innovation'!AE4</f>
        <v>0</v>
      </c>
      <c r="AN34" s="289">
        <f>'18.Innovation'!AE3</f>
        <v>0</v>
      </c>
    </row>
    <row r="35" spans="1:40" s="122" customFormat="1">
      <c r="A35" s="4253"/>
      <c r="B35" s="314" t="s">
        <v>3845</v>
      </c>
      <c r="C35" s="351">
        <f t="shared" si="2"/>
        <v>317.90999999999997</v>
      </c>
      <c r="D35" s="351">
        <f t="shared" si="3"/>
        <v>0</v>
      </c>
      <c r="E35" s="165">
        <f>'1.SD Facility Based Annex'!AF4</f>
        <v>0</v>
      </c>
      <c r="F35" s="165">
        <f>'1.SD Facility Based Annex'!AF3</f>
        <v>0</v>
      </c>
      <c r="G35" s="166">
        <f>'2.SD Community Based Annex'!AF4</f>
        <v>0</v>
      </c>
      <c r="H35" s="166">
        <f>'2.SD Community Based Annex'!AF3</f>
        <v>0</v>
      </c>
      <c r="I35" s="165">
        <f>'3.Community Intervention Annexn'!AF4</f>
        <v>0</v>
      </c>
      <c r="J35" s="165">
        <f>'3.Community Intervention Annexn'!AF3</f>
        <v>0</v>
      </c>
      <c r="K35" s="289">
        <f>'5.Infrastructure Annex'!AF4</f>
        <v>50</v>
      </c>
      <c r="L35" s="289">
        <f>'5.Infrastructure Annex'!AF3</f>
        <v>0</v>
      </c>
      <c r="M35" s="289">
        <f>'7.Referral Transport Annex'!AF4</f>
        <v>0</v>
      </c>
      <c r="N35" s="289">
        <f>'7.Referral Transport Annex'!AF3</f>
        <v>0</v>
      </c>
      <c r="O35" s="289">
        <f>'11.IEC-BCC Annex'!AF4</f>
        <v>15</v>
      </c>
      <c r="P35" s="289">
        <f>'11.IEC-BCC Annex'!AF3</f>
        <v>0</v>
      </c>
      <c r="Q35" s="289">
        <f>'12.Printing Annex'!AF4</f>
        <v>6</v>
      </c>
      <c r="R35" s="289">
        <f>'12.Printing Annex'!AF3</f>
        <v>0</v>
      </c>
      <c r="S35" s="289">
        <f>'13.Quality Assurance Annex'!AF4</f>
        <v>0</v>
      </c>
      <c r="T35" s="291">
        <f>'13.Quality Assurance Annex'!AF3</f>
        <v>0</v>
      </c>
      <c r="U35" s="289">
        <f>'4.Untied grants Annex'!AF4</f>
        <v>0</v>
      </c>
      <c r="V35" s="289">
        <f>'4.Untied grants Annex'!AF3</f>
        <v>0</v>
      </c>
      <c r="W35" s="289">
        <f>'15.PPP Annex'!AF4</f>
        <v>0</v>
      </c>
      <c r="X35" s="289">
        <f>'15.PPP Annex'!AF3</f>
        <v>0</v>
      </c>
      <c r="Y35" s="289">
        <f>'6.Procurement Annex'!AF4</f>
        <v>186.95</v>
      </c>
      <c r="Z35" s="289">
        <f>'6.Procurement Annex'!AF3</f>
        <v>0</v>
      </c>
      <c r="AA35" s="289">
        <f>'14.Drug warehouse &amp;Logistic Anx'!AF4</f>
        <v>0</v>
      </c>
      <c r="AB35" s="289">
        <f>'14.Drug warehouse &amp;Logistic Anx'!AF3</f>
        <v>0</v>
      </c>
      <c r="AC35" s="289">
        <f>'8.Human Resources (SD) Annex'!AF4</f>
        <v>0</v>
      </c>
      <c r="AD35" s="289">
        <f>'8.Human Resources (SD) Annex'!AF3</f>
        <v>0</v>
      </c>
      <c r="AE35" s="291">
        <f>'9.Training Annex'!AF4</f>
        <v>47.5</v>
      </c>
      <c r="AF35" s="291">
        <f>'9.Training Annex'!AF3</f>
        <v>0</v>
      </c>
      <c r="AG35" s="289">
        <f>'16.PM Annex'!AF4</f>
        <v>0</v>
      </c>
      <c r="AH35" s="289">
        <f>'16.PM Annex'!AF3</f>
        <v>0</v>
      </c>
      <c r="AI35" s="289">
        <f>'10.Review Research &amp; Surveillen'!AF4</f>
        <v>0</v>
      </c>
      <c r="AJ35" s="289">
        <f>'10.Review Research &amp; Surveillen'!AF3</f>
        <v>0</v>
      </c>
      <c r="AK35" s="289">
        <f>'17.IT Initiatives_SD'!AF4</f>
        <v>12.46</v>
      </c>
      <c r="AL35" s="289">
        <f>'17.IT Initiatives_SD'!AF3</f>
        <v>0</v>
      </c>
      <c r="AM35" s="289">
        <f>'18.Innovation'!AF4</f>
        <v>0</v>
      </c>
      <c r="AN35" s="289">
        <f>'18.Innovation'!AF3</f>
        <v>0</v>
      </c>
    </row>
    <row r="36" spans="1:40" s="122" customFormat="1">
      <c r="A36" s="4253"/>
      <c r="B36" s="314" t="s">
        <v>3847</v>
      </c>
      <c r="C36" s="351">
        <f t="shared" si="2"/>
        <v>0</v>
      </c>
      <c r="D36" s="351">
        <f t="shared" si="3"/>
        <v>0</v>
      </c>
      <c r="E36" s="165">
        <f>'1.SD Facility Based Annex'!AG4</f>
        <v>0</v>
      </c>
      <c r="F36" s="165">
        <f>'1.SD Facility Based Annex'!AG3</f>
        <v>0</v>
      </c>
      <c r="G36" s="166">
        <f>'2.SD Community Based Annex'!AG4</f>
        <v>0</v>
      </c>
      <c r="H36" s="166">
        <f>'2.SD Community Based Annex'!AG3</f>
        <v>0</v>
      </c>
      <c r="I36" s="165">
        <f>'3.Community Intervention Annexn'!AG4</f>
        <v>0</v>
      </c>
      <c r="J36" s="165">
        <f>'3.Community Intervention Annexn'!AG3</f>
        <v>0</v>
      </c>
      <c r="K36" s="289">
        <f>'5.Infrastructure Annex'!AG4</f>
        <v>0</v>
      </c>
      <c r="L36" s="289">
        <f>'5.Infrastructure Annex'!AG3</f>
        <v>0</v>
      </c>
      <c r="M36" s="289">
        <f>'7.Referral Transport Annex'!AG4</f>
        <v>0</v>
      </c>
      <c r="N36" s="289">
        <f>'7.Referral Transport Annex'!AG3</f>
        <v>0</v>
      </c>
      <c r="O36" s="289">
        <f>'11.IEC-BCC Annex'!AG4</f>
        <v>0</v>
      </c>
      <c r="P36" s="289">
        <f>'11.IEC-BCC Annex'!AG3</f>
        <v>0</v>
      </c>
      <c r="Q36" s="289">
        <f>'12.Printing Annex'!AG4</f>
        <v>0</v>
      </c>
      <c r="R36" s="289">
        <f>'12.Printing Annex'!AG3</f>
        <v>0</v>
      </c>
      <c r="S36" s="289">
        <f>'13.Quality Assurance Annex'!AG4</f>
        <v>0</v>
      </c>
      <c r="T36" s="291">
        <f>'13.Quality Assurance Annex'!AG3</f>
        <v>0</v>
      </c>
      <c r="U36" s="289">
        <f>'4.Untied grants Annex'!AG4</f>
        <v>0</v>
      </c>
      <c r="V36" s="289">
        <f>'4.Untied grants Annex'!AG3</f>
        <v>0</v>
      </c>
      <c r="W36" s="289">
        <f>'15.PPP Annex'!AG4</f>
        <v>0</v>
      </c>
      <c r="X36" s="289">
        <f>'15.PPP Annex'!AG3</f>
        <v>0</v>
      </c>
      <c r="Y36" s="289">
        <f>'6.Procurement Annex'!AG4</f>
        <v>0</v>
      </c>
      <c r="Z36" s="289">
        <f>'6.Procurement Annex'!AG3</f>
        <v>0</v>
      </c>
      <c r="AA36" s="289">
        <f>'14.Drug warehouse &amp;Logistic Anx'!AG4</f>
        <v>0</v>
      </c>
      <c r="AB36" s="289">
        <f>'14.Drug warehouse &amp;Logistic Anx'!AG3</f>
        <v>0</v>
      </c>
      <c r="AC36" s="289">
        <f>'8.Human Resources (SD) Annex'!AG4</f>
        <v>0</v>
      </c>
      <c r="AD36" s="289">
        <f>'8.Human Resources (SD) Annex'!AG3</f>
        <v>0</v>
      </c>
      <c r="AE36" s="291">
        <f>'9.Training Annex'!AG4</f>
        <v>0</v>
      </c>
      <c r="AF36" s="291">
        <f>'9.Training Annex'!AG3</f>
        <v>0</v>
      </c>
      <c r="AG36" s="289">
        <f>'16.PM Annex'!AG4</f>
        <v>0</v>
      </c>
      <c r="AH36" s="289">
        <f>'16.PM Annex'!AG3</f>
        <v>0</v>
      </c>
      <c r="AI36" s="289">
        <f>'10.Review Research &amp; Surveillen'!AG4</f>
        <v>0</v>
      </c>
      <c r="AJ36" s="289">
        <f>'10.Review Research &amp; Surveillen'!AG3</f>
        <v>0</v>
      </c>
      <c r="AK36" s="289">
        <f>'17.IT Initiatives_SD'!AG4</f>
        <v>0</v>
      </c>
      <c r="AL36" s="289">
        <f>'17.IT Initiatives_SD'!AG3</f>
        <v>0</v>
      </c>
      <c r="AM36" s="289">
        <f>'18.Innovation'!AG4</f>
        <v>0</v>
      </c>
      <c r="AN36" s="289">
        <f>'18.Innovation'!AG3</f>
        <v>0</v>
      </c>
    </row>
    <row r="37" spans="1:40" s="122" customFormat="1">
      <c r="A37" s="4253"/>
      <c r="B37" s="314" t="s">
        <v>4725</v>
      </c>
      <c r="C37" s="351">
        <f t="shared" si="2"/>
        <v>15307.55080854</v>
      </c>
      <c r="D37" s="351">
        <f t="shared" si="3"/>
        <v>0</v>
      </c>
      <c r="E37" s="165">
        <f>'1.SD Facility Based Annex'!AH4</f>
        <v>65</v>
      </c>
      <c r="F37" s="165">
        <f>'1.SD Facility Based Annex'!AH3</f>
        <v>0</v>
      </c>
      <c r="G37" s="166">
        <f>'2.SD Community Based Annex'!AH4</f>
        <v>0</v>
      </c>
      <c r="H37" s="166">
        <f>'2.SD Community Based Annex'!AH3</f>
        <v>0</v>
      </c>
      <c r="I37" s="165">
        <f>'3.Community Intervention Annexn'!AH4</f>
        <v>0</v>
      </c>
      <c r="J37" s="165">
        <f>'3.Community Intervention Annexn'!AH3</f>
        <v>0</v>
      </c>
      <c r="K37" s="289">
        <f>'5.Infrastructure Annex'!AH4</f>
        <v>0</v>
      </c>
      <c r="L37" s="289">
        <f>'5.Infrastructure Annex'!AH3</f>
        <v>0</v>
      </c>
      <c r="M37" s="289">
        <f>'7.Referral Transport Annex'!AH4</f>
        <v>0</v>
      </c>
      <c r="N37" s="289">
        <f>'7.Referral Transport Annex'!AH3</f>
        <v>0</v>
      </c>
      <c r="O37" s="289">
        <f>'11.IEC-BCC Annex'!AH4</f>
        <v>0</v>
      </c>
      <c r="P37" s="289">
        <f>'11.IEC-BCC Annex'!AH3</f>
        <v>0</v>
      </c>
      <c r="Q37" s="289">
        <f>'12.Printing Annex'!AH4</f>
        <v>6.1056774870000012</v>
      </c>
      <c r="R37" s="289">
        <f>'12.Printing Annex'!AH3</f>
        <v>0</v>
      </c>
      <c r="S37" s="289">
        <f>'13.Quality Assurance Annex'!AH4</f>
        <v>767.77416000000005</v>
      </c>
      <c r="T37" s="291">
        <f>'13.Quality Assurance Annex'!AH3</f>
        <v>0</v>
      </c>
      <c r="U37" s="289">
        <f>'4.Untied grants Annex'!AH4</f>
        <v>0</v>
      </c>
      <c r="V37" s="289">
        <f>'4.Untied grants Annex'!AH3</f>
        <v>0</v>
      </c>
      <c r="W37" s="289">
        <f>'15.PPP Annex'!AH4</f>
        <v>0</v>
      </c>
      <c r="X37" s="289">
        <f>'15.PPP Annex'!AH3</f>
        <v>0</v>
      </c>
      <c r="Y37" s="289">
        <f>'6.Procurement Annex'!AH4</f>
        <v>2964.31</v>
      </c>
      <c r="Z37" s="289">
        <f>'6.Procurement Annex'!AH3</f>
        <v>0</v>
      </c>
      <c r="AA37" s="289">
        <f>'14.Drug warehouse &amp;Logistic Anx'!AH4</f>
        <v>1625.8139613000001</v>
      </c>
      <c r="AB37" s="289">
        <f>'14.Drug warehouse &amp;Logistic Anx'!AH3</f>
        <v>0</v>
      </c>
      <c r="AC37" s="289">
        <f>'8.Human Resources (SD) Annex'!AH4</f>
        <v>0</v>
      </c>
      <c r="AD37" s="289">
        <f>'8.Human Resources (SD) Annex'!AH3</f>
        <v>0</v>
      </c>
      <c r="AE37" s="291">
        <f>'9.Training Annex'!AH4</f>
        <v>892.63236999999992</v>
      </c>
      <c r="AF37" s="291">
        <f>'9.Training Annex'!AH3</f>
        <v>0</v>
      </c>
      <c r="AG37" s="289">
        <f>'16.PM Annex'!AH4</f>
        <v>0</v>
      </c>
      <c r="AH37" s="289">
        <f>'16.PM Annex'!AH3</f>
        <v>0</v>
      </c>
      <c r="AI37" s="289">
        <f>'10.Review Research &amp; Surveillen'!AH4</f>
        <v>234.05819975299997</v>
      </c>
      <c r="AJ37" s="289">
        <f>'10.Review Research &amp; Surveillen'!AH3</f>
        <v>0</v>
      </c>
      <c r="AK37" s="289">
        <f>'17.IT Initiatives_SD'!AH4</f>
        <v>8751.8564399999996</v>
      </c>
      <c r="AL37" s="289">
        <f>'17.IT Initiatives_SD'!AH3</f>
        <v>0</v>
      </c>
      <c r="AM37" s="289">
        <f>'18.Innovation'!AH4</f>
        <v>0</v>
      </c>
      <c r="AN37" s="289">
        <f>'18.Innovation'!AH3</f>
        <v>0</v>
      </c>
    </row>
    <row r="38" spans="1:40" s="122" customFormat="1">
      <c r="A38" s="4253" t="s">
        <v>4681</v>
      </c>
      <c r="B38" s="314" t="s">
        <v>3872</v>
      </c>
      <c r="C38" s="351">
        <f t="shared" si="2"/>
        <v>46.108000000000004</v>
      </c>
      <c r="D38" s="351">
        <f t="shared" si="3"/>
        <v>0</v>
      </c>
      <c r="E38" s="167">
        <f>'1.SD Facility Based Annex'!AI4</f>
        <v>0</v>
      </c>
      <c r="F38" s="165">
        <f>'1.SD Facility Based Annex'!AI3</f>
        <v>0</v>
      </c>
      <c r="G38" s="166">
        <f>'2.SD Community Based Annex'!AI4</f>
        <v>0</v>
      </c>
      <c r="H38" s="166">
        <f>'2.SD Community Based Annex'!AI3</f>
        <v>0</v>
      </c>
      <c r="I38" s="165">
        <f>'3.Community Intervention Annexn'!AI4</f>
        <v>0</v>
      </c>
      <c r="J38" s="165">
        <f>'3.Community Intervention Annexn'!AI3</f>
        <v>0</v>
      </c>
      <c r="K38" s="289">
        <f>'5.Infrastructure Annex'!AI4</f>
        <v>0</v>
      </c>
      <c r="L38" s="289">
        <f>'5.Infrastructure Annex'!AI3</f>
        <v>0</v>
      </c>
      <c r="M38" s="289">
        <f>'7.Referral Transport Annex'!AI4</f>
        <v>0</v>
      </c>
      <c r="N38" s="289">
        <f>'7.Referral Transport Annex'!AI3</f>
        <v>0</v>
      </c>
      <c r="O38" s="289">
        <f>'11.IEC-BCC Annex'!AI4</f>
        <v>0</v>
      </c>
      <c r="P38" s="289">
        <f>'11.IEC-BCC Annex'!AI3</f>
        <v>0</v>
      </c>
      <c r="Q38" s="289">
        <f>'12.Printing Annex'!AI4</f>
        <v>3.8000000000000003</v>
      </c>
      <c r="R38" s="289">
        <f>'12.Printing Annex'!AI3</f>
        <v>0</v>
      </c>
      <c r="S38" s="289">
        <f>'13.Quality Assurance Annex'!AI4</f>
        <v>0</v>
      </c>
      <c r="T38" s="291">
        <f>'13.Quality Assurance Annex'!AI3</f>
        <v>0</v>
      </c>
      <c r="U38" s="289">
        <f>'4.Untied grants Annex'!AI4</f>
        <v>0</v>
      </c>
      <c r="V38" s="289">
        <f>'4.Untied grants Annex'!AI3</f>
        <v>0</v>
      </c>
      <c r="W38" s="289">
        <f>'15.PPP Annex'!AI4</f>
        <v>0</v>
      </c>
      <c r="X38" s="289">
        <f>'15.PPP Annex'!AI3</f>
        <v>0</v>
      </c>
      <c r="Y38" s="289">
        <f>'6.Procurement Annex'!AI4</f>
        <v>0</v>
      </c>
      <c r="Z38" s="289">
        <f>'6.Procurement Annex'!AI3</f>
        <v>0</v>
      </c>
      <c r="AA38" s="289">
        <f>'14.Drug warehouse &amp;Logistic Anx'!AI4</f>
        <v>0</v>
      </c>
      <c r="AB38" s="289">
        <f>'14.Drug warehouse &amp;Logistic Anx'!AI3</f>
        <v>0</v>
      </c>
      <c r="AC38" s="289">
        <f>'8.Human Resources (SD) Annex'!AI4</f>
        <v>0</v>
      </c>
      <c r="AD38" s="289">
        <f>'8.Human Resources (SD) Annex'!AI3</f>
        <v>0</v>
      </c>
      <c r="AE38" s="291">
        <f>'9.Training Annex'!AI4</f>
        <v>20.808</v>
      </c>
      <c r="AF38" s="291">
        <f>'9.Training Annex'!AI3</f>
        <v>0</v>
      </c>
      <c r="AG38" s="289">
        <f>'16.PM Annex'!AI4</f>
        <v>0</v>
      </c>
      <c r="AH38" s="289">
        <f>'16.PM Annex'!AI3</f>
        <v>0</v>
      </c>
      <c r="AI38" s="289">
        <f>'10.Review Research &amp; Surveillen'!AI4</f>
        <v>21.5</v>
      </c>
      <c r="AJ38" s="289">
        <f>'10.Review Research &amp; Surveillen'!AI3</f>
        <v>0</v>
      </c>
      <c r="AK38" s="289">
        <f>'17.IT Initiatives_SD'!AI4</f>
        <v>0</v>
      </c>
      <c r="AL38" s="289">
        <f>'17.IT Initiatives_SD'!AI3</f>
        <v>0</v>
      </c>
      <c r="AM38" s="289">
        <f>'18.Innovation'!AI4</f>
        <v>0</v>
      </c>
      <c r="AN38" s="289">
        <f>'18.Innovation'!AI3</f>
        <v>0</v>
      </c>
    </row>
    <row r="39" spans="1:40" s="122" customFormat="1" ht="30">
      <c r="A39" s="4253"/>
      <c r="B39" s="314" t="s">
        <v>3873</v>
      </c>
      <c r="C39" s="351">
        <f t="shared" si="2"/>
        <v>8654.3667040000018</v>
      </c>
      <c r="D39" s="351">
        <f t="shared" si="3"/>
        <v>0</v>
      </c>
      <c r="E39" s="167">
        <f>'1.SD Facility Based Annex'!AJ4</f>
        <v>268.83404000000002</v>
      </c>
      <c r="F39" s="165">
        <f>'1.SD Facility Based Annex'!AJ3</f>
        <v>0</v>
      </c>
      <c r="G39" s="166">
        <f>'2.SD Community Based Annex'!AJ4</f>
        <v>77.601599999999991</v>
      </c>
      <c r="H39" s="166">
        <f>'2.SD Community Based Annex'!AJ3</f>
        <v>0</v>
      </c>
      <c r="I39" s="165">
        <f>'3.Community Intervention Annexn'!AJ4</f>
        <v>6903.1045400000003</v>
      </c>
      <c r="J39" s="165">
        <f>'3.Community Intervention Annexn'!AJ3</f>
        <v>0</v>
      </c>
      <c r="K39" s="289">
        <f>'5.Infrastructure Annex'!AJ4</f>
        <v>75</v>
      </c>
      <c r="L39" s="289">
        <f>'5.Infrastructure Annex'!AJ3</f>
        <v>0</v>
      </c>
      <c r="M39" s="289">
        <f>'7.Referral Transport Annex'!AJ4</f>
        <v>0</v>
      </c>
      <c r="N39" s="289">
        <f>'7.Referral Transport Annex'!AJ3</f>
        <v>0</v>
      </c>
      <c r="O39" s="289">
        <f>'11.IEC-BCC Annex'!AJ4</f>
        <v>249.94907999999998</v>
      </c>
      <c r="P39" s="289">
        <f>'11.IEC-BCC Annex'!AJ3</f>
        <v>0</v>
      </c>
      <c r="Q39" s="289">
        <f>'12.Printing Annex'!AJ4</f>
        <v>43.999839999999999</v>
      </c>
      <c r="R39" s="289">
        <f>'12.Printing Annex'!AJ3</f>
        <v>0</v>
      </c>
      <c r="S39" s="289">
        <f>'13.Quality Assurance Annex'!AJ4</f>
        <v>0</v>
      </c>
      <c r="T39" s="291">
        <f>'13.Quality Assurance Annex'!AJ3</f>
        <v>0</v>
      </c>
      <c r="U39" s="289">
        <f>'4.Untied grants Annex'!AJ4</f>
        <v>0</v>
      </c>
      <c r="V39" s="289">
        <f>'4.Untied grants Annex'!AJ3</f>
        <v>0</v>
      </c>
      <c r="W39" s="289">
        <f>'15.PPP Annex'!AJ4</f>
        <v>8.6301799999999993</v>
      </c>
      <c r="X39" s="289">
        <f>'15.PPP Annex'!AJ3</f>
        <v>0</v>
      </c>
      <c r="Y39" s="289">
        <f>'6.Procurement Annex'!AJ4</f>
        <v>145.10816400000002</v>
      </c>
      <c r="Z39" s="289">
        <f>'6.Procurement Annex'!AJ3</f>
        <v>0</v>
      </c>
      <c r="AA39" s="289">
        <f>'14.Drug warehouse &amp;Logistic Anx'!AJ4</f>
        <v>0</v>
      </c>
      <c r="AB39" s="289">
        <f>'14.Drug warehouse &amp;Logistic Anx'!AJ3</f>
        <v>0</v>
      </c>
      <c r="AC39" s="289">
        <f>'8.Human Resources (SD) Annex'!AJ4</f>
        <v>0</v>
      </c>
      <c r="AD39" s="289">
        <f>'8.Human Resources (SD) Annex'!AJ3</f>
        <v>0</v>
      </c>
      <c r="AE39" s="291">
        <f>'9.Training Annex'!AJ4</f>
        <v>656.40329999999994</v>
      </c>
      <c r="AF39" s="291">
        <f>'9.Training Annex'!AJ3</f>
        <v>0</v>
      </c>
      <c r="AG39" s="289">
        <f>'16.PM Annex'!AJ4</f>
        <v>0</v>
      </c>
      <c r="AH39" s="289">
        <f>'16.PM Annex'!AJ3</f>
        <v>0</v>
      </c>
      <c r="AI39" s="289">
        <f>'10.Review Research &amp; Surveillen'!AJ4</f>
        <v>225.73596000000001</v>
      </c>
      <c r="AJ39" s="289">
        <f>'10.Review Research &amp; Surveillen'!AJ3</f>
        <v>0</v>
      </c>
      <c r="AK39" s="289">
        <f>'17.IT Initiatives_SD'!AJ4</f>
        <v>0</v>
      </c>
      <c r="AL39" s="289">
        <f>'17.IT Initiatives_SD'!AJ3</f>
        <v>0</v>
      </c>
      <c r="AM39" s="289">
        <f>'18.Innovation'!AJ4</f>
        <v>0</v>
      </c>
      <c r="AN39" s="289">
        <f>'18.Innovation'!AJ3</f>
        <v>0</v>
      </c>
    </row>
    <row r="40" spans="1:40" s="122" customFormat="1">
      <c r="A40" s="4253"/>
      <c r="B40" s="314" t="s">
        <v>3874</v>
      </c>
      <c r="C40" s="351">
        <f t="shared" si="2"/>
        <v>2449.1824399999996</v>
      </c>
      <c r="D40" s="351">
        <f t="shared" si="3"/>
        <v>0</v>
      </c>
      <c r="E40" s="167">
        <f>'1.SD Facility Based Annex'!AK4</f>
        <v>2090.1224400000001</v>
      </c>
      <c r="F40" s="165">
        <f>'1.SD Facility Based Annex'!AK3</f>
        <v>0</v>
      </c>
      <c r="G40" s="166">
        <f>'2.SD Community Based Annex'!AK4</f>
        <v>15</v>
      </c>
      <c r="H40" s="166">
        <f>'2.SD Community Based Annex'!AK3</f>
        <v>0</v>
      </c>
      <c r="I40" s="165">
        <f>'3.Community Intervention Annexn'!AK4</f>
        <v>124.10000000000002</v>
      </c>
      <c r="J40" s="165">
        <f>'3.Community Intervention Annexn'!AK3</f>
        <v>0</v>
      </c>
      <c r="K40" s="289">
        <f>'5.Infrastructure Annex'!AK4</f>
        <v>0</v>
      </c>
      <c r="L40" s="289">
        <f>'5.Infrastructure Annex'!AK3</f>
        <v>0</v>
      </c>
      <c r="M40" s="289">
        <f>'7.Referral Transport Annex'!AK4</f>
        <v>0</v>
      </c>
      <c r="N40" s="289">
        <f>'7.Referral Transport Annex'!AK3</f>
        <v>0</v>
      </c>
      <c r="O40" s="289">
        <f>'11.IEC-BCC Annex'!AK4</f>
        <v>37.24</v>
      </c>
      <c r="P40" s="289">
        <f>'11.IEC-BCC Annex'!AK3</f>
        <v>0</v>
      </c>
      <c r="Q40" s="289">
        <f>'12.Printing Annex'!AK4</f>
        <v>7.6</v>
      </c>
      <c r="R40" s="289">
        <f>'12.Printing Annex'!AK3</f>
        <v>0</v>
      </c>
      <c r="S40" s="289">
        <f>'13.Quality Assurance Annex'!AK4</f>
        <v>0</v>
      </c>
      <c r="T40" s="291">
        <f>'13.Quality Assurance Annex'!AK3</f>
        <v>0</v>
      </c>
      <c r="U40" s="289">
        <f>'4.Untied grants Annex'!AK4</f>
        <v>0</v>
      </c>
      <c r="V40" s="289">
        <f>'4.Untied grants Annex'!AK3</f>
        <v>0</v>
      </c>
      <c r="W40" s="289">
        <f>'15.PPP Annex'!AK4</f>
        <v>0</v>
      </c>
      <c r="X40" s="289">
        <f>'15.PPP Annex'!AK3</f>
        <v>0</v>
      </c>
      <c r="Y40" s="289">
        <f>'6.Procurement Annex'!AK4</f>
        <v>126.35</v>
      </c>
      <c r="Z40" s="289">
        <f>'6.Procurement Annex'!AK3</f>
        <v>0</v>
      </c>
      <c r="AA40" s="289">
        <f>'14.Drug warehouse &amp;Logistic Anx'!AK4</f>
        <v>0</v>
      </c>
      <c r="AB40" s="289">
        <f>'14.Drug warehouse &amp;Logistic Anx'!AK3</f>
        <v>0</v>
      </c>
      <c r="AC40" s="289">
        <f>'8.Human Resources (SD) Annex'!AK4</f>
        <v>0</v>
      </c>
      <c r="AD40" s="289">
        <f>'8.Human Resources (SD) Annex'!AK3</f>
        <v>0</v>
      </c>
      <c r="AE40" s="291">
        <f>'9.Training Annex'!AK4</f>
        <v>48.77</v>
      </c>
      <c r="AF40" s="291">
        <f>'9.Training Annex'!AK3</f>
        <v>0</v>
      </c>
      <c r="AG40" s="289">
        <f>'16.PM Annex'!AK4</f>
        <v>0</v>
      </c>
      <c r="AH40" s="289">
        <f>'16.PM Annex'!AK3</f>
        <v>0</v>
      </c>
      <c r="AI40" s="289">
        <f>'10.Review Research &amp; Surveillen'!AK4</f>
        <v>0</v>
      </c>
      <c r="AJ40" s="289">
        <f>'10.Review Research &amp; Surveillen'!AK3</f>
        <v>0</v>
      </c>
      <c r="AK40" s="289">
        <f>'17.IT Initiatives_SD'!AK4</f>
        <v>0</v>
      </c>
      <c r="AL40" s="289">
        <f>'17.IT Initiatives_SD'!AK3</f>
        <v>0</v>
      </c>
      <c r="AM40" s="289">
        <f>'18.Innovation'!AK4</f>
        <v>0</v>
      </c>
      <c r="AN40" s="289">
        <f>'18.Innovation'!AK3</f>
        <v>0</v>
      </c>
    </row>
    <row r="41" spans="1:40" s="122" customFormat="1" ht="30">
      <c r="A41" s="4253"/>
      <c r="B41" s="314" t="s">
        <v>4619</v>
      </c>
      <c r="C41" s="351">
        <f t="shared" si="2"/>
        <v>10919.386639999999</v>
      </c>
      <c r="D41" s="351">
        <f t="shared" si="3"/>
        <v>0</v>
      </c>
      <c r="E41" s="167">
        <f>'1.SD Facility Based Annex'!AL4</f>
        <v>4414.2359999999999</v>
      </c>
      <c r="F41" s="165">
        <f>'1.SD Facility Based Annex'!AL3</f>
        <v>0</v>
      </c>
      <c r="G41" s="166">
        <f>'2.SD Community Based Annex'!AL4</f>
        <v>109.27079999999999</v>
      </c>
      <c r="H41" s="166">
        <f>'2.SD Community Based Annex'!AL3</f>
        <v>0</v>
      </c>
      <c r="I41" s="165">
        <f>'3.Community Intervention Annexn'!AL4</f>
        <v>816.69983999999999</v>
      </c>
      <c r="J41" s="165">
        <f>'3.Community Intervention Annexn'!AL3</f>
        <v>0</v>
      </c>
      <c r="K41" s="289">
        <f>'5.Infrastructure Annex'!AL4</f>
        <v>281.68</v>
      </c>
      <c r="L41" s="289">
        <f>'5.Infrastructure Annex'!AL3</f>
        <v>0</v>
      </c>
      <c r="M41" s="289">
        <f>'7.Referral Transport Annex'!AL4</f>
        <v>297.74</v>
      </c>
      <c r="N41" s="289">
        <f>'7.Referral Transport Annex'!AL3</f>
        <v>0</v>
      </c>
      <c r="O41" s="289">
        <f>'11.IEC-BCC Annex'!AL4</f>
        <v>69.400000000000006</v>
      </c>
      <c r="P41" s="289">
        <f>'11.IEC-BCC Annex'!AL3</f>
        <v>0</v>
      </c>
      <c r="Q41" s="289">
        <f>'12.Printing Annex'!AL4</f>
        <v>46.68</v>
      </c>
      <c r="R41" s="289">
        <f>'12.Printing Annex'!AL3</f>
        <v>0</v>
      </c>
      <c r="S41" s="289">
        <f>'13.Quality Assurance Annex'!AL4</f>
        <v>0</v>
      </c>
      <c r="T41" s="291">
        <f>'13.Quality Assurance Annex'!AL3</f>
        <v>0</v>
      </c>
      <c r="U41" s="289">
        <f>'4.Untied grants Annex'!AL4</f>
        <v>0</v>
      </c>
      <c r="V41" s="289">
        <f>'4.Untied grants Annex'!AL3</f>
        <v>0</v>
      </c>
      <c r="W41" s="289">
        <f>'15.PPP Annex'!AL4</f>
        <v>2756.9</v>
      </c>
      <c r="X41" s="289">
        <f>'15.PPP Annex'!AL3</f>
        <v>0</v>
      </c>
      <c r="Y41" s="289">
        <f>'6.Procurement Annex'!AL4</f>
        <v>1847.4199999999998</v>
      </c>
      <c r="Z41" s="289">
        <f>'6.Procurement Annex'!AL3</f>
        <v>0</v>
      </c>
      <c r="AA41" s="289">
        <f>'14.Drug warehouse &amp;Logistic Anx'!AL4</f>
        <v>36.64</v>
      </c>
      <c r="AB41" s="289">
        <f>'14.Drug warehouse &amp;Logistic Anx'!AL3</f>
        <v>0</v>
      </c>
      <c r="AC41" s="289">
        <f>'8.Human Resources (SD) Annex'!AL4</f>
        <v>0</v>
      </c>
      <c r="AD41" s="289">
        <f>'8.Human Resources (SD) Annex'!AL3</f>
        <v>0</v>
      </c>
      <c r="AE41" s="291">
        <f>'9.Training Annex'!AL4</f>
        <v>223.42</v>
      </c>
      <c r="AF41" s="291">
        <f>'9.Training Annex'!AL3</f>
        <v>0</v>
      </c>
      <c r="AG41" s="289">
        <f>'16.PM Annex'!AL4</f>
        <v>0</v>
      </c>
      <c r="AH41" s="289">
        <f>'16.PM Annex'!AL3</f>
        <v>0</v>
      </c>
      <c r="AI41" s="289">
        <f>'10.Review Research &amp; Surveillen'!AL4</f>
        <v>19.3</v>
      </c>
      <c r="AJ41" s="289">
        <f>'10.Review Research &amp; Surveillen'!AL3</f>
        <v>0</v>
      </c>
      <c r="AK41" s="289">
        <f>'17.IT Initiatives_SD'!AL4</f>
        <v>0</v>
      </c>
      <c r="AL41" s="289">
        <f>'17.IT Initiatives_SD'!AL3</f>
        <v>0</v>
      </c>
      <c r="AM41" s="289">
        <f>'18.Innovation'!AL4</f>
        <v>0</v>
      </c>
      <c r="AN41" s="289">
        <f>'18.Innovation'!AL3</f>
        <v>0</v>
      </c>
    </row>
    <row r="42" spans="1:40" s="122" customFormat="1" ht="30">
      <c r="A42" s="4253"/>
      <c r="B42" s="314" t="s">
        <v>3875</v>
      </c>
      <c r="C42" s="351">
        <f t="shared" si="2"/>
        <v>473.11764999999997</v>
      </c>
      <c r="D42" s="351">
        <f t="shared" si="3"/>
        <v>0</v>
      </c>
      <c r="E42" s="167">
        <f>'1.SD Facility Based Annex'!AM4</f>
        <v>39.36</v>
      </c>
      <c r="F42" s="165">
        <f>'1.SD Facility Based Annex'!AM3</f>
        <v>0</v>
      </c>
      <c r="G42" s="166">
        <f>'2.SD Community Based Annex'!AM4</f>
        <v>0</v>
      </c>
      <c r="H42" s="166">
        <f>'2.SD Community Based Annex'!AM3</f>
        <v>0</v>
      </c>
      <c r="I42" s="165">
        <f>'3.Community Intervention Annexn'!AM4</f>
        <v>17.3</v>
      </c>
      <c r="J42" s="165">
        <f>'3.Community Intervention Annexn'!AM3</f>
        <v>0</v>
      </c>
      <c r="K42" s="289">
        <f>'5.Infrastructure Annex'!AM4</f>
        <v>0</v>
      </c>
      <c r="L42" s="289">
        <f>'5.Infrastructure Annex'!AM3</f>
        <v>0</v>
      </c>
      <c r="M42" s="289">
        <f>'7.Referral Transport Annex'!AM4</f>
        <v>0</v>
      </c>
      <c r="N42" s="289">
        <f>'7.Referral Transport Annex'!AM3</f>
        <v>0</v>
      </c>
      <c r="O42" s="289">
        <f>'11.IEC-BCC Annex'!AM4</f>
        <v>5</v>
      </c>
      <c r="P42" s="289">
        <f>'11.IEC-BCC Annex'!AM3</f>
        <v>0</v>
      </c>
      <c r="Q42" s="289">
        <f>'12.Printing Annex'!AM4</f>
        <v>5</v>
      </c>
      <c r="R42" s="289">
        <f>'12.Printing Annex'!AM3</f>
        <v>0</v>
      </c>
      <c r="S42" s="289">
        <f>'13.Quality Assurance Annex'!AM4</f>
        <v>0</v>
      </c>
      <c r="T42" s="291">
        <f>'13.Quality Assurance Annex'!AM3</f>
        <v>0</v>
      </c>
      <c r="U42" s="289">
        <f>'4.Untied grants Annex'!AM4</f>
        <v>0</v>
      </c>
      <c r="V42" s="289">
        <f>'4.Untied grants Annex'!AM3</f>
        <v>0</v>
      </c>
      <c r="W42" s="289">
        <f>'15.PPP Annex'!AM4</f>
        <v>0</v>
      </c>
      <c r="X42" s="289">
        <f>'15.PPP Annex'!AM3</f>
        <v>0</v>
      </c>
      <c r="Y42" s="289">
        <f>'6.Procurement Annex'!AM4</f>
        <v>387.38364999999999</v>
      </c>
      <c r="Z42" s="289">
        <f>'6.Procurement Annex'!AM3</f>
        <v>0</v>
      </c>
      <c r="AA42" s="289">
        <f>'14.Drug warehouse &amp;Logistic Anx'!AM4</f>
        <v>5.0739999999999998</v>
      </c>
      <c r="AB42" s="289">
        <f>'14.Drug warehouse &amp;Logistic Anx'!AM3</f>
        <v>0</v>
      </c>
      <c r="AC42" s="289">
        <f>'8.Human Resources (SD) Annex'!AM4</f>
        <v>0</v>
      </c>
      <c r="AD42" s="289">
        <f>'8.Human Resources (SD) Annex'!AM3</f>
        <v>0</v>
      </c>
      <c r="AE42" s="291">
        <f>'9.Training Annex'!AM4</f>
        <v>14</v>
      </c>
      <c r="AF42" s="291">
        <f>'9.Training Annex'!AM3</f>
        <v>0</v>
      </c>
      <c r="AG42" s="289">
        <f>'16.PM Annex'!AM4</f>
        <v>0</v>
      </c>
      <c r="AH42" s="289">
        <f>'16.PM Annex'!AM3</f>
        <v>0</v>
      </c>
      <c r="AI42" s="289">
        <f>'10.Review Research &amp; Surveillen'!AM4</f>
        <v>0</v>
      </c>
      <c r="AJ42" s="289">
        <f>'10.Review Research &amp; Surveillen'!AM3</f>
        <v>0</v>
      </c>
      <c r="AK42" s="289">
        <f>'17.IT Initiatives_SD'!AM4</f>
        <v>0</v>
      </c>
      <c r="AL42" s="289">
        <f>'17.IT Initiatives_SD'!AM3</f>
        <v>0</v>
      </c>
      <c r="AM42" s="289">
        <f>'18.Innovation'!AM4</f>
        <v>0</v>
      </c>
      <c r="AN42" s="289">
        <f>'18.Innovation'!AM3</f>
        <v>0</v>
      </c>
    </row>
    <row r="43" spans="1:40" s="122" customFormat="1">
      <c r="A43" s="4253"/>
      <c r="B43" s="314" t="s">
        <v>3893</v>
      </c>
      <c r="C43" s="351">
        <f t="shared" si="2"/>
        <v>205.93600000000001</v>
      </c>
      <c r="D43" s="351">
        <f t="shared" si="3"/>
        <v>0</v>
      </c>
      <c r="E43" s="167">
        <f>'1.SD Facility Based Annex'!AN4</f>
        <v>0</v>
      </c>
      <c r="F43" s="165">
        <f>'1.SD Facility Based Annex'!AN3</f>
        <v>0</v>
      </c>
      <c r="G43" s="166">
        <f>'2.SD Community Based Annex'!AN4</f>
        <v>0</v>
      </c>
      <c r="H43" s="166">
        <f>'2.SD Community Based Annex'!AN3</f>
        <v>0</v>
      </c>
      <c r="I43" s="165">
        <f>'3.Community Intervention Annexn'!AN4</f>
        <v>0</v>
      </c>
      <c r="J43" s="165">
        <f>'3.Community Intervention Annexn'!AN3</f>
        <v>0</v>
      </c>
      <c r="K43" s="289">
        <f>'5.Infrastructure Annex'!AN4</f>
        <v>0</v>
      </c>
      <c r="L43" s="289">
        <f>'5.Infrastructure Annex'!AN3</f>
        <v>0</v>
      </c>
      <c r="M43" s="289">
        <f>'7.Referral Transport Annex'!AN4</f>
        <v>0</v>
      </c>
      <c r="N43" s="289">
        <f>'7.Referral Transport Annex'!AN3</f>
        <v>0</v>
      </c>
      <c r="O43" s="289">
        <f>'11.IEC-BCC Annex'!AN4</f>
        <v>3.8000000000000003</v>
      </c>
      <c r="P43" s="289">
        <f>'11.IEC-BCC Annex'!AN3</f>
        <v>0</v>
      </c>
      <c r="Q43" s="289">
        <f>'12.Printing Annex'!AN4</f>
        <v>0</v>
      </c>
      <c r="R43" s="289">
        <f>'12.Printing Annex'!AN3</f>
        <v>0</v>
      </c>
      <c r="S43" s="289">
        <f>'13.Quality Assurance Annex'!AN4</f>
        <v>0</v>
      </c>
      <c r="T43" s="291">
        <f>'13.Quality Assurance Annex'!AN3</f>
        <v>0</v>
      </c>
      <c r="U43" s="289">
        <f>'4.Untied grants Annex'!AN4</f>
        <v>0</v>
      </c>
      <c r="V43" s="289">
        <f>'4.Untied grants Annex'!AN3</f>
        <v>0</v>
      </c>
      <c r="W43" s="289">
        <f>'15.PPP Annex'!AN4</f>
        <v>0</v>
      </c>
      <c r="X43" s="289">
        <f>'15.PPP Annex'!AN3</f>
        <v>0</v>
      </c>
      <c r="Y43" s="289">
        <f>'6.Procurement Annex'!AN4</f>
        <v>200</v>
      </c>
      <c r="Z43" s="289">
        <f>'6.Procurement Annex'!AN3</f>
        <v>0</v>
      </c>
      <c r="AA43" s="289">
        <f>'14.Drug warehouse &amp;Logistic Anx'!AN4</f>
        <v>0</v>
      </c>
      <c r="AB43" s="289">
        <f>'14.Drug warehouse &amp;Logistic Anx'!AN3</f>
        <v>0</v>
      </c>
      <c r="AC43" s="289">
        <f>'8.Human Resources (SD) Annex'!AN4</f>
        <v>0</v>
      </c>
      <c r="AD43" s="289">
        <f>'8.Human Resources (SD) Annex'!AN3</f>
        <v>0</v>
      </c>
      <c r="AE43" s="291">
        <f>'9.Training Annex'!AN4</f>
        <v>2.1360000000000001</v>
      </c>
      <c r="AF43" s="291">
        <f>'9.Training Annex'!AN3</f>
        <v>0</v>
      </c>
      <c r="AG43" s="289">
        <f>'16.PM Annex'!AN4</f>
        <v>0</v>
      </c>
      <c r="AH43" s="289">
        <f>'16.PM Annex'!AN3</f>
        <v>0</v>
      </c>
      <c r="AI43" s="289">
        <f>'10.Review Research &amp; Surveillen'!AN4</f>
        <v>0</v>
      </c>
      <c r="AJ43" s="289">
        <f>'10.Review Research &amp; Surveillen'!AN3</f>
        <v>0</v>
      </c>
      <c r="AK43" s="289">
        <f>'17.IT Initiatives_SD'!AN4</f>
        <v>0</v>
      </c>
      <c r="AL43" s="289">
        <f>'17.IT Initiatives_SD'!AN3</f>
        <v>0</v>
      </c>
      <c r="AM43" s="289">
        <f>'18.Innovation'!AN4</f>
        <v>0</v>
      </c>
      <c r="AN43" s="289">
        <f>'18.Innovation'!AN3</f>
        <v>0</v>
      </c>
    </row>
    <row r="44" spans="1:40" s="122" customFormat="1" ht="30">
      <c r="A44" s="4253"/>
      <c r="B44" s="314" t="s">
        <v>4687</v>
      </c>
      <c r="C44" s="351">
        <f t="shared" si="2"/>
        <v>0</v>
      </c>
      <c r="D44" s="351">
        <f t="shared" si="3"/>
        <v>0</v>
      </c>
      <c r="E44" s="165">
        <f>'1.SD Facility Based Annex'!AO4</f>
        <v>0</v>
      </c>
      <c r="F44" s="165">
        <f>'1.SD Facility Based Annex'!AO3</f>
        <v>0</v>
      </c>
      <c r="G44" s="166">
        <f>'2.SD Community Based Annex'!AO4</f>
        <v>0</v>
      </c>
      <c r="H44" s="166">
        <f>'2.SD Community Based Annex'!AO3</f>
        <v>0</v>
      </c>
      <c r="I44" s="165">
        <f>'3.Community Intervention Annexn'!AO4</f>
        <v>0</v>
      </c>
      <c r="J44" s="165">
        <f>'3.Community Intervention Annexn'!AO3</f>
        <v>0</v>
      </c>
      <c r="K44" s="289">
        <f>'5.Infrastructure Annex'!AO4</f>
        <v>0</v>
      </c>
      <c r="L44" s="289">
        <f>'5.Infrastructure Annex'!AO3</f>
        <v>0</v>
      </c>
      <c r="M44" s="289">
        <f>'7.Referral Transport Annex'!AO4</f>
        <v>0</v>
      </c>
      <c r="N44" s="289">
        <f>'7.Referral Transport Annex'!AO3</f>
        <v>0</v>
      </c>
      <c r="O44" s="289">
        <f>'11.IEC-BCC Annex'!AO4</f>
        <v>0</v>
      </c>
      <c r="P44" s="289">
        <f>'11.IEC-BCC Annex'!AO3</f>
        <v>0</v>
      </c>
      <c r="Q44" s="289">
        <f>'12.Printing Annex'!AO4</f>
        <v>0</v>
      </c>
      <c r="R44" s="289">
        <f>'12.Printing Annex'!AO3</f>
        <v>0</v>
      </c>
      <c r="S44" s="289">
        <f>'13.Quality Assurance Annex'!AO4</f>
        <v>0</v>
      </c>
      <c r="T44" s="291">
        <f>'13.Quality Assurance Annex'!AO3</f>
        <v>0</v>
      </c>
      <c r="U44" s="289">
        <f>'4.Untied grants Annex'!AO4</f>
        <v>0</v>
      </c>
      <c r="V44" s="289">
        <f>'4.Untied grants Annex'!AO3</f>
        <v>0</v>
      </c>
      <c r="W44" s="289">
        <f>'15.PPP Annex'!AO4</f>
        <v>0</v>
      </c>
      <c r="X44" s="289">
        <f>'15.PPP Annex'!AO3</f>
        <v>0</v>
      </c>
      <c r="Y44" s="289">
        <f>'6.Procurement Annex'!AO4</f>
        <v>0</v>
      </c>
      <c r="Z44" s="289">
        <f>'6.Procurement Annex'!AO3</f>
        <v>0</v>
      </c>
      <c r="AA44" s="289">
        <f>'14.Drug warehouse &amp;Logistic Anx'!AO4</f>
        <v>0</v>
      </c>
      <c r="AB44" s="289">
        <f>'14.Drug warehouse &amp;Logistic Anx'!AO3</f>
        <v>0</v>
      </c>
      <c r="AC44" s="289">
        <f>'8.Human Resources (SD) Annex'!AO4</f>
        <v>0</v>
      </c>
      <c r="AD44" s="289">
        <f>'8.Human Resources (SD) Annex'!AO3</f>
        <v>0</v>
      </c>
      <c r="AE44" s="291">
        <f>'9.Training Annex'!AO4</f>
        <v>0</v>
      </c>
      <c r="AF44" s="291">
        <f>'9.Training Annex'!AO3</f>
        <v>0</v>
      </c>
      <c r="AG44" s="289">
        <f>'16.PM Annex'!AO4</f>
        <v>0</v>
      </c>
      <c r="AH44" s="289">
        <f>'16.PM Annex'!AO3</f>
        <v>0</v>
      </c>
      <c r="AI44" s="289">
        <f>'10.Review Research &amp; Surveillen'!AO4</f>
        <v>0</v>
      </c>
      <c r="AJ44" s="289">
        <f>'10.Review Research &amp; Surveillen'!AO3</f>
        <v>0</v>
      </c>
      <c r="AK44" s="289">
        <f>'17.IT Initiatives_SD'!AO4</f>
        <v>0</v>
      </c>
      <c r="AL44" s="289">
        <f>'17.IT Initiatives_SD'!AO3</f>
        <v>0</v>
      </c>
      <c r="AM44" s="289">
        <f>'18.Innovation'!AO4</f>
        <v>0</v>
      </c>
      <c r="AN44" s="289">
        <f>'18.Innovation'!AO3</f>
        <v>0</v>
      </c>
    </row>
    <row r="45" spans="1:40" s="122" customFormat="1">
      <c r="A45" s="4253"/>
      <c r="B45" s="314" t="s">
        <v>5270</v>
      </c>
      <c r="C45" s="351">
        <f>E45+G45+I45+K45+M45+O45+Q45+S45+U45+W45+Y45+AA45+AC45+AE45+AG45+AI45+AK45+AM45</f>
        <v>6485.746869999999</v>
      </c>
      <c r="D45" s="351">
        <f>F45+H45+J45+L45+N45+P45+R45+T45+V45+X45+Z45+AB45+AD45+AF45+AH45+AJ45+AL45+AN45</f>
        <v>0</v>
      </c>
      <c r="E45" s="165"/>
      <c r="F45" s="165"/>
      <c r="G45" s="166"/>
      <c r="H45" s="166"/>
      <c r="I45" s="165"/>
      <c r="J45" s="165"/>
      <c r="K45" s="289"/>
      <c r="L45" s="289"/>
      <c r="M45" s="289"/>
      <c r="N45" s="289"/>
      <c r="O45" s="289"/>
      <c r="P45" s="289"/>
      <c r="Q45" s="289"/>
      <c r="R45" s="289"/>
      <c r="S45" s="289"/>
      <c r="T45" s="291"/>
      <c r="U45" s="289"/>
      <c r="V45" s="289"/>
      <c r="W45" s="297">
        <f>'15.PPP Annex'!BC4</f>
        <v>0</v>
      </c>
      <c r="X45" s="290">
        <f>'15.PPP Annex'!BC3</f>
        <v>0</v>
      </c>
      <c r="Y45" s="289"/>
      <c r="Z45" s="289"/>
      <c r="AA45" s="289"/>
      <c r="AB45" s="289"/>
      <c r="AC45" s="289"/>
      <c r="AD45" s="289"/>
      <c r="AE45" s="167"/>
      <c r="AF45" s="167"/>
      <c r="AG45" s="297">
        <f>'16.PM Annex'!BC4</f>
        <v>6336.1563499999993</v>
      </c>
      <c r="AH45" s="297">
        <f>'16.PM Annex'!BC3</f>
        <v>0</v>
      </c>
      <c r="AI45" s="289"/>
      <c r="AJ45" s="289"/>
      <c r="AK45" s="289"/>
      <c r="AL45" s="289"/>
      <c r="AM45" s="297">
        <f>'18.Innovation'!BC4</f>
        <v>149.59052</v>
      </c>
      <c r="AN45" s="297">
        <f>'18.Innovation'!BC3</f>
        <v>0</v>
      </c>
    </row>
    <row r="46" spans="1:40" s="122" customFormat="1" ht="30">
      <c r="A46" s="4253" t="s">
        <v>4688</v>
      </c>
      <c r="B46" s="314" t="s">
        <v>4682</v>
      </c>
      <c r="C46" s="351">
        <f t="shared" si="2"/>
        <v>3847.05</v>
      </c>
      <c r="D46" s="351">
        <f t="shared" si="3"/>
        <v>0</v>
      </c>
      <c r="E46" s="165">
        <f>'1.SD Facility Based Annex'!AP4</f>
        <v>0</v>
      </c>
      <c r="F46" s="165">
        <f>'1.SD Facility Based Annex'!AP3</f>
        <v>0</v>
      </c>
      <c r="G46" s="166">
        <f>'2.SD Community Based Annex'!AP4</f>
        <v>386</v>
      </c>
      <c r="H46" s="166">
        <f>'2.SD Community Based Annex'!AP3</f>
        <v>0</v>
      </c>
      <c r="I46" s="165">
        <f>'3.Community Intervention Annexn'!AP4</f>
        <v>0</v>
      </c>
      <c r="J46" s="165">
        <f>'3.Community Intervention Annexn'!AP3</f>
        <v>0</v>
      </c>
      <c r="K46" s="289">
        <f>'5.Infrastructure Annex'!AP4</f>
        <v>0</v>
      </c>
      <c r="L46" s="289">
        <f>'5.Infrastructure Annex'!AP3</f>
        <v>0</v>
      </c>
      <c r="M46" s="289">
        <f>'7.Referral Transport Annex'!AP4</f>
        <v>0</v>
      </c>
      <c r="N46" s="289">
        <f>'7.Referral Transport Annex'!AP3</f>
        <v>0</v>
      </c>
      <c r="O46" s="289">
        <f>'11.IEC-BCC Annex'!AP4</f>
        <v>22.05</v>
      </c>
      <c r="P46" s="289">
        <f>'11.IEC-BCC Annex'!AP3</f>
        <v>0</v>
      </c>
      <c r="Q46" s="289">
        <f>'12.Printing Annex'!AP4</f>
        <v>0</v>
      </c>
      <c r="R46" s="289">
        <f>'12.Printing Annex'!AP3</f>
        <v>0</v>
      </c>
      <c r="S46" s="289">
        <f>'13.Quality Assurance Annex'!AP4</f>
        <v>0</v>
      </c>
      <c r="T46" s="291">
        <f>'13.Quality Assurance Annex'!AP3</f>
        <v>0</v>
      </c>
      <c r="U46" s="289">
        <f>'4.Untied grants Annex'!AP4</f>
        <v>0</v>
      </c>
      <c r="V46" s="289">
        <f>'4.Untied grants Annex'!AP3</f>
        <v>0</v>
      </c>
      <c r="W46" s="289">
        <f>'15.PPP Annex'!AP4</f>
        <v>3000</v>
      </c>
      <c r="X46" s="289">
        <f>'15.PPP Annex'!AP3</f>
        <v>0</v>
      </c>
      <c r="Y46" s="289">
        <f>'6.Procurement Annex'!AP4</f>
        <v>435</v>
      </c>
      <c r="Z46" s="289">
        <f>'6.Procurement Annex'!AP3</f>
        <v>0</v>
      </c>
      <c r="AA46" s="289">
        <f>'14.Drug warehouse &amp;Logistic Anx'!AP4</f>
        <v>0</v>
      </c>
      <c r="AB46" s="289">
        <f>'14.Drug warehouse &amp;Logistic Anx'!AP3</f>
        <v>0</v>
      </c>
      <c r="AC46" s="289">
        <f>'8.Human Resources (SD) Annex'!AP4</f>
        <v>0</v>
      </c>
      <c r="AD46" s="289">
        <f>'8.Human Resources (SD) Annex'!AP3</f>
        <v>0</v>
      </c>
      <c r="AE46" s="291">
        <f>'9.Training Annex'!AP4</f>
        <v>4</v>
      </c>
      <c r="AF46" s="291">
        <f>'9.Training Annex'!AP3</f>
        <v>0</v>
      </c>
      <c r="AG46" s="289">
        <f>'16.PM Annex'!AP4</f>
        <v>0</v>
      </c>
      <c r="AH46" s="289">
        <f>'16.PM Annex'!AP3</f>
        <v>0</v>
      </c>
      <c r="AI46" s="289">
        <f>'10.Review Research &amp; Surveillen'!AP4</f>
        <v>0</v>
      </c>
      <c r="AJ46" s="289">
        <f>'10.Review Research &amp; Surveillen'!AP3</f>
        <v>0</v>
      </c>
      <c r="AK46" s="289">
        <f>'17.IT Initiatives_SD'!AP4</f>
        <v>0</v>
      </c>
      <c r="AL46" s="289">
        <f>'17.IT Initiatives_SD'!AP3</f>
        <v>0</v>
      </c>
      <c r="AM46" s="289">
        <f>'18.Innovation'!AP4</f>
        <v>0</v>
      </c>
      <c r="AN46" s="289">
        <f>'18.Innovation'!AP3</f>
        <v>0</v>
      </c>
    </row>
    <row r="47" spans="1:40" s="122" customFormat="1">
      <c r="A47" s="4253"/>
      <c r="B47" s="314" t="s">
        <v>3880</v>
      </c>
      <c r="C47" s="351">
        <f t="shared" si="2"/>
        <v>324.85000000000002</v>
      </c>
      <c r="D47" s="351">
        <f t="shared" si="3"/>
        <v>0</v>
      </c>
      <c r="E47" s="165">
        <f>'1.SD Facility Based Annex'!AQ4</f>
        <v>0</v>
      </c>
      <c r="F47" s="165">
        <f>'1.SD Facility Based Annex'!AQ3</f>
        <v>0</v>
      </c>
      <c r="G47" s="166">
        <f>'2.SD Community Based Annex'!AQ4</f>
        <v>7.75</v>
      </c>
      <c r="H47" s="166">
        <f>'2.SD Community Based Annex'!AQ3</f>
        <v>0</v>
      </c>
      <c r="I47" s="165">
        <f>'3.Community Intervention Annexn'!AQ4</f>
        <v>31</v>
      </c>
      <c r="J47" s="165">
        <f>'3.Community Intervention Annexn'!AQ3</f>
        <v>0</v>
      </c>
      <c r="K47" s="289">
        <f>'5.Infrastructure Annex'!AQ4</f>
        <v>21</v>
      </c>
      <c r="L47" s="289">
        <f>'5.Infrastructure Annex'!AQ3</f>
        <v>0</v>
      </c>
      <c r="M47" s="289">
        <f>'7.Referral Transport Annex'!AQ4</f>
        <v>0</v>
      </c>
      <c r="N47" s="289">
        <f>'7.Referral Transport Annex'!AQ3</f>
        <v>0</v>
      </c>
      <c r="O47" s="289">
        <f>'11.IEC-BCC Annex'!AQ4</f>
        <v>9.5</v>
      </c>
      <c r="P47" s="289">
        <f>'11.IEC-BCC Annex'!AQ3</f>
        <v>0</v>
      </c>
      <c r="Q47" s="289">
        <f>'12.Printing Annex'!AQ4</f>
        <v>0</v>
      </c>
      <c r="R47" s="289">
        <f>'12.Printing Annex'!AQ3</f>
        <v>0</v>
      </c>
      <c r="S47" s="289">
        <f>'13.Quality Assurance Annex'!AQ4</f>
        <v>0</v>
      </c>
      <c r="T47" s="291">
        <f>'13.Quality Assurance Annex'!AQ3</f>
        <v>0</v>
      </c>
      <c r="U47" s="289">
        <f>'4.Untied grants Annex'!AQ4</f>
        <v>0</v>
      </c>
      <c r="V47" s="289">
        <f>'4.Untied grants Annex'!AQ3</f>
        <v>0</v>
      </c>
      <c r="W47" s="289">
        <f>'15.PPP Annex'!AQ4</f>
        <v>0</v>
      </c>
      <c r="X47" s="289">
        <f>'15.PPP Annex'!AQ3</f>
        <v>0</v>
      </c>
      <c r="Y47" s="289">
        <f>'6.Procurement Annex'!AQ4</f>
        <v>200.5</v>
      </c>
      <c r="Z47" s="289">
        <f>'6.Procurement Annex'!AQ3</f>
        <v>0</v>
      </c>
      <c r="AA47" s="289">
        <f>'14.Drug warehouse &amp;Logistic Anx'!AQ4</f>
        <v>0</v>
      </c>
      <c r="AB47" s="289">
        <f>'14.Drug warehouse &amp;Logistic Anx'!AQ3</f>
        <v>0</v>
      </c>
      <c r="AC47" s="289">
        <f>'8.Human Resources (SD) Annex'!AQ4</f>
        <v>0</v>
      </c>
      <c r="AD47" s="289">
        <f>'8.Human Resources (SD) Annex'!AQ3</f>
        <v>0</v>
      </c>
      <c r="AE47" s="291">
        <f>'9.Training Annex'!AQ4</f>
        <v>55.099999999999994</v>
      </c>
      <c r="AF47" s="291">
        <f>'9.Training Annex'!AQ3</f>
        <v>0</v>
      </c>
      <c r="AG47" s="289">
        <f>'16.PM Annex'!AQ4</f>
        <v>0</v>
      </c>
      <c r="AH47" s="289">
        <f>'16.PM Annex'!AQ3</f>
        <v>0</v>
      </c>
      <c r="AI47" s="289">
        <f>'10.Review Research &amp; Surveillen'!AQ4</f>
        <v>0</v>
      </c>
      <c r="AJ47" s="289">
        <f>'10.Review Research &amp; Surveillen'!AQ3</f>
        <v>0</v>
      </c>
      <c r="AK47" s="289">
        <f>'17.IT Initiatives_SD'!AQ4</f>
        <v>0</v>
      </c>
      <c r="AL47" s="289">
        <f>'17.IT Initiatives_SD'!AQ3</f>
        <v>0</v>
      </c>
      <c r="AM47" s="289">
        <f>'18.Innovation'!AQ4</f>
        <v>0</v>
      </c>
      <c r="AN47" s="289">
        <f>'18.Innovation'!AQ3</f>
        <v>0</v>
      </c>
    </row>
    <row r="48" spans="1:40" s="122" customFormat="1" ht="30">
      <c r="A48" s="4253"/>
      <c r="B48" s="314" t="s">
        <v>3878</v>
      </c>
      <c r="C48" s="351">
        <f t="shared" si="2"/>
        <v>15.750080000000001</v>
      </c>
      <c r="D48" s="351">
        <f t="shared" si="3"/>
        <v>0</v>
      </c>
      <c r="E48" s="165">
        <f>'1.SD Facility Based Annex'!AR4</f>
        <v>0</v>
      </c>
      <c r="F48" s="165">
        <f>'1.SD Facility Based Annex'!AR3</f>
        <v>0</v>
      </c>
      <c r="G48" s="166">
        <f>'2.SD Community Based Annex'!AR4</f>
        <v>0</v>
      </c>
      <c r="H48" s="166">
        <f>'2.SD Community Based Annex'!AR3</f>
        <v>0</v>
      </c>
      <c r="I48" s="165">
        <f>'3.Community Intervention Annexn'!AR4</f>
        <v>0</v>
      </c>
      <c r="J48" s="165">
        <f>'3.Community Intervention Annexn'!AR3</f>
        <v>0</v>
      </c>
      <c r="K48" s="289">
        <f>'5.Infrastructure Annex'!AR4</f>
        <v>0</v>
      </c>
      <c r="L48" s="289">
        <f>'5.Infrastructure Annex'!AR3</f>
        <v>0</v>
      </c>
      <c r="M48" s="289">
        <f>'7.Referral Transport Annex'!AR4</f>
        <v>0</v>
      </c>
      <c r="N48" s="289">
        <f>'7.Referral Transport Annex'!AR3</f>
        <v>0</v>
      </c>
      <c r="O48" s="289">
        <f>'11.IEC-BCC Annex'!AR4</f>
        <v>15.750080000000001</v>
      </c>
      <c r="P48" s="289">
        <f>'11.IEC-BCC Annex'!AR3</f>
        <v>0</v>
      </c>
      <c r="Q48" s="289">
        <f>'12.Printing Annex'!AR4</f>
        <v>0</v>
      </c>
      <c r="R48" s="289">
        <f>'12.Printing Annex'!AR3</f>
        <v>0</v>
      </c>
      <c r="S48" s="289">
        <f>'13.Quality Assurance Annex'!AR4</f>
        <v>0</v>
      </c>
      <c r="T48" s="291">
        <f>'13.Quality Assurance Annex'!AR3</f>
        <v>0</v>
      </c>
      <c r="U48" s="289">
        <f>'4.Untied grants Annex'!AR4</f>
        <v>0</v>
      </c>
      <c r="V48" s="289">
        <f>'4.Untied grants Annex'!AR3</f>
        <v>0</v>
      </c>
      <c r="W48" s="289">
        <f>'15.PPP Annex'!AR4</f>
        <v>0</v>
      </c>
      <c r="X48" s="289">
        <f>'15.PPP Annex'!AR3</f>
        <v>0</v>
      </c>
      <c r="Y48" s="289">
        <f>'6.Procurement Annex'!AR4</f>
        <v>0</v>
      </c>
      <c r="Z48" s="289">
        <f>'6.Procurement Annex'!AR3</f>
        <v>0</v>
      </c>
      <c r="AA48" s="289">
        <f>'14.Drug warehouse &amp;Logistic Anx'!AR4</f>
        <v>0</v>
      </c>
      <c r="AB48" s="289">
        <f>'14.Drug warehouse &amp;Logistic Anx'!AR3</f>
        <v>0</v>
      </c>
      <c r="AC48" s="289">
        <f>'8.Human Resources (SD) Annex'!AR4</f>
        <v>0</v>
      </c>
      <c r="AD48" s="289">
        <f>'8.Human Resources (SD) Annex'!AR3</f>
        <v>0</v>
      </c>
      <c r="AE48" s="291">
        <f>'9.Training Annex'!AR4</f>
        <v>0</v>
      </c>
      <c r="AF48" s="291">
        <f>'9.Training Annex'!AR3</f>
        <v>0</v>
      </c>
      <c r="AG48" s="289">
        <f>'16.PM Annex'!AR4</f>
        <v>0</v>
      </c>
      <c r="AH48" s="289">
        <f>'16.PM Annex'!AR3</f>
        <v>0</v>
      </c>
      <c r="AI48" s="289">
        <f>'10.Review Research &amp; Surveillen'!AR4</f>
        <v>0</v>
      </c>
      <c r="AJ48" s="289">
        <f>'10.Review Research &amp; Surveillen'!AR3</f>
        <v>0</v>
      </c>
      <c r="AK48" s="289">
        <f>'17.IT Initiatives_SD'!AR4</f>
        <v>0</v>
      </c>
      <c r="AL48" s="289">
        <f>'17.IT Initiatives_SD'!AR3</f>
        <v>0</v>
      </c>
      <c r="AM48" s="289">
        <f>'18.Innovation'!AR4</f>
        <v>0</v>
      </c>
      <c r="AN48" s="289">
        <f>'18.Innovation'!AR3</f>
        <v>0</v>
      </c>
    </row>
    <row r="49" spans="1:41" s="122" customFormat="1">
      <c r="A49" s="4253"/>
      <c r="B49" s="314" t="s">
        <v>3876</v>
      </c>
      <c r="C49" s="351">
        <f t="shared" si="2"/>
        <v>300.89999999999998</v>
      </c>
      <c r="D49" s="351">
        <f t="shared" si="3"/>
        <v>0</v>
      </c>
      <c r="E49" s="165">
        <f>'1.SD Facility Based Annex'!AS4</f>
        <v>0</v>
      </c>
      <c r="F49" s="165">
        <f>'1.SD Facility Based Annex'!AS3</f>
        <v>0</v>
      </c>
      <c r="G49" s="166">
        <f>'2.SD Community Based Annex'!AS4</f>
        <v>205.9</v>
      </c>
      <c r="H49" s="166">
        <f>'2.SD Community Based Annex'!AS3</f>
        <v>0</v>
      </c>
      <c r="I49" s="165">
        <f>'3.Community Intervention Annexn'!AS4</f>
        <v>9.5</v>
      </c>
      <c r="J49" s="165">
        <f>'3.Community Intervention Annexn'!AS3</f>
        <v>0</v>
      </c>
      <c r="K49" s="289">
        <f>'5.Infrastructure Annex'!AS4</f>
        <v>0</v>
      </c>
      <c r="L49" s="289">
        <f>'5.Infrastructure Annex'!AS3</f>
        <v>0</v>
      </c>
      <c r="M49" s="289">
        <f>'7.Referral Transport Annex'!AS4</f>
        <v>0</v>
      </c>
      <c r="N49" s="289">
        <f>'7.Referral Transport Annex'!AS3</f>
        <v>0</v>
      </c>
      <c r="O49" s="289">
        <f>'11.IEC-BCC Annex'!AS4</f>
        <v>12</v>
      </c>
      <c r="P49" s="289">
        <f>'11.IEC-BCC Annex'!AS3</f>
        <v>0</v>
      </c>
      <c r="Q49" s="289">
        <f>'12.Printing Annex'!AS4</f>
        <v>5</v>
      </c>
      <c r="R49" s="289">
        <f>'12.Printing Annex'!AS3</f>
        <v>0</v>
      </c>
      <c r="S49" s="289">
        <f>'13.Quality Assurance Annex'!AS4</f>
        <v>0</v>
      </c>
      <c r="T49" s="291">
        <f>'13.Quality Assurance Annex'!AS3</f>
        <v>0</v>
      </c>
      <c r="U49" s="289">
        <f>'4.Untied grants Annex'!AS4</f>
        <v>0</v>
      </c>
      <c r="V49" s="289">
        <f>'4.Untied grants Annex'!AS3</f>
        <v>0</v>
      </c>
      <c r="W49" s="289">
        <f>'15.PPP Annex'!AS4</f>
        <v>0</v>
      </c>
      <c r="X49" s="289">
        <f>'15.PPP Annex'!AS3</f>
        <v>0</v>
      </c>
      <c r="Y49" s="289">
        <f>'6.Procurement Annex'!AS4</f>
        <v>57</v>
      </c>
      <c r="Z49" s="289">
        <f>'6.Procurement Annex'!AS3</f>
        <v>0</v>
      </c>
      <c r="AA49" s="289">
        <f>'14.Drug warehouse &amp;Logistic Anx'!AS4</f>
        <v>0</v>
      </c>
      <c r="AB49" s="289">
        <f>'14.Drug warehouse &amp;Logistic Anx'!AS3</f>
        <v>0</v>
      </c>
      <c r="AC49" s="289">
        <f>'8.Human Resources (SD) Annex'!AS4</f>
        <v>0</v>
      </c>
      <c r="AD49" s="289">
        <f>'8.Human Resources (SD) Annex'!AS3</f>
        <v>0</v>
      </c>
      <c r="AE49" s="291">
        <f>'9.Training Annex'!AS4</f>
        <v>11.5</v>
      </c>
      <c r="AF49" s="291">
        <f>'9.Training Annex'!AS3</f>
        <v>0</v>
      </c>
      <c r="AG49" s="289">
        <f>'16.PM Annex'!AS4</f>
        <v>0</v>
      </c>
      <c r="AH49" s="289">
        <f>'16.PM Annex'!AS3</f>
        <v>0</v>
      </c>
      <c r="AI49" s="289">
        <f>'10.Review Research &amp; Surveillen'!AS4</f>
        <v>0</v>
      </c>
      <c r="AJ49" s="289">
        <f>'10.Review Research &amp; Surveillen'!AS3</f>
        <v>0</v>
      </c>
      <c r="AK49" s="289">
        <f>'17.IT Initiatives_SD'!AS4</f>
        <v>0</v>
      </c>
      <c r="AL49" s="289">
        <f>'17.IT Initiatives_SD'!AS3</f>
        <v>0</v>
      </c>
      <c r="AM49" s="289">
        <f>'18.Innovation'!AS4</f>
        <v>0</v>
      </c>
      <c r="AN49" s="289">
        <f>'18.Innovation'!AS3</f>
        <v>0</v>
      </c>
    </row>
    <row r="50" spans="1:41" s="122" customFormat="1" ht="45">
      <c r="A50" s="4253"/>
      <c r="B50" s="314" t="s">
        <v>3881</v>
      </c>
      <c r="C50" s="351">
        <f t="shared" si="2"/>
        <v>3527.8860580000005</v>
      </c>
      <c r="D50" s="351">
        <f t="shared" si="3"/>
        <v>0</v>
      </c>
      <c r="E50" s="165">
        <f>'1.SD Facility Based Annex'!AT4</f>
        <v>566.20000000000005</v>
      </c>
      <c r="F50" s="165">
        <f>'1.SD Facility Based Annex'!AT3</f>
        <v>0</v>
      </c>
      <c r="G50" s="166">
        <f>'2.SD Community Based Annex'!AT4</f>
        <v>0</v>
      </c>
      <c r="H50" s="166">
        <f>'2.SD Community Based Annex'!AT3</f>
        <v>0</v>
      </c>
      <c r="I50" s="165">
        <f>'3.Community Intervention Annexn'!AT4</f>
        <v>0</v>
      </c>
      <c r="J50" s="165">
        <f>'3.Community Intervention Annexn'!AT3</f>
        <v>0</v>
      </c>
      <c r="K50" s="289">
        <f>'5.Infrastructure Annex'!AT4</f>
        <v>0</v>
      </c>
      <c r="L50" s="289">
        <f>'5.Infrastructure Annex'!AT3</f>
        <v>0</v>
      </c>
      <c r="M50" s="289">
        <f>'7.Referral Transport Annex'!AT4</f>
        <v>0</v>
      </c>
      <c r="N50" s="289">
        <f>'7.Referral Transport Annex'!AT3</f>
        <v>0</v>
      </c>
      <c r="O50" s="289">
        <f>'11.IEC-BCC Annex'!AT4</f>
        <v>93.925000000000011</v>
      </c>
      <c r="P50" s="289">
        <f>'11.IEC-BCC Annex'!AT3</f>
        <v>0</v>
      </c>
      <c r="Q50" s="289">
        <f>'12.Printing Annex'!AT4</f>
        <v>254.02106000000001</v>
      </c>
      <c r="R50" s="289">
        <f>'12.Printing Annex'!AT3</f>
        <v>0</v>
      </c>
      <c r="S50" s="289">
        <f>'13.Quality Assurance Annex'!AT4</f>
        <v>0</v>
      </c>
      <c r="T50" s="291">
        <f>'13.Quality Assurance Annex'!AT3</f>
        <v>0</v>
      </c>
      <c r="U50" s="289">
        <f>'4.Untied grants Annex'!AT4</f>
        <v>0</v>
      </c>
      <c r="V50" s="289">
        <f>'4.Untied grants Annex'!AT3</f>
        <v>0</v>
      </c>
      <c r="W50" s="289">
        <f>'15.PPP Annex'!AT4</f>
        <v>21.599998000000003</v>
      </c>
      <c r="X50" s="289">
        <f>'15.PPP Annex'!AT3</f>
        <v>0</v>
      </c>
      <c r="Y50" s="289">
        <f>'6.Procurement Annex'!AT4</f>
        <v>1329.7800000000002</v>
      </c>
      <c r="Z50" s="289">
        <f>'6.Procurement Annex'!AT3</f>
        <v>0</v>
      </c>
      <c r="AA50" s="289">
        <f>'14.Drug warehouse &amp;Logistic Anx'!AT4</f>
        <v>0</v>
      </c>
      <c r="AB50" s="289">
        <f>'14.Drug warehouse &amp;Logistic Anx'!AT3</f>
        <v>0</v>
      </c>
      <c r="AC50" s="289">
        <f>'8.Human Resources (SD) Annex'!AT4</f>
        <v>0</v>
      </c>
      <c r="AD50" s="289">
        <f>'8.Human Resources (SD) Annex'!AT3</f>
        <v>0</v>
      </c>
      <c r="AE50" s="291">
        <f>'9.Training Annex'!AT4</f>
        <v>1262.3600000000001</v>
      </c>
      <c r="AF50" s="291">
        <f>'9.Training Annex'!AT3</f>
        <v>0</v>
      </c>
      <c r="AG50" s="289">
        <f>'16.PM Annex'!AT4</f>
        <v>0</v>
      </c>
      <c r="AH50" s="289">
        <f>'16.PM Annex'!AT3</f>
        <v>0</v>
      </c>
      <c r="AI50" s="289">
        <f>'10.Review Research &amp; Surveillen'!AT4</f>
        <v>0</v>
      </c>
      <c r="AJ50" s="289">
        <f>'10.Review Research &amp; Surveillen'!AT3</f>
        <v>0</v>
      </c>
      <c r="AK50" s="289">
        <f>'17.IT Initiatives_SD'!AT4</f>
        <v>0</v>
      </c>
      <c r="AL50" s="289">
        <f>'17.IT Initiatives_SD'!AT3</f>
        <v>0</v>
      </c>
      <c r="AM50" s="289">
        <f>'18.Innovation'!AT4</f>
        <v>0</v>
      </c>
      <c r="AN50" s="289">
        <f>'18.Innovation'!AT3</f>
        <v>0</v>
      </c>
    </row>
    <row r="51" spans="1:41" s="122" customFormat="1" ht="30">
      <c r="A51" s="4253"/>
      <c r="B51" s="314" t="s">
        <v>4683</v>
      </c>
      <c r="C51" s="351">
        <f t="shared" si="2"/>
        <v>3654.4724999999999</v>
      </c>
      <c r="D51" s="351">
        <f t="shared" si="3"/>
        <v>0</v>
      </c>
      <c r="E51" s="165">
        <f>'1.SD Facility Based Annex'!AU4</f>
        <v>3630.4724999999999</v>
      </c>
      <c r="F51" s="165">
        <f>'1.SD Facility Based Annex'!AU3</f>
        <v>0</v>
      </c>
      <c r="G51" s="166">
        <f>'2.SD Community Based Annex'!AU4</f>
        <v>0</v>
      </c>
      <c r="H51" s="166">
        <f>'2.SD Community Based Annex'!AU3</f>
        <v>0</v>
      </c>
      <c r="I51" s="165">
        <f>'3.Community Intervention Annexn'!AU4</f>
        <v>0</v>
      </c>
      <c r="J51" s="165">
        <f>'3.Community Intervention Annexn'!AU3</f>
        <v>0</v>
      </c>
      <c r="K51" s="289">
        <f>'5.Infrastructure Annex'!AU4</f>
        <v>0</v>
      </c>
      <c r="L51" s="289">
        <f>'5.Infrastructure Annex'!AU3</f>
        <v>0</v>
      </c>
      <c r="M51" s="289">
        <f>'7.Referral Transport Annex'!AU4</f>
        <v>0</v>
      </c>
      <c r="N51" s="289">
        <f>'7.Referral Transport Annex'!AU3</f>
        <v>0</v>
      </c>
      <c r="O51" s="289">
        <f>'11.IEC-BCC Annex'!AU4</f>
        <v>24</v>
      </c>
      <c r="P51" s="289">
        <f>'11.IEC-BCC Annex'!AU3</f>
        <v>0</v>
      </c>
      <c r="Q51" s="289">
        <f>'12.Printing Annex'!AU4</f>
        <v>0</v>
      </c>
      <c r="R51" s="289">
        <f>'12.Printing Annex'!AU3</f>
        <v>0</v>
      </c>
      <c r="S51" s="289">
        <f>'13.Quality Assurance Annex'!AU4</f>
        <v>0</v>
      </c>
      <c r="T51" s="291">
        <f>'13.Quality Assurance Annex'!AU3</f>
        <v>0</v>
      </c>
      <c r="U51" s="289">
        <f>'4.Untied grants Annex'!AU4</f>
        <v>0</v>
      </c>
      <c r="V51" s="289">
        <f>'4.Untied grants Annex'!AU3</f>
        <v>0</v>
      </c>
      <c r="W51" s="289">
        <f>'15.PPP Annex'!AU4</f>
        <v>0</v>
      </c>
      <c r="X51" s="289">
        <f>'15.PPP Annex'!AU3</f>
        <v>0</v>
      </c>
      <c r="Y51" s="289">
        <f>'6.Procurement Annex'!AU4</f>
        <v>0</v>
      </c>
      <c r="Z51" s="289">
        <f>'6.Procurement Annex'!AU3</f>
        <v>0</v>
      </c>
      <c r="AA51" s="289">
        <f>'14.Drug warehouse &amp;Logistic Anx'!AU4</f>
        <v>0</v>
      </c>
      <c r="AB51" s="289">
        <f>'14.Drug warehouse &amp;Logistic Anx'!AU3</f>
        <v>0</v>
      </c>
      <c r="AC51" s="289">
        <f>'8.Human Resources (SD) Annex'!AU4</f>
        <v>0</v>
      </c>
      <c r="AD51" s="289">
        <f>'8.Human Resources (SD) Annex'!AU3</f>
        <v>0</v>
      </c>
      <c r="AE51" s="291">
        <f>'9.Training Annex'!AU4</f>
        <v>0</v>
      </c>
      <c r="AF51" s="291">
        <f>'9.Training Annex'!AU3</f>
        <v>0</v>
      </c>
      <c r="AG51" s="289">
        <f>'16.PM Annex'!AU4</f>
        <v>0</v>
      </c>
      <c r="AH51" s="289">
        <f>'16.PM Annex'!AU3</f>
        <v>0</v>
      </c>
      <c r="AI51" s="289">
        <f>'10.Review Research &amp; Surveillen'!AU4</f>
        <v>0</v>
      </c>
      <c r="AJ51" s="289">
        <f>'10.Review Research &amp; Surveillen'!AU3</f>
        <v>0</v>
      </c>
      <c r="AK51" s="289">
        <f>'17.IT Initiatives_SD'!AU4</f>
        <v>0</v>
      </c>
      <c r="AL51" s="289">
        <f>'17.IT Initiatives_SD'!AU3</f>
        <v>0</v>
      </c>
      <c r="AM51" s="289">
        <f>'18.Innovation'!AU4</f>
        <v>0</v>
      </c>
      <c r="AN51" s="289">
        <f>'18.Innovation'!AU3</f>
        <v>0</v>
      </c>
    </row>
    <row r="52" spans="1:41" s="122" customFormat="1" ht="30">
      <c r="A52" s="4253"/>
      <c r="B52" s="314" t="s">
        <v>4135</v>
      </c>
      <c r="C52" s="351">
        <f t="shared" si="2"/>
        <v>8.5</v>
      </c>
      <c r="D52" s="351">
        <f t="shared" si="3"/>
        <v>0</v>
      </c>
      <c r="E52" s="165">
        <f>'1.SD Facility Based Annex'!AV4</f>
        <v>0</v>
      </c>
      <c r="F52" s="165">
        <f>'1.SD Facility Based Annex'!AV3</f>
        <v>0</v>
      </c>
      <c r="G52" s="166">
        <f>'2.SD Community Based Annex'!AV4</f>
        <v>0</v>
      </c>
      <c r="H52" s="166">
        <f>'2.SD Community Based Annex'!AV3</f>
        <v>0</v>
      </c>
      <c r="I52" s="165">
        <f>'3.Community Intervention Annexn'!AV4</f>
        <v>0</v>
      </c>
      <c r="J52" s="165">
        <f>'3.Community Intervention Annexn'!AV3</f>
        <v>0</v>
      </c>
      <c r="K52" s="289">
        <f>'5.Infrastructure Annex'!AV4</f>
        <v>0</v>
      </c>
      <c r="L52" s="289">
        <f>'5.Infrastructure Annex'!AV3</f>
        <v>0</v>
      </c>
      <c r="M52" s="289">
        <f>'7.Referral Transport Annex'!AV4</f>
        <v>0</v>
      </c>
      <c r="N52" s="289">
        <f>'7.Referral Transport Annex'!AV3</f>
        <v>0</v>
      </c>
      <c r="O52" s="289">
        <f>'11.IEC-BCC Annex'!AV4</f>
        <v>4.1000000000000005</v>
      </c>
      <c r="P52" s="289">
        <f>'11.IEC-BCC Annex'!AV3</f>
        <v>0</v>
      </c>
      <c r="Q52" s="289">
        <f>'12.Printing Annex'!AV4</f>
        <v>0</v>
      </c>
      <c r="R52" s="289">
        <f>'12.Printing Annex'!AV3</f>
        <v>0</v>
      </c>
      <c r="S52" s="289">
        <f>'13.Quality Assurance Annex'!AV4</f>
        <v>0</v>
      </c>
      <c r="T52" s="291">
        <f>'13.Quality Assurance Annex'!AV3</f>
        <v>0</v>
      </c>
      <c r="U52" s="289">
        <f>'4.Untied grants Annex'!AV4</f>
        <v>0</v>
      </c>
      <c r="V52" s="289">
        <f>'4.Untied grants Annex'!AV3</f>
        <v>0</v>
      </c>
      <c r="W52" s="289">
        <f>'15.PPP Annex'!AV4</f>
        <v>0</v>
      </c>
      <c r="X52" s="289">
        <f>'15.PPP Annex'!AV3</f>
        <v>0</v>
      </c>
      <c r="Y52" s="289">
        <f>'6.Procurement Annex'!AV4</f>
        <v>0</v>
      </c>
      <c r="Z52" s="289">
        <f>'6.Procurement Annex'!AV3</f>
        <v>0</v>
      </c>
      <c r="AA52" s="289">
        <f>'14.Drug warehouse &amp;Logistic Anx'!AV4</f>
        <v>0</v>
      </c>
      <c r="AB52" s="289">
        <f>'14.Drug warehouse &amp;Logistic Anx'!AV3</f>
        <v>0</v>
      </c>
      <c r="AC52" s="289">
        <f>'8.Human Resources (SD) Annex'!AV4</f>
        <v>0</v>
      </c>
      <c r="AD52" s="289">
        <f>'8.Human Resources (SD) Annex'!AV3</f>
        <v>0</v>
      </c>
      <c r="AE52" s="291">
        <f>'9.Training Annex'!AV4</f>
        <v>2.4000000000000004</v>
      </c>
      <c r="AF52" s="291">
        <f>'9.Training Annex'!AV3</f>
        <v>0</v>
      </c>
      <c r="AG52" s="289">
        <f>'16.PM Annex'!AV4</f>
        <v>0</v>
      </c>
      <c r="AH52" s="289">
        <f>'16.PM Annex'!AV3</f>
        <v>0</v>
      </c>
      <c r="AI52" s="289">
        <f>'10.Review Research &amp; Surveillen'!AV4</f>
        <v>2</v>
      </c>
      <c r="AJ52" s="289">
        <f>'10.Review Research &amp; Surveillen'!AV3</f>
        <v>0</v>
      </c>
      <c r="AK52" s="289">
        <f>'17.IT Initiatives_SD'!AV4</f>
        <v>0</v>
      </c>
      <c r="AL52" s="289">
        <f>'17.IT Initiatives_SD'!AV3</f>
        <v>0</v>
      </c>
      <c r="AM52" s="289">
        <f>'18.Innovation'!AV4</f>
        <v>0</v>
      </c>
      <c r="AN52" s="289">
        <f>'18.Innovation'!AV3</f>
        <v>0</v>
      </c>
      <c r="AO52" s="65"/>
    </row>
    <row r="53" spans="1:41">
      <c r="A53" s="4253"/>
      <c r="B53" s="314" t="s">
        <v>3871</v>
      </c>
      <c r="C53" s="351">
        <f t="shared" si="2"/>
        <v>333.54599999999999</v>
      </c>
      <c r="D53" s="351">
        <f t="shared" si="3"/>
        <v>0</v>
      </c>
      <c r="E53" s="165">
        <f>'1.SD Facility Based Annex'!AW4</f>
        <v>0</v>
      </c>
      <c r="F53" s="165">
        <f>'1.SD Facility Based Annex'!AW3</f>
        <v>0</v>
      </c>
      <c r="G53" s="166">
        <f>'2.SD Community Based Annex'!AW4</f>
        <v>0</v>
      </c>
      <c r="H53" s="166">
        <f>'2.SD Community Based Annex'!AW3</f>
        <v>0</v>
      </c>
      <c r="I53" s="165">
        <f>'3.Community Intervention Annexn'!AW4</f>
        <v>0</v>
      </c>
      <c r="J53" s="165">
        <f>'3.Community Intervention Annexn'!AW3</f>
        <v>0</v>
      </c>
      <c r="K53" s="289">
        <f>'5.Infrastructure Annex'!AW4</f>
        <v>55.5</v>
      </c>
      <c r="L53" s="289">
        <f>'5.Infrastructure Annex'!AW3</f>
        <v>0</v>
      </c>
      <c r="M53" s="289">
        <f>'7.Referral Transport Annex'!AW4</f>
        <v>0</v>
      </c>
      <c r="N53" s="289">
        <f>'7.Referral Transport Annex'!AW3</f>
        <v>0</v>
      </c>
      <c r="O53" s="289">
        <f>'11.IEC-BCC Annex'!AW4</f>
        <v>7.0459999999999994</v>
      </c>
      <c r="P53" s="289">
        <f>'11.IEC-BCC Annex'!AW3</f>
        <v>0</v>
      </c>
      <c r="Q53" s="289">
        <f>'12.Printing Annex'!AW4</f>
        <v>0</v>
      </c>
      <c r="R53" s="289">
        <f>'12.Printing Annex'!AW3</f>
        <v>0</v>
      </c>
      <c r="S53" s="289">
        <f>'13.Quality Assurance Annex'!AW4</f>
        <v>0</v>
      </c>
      <c r="T53" s="291">
        <f>'13.Quality Assurance Annex'!AW3</f>
        <v>0</v>
      </c>
      <c r="U53" s="289">
        <f>'4.Untied grants Annex'!AW4</f>
        <v>0</v>
      </c>
      <c r="V53" s="289">
        <f>'4.Untied grants Annex'!AW3</f>
        <v>0</v>
      </c>
      <c r="W53" s="289">
        <f>'15.PPP Annex'!AW4</f>
        <v>0</v>
      </c>
      <c r="X53" s="289">
        <f>'15.PPP Annex'!AW3</f>
        <v>0</v>
      </c>
      <c r="Y53" s="289">
        <f>'6.Procurement Annex'!AW4</f>
        <v>271</v>
      </c>
      <c r="Z53" s="289">
        <f>'6.Procurement Annex'!AW3</f>
        <v>0</v>
      </c>
      <c r="AA53" s="289">
        <f>'14.Drug warehouse &amp;Logistic Anx'!AW4</f>
        <v>0</v>
      </c>
      <c r="AB53" s="289">
        <f>'14.Drug warehouse &amp;Logistic Anx'!AW3</f>
        <v>0</v>
      </c>
      <c r="AC53" s="289">
        <f>'8.Human Resources (SD) Annex'!AW4</f>
        <v>0</v>
      </c>
      <c r="AD53" s="289">
        <f>'8.Human Resources (SD) Annex'!AW3</f>
        <v>0</v>
      </c>
      <c r="AE53" s="291">
        <f>'9.Training Annex'!AW4</f>
        <v>0</v>
      </c>
      <c r="AF53" s="291">
        <f>'9.Training Annex'!AW3</f>
        <v>0</v>
      </c>
      <c r="AG53" s="289">
        <f>'16.PM Annex'!AW4</f>
        <v>0</v>
      </c>
      <c r="AH53" s="289">
        <f>'16.PM Annex'!AW3</f>
        <v>0</v>
      </c>
      <c r="AI53" s="289">
        <f>'10.Review Research &amp; Surveillen'!AW4</f>
        <v>0</v>
      </c>
      <c r="AJ53" s="289">
        <f>'10.Review Research &amp; Surveillen'!AW3</f>
        <v>0</v>
      </c>
      <c r="AK53" s="289">
        <f>'17.IT Initiatives_SD'!AW4</f>
        <v>0</v>
      </c>
      <c r="AL53" s="289">
        <f>'17.IT Initiatives_SD'!AW3</f>
        <v>0</v>
      </c>
      <c r="AM53" s="289">
        <f>'18.Innovation'!AW4</f>
        <v>0</v>
      </c>
      <c r="AN53" s="289">
        <f>'18.Innovation'!AW3</f>
        <v>0</v>
      </c>
    </row>
    <row r="54" spans="1:41">
      <c r="A54" s="4253"/>
      <c r="B54" s="314" t="s">
        <v>4073</v>
      </c>
      <c r="C54" s="351">
        <f t="shared" si="2"/>
        <v>0</v>
      </c>
      <c r="D54" s="351">
        <f t="shared" si="3"/>
        <v>0</v>
      </c>
      <c r="E54" s="165">
        <f>'1.SD Facility Based Annex'!AX4</f>
        <v>0</v>
      </c>
      <c r="F54" s="165">
        <f>'1.SD Facility Based Annex'!AX3</f>
        <v>0</v>
      </c>
      <c r="G54" s="166">
        <f>'2.SD Community Based Annex'!AX4</f>
        <v>0</v>
      </c>
      <c r="H54" s="166">
        <f>'2.SD Community Based Annex'!AX3</f>
        <v>0</v>
      </c>
      <c r="I54" s="165">
        <f>'3.Community Intervention Annexn'!AX4</f>
        <v>0</v>
      </c>
      <c r="J54" s="165">
        <f>'3.Community Intervention Annexn'!AX3</f>
        <v>0</v>
      </c>
      <c r="K54" s="289">
        <f>'5.Infrastructure Annex'!AX4</f>
        <v>0</v>
      </c>
      <c r="L54" s="289">
        <f>'5.Infrastructure Annex'!AX3</f>
        <v>0</v>
      </c>
      <c r="M54" s="289">
        <f>'7.Referral Transport Annex'!AX4</f>
        <v>0</v>
      </c>
      <c r="N54" s="289">
        <f>'7.Referral Transport Annex'!AX3</f>
        <v>0</v>
      </c>
      <c r="O54" s="289">
        <f>'11.IEC-BCC Annex'!AX4</f>
        <v>0</v>
      </c>
      <c r="P54" s="289">
        <f>'11.IEC-BCC Annex'!AX3</f>
        <v>0</v>
      </c>
      <c r="Q54" s="289">
        <f>'12.Printing Annex'!AX4</f>
        <v>0</v>
      </c>
      <c r="R54" s="289">
        <f>'12.Printing Annex'!AX3</f>
        <v>0</v>
      </c>
      <c r="S54" s="289">
        <f>'13.Quality Assurance Annex'!AX4</f>
        <v>0</v>
      </c>
      <c r="T54" s="291">
        <f>'13.Quality Assurance Annex'!AX3</f>
        <v>0</v>
      </c>
      <c r="U54" s="289">
        <f>'4.Untied grants Annex'!AX4</f>
        <v>0</v>
      </c>
      <c r="V54" s="289">
        <f>'4.Untied grants Annex'!AX3</f>
        <v>0</v>
      </c>
      <c r="W54" s="289">
        <f>'15.PPP Annex'!AX4</f>
        <v>0</v>
      </c>
      <c r="X54" s="289">
        <f>'15.PPP Annex'!AX3</f>
        <v>0</v>
      </c>
      <c r="Y54" s="289">
        <f>'6.Procurement Annex'!AX4</f>
        <v>0</v>
      </c>
      <c r="Z54" s="289">
        <f>'6.Procurement Annex'!AX3</f>
        <v>0</v>
      </c>
      <c r="AA54" s="289">
        <f>'14.Drug warehouse &amp;Logistic Anx'!AX4</f>
        <v>0</v>
      </c>
      <c r="AB54" s="289">
        <f>'14.Drug warehouse &amp;Logistic Anx'!AX3</f>
        <v>0</v>
      </c>
      <c r="AC54" s="289">
        <f>'8.Human Resources (SD) Annex'!AX4</f>
        <v>0</v>
      </c>
      <c r="AD54" s="289">
        <f>'8.Human Resources (SD) Annex'!AX3</f>
        <v>0</v>
      </c>
      <c r="AE54" s="291">
        <f>'9.Training Annex'!AX4</f>
        <v>0</v>
      </c>
      <c r="AF54" s="291">
        <f>'9.Training Annex'!AX3</f>
        <v>0</v>
      </c>
      <c r="AG54" s="289">
        <f>'16.PM Annex'!AX4</f>
        <v>0</v>
      </c>
      <c r="AH54" s="289">
        <f>'16.PM Annex'!AX3</f>
        <v>0</v>
      </c>
      <c r="AI54" s="289">
        <f>'10.Review Research &amp; Surveillen'!AX4</f>
        <v>0</v>
      </c>
      <c r="AJ54" s="289">
        <f>'10.Review Research &amp; Surveillen'!AX3</f>
        <v>0</v>
      </c>
      <c r="AK54" s="289">
        <f>'17.IT Initiatives_SD'!AX4</f>
        <v>0</v>
      </c>
      <c r="AL54" s="289">
        <f>'17.IT Initiatives_SD'!AX3</f>
        <v>0</v>
      </c>
      <c r="AM54" s="289">
        <f>'18.Innovation'!AX4</f>
        <v>0</v>
      </c>
      <c r="AN54" s="289">
        <f>'18.Innovation'!AX3</f>
        <v>0</v>
      </c>
    </row>
    <row r="55" spans="1:41" ht="30">
      <c r="A55" s="4253"/>
      <c r="B55" s="314" t="s">
        <v>4684</v>
      </c>
      <c r="C55" s="351">
        <f t="shared" si="2"/>
        <v>71.3</v>
      </c>
      <c r="D55" s="351">
        <f t="shared" si="3"/>
        <v>0</v>
      </c>
      <c r="E55" s="165">
        <f>'1.SD Facility Based Annex'!AY4</f>
        <v>60.5</v>
      </c>
      <c r="F55" s="165">
        <f>'1.SD Facility Based Annex'!AY3</f>
        <v>0</v>
      </c>
      <c r="G55" s="166">
        <f>'2.SD Community Based Annex'!AY4</f>
        <v>0</v>
      </c>
      <c r="H55" s="166">
        <f>'2.SD Community Based Annex'!AY3</f>
        <v>0</v>
      </c>
      <c r="I55" s="165">
        <f>'3.Community Intervention Annexn'!AY4</f>
        <v>0</v>
      </c>
      <c r="J55" s="165">
        <f>'3.Community Intervention Annexn'!AY3</f>
        <v>0</v>
      </c>
      <c r="K55" s="289">
        <f>'5.Infrastructure Annex'!AY4</f>
        <v>0</v>
      </c>
      <c r="L55" s="289">
        <f>'5.Infrastructure Annex'!AY3</f>
        <v>0</v>
      </c>
      <c r="M55" s="289">
        <f>'7.Referral Transport Annex'!AY4</f>
        <v>0</v>
      </c>
      <c r="N55" s="289">
        <f>'7.Referral Transport Annex'!AY3</f>
        <v>0</v>
      </c>
      <c r="O55" s="289">
        <f>'11.IEC-BCC Annex'!AY4</f>
        <v>7.5</v>
      </c>
      <c r="P55" s="289">
        <f>'11.IEC-BCC Annex'!AY3</f>
        <v>0</v>
      </c>
      <c r="Q55" s="289">
        <f>'12.Printing Annex'!AY4</f>
        <v>0</v>
      </c>
      <c r="R55" s="289">
        <f>'12.Printing Annex'!AY3</f>
        <v>0</v>
      </c>
      <c r="S55" s="289">
        <f>'13.Quality Assurance Annex'!AY4</f>
        <v>0</v>
      </c>
      <c r="T55" s="291">
        <f>'13.Quality Assurance Annex'!AY3</f>
        <v>0</v>
      </c>
      <c r="U55" s="289">
        <f>'4.Untied grants Annex'!AY4</f>
        <v>0</v>
      </c>
      <c r="V55" s="289">
        <f>'4.Untied grants Annex'!AY3</f>
        <v>0</v>
      </c>
      <c r="W55" s="289">
        <f>'15.PPP Annex'!AY4</f>
        <v>0</v>
      </c>
      <c r="X55" s="289">
        <f>'15.PPP Annex'!AY3</f>
        <v>0</v>
      </c>
      <c r="Y55" s="289">
        <f>'6.Procurement Annex'!AY4</f>
        <v>0</v>
      </c>
      <c r="Z55" s="289">
        <f>'6.Procurement Annex'!AY3</f>
        <v>0</v>
      </c>
      <c r="AA55" s="289">
        <f>'14.Drug warehouse &amp;Logistic Anx'!AY4</f>
        <v>0</v>
      </c>
      <c r="AB55" s="289">
        <f>'14.Drug warehouse &amp;Logistic Anx'!AY3</f>
        <v>0</v>
      </c>
      <c r="AC55" s="289">
        <f>'8.Human Resources (SD) Annex'!AY4</f>
        <v>0</v>
      </c>
      <c r="AD55" s="289">
        <f>'8.Human Resources (SD) Annex'!AY3</f>
        <v>0</v>
      </c>
      <c r="AE55" s="291">
        <f>'9.Training Annex'!AY4</f>
        <v>3.3</v>
      </c>
      <c r="AF55" s="291">
        <f>'9.Training Annex'!AY3</f>
        <v>0</v>
      </c>
      <c r="AG55" s="289">
        <f>'16.PM Annex'!AY4</f>
        <v>0</v>
      </c>
      <c r="AH55" s="289">
        <f>'16.PM Annex'!AY3</f>
        <v>0</v>
      </c>
      <c r="AI55" s="289">
        <f>'10.Review Research &amp; Surveillen'!AY4</f>
        <v>0</v>
      </c>
      <c r="AJ55" s="289">
        <f>'10.Review Research &amp; Surveillen'!AY3</f>
        <v>0</v>
      </c>
      <c r="AK55" s="289">
        <f>'17.IT Initiatives_SD'!AY4</f>
        <v>0</v>
      </c>
      <c r="AL55" s="289">
        <f>'17.IT Initiatives_SD'!AY3</f>
        <v>0</v>
      </c>
      <c r="AM55" s="289">
        <f>'18.Innovation'!AY4</f>
        <v>0</v>
      </c>
      <c r="AN55" s="289">
        <f>'18.Innovation'!AY3</f>
        <v>0</v>
      </c>
    </row>
    <row r="56" spans="1:41" ht="30">
      <c r="A56" s="4253"/>
      <c r="B56" s="314" t="s">
        <v>4685</v>
      </c>
      <c r="C56" s="351">
        <f t="shared" si="2"/>
        <v>385.45249999999999</v>
      </c>
      <c r="D56" s="351">
        <f t="shared" si="3"/>
        <v>0</v>
      </c>
      <c r="E56" s="165">
        <f>'1.SD Facility Based Annex'!AZ4</f>
        <v>0</v>
      </c>
      <c r="F56" s="165">
        <f>'1.SD Facility Based Annex'!AZ3</f>
        <v>0</v>
      </c>
      <c r="G56" s="166">
        <f>'2.SD Community Based Annex'!AZ4</f>
        <v>0</v>
      </c>
      <c r="H56" s="166">
        <f>'2.SD Community Based Annex'!AZ3</f>
        <v>0</v>
      </c>
      <c r="I56" s="165">
        <f>'3.Community Intervention Annexn'!AZ4</f>
        <v>0</v>
      </c>
      <c r="J56" s="165">
        <f>'3.Community Intervention Annexn'!AZ3</f>
        <v>0</v>
      </c>
      <c r="K56" s="289">
        <f>'5.Infrastructure Annex'!AZ4</f>
        <v>0</v>
      </c>
      <c r="L56" s="289">
        <f>'5.Infrastructure Annex'!AZ3</f>
        <v>0</v>
      </c>
      <c r="M56" s="289">
        <f>'7.Referral Transport Annex'!AZ4</f>
        <v>0</v>
      </c>
      <c r="N56" s="289">
        <f>'7.Referral Transport Annex'!AZ3</f>
        <v>0</v>
      </c>
      <c r="O56" s="289">
        <f>'11.IEC-BCC Annex'!AZ4</f>
        <v>10</v>
      </c>
      <c r="P56" s="289">
        <f>'11.IEC-BCC Annex'!AZ3</f>
        <v>0</v>
      </c>
      <c r="Q56" s="289">
        <f>'12.Printing Annex'!AZ4</f>
        <v>0</v>
      </c>
      <c r="R56" s="289">
        <f>'12.Printing Annex'!AZ3</f>
        <v>0</v>
      </c>
      <c r="S56" s="289">
        <f>'13.Quality Assurance Annex'!AZ4</f>
        <v>0</v>
      </c>
      <c r="T56" s="291">
        <f>'13.Quality Assurance Annex'!AZ3</f>
        <v>0</v>
      </c>
      <c r="U56" s="289">
        <f>'4.Untied grants Annex'!AZ4</f>
        <v>0</v>
      </c>
      <c r="V56" s="289">
        <f>'4.Untied grants Annex'!AZ3</f>
        <v>0</v>
      </c>
      <c r="W56" s="289">
        <f>'15.PPP Annex'!AZ4</f>
        <v>0</v>
      </c>
      <c r="X56" s="289">
        <f>'15.PPP Annex'!AZ3</f>
        <v>0</v>
      </c>
      <c r="Y56" s="289">
        <f>'6.Procurement Annex'!AZ4</f>
        <v>342.95256000000001</v>
      </c>
      <c r="Z56" s="289">
        <f>'6.Procurement Annex'!AZ3</f>
        <v>0</v>
      </c>
      <c r="AA56" s="289">
        <f>'14.Drug warehouse &amp;Logistic Anx'!AZ4</f>
        <v>0</v>
      </c>
      <c r="AB56" s="289">
        <f>'14.Drug warehouse &amp;Logistic Anx'!AZ3</f>
        <v>0</v>
      </c>
      <c r="AC56" s="289">
        <f>'8.Human Resources (SD) Annex'!AZ4</f>
        <v>0</v>
      </c>
      <c r="AD56" s="289">
        <f>'8.Human Resources (SD) Annex'!AZ3</f>
        <v>0</v>
      </c>
      <c r="AE56" s="291">
        <f>'9.Training Annex'!AZ4</f>
        <v>32.499940000000002</v>
      </c>
      <c r="AF56" s="291">
        <f>'9.Training Annex'!AZ3</f>
        <v>0</v>
      </c>
      <c r="AG56" s="289">
        <f>'16.PM Annex'!AZ4</f>
        <v>0</v>
      </c>
      <c r="AH56" s="289">
        <f>'16.PM Annex'!AZ3</f>
        <v>0</v>
      </c>
      <c r="AI56" s="289">
        <f>'10.Review Research &amp; Surveillen'!AZ4</f>
        <v>0</v>
      </c>
      <c r="AJ56" s="289">
        <f>'10.Review Research &amp; Surveillen'!AZ3</f>
        <v>0</v>
      </c>
      <c r="AK56" s="289">
        <f>'17.IT Initiatives_SD'!AZ4</f>
        <v>0</v>
      </c>
      <c r="AL56" s="289">
        <f>'17.IT Initiatives_SD'!AZ3</f>
        <v>0</v>
      </c>
      <c r="AM56" s="289">
        <f>'18.Innovation'!AZ4</f>
        <v>0</v>
      </c>
      <c r="AN56" s="289">
        <f>'18.Innovation'!AZ3</f>
        <v>0</v>
      </c>
    </row>
    <row r="57" spans="1:41" ht="30">
      <c r="A57" s="4253"/>
      <c r="B57" s="314" t="s">
        <v>4686</v>
      </c>
      <c r="C57" s="351">
        <f t="shared" si="2"/>
        <v>0</v>
      </c>
      <c r="D57" s="351">
        <f t="shared" si="3"/>
        <v>0</v>
      </c>
      <c r="E57" s="167">
        <f>'1.SD Facility Based Annex'!BA4</f>
        <v>0</v>
      </c>
      <c r="F57" s="165">
        <f>'1.SD Facility Based Annex'!BA3</f>
        <v>0</v>
      </c>
      <c r="G57" s="166">
        <f>'2.SD Community Based Annex'!BA4</f>
        <v>0</v>
      </c>
      <c r="H57" s="166">
        <f>'2.SD Community Based Annex'!BA3</f>
        <v>0</v>
      </c>
      <c r="I57" s="165">
        <f>'3.Community Intervention Annexn'!BA4</f>
        <v>0</v>
      </c>
      <c r="J57" s="165">
        <f>'3.Community Intervention Annexn'!BA3</f>
        <v>0</v>
      </c>
      <c r="K57" s="289">
        <f>'5.Infrastructure Annex'!BA4</f>
        <v>0</v>
      </c>
      <c r="L57" s="289">
        <f>'5.Infrastructure Annex'!BA3</f>
        <v>0</v>
      </c>
      <c r="M57" s="289">
        <f>'7.Referral Transport Annex'!BA4</f>
        <v>0</v>
      </c>
      <c r="N57" s="289">
        <f>'7.Referral Transport Annex'!BA3</f>
        <v>0</v>
      </c>
      <c r="O57" s="289">
        <f>'11.IEC-BCC Annex'!BA4</f>
        <v>0</v>
      </c>
      <c r="P57" s="289">
        <f>'11.IEC-BCC Annex'!BA3</f>
        <v>0</v>
      </c>
      <c r="Q57" s="289">
        <f>'12.Printing Annex'!BA4</f>
        <v>0</v>
      </c>
      <c r="R57" s="289">
        <f>'12.Printing Annex'!BA3</f>
        <v>0</v>
      </c>
      <c r="S57" s="289">
        <f>'13.Quality Assurance Annex'!BA4</f>
        <v>0</v>
      </c>
      <c r="T57" s="291">
        <f>'13.Quality Assurance Annex'!BA3</f>
        <v>0</v>
      </c>
      <c r="U57" s="289">
        <f>'4.Untied grants Annex'!BA4</f>
        <v>0</v>
      </c>
      <c r="V57" s="289">
        <f>'4.Untied grants Annex'!BA3</f>
        <v>0</v>
      </c>
      <c r="W57" s="289">
        <f>'15.PPP Annex'!BA4</f>
        <v>0</v>
      </c>
      <c r="X57" s="289">
        <f>'15.PPP Annex'!BA3</f>
        <v>0</v>
      </c>
      <c r="Y57" s="289">
        <f>'6.Procurement Annex'!BA4</f>
        <v>0</v>
      </c>
      <c r="Z57" s="289">
        <f>'6.Procurement Annex'!BA3</f>
        <v>0</v>
      </c>
      <c r="AA57" s="289">
        <f>'14.Drug warehouse &amp;Logistic Anx'!BA4</f>
        <v>0</v>
      </c>
      <c r="AB57" s="289">
        <f>'14.Drug warehouse &amp;Logistic Anx'!BA3</f>
        <v>0</v>
      </c>
      <c r="AC57" s="289">
        <f>'8.Human Resources (SD) Annex'!BA4</f>
        <v>0</v>
      </c>
      <c r="AD57" s="289">
        <f>'8.Human Resources (SD) Annex'!BA3</f>
        <v>0</v>
      </c>
      <c r="AE57" s="291">
        <f>'9.Training Annex'!BA4</f>
        <v>0</v>
      </c>
      <c r="AF57" s="291">
        <f>'9.Training Annex'!BA3</f>
        <v>0</v>
      </c>
      <c r="AG57" s="289">
        <f>'16.PM Annex'!BA4</f>
        <v>0</v>
      </c>
      <c r="AH57" s="289">
        <f>'16.PM Annex'!BA3</f>
        <v>0</v>
      </c>
      <c r="AI57" s="289">
        <f>'10.Review Research &amp; Surveillen'!BA4</f>
        <v>0</v>
      </c>
      <c r="AJ57" s="289">
        <f>'10.Review Research &amp; Surveillen'!BA3</f>
        <v>0</v>
      </c>
      <c r="AK57" s="289">
        <f>'17.IT Initiatives_SD'!BA4</f>
        <v>0</v>
      </c>
      <c r="AL57" s="289">
        <f>'17.IT Initiatives_SD'!BA3</f>
        <v>0</v>
      </c>
      <c r="AM57" s="289">
        <f>'18.Innovation'!BA4</f>
        <v>0</v>
      </c>
      <c r="AN57" s="289">
        <f>'18.Innovation'!BA3</f>
        <v>0</v>
      </c>
    </row>
    <row r="58" spans="1:41">
      <c r="A58" s="4253"/>
      <c r="B58" s="314" t="s">
        <v>5271</v>
      </c>
      <c r="C58" s="351">
        <f t="shared" si="2"/>
        <v>925.38997999999992</v>
      </c>
      <c r="D58" s="351">
        <f t="shared" si="3"/>
        <v>0</v>
      </c>
      <c r="E58" s="167"/>
      <c r="F58" s="165"/>
      <c r="G58" s="166"/>
      <c r="H58" s="166"/>
      <c r="I58" s="165"/>
      <c r="J58" s="165"/>
      <c r="K58" s="289"/>
      <c r="L58" s="289"/>
      <c r="M58" s="289"/>
      <c r="N58" s="289"/>
      <c r="O58" s="289"/>
      <c r="P58" s="289"/>
      <c r="Q58" s="289"/>
      <c r="R58" s="289"/>
      <c r="S58" s="289"/>
      <c r="T58" s="291"/>
      <c r="U58" s="289"/>
      <c r="V58" s="289"/>
      <c r="W58" s="297">
        <f>'15.PPP Annex'!BD4</f>
        <v>0</v>
      </c>
      <c r="X58" s="297">
        <f>'15.PPP Annex'!BD3</f>
        <v>0</v>
      </c>
      <c r="Y58" s="289"/>
      <c r="Z58" s="289"/>
      <c r="AA58" s="289"/>
      <c r="AB58" s="289"/>
      <c r="AC58" s="289"/>
      <c r="AD58" s="289"/>
      <c r="AE58" s="291"/>
      <c r="AF58" s="291"/>
      <c r="AG58" s="297">
        <f>'16.PM Annex'!BD4</f>
        <v>704.38997999999992</v>
      </c>
      <c r="AH58" s="297">
        <f>'16.PM Annex'!BD3</f>
        <v>0</v>
      </c>
      <c r="AI58" s="289"/>
      <c r="AJ58" s="289"/>
      <c r="AK58" s="289"/>
      <c r="AL58" s="289"/>
      <c r="AM58" s="297">
        <f>'18.Innovation'!BD4</f>
        <v>221</v>
      </c>
      <c r="AN58" s="297">
        <f>'18.Innovation'!BD3</f>
        <v>0</v>
      </c>
    </row>
    <row r="59" spans="1:41">
      <c r="A59" s="4250" t="s">
        <v>4700</v>
      </c>
      <c r="B59" s="315" t="s">
        <v>4701</v>
      </c>
      <c r="C59" s="351">
        <f t="shared" si="2"/>
        <v>4751.8542042000008</v>
      </c>
      <c r="D59" s="351">
        <f t="shared" si="3"/>
        <v>0</v>
      </c>
      <c r="E59" s="303">
        <f>'NUHM Summary'!E8</f>
        <v>315.44</v>
      </c>
      <c r="F59" s="303">
        <f>'NUHM Summary'!F8</f>
        <v>0</v>
      </c>
      <c r="G59" s="304">
        <f>'NUHM Summary'!E38-'NUHM-Non Metro Abst'!E4</f>
        <v>247.8</v>
      </c>
      <c r="H59" s="304">
        <f>'NUHM Summary'!F38-'NUHM-Non Metro Abst'!E3</f>
        <v>0</v>
      </c>
      <c r="I59" s="304">
        <f>'NUHM Summary'!E51</f>
        <v>296.34596900000003</v>
      </c>
      <c r="J59" s="304">
        <f>'NUHM Summary'!F51</f>
        <v>0</v>
      </c>
      <c r="K59" s="304">
        <f>'NUHM Summary'!E77-'NUHM-Non Metro Abst'!F4</f>
        <v>222</v>
      </c>
      <c r="L59" s="304">
        <f>'NUHM Summary'!F77-'NUHM-Non Metro Abst'!F3</f>
        <v>0</v>
      </c>
      <c r="M59" s="304">
        <f>'NUHM Summary'!E118</f>
        <v>0</v>
      </c>
      <c r="N59" s="304">
        <f>'NUHM Summary'!F118</f>
        <v>0</v>
      </c>
      <c r="O59" s="305">
        <f>'NUHM Summary'!E204-'NUHM-Non Metro Abst'!J4</f>
        <v>11</v>
      </c>
      <c r="P59" s="305">
        <f>'NUHM Summary'!F204-'NUHM-Non Metro Abst'!J3</f>
        <v>0</v>
      </c>
      <c r="Q59" s="305">
        <f>'NUHM Summary'!E207-'NUHM-Non Metro Abst'!K4</f>
        <v>26</v>
      </c>
      <c r="R59" s="305">
        <f>'NUHM Summary'!F207-'NUHM-Non Metro Abst'!K3</f>
        <v>0</v>
      </c>
      <c r="S59" s="305">
        <f>'NUHM Summary'!E210</f>
        <v>38.679994600000001</v>
      </c>
      <c r="T59" s="305">
        <f>'NUHM Summary'!F210</f>
        <v>0</v>
      </c>
      <c r="U59" s="304">
        <f>'NUHM Summary'!E70</f>
        <v>162.15</v>
      </c>
      <c r="V59" s="304">
        <f>'NUHM Summary'!F70</f>
        <v>0</v>
      </c>
      <c r="W59" s="305">
        <f>'NUHM Summary'!E227-'NUHM-Non Metro Abst'!L4</f>
        <v>0</v>
      </c>
      <c r="X59" s="305">
        <f>'NUHM Summary'!F227-'NUHM-Non Metro Abst'!L3</f>
        <v>0</v>
      </c>
      <c r="Y59" s="304">
        <f>'NUHM Summary'!E91-'NUHM-Non Metro Abst'!G4</f>
        <v>14.259999999999991</v>
      </c>
      <c r="Z59" s="304">
        <f>'NUHM Summary'!F91-'NUHM-Non Metro Abst'!G3</f>
        <v>0</v>
      </c>
      <c r="AA59" s="305">
        <f>'NUHM Summary'!E223</f>
        <v>6.6</v>
      </c>
      <c r="AB59" s="305">
        <f>'NUHM Summary'!F223</f>
        <v>0</v>
      </c>
      <c r="AC59" s="304">
        <f>'NUHM Summary'!E120-'NUHM-Non Metro Abst'!H4</f>
        <v>2943.8878680000003</v>
      </c>
      <c r="AD59" s="304">
        <f>'NUHM Summary'!F120-'NUHM-Non Metro Abst'!H3</f>
        <v>0</v>
      </c>
      <c r="AE59" s="304">
        <f>'NUHM Summary'!E174-'NUHM-Non Metro Abst'!I4</f>
        <v>58.749996600000003</v>
      </c>
      <c r="AF59" s="304">
        <f>'NUHM Summary'!F174-'NUHM-Non Metro Abst'!I3</f>
        <v>0</v>
      </c>
      <c r="AG59" s="305">
        <f>'NUHM Summary'!E230-'NUHM-Non Metro Abst'!M4</f>
        <v>379.140376</v>
      </c>
      <c r="AH59" s="305">
        <f>'NUHM Summary'!F230-'NUHM-Non Metro Abst'!M3</f>
        <v>0</v>
      </c>
      <c r="AI59" s="305">
        <f>'NUHM Summary'!E195</f>
        <v>0</v>
      </c>
      <c r="AJ59" s="305">
        <f>'NUHM Summary'!F195</f>
        <v>0</v>
      </c>
      <c r="AK59" s="305">
        <f>'NUHM Summary'!E270-'NUHM-Non Metro Abst'!N4</f>
        <v>0</v>
      </c>
      <c r="AL59" s="305">
        <f>'NUHM Summary'!F270-'NUHM-Non Metro Abst'!N3</f>
        <v>0</v>
      </c>
      <c r="AM59" s="304">
        <f>'NUHM Summary'!E273</f>
        <v>29.8</v>
      </c>
      <c r="AN59" s="304">
        <f>'NUHM Summary'!F273</f>
        <v>0</v>
      </c>
    </row>
    <row r="60" spans="1:41">
      <c r="A60" s="4250"/>
      <c r="B60" s="315" t="s">
        <v>4702</v>
      </c>
      <c r="C60" s="351">
        <f t="shared" si="2"/>
        <v>0</v>
      </c>
      <c r="D60" s="302">
        <f t="shared" si="3"/>
        <v>0</v>
      </c>
      <c r="E60" s="308">
        <f>'NUHM Summary'!G8</f>
        <v>0</v>
      </c>
      <c r="F60" s="308">
        <f>'NUHM Summary'!H8</f>
        <v>0</v>
      </c>
      <c r="G60" s="309">
        <f>'NUHM Summary'!G38-'NUHM Metro Abst'!E4</f>
        <v>0</v>
      </c>
      <c r="H60" s="309">
        <f>'NUHM Summary'!H38-'NUHM Metro Abst'!E3</f>
        <v>0</v>
      </c>
      <c r="I60" s="309">
        <f>'NUHM Summary'!G51</f>
        <v>0</v>
      </c>
      <c r="J60" s="309">
        <f>'NUHM Summary'!H51</f>
        <v>0</v>
      </c>
      <c r="K60" s="309">
        <f>'NUHM Summary'!G77-'NUHM Metro Abst'!F4</f>
        <v>0</v>
      </c>
      <c r="L60" s="309">
        <f>'NUHM Summary'!H77-'NUHM Metro Abst'!F3</f>
        <v>0</v>
      </c>
      <c r="M60" s="309">
        <f>'NUHM Summary'!G118</f>
        <v>0</v>
      </c>
      <c r="N60" s="309">
        <f>'NUHM Summary'!H118</f>
        <v>0</v>
      </c>
      <c r="O60" s="308">
        <f>'NUHM Summary'!G204-'NUHM Metro Abst'!J4</f>
        <v>0</v>
      </c>
      <c r="P60" s="308">
        <f>'NUHM Summary'!H204-'NUHM Metro Abst'!J3</f>
        <v>0</v>
      </c>
      <c r="Q60" s="308">
        <f>'NUHM Summary'!G207-'NUHM Metro Abst'!K4</f>
        <v>0</v>
      </c>
      <c r="R60" s="308">
        <f>'NUHM Summary'!H207-'NUHM Metro Abst'!K3</f>
        <v>0</v>
      </c>
      <c r="S60" s="308">
        <f>'NUHM Summary'!G210</f>
        <v>0</v>
      </c>
      <c r="T60" s="308">
        <f>'NUHM Summary'!H210</f>
        <v>0</v>
      </c>
      <c r="U60" s="309">
        <f>'NUHM Summary'!G70</f>
        <v>0</v>
      </c>
      <c r="V60" s="309">
        <f>'NUHM Summary'!H70</f>
        <v>0</v>
      </c>
      <c r="W60" s="308">
        <f>'NUHM Summary'!G227-'NUHM Metro Abst'!L4</f>
        <v>0</v>
      </c>
      <c r="X60" s="308">
        <f>'NUHM Summary'!H227-'NUHM Metro Abst'!L3</f>
        <v>0</v>
      </c>
      <c r="Y60" s="309">
        <f>'NUHM Summary'!G91-'NUHM Metro Abst'!G4</f>
        <v>0</v>
      </c>
      <c r="Z60" s="309">
        <f>'NUHM Summary'!H91-'NUHM Metro Abst'!G3</f>
        <v>0</v>
      </c>
      <c r="AA60" s="308">
        <f>'NUHM Summary'!G223</f>
        <v>0</v>
      </c>
      <c r="AB60" s="308">
        <f>'NUHM Summary'!H223</f>
        <v>0</v>
      </c>
      <c r="AC60" s="309">
        <f>'NUHM Summary'!G120-'NUHM Metro Abst'!H4</f>
        <v>0</v>
      </c>
      <c r="AD60" s="309">
        <f>'NUHM Summary'!H120-'NUHM Metro Abst'!H3</f>
        <v>0</v>
      </c>
      <c r="AE60" s="309">
        <f>'NUHM Summary'!G174-'NUHM Metro Abst'!I4</f>
        <v>0</v>
      </c>
      <c r="AF60" s="309">
        <f>'NUHM Summary'!H174-'NUHM Metro Abst'!I3</f>
        <v>0</v>
      </c>
      <c r="AG60" s="308">
        <f>'NUHM Summary'!G230-'NUHM Metro Abst'!M4</f>
        <v>0</v>
      </c>
      <c r="AH60" s="308">
        <f>'NUHM Summary'!H230-'NUHM Metro Abst'!M3</f>
        <v>0</v>
      </c>
      <c r="AI60" s="308">
        <f>'NUHM Summary'!G195</f>
        <v>0</v>
      </c>
      <c r="AJ60" s="308">
        <f>'NUHM Summary'!H195</f>
        <v>0</v>
      </c>
      <c r="AK60" s="308">
        <f>'NUHM Summary'!G270-'NUHM Metro Abst'!N4</f>
        <v>0</v>
      </c>
      <c r="AL60" s="308">
        <f>'NUHM Summary'!H270-'NUHM Metro Abst'!N3</f>
        <v>0</v>
      </c>
      <c r="AM60" s="309">
        <f>'NUHM Summary'!G273</f>
        <v>0</v>
      </c>
      <c r="AN60" s="309">
        <f>'NUHM Summary'!H273</f>
        <v>0</v>
      </c>
    </row>
    <row r="61" spans="1:41" ht="30">
      <c r="A61" s="4250"/>
      <c r="B61" s="314" t="s">
        <v>4703</v>
      </c>
      <c r="C61" s="351">
        <f t="shared" si="2"/>
        <v>685.58467000000007</v>
      </c>
      <c r="D61" s="351">
        <f t="shared" si="3"/>
        <v>0</v>
      </c>
      <c r="E61" s="306"/>
      <c r="F61" s="306"/>
      <c r="G61" s="306">
        <f>'NUHM Summary'!E4</f>
        <v>13.200000000000001</v>
      </c>
      <c r="H61" s="307">
        <f>'NUHM Summary'!E3</f>
        <v>0</v>
      </c>
      <c r="I61" s="306"/>
      <c r="J61" s="306"/>
      <c r="K61" s="306">
        <f>'NUHM Summary'!F4</f>
        <v>10</v>
      </c>
      <c r="L61" s="306">
        <f>'NUHM Summary'!F3</f>
        <v>0</v>
      </c>
      <c r="M61" s="306"/>
      <c r="N61" s="306"/>
      <c r="O61" s="306">
        <f>'NUHM Summary'!J4</f>
        <v>27.5</v>
      </c>
      <c r="P61" s="306">
        <f>'NUHM Summary'!J3</f>
        <v>0</v>
      </c>
      <c r="Q61" s="306">
        <f>'NUHM Summary'!K4</f>
        <v>27.5</v>
      </c>
      <c r="R61" s="306">
        <f>'NUHM Summary'!K3</f>
        <v>0</v>
      </c>
      <c r="S61" s="306"/>
      <c r="T61" s="306"/>
      <c r="U61" s="306"/>
      <c r="V61" s="306"/>
      <c r="W61" s="306">
        <f>'NUHM Summary'!L4</f>
        <v>0</v>
      </c>
      <c r="X61" s="306">
        <f>'NUHM Summary'!L3</f>
        <v>0</v>
      </c>
      <c r="Y61" s="306">
        <f>'NUHM Summary'!G4</f>
        <v>544.00967000000003</v>
      </c>
      <c r="Z61" s="306">
        <f>'NUHM Summary'!G3</f>
        <v>0</v>
      </c>
      <c r="AA61" s="306"/>
      <c r="AB61" s="306"/>
      <c r="AC61" s="306">
        <f>'NUHM Summary'!H4</f>
        <v>30</v>
      </c>
      <c r="AD61" s="306">
        <f>'NUHM Summary'!H3</f>
        <v>0</v>
      </c>
      <c r="AE61" s="306">
        <f>'NUHM Summary'!I4</f>
        <v>23.375</v>
      </c>
      <c r="AF61" s="306">
        <f>'NUHM Summary'!I3</f>
        <v>0</v>
      </c>
      <c r="AG61" s="306">
        <f>'NUHM Summary'!M4</f>
        <v>10</v>
      </c>
      <c r="AH61" s="306">
        <f>'NUHM Summary'!M3</f>
        <v>0</v>
      </c>
      <c r="AI61" s="306"/>
      <c r="AJ61" s="306"/>
      <c r="AK61" s="306">
        <f>'NUHM Summary'!N4</f>
        <v>0</v>
      </c>
      <c r="AL61" s="306">
        <f>'NUHM Summary'!N3</f>
        <v>0</v>
      </c>
      <c r="AM61" s="306"/>
      <c r="AN61" s="306"/>
    </row>
  </sheetData>
  <sheetProtection sheet="1" objects="1" scenarios="1"/>
  <mergeCells count="52">
    <mergeCell ref="A1:B1"/>
    <mergeCell ref="C2:D4"/>
    <mergeCell ref="A6:A7"/>
    <mergeCell ref="AI3:AJ3"/>
    <mergeCell ref="AI4:AJ4"/>
    <mergeCell ref="AG2:AH2"/>
    <mergeCell ref="Y3:Z3"/>
    <mergeCell ref="Y4:Z4"/>
    <mergeCell ref="AA3:AB3"/>
    <mergeCell ref="B2:B4"/>
    <mergeCell ref="G3:H3"/>
    <mergeCell ref="G4:H4"/>
    <mergeCell ref="I3:J3"/>
    <mergeCell ref="U2:X2"/>
    <mergeCell ref="Y2:AB2"/>
    <mergeCell ref="U3:V3"/>
    <mergeCell ref="AK3:AL3"/>
    <mergeCell ref="AK4:AL4"/>
    <mergeCell ref="AI2:AL2"/>
    <mergeCell ref="AC3:AD3"/>
    <mergeCell ref="AC4:AD4"/>
    <mergeCell ref="AE3:AF3"/>
    <mergeCell ref="AE4:AF4"/>
    <mergeCell ref="AG3:AH3"/>
    <mergeCell ref="AG4:AH4"/>
    <mergeCell ref="AC2:AF2"/>
    <mergeCell ref="AM2:AN2"/>
    <mergeCell ref="AM3:AN3"/>
    <mergeCell ref="AM4:AN4"/>
    <mergeCell ref="S3:T3"/>
    <mergeCell ref="S4:T4"/>
    <mergeCell ref="E2:T2"/>
    <mergeCell ref="W3:X3"/>
    <mergeCell ref="W4:X4"/>
    <mergeCell ref="M3:N3"/>
    <mergeCell ref="M4:N4"/>
    <mergeCell ref="O3:P3"/>
    <mergeCell ref="O4:P4"/>
    <mergeCell ref="Q3:R3"/>
    <mergeCell ref="Q4:R4"/>
    <mergeCell ref="E3:F3"/>
    <mergeCell ref="E4:F4"/>
    <mergeCell ref="U4:V4"/>
    <mergeCell ref="I4:J4"/>
    <mergeCell ref="K3:L3"/>
    <mergeCell ref="K4:L4"/>
    <mergeCell ref="AA4:AB4"/>
    <mergeCell ref="A59:A61"/>
    <mergeCell ref="A8:A17"/>
    <mergeCell ref="A18:A37"/>
    <mergeCell ref="A38:A45"/>
    <mergeCell ref="A46:A58"/>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sheetPr codeName="Sheet36">
    <tabColor theme="7" tint="0.79998168889431442"/>
  </sheetPr>
  <dimension ref="A1:R33"/>
  <sheetViews>
    <sheetView zoomScale="80" zoomScaleNormal="80" workbookViewId="0">
      <pane xSplit="3" ySplit="5" topLeftCell="K23"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9.140625" defaultRowHeight="15"/>
  <cols>
    <col min="1" max="1" width="10.28515625" style="453" bestFit="1" customWidth="1"/>
    <col min="2" max="2" width="15.7109375" style="453" bestFit="1" customWidth="1"/>
    <col min="3" max="3" width="62.85546875" style="453" bestFit="1" customWidth="1"/>
    <col min="4" max="4" width="4.5703125" style="407" bestFit="1" customWidth="1"/>
    <col min="5" max="5" width="15.85546875" style="407" bestFit="1" customWidth="1"/>
    <col min="6" max="6" width="22.140625" style="407" bestFit="1" customWidth="1"/>
    <col min="7" max="7" width="16.140625" style="407" bestFit="1" customWidth="1"/>
    <col min="8" max="8" width="17.140625" style="479" bestFit="1" customWidth="1"/>
    <col min="9" max="9" width="19.42578125" style="407" bestFit="1" customWidth="1"/>
    <col min="10" max="10" width="14.85546875" style="479" bestFit="1" customWidth="1"/>
    <col min="11" max="11" width="13.7109375" style="453" customWidth="1"/>
    <col min="12" max="12" width="12.7109375" style="453" customWidth="1"/>
    <col min="13" max="13" width="9.140625" style="479" customWidth="1"/>
    <col min="14" max="14" width="9.140625" style="398"/>
    <col min="15" max="15" width="11" style="614" customWidth="1"/>
    <col min="16" max="16" width="35.42578125" style="398" customWidth="1"/>
    <col min="17" max="17" width="35.5703125" style="398" customWidth="1"/>
    <col min="18" max="18" width="9.140625" style="614"/>
    <col min="19" max="16384" width="9.140625" style="398"/>
  </cols>
  <sheetData>
    <row r="1" spans="1:18" s="477" customFormat="1">
      <c r="A1" s="4640" t="s">
        <v>2100</v>
      </c>
      <c r="B1" s="4640"/>
      <c r="C1" s="4640"/>
      <c r="D1" s="1205"/>
      <c r="E1" s="1115"/>
      <c r="F1" s="74" t="s">
        <v>3976</v>
      </c>
      <c r="G1" s="871"/>
      <c r="H1" s="871"/>
      <c r="I1" s="871"/>
      <c r="J1" s="871"/>
      <c r="K1" s="1206"/>
      <c r="L1" s="1206"/>
      <c r="M1" s="871"/>
      <c r="O1" s="1119"/>
      <c r="R1" s="1119"/>
    </row>
    <row r="2" spans="1:18" s="477" customFormat="1">
      <c r="A2" s="868" t="str">
        <f>HYPERLINK("#Index!F3", "Index Pg")</f>
        <v>Index Pg</v>
      </c>
      <c r="B2" s="873"/>
      <c r="C2" s="403" t="str">
        <f>HYPERLINK("#'Budget Summary I'!A1:AL1", "Budget Summary I")</f>
        <v>Budget Summary I</v>
      </c>
      <c r="D2" s="1207"/>
      <c r="E2" s="713" t="s">
        <v>4599</v>
      </c>
      <c r="F2" s="135">
        <f>R27+R21+R18+R12+R10+R6+R8+R16+R29+R25</f>
        <v>0</v>
      </c>
      <c r="G2" s="871"/>
      <c r="H2" s="871"/>
      <c r="I2" s="871"/>
      <c r="J2" s="871"/>
      <c r="L2" s="1208"/>
      <c r="M2" s="871"/>
      <c r="O2" s="1119"/>
      <c r="R2" s="1119"/>
    </row>
    <row r="3" spans="1:18" s="477" customFormat="1">
      <c r="A3" s="872"/>
      <c r="B3" s="873"/>
      <c r="C3" s="403" t="str">
        <f>HYPERLINK("#'Budget Summary II'!A3:B5", "Budget Summary II")</f>
        <v>Budget Summary II</v>
      </c>
      <c r="D3" s="1207"/>
      <c r="E3" s="713" t="s">
        <v>4600</v>
      </c>
      <c r="F3" s="135">
        <f>O27+O21+O18+O12+O10+O6+O8+O16+O29+O25</f>
        <v>354.64998000000003</v>
      </c>
      <c r="G3" s="871"/>
      <c r="H3" s="871"/>
      <c r="I3" s="871"/>
      <c r="J3" s="871"/>
      <c r="M3" s="871"/>
      <c r="O3" s="1119"/>
      <c r="R3" s="1119"/>
    </row>
    <row r="4" spans="1:18" s="407" customFormat="1">
      <c r="A4" s="4323" t="s">
        <v>53</v>
      </c>
      <c r="B4" s="4323" t="s">
        <v>54</v>
      </c>
      <c r="C4" s="4323" t="s">
        <v>55</v>
      </c>
      <c r="D4" s="4323" t="s">
        <v>56</v>
      </c>
      <c r="E4" s="4323" t="s">
        <v>57</v>
      </c>
      <c r="F4" s="4632" t="s">
        <v>4620</v>
      </c>
      <c r="G4" s="4632"/>
      <c r="H4" s="4632"/>
      <c r="I4" s="4632"/>
      <c r="J4" s="4632"/>
      <c r="K4" s="4632" t="s">
        <v>4631</v>
      </c>
      <c r="L4" s="4632"/>
      <c r="M4" s="4632"/>
      <c r="N4" s="4632"/>
      <c r="O4" s="4632"/>
      <c r="P4" s="4632"/>
      <c r="Q4" s="4628" t="s">
        <v>4661</v>
      </c>
      <c r="R4" s="4628"/>
    </row>
    <row r="5" spans="1:18" s="407" customFormat="1" ht="60">
      <c r="A5" s="4323"/>
      <c r="B5" s="4323"/>
      <c r="C5" s="4323"/>
      <c r="D5" s="4323"/>
      <c r="E5" s="4323"/>
      <c r="F5" s="464" t="s">
        <v>4621</v>
      </c>
      <c r="G5" s="464" t="s">
        <v>4629</v>
      </c>
      <c r="H5" s="464" t="s">
        <v>4622</v>
      </c>
      <c r="I5" s="464" t="s">
        <v>4630</v>
      </c>
      <c r="J5" s="1070" t="s">
        <v>2534</v>
      </c>
      <c r="K5" s="1071" t="s">
        <v>58</v>
      </c>
      <c r="L5" s="1071" t="s">
        <v>59</v>
      </c>
      <c r="M5" s="1072" t="s">
        <v>60</v>
      </c>
      <c r="N5" s="1071" t="s">
        <v>61</v>
      </c>
      <c r="O5" s="1072" t="s">
        <v>62</v>
      </c>
      <c r="P5" s="1071" t="s">
        <v>63</v>
      </c>
      <c r="Q5" s="777" t="s">
        <v>2536</v>
      </c>
      <c r="R5" s="813" t="s">
        <v>4662</v>
      </c>
    </row>
    <row r="6" spans="1:18">
      <c r="A6" s="718">
        <f>'2.SD Community Based Annex'!A7</f>
        <v>2</v>
      </c>
      <c r="B6" s="718"/>
      <c r="C6" s="718" t="str">
        <f>'2.SD Community Based Annex'!C7</f>
        <v>Service Delivery - Community Based</v>
      </c>
      <c r="D6" s="693"/>
      <c r="E6" s="693"/>
      <c r="F6" s="693"/>
      <c r="G6" s="693"/>
      <c r="H6" s="240"/>
      <c r="I6" s="693"/>
      <c r="J6" s="240"/>
      <c r="K6" s="718"/>
      <c r="L6" s="718"/>
      <c r="M6" s="240"/>
      <c r="N6" s="1109"/>
      <c r="O6" s="1110">
        <f>O7</f>
        <v>7.75</v>
      </c>
      <c r="P6" s="1109"/>
      <c r="Q6" s="1109"/>
      <c r="R6" s="1110">
        <f>R7</f>
        <v>0</v>
      </c>
    </row>
    <row r="7" spans="1:18" ht="105">
      <c r="A7" s="78" t="str">
        <f>+'2.SD Community Based Annex'!A49</f>
        <v>2.3.2.3</v>
      </c>
      <c r="B7" s="78" t="str">
        <f>+'2.SD Community Based Annex'!B49</f>
        <v>J.1.3</v>
      </c>
      <c r="C7" s="78" t="str">
        <f>+'2.SD Community Based Annex'!C49</f>
        <v>DMHP: Targeted interventions at community level Activities &amp; interventions targeted at schools, colleges, workplaces, out of school adolescents, urban slums and suicide prevention.</v>
      </c>
      <c r="D7" s="990" t="str">
        <f>+'2.SD Community Based Annex'!D49</f>
        <v>NCD</v>
      </c>
      <c r="E7" s="990" t="str">
        <f>+'2.SD Community Based Annex'!E49</f>
        <v>NMHP</v>
      </c>
      <c r="F7" s="990">
        <f>+'2.SD Community Based Annex'!F49</f>
        <v>0</v>
      </c>
      <c r="G7" s="990">
        <f>+'2.SD Community Based Annex'!G49</f>
        <v>0</v>
      </c>
      <c r="H7" s="990">
        <f>+'2.SD Community Based Annex'!H49</f>
        <v>0</v>
      </c>
      <c r="I7" s="990">
        <f>+'2.SD Community Based Annex'!I49</f>
        <v>0</v>
      </c>
      <c r="J7" s="990">
        <f>+'2.SD Community Based Annex'!J49</f>
        <v>0</v>
      </c>
      <c r="K7" s="990" t="str">
        <f>+'2.SD Community Based Annex'!K49</f>
        <v>PER YEAR</v>
      </c>
      <c r="L7" s="990">
        <f>+'2.SD Community Based Annex'!L49</f>
        <v>25000</v>
      </c>
      <c r="M7" s="136">
        <f>+'2.SD Community Based Annex'!M49</f>
        <v>0.25</v>
      </c>
      <c r="N7" s="990">
        <f>+'2.SD Community Based Annex'!N49</f>
        <v>31</v>
      </c>
      <c r="O7" s="136">
        <f>+'2.SD Community Based Annex'!O49</f>
        <v>7.75</v>
      </c>
      <c r="P7" s="78" t="str">
        <f>+'2.SD Community Based Annex'!P49</f>
        <v>Rs. 25000/-Thousand per district for 31 district to targeted interventions at community level Activities &amp; interventions targeted at schools, colleges, workplaces, out of school adolescents, urban slums and suicide prevention.</v>
      </c>
      <c r="Q7" s="62"/>
      <c r="R7" s="318"/>
    </row>
    <row r="8" spans="1:18">
      <c r="A8" s="1022">
        <f>'3.Community Intervention Annexn'!A7</f>
        <v>3</v>
      </c>
      <c r="B8" s="1022"/>
      <c r="C8" s="1022" t="str">
        <f>'3.Community Intervention Annexn'!C7</f>
        <v>Community Interventions</v>
      </c>
      <c r="D8" s="334"/>
      <c r="E8" s="1209"/>
      <c r="F8" s="1210"/>
      <c r="G8" s="1210"/>
      <c r="H8" s="1211"/>
      <c r="I8" s="1210"/>
      <c r="J8" s="1212"/>
      <c r="K8" s="1213"/>
      <c r="L8" s="1213"/>
      <c r="M8" s="1212"/>
      <c r="N8" s="1214"/>
      <c r="O8" s="1215">
        <f>O9</f>
        <v>31</v>
      </c>
      <c r="P8" s="1216"/>
      <c r="Q8" s="1226"/>
      <c r="R8" s="1227">
        <f>R9</f>
        <v>0</v>
      </c>
    </row>
    <row r="9" spans="1:18" ht="105">
      <c r="A9" s="78">
        <f>+'3-A. CI Sub-Annex'!A117</f>
        <v>1</v>
      </c>
      <c r="B9" s="78" t="str">
        <f>+'3-A. CI Sub-Annex'!C117</f>
        <v>J.1.3</v>
      </c>
      <c r="C9" s="78" t="str">
        <f>+'3-A. CI Sub-Annex'!D117</f>
        <v>District counselling centre (DCC) and crisis helpline outsourced to psychology department/ NGO per year</v>
      </c>
      <c r="D9" s="990" t="str">
        <f>+'3-A. CI Sub-Annex'!E117</f>
        <v>NCD</v>
      </c>
      <c r="E9" s="990" t="str">
        <f>+'3-A. CI Sub-Annex'!F117</f>
        <v>NMHP</v>
      </c>
      <c r="F9" s="990">
        <f>+'3-A. CI Sub-Annex'!G117</f>
        <v>0</v>
      </c>
      <c r="G9" s="990">
        <f>+'3-A. CI Sub-Annex'!H117</f>
        <v>0</v>
      </c>
      <c r="H9" s="990">
        <f>+'3-A. CI Sub-Annex'!I117</f>
        <v>0</v>
      </c>
      <c r="I9" s="990">
        <f>+'3-A. CI Sub-Annex'!J117</f>
        <v>0</v>
      </c>
      <c r="J9" s="990">
        <f>+'3-A. CI Sub-Annex'!K117</f>
        <v>0</v>
      </c>
      <c r="K9" s="990" t="str">
        <f>+'3-A. CI Sub-Annex'!L117</f>
        <v>PER YEAR</v>
      </c>
      <c r="L9" s="990">
        <f>+'3-A. CI Sub-Annex'!M117</f>
        <v>100000</v>
      </c>
      <c r="M9" s="136">
        <f>+'3-A. CI Sub-Annex'!N117</f>
        <v>1</v>
      </c>
      <c r="N9" s="990">
        <f>+'3-A. CI Sub-Annex'!O117</f>
        <v>31</v>
      </c>
      <c r="O9" s="136">
        <f>+'3-A. CI Sub-Annex'!P117</f>
        <v>31</v>
      </c>
      <c r="P9" s="78" t="str">
        <f>+'3-A. CI Sub-Annex'!Q117</f>
        <v>Rs. 1 lac per district for 31 district to counselling sessions , training of master trainers &amp; college &amp;  school teachers orientation on psychiatric counseeling skill development and to hire services of psychiatrists &amp; clinical psychologist from private sector</v>
      </c>
      <c r="Q9" s="62"/>
      <c r="R9" s="318"/>
    </row>
    <row r="10" spans="1:18">
      <c r="A10" s="718">
        <f>'5.Infrastructure Annex'!A7</f>
        <v>5</v>
      </c>
      <c r="B10" s="718"/>
      <c r="C10" s="718" t="str">
        <f>'5.Infrastructure Annex'!C7</f>
        <v>Infrastructure</v>
      </c>
      <c r="D10" s="693"/>
      <c r="E10" s="1217"/>
      <c r="F10" s="1217"/>
      <c r="G10" s="1217"/>
      <c r="H10" s="1212"/>
      <c r="I10" s="1217"/>
      <c r="J10" s="1212"/>
      <c r="K10" s="1218"/>
      <c r="L10" s="1218"/>
      <c r="M10" s="1212"/>
      <c r="N10" s="1214"/>
      <c r="O10" s="1215">
        <f>O11</f>
        <v>21</v>
      </c>
      <c r="P10" s="1216"/>
      <c r="Q10" s="1226"/>
      <c r="R10" s="1227">
        <f>R11</f>
        <v>0</v>
      </c>
    </row>
    <row r="11" spans="1:18" ht="105">
      <c r="A11" s="78" t="str">
        <f>+'5.Infrastructure Annex'!A95</f>
        <v>5.3.15</v>
      </c>
      <c r="B11" s="78" t="str">
        <f>+'5.Infrastructure Annex'!B95</f>
        <v>J.1.1</v>
      </c>
      <c r="C11" s="78" t="str">
        <f>+'5.Infrastructure Annex'!C95</f>
        <v>District DMHP Centre, Counselling Centre under psychology dept.. In a selected college including crisis helpline</v>
      </c>
      <c r="D11" s="990" t="str">
        <f>+'5.Infrastructure Annex'!D95</f>
        <v>NCD</v>
      </c>
      <c r="E11" s="990" t="str">
        <f>+'5.Infrastructure Annex'!E95</f>
        <v>NMHP</v>
      </c>
      <c r="F11" s="990">
        <f>+'5.Infrastructure Annex'!F95</f>
        <v>0</v>
      </c>
      <c r="G11" s="990">
        <f>+'5.Infrastructure Annex'!G95</f>
        <v>0</v>
      </c>
      <c r="H11" s="990">
        <f>+'5.Infrastructure Annex'!H95</f>
        <v>0</v>
      </c>
      <c r="I11" s="990">
        <f>+'5.Infrastructure Annex'!I95</f>
        <v>0</v>
      </c>
      <c r="J11" s="990">
        <f>+'5.Infrastructure Annex'!J95</f>
        <v>0</v>
      </c>
      <c r="K11" s="990" t="str">
        <f>+'5.Infrastructure Annex'!K95</f>
        <v>DMHP centre establishment</v>
      </c>
      <c r="L11" s="990">
        <f>+'5.Infrastructure Annex'!L95</f>
        <v>300000</v>
      </c>
      <c r="M11" s="136">
        <f>+'5.Infrastructure Annex'!M95</f>
        <v>3</v>
      </c>
      <c r="N11" s="990">
        <f>+'5.Infrastructure Annex'!N95</f>
        <v>7</v>
      </c>
      <c r="O11" s="136">
        <f>+'5.Infrastructure Annex'!O95</f>
        <v>21</v>
      </c>
      <c r="P11" s="78" t="str">
        <f>+'5.Infrastructure Annex'!P95</f>
        <v>3 lakh per district for 7 district. Need to approval (Patna,Darbhanga,Bhojpur, Nalanda, Lakhisarai, Arwal &amp; Jehanbad) to setting up center, furniture, camputer &amp; other facilities etc for strengthing of mental health at all 38 district</v>
      </c>
      <c r="Q11" s="62"/>
      <c r="R11" s="318"/>
    </row>
    <row r="12" spans="1:18">
      <c r="A12" s="817">
        <f>'6.Procurement Annex'!A7</f>
        <v>6</v>
      </c>
      <c r="B12" s="817"/>
      <c r="C12" s="817" t="str">
        <f>'6.Procurement Annex'!C7</f>
        <v>Procurement</v>
      </c>
      <c r="D12" s="818"/>
      <c r="E12" s="1219"/>
      <c r="F12" s="1219"/>
      <c r="G12" s="1219"/>
      <c r="H12" s="1212"/>
      <c r="I12" s="1219"/>
      <c r="J12" s="1212"/>
      <c r="K12" s="1220"/>
      <c r="L12" s="1220"/>
      <c r="M12" s="1212"/>
      <c r="N12" s="1214"/>
      <c r="O12" s="1215">
        <f>SUM(O13:O15)</f>
        <v>200.5</v>
      </c>
      <c r="P12" s="1216"/>
      <c r="Q12" s="1226"/>
      <c r="R12" s="1227">
        <f>SUM(R13:R15)</f>
        <v>0</v>
      </c>
    </row>
    <row r="13" spans="1:18" ht="60">
      <c r="A13" s="4653" t="str">
        <f>'6.Procurement Annex'!A37</f>
        <v>6.1.5.2</v>
      </c>
      <c r="B13" s="1221" t="str">
        <f>+'6-A. Proc. Sub-Annex'!C100</f>
        <v>J.1.4</v>
      </c>
      <c r="C13" s="1221" t="str">
        <f>+'6-A. Proc. Sub-Annex'!D100</f>
        <v>Equipment</v>
      </c>
      <c r="D13" s="1222" t="str">
        <f>+'6-A. Proc. Sub-Annex'!E100</f>
        <v>NCD</v>
      </c>
      <c r="E13" s="1222" t="str">
        <f>+'6-A. Proc. Sub-Annex'!F100</f>
        <v>NMHP</v>
      </c>
      <c r="F13" s="1222">
        <f>+'6-A. Proc. Sub-Annex'!G100</f>
        <v>0</v>
      </c>
      <c r="G13" s="1222">
        <f>+'6-A. Proc. Sub-Annex'!H100</f>
        <v>0</v>
      </c>
      <c r="H13" s="1222">
        <f>+'6-A. Proc. Sub-Annex'!I100</f>
        <v>0</v>
      </c>
      <c r="I13" s="1222">
        <f>+'6-A. Proc. Sub-Annex'!J100</f>
        <v>0</v>
      </c>
      <c r="J13" s="1222">
        <f>+'6-A. Proc. Sub-Annex'!K100</f>
        <v>0</v>
      </c>
      <c r="K13" s="1222" t="str">
        <f>+'6-A. Proc. Sub-Annex'!L100</f>
        <v>per district</v>
      </c>
      <c r="L13" s="1222">
        <f>+'6-A. Proc. Sub-Annex'!M100</f>
        <v>150000</v>
      </c>
      <c r="M13" s="1223">
        <f>+'6-A. Proc. Sub-Annex'!N100</f>
        <v>1.5</v>
      </c>
      <c r="N13" s="1222">
        <f>+'6-A. Proc. Sub-Annex'!O100</f>
        <v>7</v>
      </c>
      <c r="O13" s="1223">
        <f>+'6-A. Proc. Sub-Annex'!P100</f>
        <v>10.5</v>
      </c>
      <c r="P13" s="1221" t="str">
        <f>+'6-A. Proc. Sub-Annex'!Q100</f>
        <v>Rs. 1.5 lakh per district for 7 rest district to procure Psychotherapy Tools for clinical psychologist &amp; psychiatrist basic medical equipments</v>
      </c>
      <c r="Q13" s="62"/>
      <c r="R13" s="318"/>
    </row>
    <row r="14" spans="1:18" ht="210">
      <c r="A14" s="4654"/>
      <c r="B14" s="78"/>
      <c r="C14" s="78">
        <f>+'6-A. Proc. Sub-Annex'!D254</f>
        <v>0</v>
      </c>
      <c r="D14" s="990" t="str">
        <f>+'6-A. Proc. Sub-Annex'!E254</f>
        <v>NCD</v>
      </c>
      <c r="E14" s="990" t="str">
        <f>+'6-A. Proc. Sub-Annex'!F254</f>
        <v>NMHP</v>
      </c>
      <c r="F14" s="990">
        <f>+'6-A. Proc. Sub-Annex'!G254</f>
        <v>0</v>
      </c>
      <c r="G14" s="990">
        <f>+'6-A. Proc. Sub-Annex'!H254</f>
        <v>0</v>
      </c>
      <c r="H14" s="990">
        <f>+'6-A. Proc. Sub-Annex'!I254</f>
        <v>0</v>
      </c>
      <c r="I14" s="990">
        <f>+'6-A. Proc. Sub-Annex'!J254</f>
        <v>0</v>
      </c>
      <c r="J14" s="990">
        <f>+'6-A. Proc. Sub-Annex'!K254</f>
        <v>0</v>
      </c>
      <c r="K14" s="990" t="str">
        <f>+'6-A. Proc. Sub-Annex'!L254</f>
        <v>per district</v>
      </c>
      <c r="L14" s="990">
        <f>+'6-A. Proc. Sub-Annex'!M254</f>
        <v>500000</v>
      </c>
      <c r="M14" s="136">
        <f>+'6-A. Proc. Sub-Annex'!N254</f>
        <v>5</v>
      </c>
      <c r="N14" s="990">
        <f>+'6-A. Proc. Sub-Annex'!O254</f>
        <v>38</v>
      </c>
      <c r="O14" s="136">
        <f>+'6-A. Proc. Sub-Annex'!P254</f>
        <v>190</v>
      </c>
      <c r="P14" s="78" t="str">
        <f>+'6-A. Proc. Sub-Annex'!Q254</f>
        <v>Rs. 5 lakh per district for 38 district to purchasing of Psychotropic medicine at District level (T. Chlorpromazine 100 mg, T. Risperidone 2 mg, Inj. Promethazine 50mg,T. Imipramine 75mg, Inj. Fluphenazine 25mg, T. Trihexyphenidyl 2mg, T. Lorazepam 1 mg, T. Phenobarbitone 30mg &amp; 60mg, T. Diphenythyydantion 100mg, T. Lithium carbonate 300mg, T. Carbamazepine 200mg, Inj. Haloperidol, C. Fluoxetine 20mg &amp; other psychotherapeutic drugs as per need etc</v>
      </c>
      <c r="Q14" s="62"/>
      <c r="R14" s="318"/>
    </row>
    <row r="15" spans="1:18" ht="30">
      <c r="A15" s="78" t="str">
        <f>'6.Procurement Annex'!A80</f>
        <v>6.2.4.2</v>
      </c>
      <c r="B15" s="78"/>
      <c r="C15" s="78">
        <f>+'6-A. Proc. Sub-Annex'!D255</f>
        <v>0</v>
      </c>
      <c r="D15" s="990" t="str">
        <f>+'6-A. Proc. Sub-Annex'!E255</f>
        <v>NCD</v>
      </c>
      <c r="E15" s="990" t="str">
        <f>+'6-A. Proc. Sub-Annex'!F255</f>
        <v>NMHP</v>
      </c>
      <c r="F15" s="990">
        <f>+'6-A. Proc. Sub-Annex'!G255</f>
        <v>0</v>
      </c>
      <c r="G15" s="990">
        <f>+'6-A. Proc. Sub-Annex'!H255</f>
        <v>0</v>
      </c>
      <c r="H15" s="990">
        <f>+'6-A. Proc. Sub-Annex'!I255</f>
        <v>0</v>
      </c>
      <c r="I15" s="990">
        <f>+'6-A. Proc. Sub-Annex'!J255</f>
        <v>0</v>
      </c>
      <c r="J15" s="990">
        <f>+'6-A. Proc. Sub-Annex'!K255</f>
        <v>0</v>
      </c>
      <c r="K15" s="990">
        <f>+'6-A. Proc. Sub-Annex'!L255</f>
        <v>0</v>
      </c>
      <c r="L15" s="990">
        <f>+'6-A. Proc. Sub-Annex'!M255</f>
        <v>0</v>
      </c>
      <c r="M15" s="136">
        <f>+'6-A. Proc. Sub-Annex'!N255</f>
        <v>0</v>
      </c>
      <c r="N15" s="990">
        <f>+'6-A. Proc. Sub-Annex'!O255</f>
        <v>0</v>
      </c>
      <c r="O15" s="136">
        <f>+'6-A. Proc. Sub-Annex'!P255</f>
        <v>0</v>
      </c>
      <c r="P15" s="78">
        <f>+'6-A. Proc. Sub-Annex'!Q255</f>
        <v>0</v>
      </c>
      <c r="Q15" s="62"/>
      <c r="R15" s="318"/>
    </row>
    <row r="16" spans="1:18">
      <c r="A16" s="817">
        <f>'7.Referral Transport Annex'!A7</f>
        <v>7</v>
      </c>
      <c r="B16" s="817"/>
      <c r="C16" s="817" t="str">
        <f>'7.Referral Transport Annex'!C7</f>
        <v>Referral Transport</v>
      </c>
      <c r="D16" s="818"/>
      <c r="E16" s="1219"/>
      <c r="F16" s="1219"/>
      <c r="G16" s="1219"/>
      <c r="H16" s="1212"/>
      <c r="I16" s="1219"/>
      <c r="J16" s="1212"/>
      <c r="K16" s="1220"/>
      <c r="L16" s="1220"/>
      <c r="M16" s="1212"/>
      <c r="N16" s="1214"/>
      <c r="O16" s="1215">
        <f>O17</f>
        <v>0</v>
      </c>
      <c r="P16" s="1216"/>
      <c r="Q16" s="1226"/>
      <c r="R16" s="1227">
        <f>R17</f>
        <v>0</v>
      </c>
    </row>
    <row r="17" spans="1:18" ht="30">
      <c r="A17" s="78">
        <f>+'7.Referral Transport Annex'!A28</f>
        <v>7.7</v>
      </c>
      <c r="B17" s="78" t="str">
        <f>+'7.Referral Transport Annex'!B28</f>
        <v>J.1.6</v>
      </c>
      <c r="C17" s="78" t="str">
        <f>+'7.Referral Transport Annex'!C28</f>
        <v>Ambulatory Services</v>
      </c>
      <c r="D17" s="990" t="str">
        <f>+'7.Referral Transport Annex'!D28</f>
        <v>NCD</v>
      </c>
      <c r="E17" s="990" t="str">
        <f>+'7.Referral Transport Annex'!E28</f>
        <v>NMHP</v>
      </c>
      <c r="F17" s="990">
        <f>+'7.Referral Transport Annex'!F28</f>
        <v>0</v>
      </c>
      <c r="G17" s="990">
        <f>+'7.Referral Transport Annex'!G28</f>
        <v>0</v>
      </c>
      <c r="H17" s="990">
        <f>+'7.Referral Transport Annex'!H28</f>
        <v>0</v>
      </c>
      <c r="I17" s="990">
        <f>+'7.Referral Transport Annex'!I28</f>
        <v>0</v>
      </c>
      <c r="J17" s="990">
        <f>+'7.Referral Transport Annex'!J28</f>
        <v>0</v>
      </c>
      <c r="K17" s="990">
        <f>+'7.Referral Transport Annex'!K28</f>
        <v>0</v>
      </c>
      <c r="L17" s="990">
        <f>+'7.Referral Transport Annex'!L28</f>
        <v>0</v>
      </c>
      <c r="M17" s="136">
        <f>+'7.Referral Transport Annex'!M28</f>
        <v>0</v>
      </c>
      <c r="N17" s="990">
        <f>+'7.Referral Transport Annex'!N28</f>
        <v>0</v>
      </c>
      <c r="O17" s="136">
        <f>+'7.Referral Transport Annex'!O28</f>
        <v>0</v>
      </c>
      <c r="P17" s="78">
        <f>+'7.Referral Transport Annex'!P28</f>
        <v>0</v>
      </c>
      <c r="Q17" s="62"/>
      <c r="R17" s="318"/>
    </row>
    <row r="18" spans="1:18">
      <c r="A18" s="718">
        <f>'9.Training Annex'!A7</f>
        <v>9</v>
      </c>
      <c r="B18" s="718"/>
      <c r="C18" s="718" t="str">
        <f>'9.Training Annex'!C7</f>
        <v>Training and Capacity Building</v>
      </c>
      <c r="D18" s="693"/>
      <c r="E18" s="1217"/>
      <c r="F18" s="1217"/>
      <c r="G18" s="1217"/>
      <c r="H18" s="1212"/>
      <c r="I18" s="1217"/>
      <c r="J18" s="1212"/>
      <c r="K18" s="1218"/>
      <c r="L18" s="1218"/>
      <c r="M18" s="1212"/>
      <c r="N18" s="1214"/>
      <c r="O18" s="1215">
        <f>SUM(O19:O20)</f>
        <v>55.099999999999994</v>
      </c>
      <c r="P18" s="1216"/>
      <c r="Q18" s="1226"/>
      <c r="R18" s="1227">
        <f>SUM(R19:R20)</f>
        <v>0</v>
      </c>
    </row>
    <row r="19" spans="1:18" ht="390">
      <c r="A19" s="4651" t="str">
        <f>'9.Training Annex'!A56</f>
        <v>9.2.4.2</v>
      </c>
      <c r="B19" s="78" t="str">
        <f>+'9-A.Training Sub-Annex'!C252</f>
        <v>J.1.2</v>
      </c>
      <c r="C19" s="78" t="str">
        <f>+'9-A.Training Sub-Annex'!D252</f>
        <v>Training of PHC Medical Officers, Nurses, Paramedical Workers &amp; Other Health Staff working under NMHP</v>
      </c>
      <c r="D19" s="990" t="str">
        <f>+'9-A.Training Sub-Annex'!E252</f>
        <v>NCD</v>
      </c>
      <c r="E19" s="990" t="str">
        <f>+'9-A.Training Sub-Annex'!F252</f>
        <v>NMHP</v>
      </c>
      <c r="F19" s="990">
        <f>+'9-A.Training Sub-Annex'!G252</f>
        <v>0</v>
      </c>
      <c r="G19" s="990">
        <f>+'9-A.Training Sub-Annex'!H252</f>
        <v>0</v>
      </c>
      <c r="H19" s="990">
        <f>+'9-A.Training Sub-Annex'!I252</f>
        <v>0</v>
      </c>
      <c r="I19" s="990">
        <f>+'9-A.Training Sub-Annex'!J252</f>
        <v>0</v>
      </c>
      <c r="J19" s="990">
        <f>+'9-A.Training Sub-Annex'!K252</f>
        <v>0</v>
      </c>
      <c r="K19" s="990" t="str">
        <f>+'9-A.Training Sub-Annex'!L252</f>
        <v>per batch</v>
      </c>
      <c r="L19" s="990">
        <f>+'9-A.Training Sub-Annex'!M252</f>
        <v>190000</v>
      </c>
      <c r="M19" s="136">
        <f>+'9-A.Training Sub-Annex'!N252</f>
        <v>1.9</v>
      </c>
      <c r="N19" s="990">
        <f>+'9-A.Training Sub-Annex'!O252</f>
        <v>29</v>
      </c>
      <c r="O19" s="136">
        <f>+'9-A.Training Sub-Annex'!P252</f>
        <v>55.099999999999994</v>
      </c>
      <c r="P19" s="78" t="str">
        <f>+'9-A.Training Sub-Annex'!Q252</f>
        <v xml:space="preserve">Rs. 190000 (One lakh ninty thousand) per batch approx ..total target in FY 2021-22 is 29 batches                                                                                                                                                                                                                                    1 : For Primary Health care Centres/CHC/Health and wellness centres- MBBS Medical OfficersTotal number of medical officers to be trained in one year: 600
Duration of training: 3 months 
Each batch 50 Doctors will be trained  (may vary depending on the district)
Mode of training: Blended – 2 days of Onsite training By NIMHANS, Bangalore Psychiatrists at the District Headquarters and Subsequent Online training sessions
Total number of batches in one year : 11 batches .                                                                                                              2 : Training Program for Community Health Officers(CHOs)
Total Number of CHOs to be trained in one year: 900
Duration of training: 2 months
Each batch 50 CHOs will be trained (may vary depending strength of CHOs in the a district)
Mode of training: Blended – 2 days of Onsite training By NIMHANS, Bangalore Psychiatrists at the District Headquarters and Subsequent Online training sessions
Total Number od Batches: 18 batches </v>
      </c>
      <c r="Q19" s="62"/>
      <c r="R19" s="318"/>
    </row>
    <row r="20" spans="1:18" ht="30">
      <c r="A20" s="4652"/>
      <c r="B20" s="78"/>
      <c r="C20" s="78" t="str">
        <f>+'9-A.Training Sub-Annex'!D253</f>
        <v>Any other (please specify)</v>
      </c>
      <c r="D20" s="990" t="str">
        <f>+'9-A.Training Sub-Annex'!E253</f>
        <v>NCD</v>
      </c>
      <c r="E20" s="990" t="str">
        <f>+'9-A.Training Sub-Annex'!F253</f>
        <v>NMHP</v>
      </c>
      <c r="F20" s="990">
        <f>+'9-A.Training Sub-Annex'!G253</f>
        <v>0</v>
      </c>
      <c r="G20" s="990">
        <f>+'9-A.Training Sub-Annex'!H253</f>
        <v>0</v>
      </c>
      <c r="H20" s="990">
        <f>+'9-A.Training Sub-Annex'!I253</f>
        <v>0</v>
      </c>
      <c r="I20" s="990">
        <f>+'9-A.Training Sub-Annex'!J253</f>
        <v>0</v>
      </c>
      <c r="J20" s="990">
        <f>+'9-A.Training Sub-Annex'!K253</f>
        <v>0</v>
      </c>
      <c r="K20" s="990">
        <f>+'9-A.Training Sub-Annex'!L253</f>
        <v>0</v>
      </c>
      <c r="L20" s="990">
        <f>+'9-A.Training Sub-Annex'!M253</f>
        <v>0</v>
      </c>
      <c r="M20" s="136">
        <f>+'9-A.Training Sub-Annex'!N253</f>
        <v>0</v>
      </c>
      <c r="N20" s="990">
        <f>+'9-A.Training Sub-Annex'!O253</f>
        <v>0</v>
      </c>
      <c r="O20" s="136">
        <f>+'9-A.Training Sub-Annex'!P253</f>
        <v>0</v>
      </c>
      <c r="P20" s="78">
        <f>+'9-A.Training Sub-Annex'!Q253</f>
        <v>0</v>
      </c>
      <c r="Q20" s="62"/>
      <c r="R20" s="318"/>
    </row>
    <row r="21" spans="1:18">
      <c r="A21" s="817">
        <f>'11.IEC-BCC Annex'!A7</f>
        <v>11</v>
      </c>
      <c r="B21" s="817"/>
      <c r="C21" s="817" t="str">
        <f>'11.IEC-BCC Annex'!C7</f>
        <v>IEC/BCC</v>
      </c>
      <c r="D21" s="818"/>
      <c r="E21" s="1219"/>
      <c r="F21" s="1219"/>
      <c r="G21" s="1219"/>
      <c r="H21" s="1212"/>
      <c r="I21" s="1219"/>
      <c r="J21" s="1212"/>
      <c r="K21" s="1220"/>
      <c r="L21" s="1220"/>
      <c r="M21" s="1212"/>
      <c r="N21" s="1214"/>
      <c r="O21" s="1215">
        <f>SUM(O22:O24)</f>
        <v>9.5</v>
      </c>
      <c r="P21" s="1216"/>
      <c r="Q21" s="1226"/>
      <c r="R21" s="1227">
        <f>SUM(R22:R24)</f>
        <v>0</v>
      </c>
    </row>
    <row r="22" spans="1:18" ht="60">
      <c r="A22" s="4641" t="str">
        <f>'11.IEC-BCC Annex'!A33</f>
        <v>11.4.2</v>
      </c>
      <c r="B22" s="78" t="str">
        <f>+'11-A. IEC Sub-Annex'!C81</f>
        <v>B.10.6.12.a</v>
      </c>
      <c r="C22" s="78" t="str">
        <f>+'11-A. IEC Sub-Annex'!D81</f>
        <v>Translation of IEC material and distribution</v>
      </c>
      <c r="D22" s="990" t="str">
        <f>+'11-A. IEC Sub-Annex'!E81</f>
        <v>NCD</v>
      </c>
      <c r="E22" s="990" t="str">
        <f>+'11-A. IEC Sub-Annex'!F81</f>
        <v>NMHP</v>
      </c>
      <c r="F22" s="990">
        <f>+'11-A. IEC Sub-Annex'!G81</f>
        <v>0</v>
      </c>
      <c r="G22" s="990">
        <f>+'11-A. IEC Sub-Annex'!H81</f>
        <v>0</v>
      </c>
      <c r="H22" s="990">
        <f>+'11-A. IEC Sub-Annex'!I81</f>
        <v>0</v>
      </c>
      <c r="I22" s="990">
        <f>+'11-A. IEC Sub-Annex'!J81</f>
        <v>0</v>
      </c>
      <c r="J22" s="990">
        <f>+'11-A. IEC Sub-Annex'!K81</f>
        <v>0</v>
      </c>
      <c r="K22" s="990" t="str">
        <f>+'11-A. IEC Sub-Annex'!L81</f>
        <v>per district</v>
      </c>
      <c r="L22" s="990">
        <f>+'11-A. IEC Sub-Annex'!M81</f>
        <v>25000</v>
      </c>
      <c r="M22" s="136">
        <f>+'11-A. IEC Sub-Annex'!N81</f>
        <v>0.25</v>
      </c>
      <c r="N22" s="990">
        <f>+'11-A. IEC Sub-Annex'!O81</f>
        <v>38</v>
      </c>
      <c r="O22" s="136">
        <f>+'11-A. IEC Sub-Annex'!P81</f>
        <v>9.5</v>
      </c>
      <c r="P22" s="78" t="str">
        <f>+'11-A. IEC Sub-Annex'!Q81</f>
        <v>Rs. 25000 per district for 38 district to IEC printing 
 (Banner, Poster, pumplet, leaflet &amp; wall printing/Tin Plate etc.)</v>
      </c>
      <c r="Q22" s="62"/>
      <c r="R22" s="318"/>
    </row>
    <row r="23" spans="1:18" ht="30">
      <c r="A23" s="4642"/>
      <c r="B23" s="78" t="str">
        <f>+'11-A. IEC Sub-Annex'!C82</f>
        <v>B.10.6.12.b</v>
      </c>
      <c r="C23" s="78" t="str">
        <f>+'11-A. IEC Sub-Annex'!D82</f>
        <v>Awareness generation activities in the community, schools, workplaces with community involvement</v>
      </c>
      <c r="D23" s="990" t="str">
        <f>+'11-A. IEC Sub-Annex'!E82</f>
        <v>NCD</v>
      </c>
      <c r="E23" s="990" t="str">
        <f>+'11-A. IEC Sub-Annex'!F82</f>
        <v>NMHP</v>
      </c>
      <c r="F23" s="990">
        <f>+'11-A. IEC Sub-Annex'!G82</f>
        <v>0</v>
      </c>
      <c r="G23" s="990">
        <f>+'11-A. IEC Sub-Annex'!H82</f>
        <v>0</v>
      </c>
      <c r="H23" s="990">
        <f>+'11-A. IEC Sub-Annex'!I82</f>
        <v>0</v>
      </c>
      <c r="I23" s="990">
        <f>+'11-A. IEC Sub-Annex'!J82</f>
        <v>0</v>
      </c>
      <c r="J23" s="990">
        <f>+'11-A. IEC Sub-Annex'!K82</f>
        <v>0</v>
      </c>
      <c r="K23" s="990">
        <f>+'11-A. IEC Sub-Annex'!L82</f>
        <v>0</v>
      </c>
      <c r="L23" s="990">
        <f>+'11-A. IEC Sub-Annex'!M82</f>
        <v>0</v>
      </c>
      <c r="M23" s="136">
        <f>+'11-A. IEC Sub-Annex'!N82</f>
        <v>0</v>
      </c>
      <c r="N23" s="990">
        <f>+'11-A. IEC Sub-Annex'!O82</f>
        <v>0</v>
      </c>
      <c r="O23" s="136">
        <f>+'11-A. IEC Sub-Annex'!P82</f>
        <v>0</v>
      </c>
      <c r="P23" s="78">
        <f>+'11-A. IEC Sub-Annex'!Q82</f>
        <v>0</v>
      </c>
      <c r="Q23" s="62"/>
      <c r="R23" s="318"/>
    </row>
    <row r="24" spans="1:18" ht="30">
      <c r="A24" s="4643"/>
      <c r="B24" s="78"/>
      <c r="C24" s="78" t="str">
        <f>+'11-A. IEC Sub-Annex'!D83</f>
        <v>Any other IEC/BCC activities (please specify)</v>
      </c>
      <c r="D24" s="990" t="str">
        <f>+'11-A. IEC Sub-Annex'!E83</f>
        <v>NCD</v>
      </c>
      <c r="E24" s="990" t="str">
        <f>+'11-A. IEC Sub-Annex'!F83</f>
        <v>NMHP</v>
      </c>
      <c r="F24" s="990">
        <f>+'11-A. IEC Sub-Annex'!G83</f>
        <v>0</v>
      </c>
      <c r="G24" s="990">
        <f>+'11-A. IEC Sub-Annex'!H83</f>
        <v>0</v>
      </c>
      <c r="H24" s="990">
        <f>+'11-A. IEC Sub-Annex'!I83</f>
        <v>0</v>
      </c>
      <c r="I24" s="990">
        <f>+'11-A. IEC Sub-Annex'!J83</f>
        <v>0</v>
      </c>
      <c r="J24" s="990">
        <f>+'11-A. IEC Sub-Annex'!K83</f>
        <v>0</v>
      </c>
      <c r="K24" s="990">
        <f>+'11-A. IEC Sub-Annex'!L83</f>
        <v>0</v>
      </c>
      <c r="L24" s="990">
        <f>+'11-A. IEC Sub-Annex'!M83</f>
        <v>0</v>
      </c>
      <c r="M24" s="136">
        <f>+'11-A. IEC Sub-Annex'!N83</f>
        <v>0</v>
      </c>
      <c r="N24" s="990">
        <f>+'11-A. IEC Sub-Annex'!O83</f>
        <v>0</v>
      </c>
      <c r="O24" s="136">
        <f>+'11-A. IEC Sub-Annex'!P83</f>
        <v>0</v>
      </c>
      <c r="P24" s="78">
        <f>+'11-A. IEC Sub-Annex'!Q83</f>
        <v>0</v>
      </c>
      <c r="Q24" s="62"/>
      <c r="R24" s="318"/>
    </row>
    <row r="25" spans="1:18">
      <c r="A25" s="817">
        <f>'12.Printing Annex'!A7</f>
        <v>12</v>
      </c>
      <c r="B25" s="817"/>
      <c r="C25" s="817" t="str">
        <f>'12.Printing Annex'!C7</f>
        <v>Printing</v>
      </c>
      <c r="D25" s="818"/>
      <c r="E25" s="1219"/>
      <c r="F25" s="1219"/>
      <c r="G25" s="1219"/>
      <c r="H25" s="1212"/>
      <c r="I25" s="1219"/>
      <c r="J25" s="1212"/>
      <c r="K25" s="1220"/>
      <c r="L25" s="1220"/>
      <c r="M25" s="1212"/>
      <c r="N25" s="1214"/>
      <c r="O25" s="1215">
        <f>O26</f>
        <v>0</v>
      </c>
      <c r="P25" s="1216"/>
      <c r="Q25" s="1226"/>
      <c r="R25" s="1227">
        <f>R26</f>
        <v>0</v>
      </c>
    </row>
    <row r="26" spans="1:18" ht="30">
      <c r="A26" s="78" t="str">
        <f>'12.Printing Annex'!A35</f>
        <v>12.4.2</v>
      </c>
      <c r="B26" s="78">
        <f>'12-A. Print Sub-Annex'!C93</f>
        <v>0</v>
      </c>
      <c r="C26" s="78" t="str">
        <f>'12-A. Print Sub-Annex'!D93</f>
        <v>Printing activities under NMHP</v>
      </c>
      <c r="D26" s="990" t="str">
        <f>'12-A. Print Sub-Annex'!E93</f>
        <v>NCD</v>
      </c>
      <c r="E26" s="990" t="str">
        <f>'12-A. Print Sub-Annex'!F93</f>
        <v>NMHP</v>
      </c>
      <c r="F26" s="990">
        <f>'12-A. Print Sub-Annex'!G93</f>
        <v>0</v>
      </c>
      <c r="G26" s="990">
        <f>'12-A. Print Sub-Annex'!H93</f>
        <v>0</v>
      </c>
      <c r="H26" s="990">
        <f>'12-A. Print Sub-Annex'!I93</f>
        <v>0</v>
      </c>
      <c r="I26" s="990">
        <f>'12-A. Print Sub-Annex'!J93</f>
        <v>0</v>
      </c>
      <c r="J26" s="990">
        <f>'12-A. Print Sub-Annex'!K93</f>
        <v>0</v>
      </c>
      <c r="K26" s="990">
        <f>'12-A. Print Sub-Annex'!L93</f>
        <v>0</v>
      </c>
      <c r="L26" s="990">
        <f>'12-A. Print Sub-Annex'!M93</f>
        <v>0</v>
      </c>
      <c r="M26" s="136">
        <f>'12-A. Print Sub-Annex'!N93</f>
        <v>0</v>
      </c>
      <c r="N26" s="990">
        <f>'12-A. Print Sub-Annex'!O93</f>
        <v>0</v>
      </c>
      <c r="O26" s="136">
        <f>'12-A. Print Sub-Annex'!P93</f>
        <v>0</v>
      </c>
      <c r="P26" s="78">
        <f>'12-A. Print Sub-Annex'!Q93</f>
        <v>0</v>
      </c>
      <c r="Q26" s="62"/>
      <c r="R26" s="318"/>
    </row>
    <row r="27" spans="1:18">
      <c r="A27" s="817">
        <f>'15.PPP Annex'!A7</f>
        <v>15</v>
      </c>
      <c r="B27" s="817"/>
      <c r="C27" s="817" t="str">
        <f>'15.PPP Annex'!C7</f>
        <v>PPP</v>
      </c>
      <c r="D27" s="818"/>
      <c r="E27" s="1219"/>
      <c r="F27" s="1219"/>
      <c r="G27" s="1219"/>
      <c r="H27" s="1212"/>
      <c r="I27" s="1219"/>
      <c r="J27" s="1212"/>
      <c r="K27" s="1220"/>
      <c r="L27" s="1220"/>
      <c r="M27" s="1212"/>
      <c r="N27" s="1214"/>
      <c r="O27" s="1215">
        <f>O28</f>
        <v>0</v>
      </c>
      <c r="P27" s="1216"/>
      <c r="Q27" s="1226"/>
      <c r="R27" s="1227">
        <f>R28</f>
        <v>0</v>
      </c>
    </row>
    <row r="28" spans="1:18" ht="30">
      <c r="A28" s="78" t="str">
        <f>+'15.PPP Annex'!A46</f>
        <v>15.4.4</v>
      </c>
      <c r="B28" s="78"/>
      <c r="C28" s="78" t="str">
        <f>+'15.PPP Annex'!C46</f>
        <v>NGO based activities under NMHP</v>
      </c>
      <c r="D28" s="990" t="str">
        <f>+'15.PPP Annex'!D46</f>
        <v>NCD</v>
      </c>
      <c r="E28" s="990" t="str">
        <f>+'15.PPP Annex'!E46</f>
        <v>NMHP</v>
      </c>
      <c r="F28" s="990">
        <f>+'15.PPP Annex'!F46</f>
        <v>0</v>
      </c>
      <c r="G28" s="990">
        <f>+'15.PPP Annex'!G46</f>
        <v>0</v>
      </c>
      <c r="H28" s="990">
        <f>+'15.PPP Annex'!H46</f>
        <v>0</v>
      </c>
      <c r="I28" s="990">
        <f>+'15.PPP Annex'!I46</f>
        <v>0</v>
      </c>
      <c r="J28" s="990">
        <f>+'15.PPP Annex'!J46</f>
        <v>0</v>
      </c>
      <c r="K28" s="990">
        <f>+'15.PPP Annex'!K46</f>
        <v>0</v>
      </c>
      <c r="L28" s="990">
        <f>+'15.PPP Annex'!L46</f>
        <v>0</v>
      </c>
      <c r="M28" s="136">
        <f>+'15.PPP Annex'!M46</f>
        <v>0</v>
      </c>
      <c r="N28" s="990">
        <f>+'15.PPP Annex'!N46</f>
        <v>0</v>
      </c>
      <c r="O28" s="136">
        <f>+'15.PPP Annex'!O46</f>
        <v>0</v>
      </c>
      <c r="P28" s="78">
        <f>+'15.PPP Annex'!P46</f>
        <v>0</v>
      </c>
      <c r="Q28" s="62"/>
      <c r="R28" s="318"/>
    </row>
    <row r="29" spans="1:18">
      <c r="A29" s="416">
        <f>'16.PM Annex'!A7</f>
        <v>16</v>
      </c>
      <c r="B29" s="416"/>
      <c r="C29" s="416" t="str">
        <f>'16.PM Annex'!C7</f>
        <v>Programme Management</v>
      </c>
      <c r="D29" s="417"/>
      <c r="E29" s="1224"/>
      <c r="F29" s="1224"/>
      <c r="G29" s="1224"/>
      <c r="H29" s="1212"/>
      <c r="I29" s="1224"/>
      <c r="J29" s="1212"/>
      <c r="K29" s="1225"/>
      <c r="L29" s="1225"/>
      <c r="M29" s="1212"/>
      <c r="N29" s="1214"/>
      <c r="O29" s="1215">
        <f>SUM(O30:O33)</f>
        <v>29.799980000000001</v>
      </c>
      <c r="P29" s="1216"/>
      <c r="Q29" s="1226"/>
      <c r="R29" s="1227">
        <f>SUM(R30:R33)</f>
        <v>0</v>
      </c>
    </row>
    <row r="30" spans="1:18" ht="30">
      <c r="A30" s="78" t="str">
        <f>'16-A. PM sub Annex'!B17</f>
        <v>16.1.1.8</v>
      </c>
      <c r="B30" s="78" t="str">
        <f>'16-A. PM sub Annex'!D17</f>
        <v>J.1.1</v>
      </c>
      <c r="C30" s="78" t="str">
        <f>'16-A. PM sub Annex'!E17</f>
        <v>Preparatory phase : Development of district plan</v>
      </c>
      <c r="D30" s="990" t="str">
        <f>'16-A. PM sub Annex'!F17</f>
        <v>NCD</v>
      </c>
      <c r="E30" s="990" t="str">
        <f>'16-A. PM sub Annex'!G17</f>
        <v>HRH&amp;HPIP/NMHP</v>
      </c>
      <c r="F30" s="990">
        <f>'16-A. PM sub Annex'!H17</f>
        <v>0</v>
      </c>
      <c r="G30" s="990">
        <f>'16-A. PM sub Annex'!I17</f>
        <v>0</v>
      </c>
      <c r="H30" s="990">
        <f>'16-A. PM sub Annex'!J17</f>
        <v>0</v>
      </c>
      <c r="I30" s="990">
        <f>'16-A. PM sub Annex'!K17</f>
        <v>0</v>
      </c>
      <c r="J30" s="990">
        <f>'16-A. PM sub Annex'!L17</f>
        <v>0</v>
      </c>
      <c r="K30" s="990">
        <f>'16-A. PM sub Annex'!M17</f>
        <v>0</v>
      </c>
      <c r="L30" s="990">
        <f>'16-A. PM sub Annex'!N17</f>
        <v>0</v>
      </c>
      <c r="M30" s="136">
        <f>'16-A. PM sub Annex'!O17</f>
        <v>0</v>
      </c>
      <c r="N30" s="990">
        <f>'16-A. PM sub Annex'!P17</f>
        <v>0</v>
      </c>
      <c r="O30" s="136">
        <f>'16-A. PM sub Annex'!Q17</f>
        <v>0</v>
      </c>
      <c r="P30" s="78">
        <f>'16-A. PM sub Annex'!R17</f>
        <v>0</v>
      </c>
      <c r="Q30" s="62"/>
      <c r="R30" s="318"/>
    </row>
    <row r="31" spans="1:18" ht="90">
      <c r="A31" s="78" t="str">
        <f>'16-A. PM sub Annex'!B106</f>
        <v>16.1.3.3.13</v>
      </c>
      <c r="B31" s="78" t="str">
        <f>'16-A. PM sub Annex'!D106</f>
        <v>J.1.7</v>
      </c>
      <c r="C31" s="78" t="str">
        <f>'16-A. PM sub Annex'!E106</f>
        <v>Miscellaneous/ Travel</v>
      </c>
      <c r="D31" s="990" t="str">
        <f>'16-A. PM sub Annex'!F106</f>
        <v>NCD</v>
      </c>
      <c r="E31" s="990" t="str">
        <f>'16-A. PM sub Annex'!G106</f>
        <v>HRH&amp;HPIP/NMHP</v>
      </c>
      <c r="F31" s="990">
        <f>'16-A. PM sub Annex'!H106</f>
        <v>0</v>
      </c>
      <c r="G31" s="990">
        <f>'16-A. PM sub Annex'!I106</f>
        <v>0</v>
      </c>
      <c r="H31" s="990">
        <f>'16-A. PM sub Annex'!J106</f>
        <v>0</v>
      </c>
      <c r="I31" s="990">
        <f>'16-A. PM sub Annex'!K106</f>
        <v>0</v>
      </c>
      <c r="J31" s="990">
        <f>'16-A. PM sub Annex'!L106</f>
        <v>0</v>
      </c>
      <c r="K31" s="990" t="str">
        <f>'16-A. PM sub Annex'!M106</f>
        <v>per district</v>
      </c>
      <c r="L31" s="990">
        <f>'16-A. PM sub Annex'!N106</f>
        <v>43421</v>
      </c>
      <c r="M31" s="136">
        <f>'16-A. PM sub Annex'!O106</f>
        <v>0.43420999999999998</v>
      </c>
      <c r="N31" s="990">
        <f>'16-A. PM sub Annex'!P106</f>
        <v>38</v>
      </c>
      <c r="O31" s="136">
        <f>'16-A. PM sub Annex'!Q106</f>
        <v>16.499980000000001</v>
      </c>
      <c r="P31" s="78" t="str">
        <f>'16-A. PM sub Annex'!R106</f>
        <v xml:space="preserve">Rs. 25000/ thousand per district for 38 district under miscellaneous exp (office expenses) &amp; 5 lakh at state level for vehicle to dictrict visit &amp; 2 lakh for doctor travel exp for psychiatry OPD one district to other. </v>
      </c>
      <c r="Q31" s="62"/>
      <c r="R31" s="318"/>
    </row>
    <row r="32" spans="1:18" ht="45">
      <c r="A32" s="78" t="str">
        <f>'16-A. PM sub Annex'!B141</f>
        <v>16.1.4.2.6</v>
      </c>
      <c r="B32" s="78" t="str">
        <f>'16-A. PM sub Annex'!D141</f>
        <v>J.1.5</v>
      </c>
      <c r="C32" s="78" t="str">
        <f>'16-A. PM sub Annex'!E141</f>
        <v>Operational expenses of the district centre : rent, telephone expenses, website etc.</v>
      </c>
      <c r="D32" s="990" t="str">
        <f>'16-A. PM sub Annex'!F141</f>
        <v>NCD</v>
      </c>
      <c r="E32" s="990" t="str">
        <f>'16-A. PM sub Annex'!G141</f>
        <v>HRH&amp;HPIP/NMHP</v>
      </c>
      <c r="F32" s="990">
        <f>'16-A. PM sub Annex'!H141</f>
        <v>0</v>
      </c>
      <c r="G32" s="990">
        <f>'16-A. PM sub Annex'!I141</f>
        <v>0</v>
      </c>
      <c r="H32" s="990">
        <f>'16-A. PM sub Annex'!J141</f>
        <v>0</v>
      </c>
      <c r="I32" s="990">
        <f>'16-A. PM sub Annex'!K141</f>
        <v>0</v>
      </c>
      <c r="J32" s="990">
        <f>'16-A. PM sub Annex'!L141</f>
        <v>0</v>
      </c>
      <c r="K32" s="990" t="str">
        <f>'16-A. PM sub Annex'!M141</f>
        <v>per district</v>
      </c>
      <c r="L32" s="990">
        <f>'16-A. PM sub Annex'!N141</f>
        <v>10000</v>
      </c>
      <c r="M32" s="136">
        <f>'16-A. PM sub Annex'!O141</f>
        <v>0.1</v>
      </c>
      <c r="N32" s="990">
        <f>'16-A. PM sub Annex'!P141</f>
        <v>38</v>
      </c>
      <c r="O32" s="136">
        <f>'16-A. PM sub Annex'!Q141</f>
        <v>3.8000000000000003</v>
      </c>
      <c r="P32" s="78" t="str">
        <f>'16-A. PM sub Annex'!R141</f>
        <v>Rs. 10000 per district per for 38 district to telephone &amp; Broadband connection at DMHP center</v>
      </c>
      <c r="Q32" s="62"/>
      <c r="R32" s="318"/>
    </row>
    <row r="33" spans="1:18" ht="30">
      <c r="A33" s="78" t="str">
        <f>'16-A. PM sub Annex'!B142</f>
        <v>16.1.4.2.7</v>
      </c>
      <c r="B33" s="78" t="str">
        <f>'16-A. PM sub Annex'!D142</f>
        <v>J.1.7</v>
      </c>
      <c r="C33" s="78" t="str">
        <f>'16-A. PM sub Annex'!E142</f>
        <v>Contingency under NMHP</v>
      </c>
      <c r="D33" s="990" t="str">
        <f>'16-A. PM sub Annex'!F142</f>
        <v>NCD</v>
      </c>
      <c r="E33" s="990" t="str">
        <f>'16-A. PM sub Annex'!G142</f>
        <v>HRH&amp;HPIP/NMHP</v>
      </c>
      <c r="F33" s="990">
        <f>'16-A. PM sub Annex'!H142</f>
        <v>0</v>
      </c>
      <c r="G33" s="990">
        <f>'16-A. PM sub Annex'!I142</f>
        <v>0</v>
      </c>
      <c r="H33" s="990">
        <f>'16-A. PM sub Annex'!J142</f>
        <v>0</v>
      </c>
      <c r="I33" s="990">
        <f>'16-A. PM sub Annex'!K142</f>
        <v>0</v>
      </c>
      <c r="J33" s="990">
        <f>'16-A. PM sub Annex'!L142</f>
        <v>0</v>
      </c>
      <c r="K33" s="990" t="str">
        <f>'16-A. PM sub Annex'!M142</f>
        <v>per district</v>
      </c>
      <c r="L33" s="990">
        <f>'16-A. PM sub Annex'!N142</f>
        <v>25000</v>
      </c>
      <c r="M33" s="136">
        <f>'16-A. PM sub Annex'!O142</f>
        <v>0.25</v>
      </c>
      <c r="N33" s="990">
        <f>'16-A. PM sub Annex'!P142</f>
        <v>38</v>
      </c>
      <c r="O33" s="136">
        <f>'16-A. PM sub Annex'!Q142</f>
        <v>9.5</v>
      </c>
      <c r="P33" s="78" t="str">
        <f>'16-A. PM sub Annex'!R142</f>
        <v>Contingency for staff working under NMHP (as per actual)</v>
      </c>
      <c r="Q33" s="62"/>
      <c r="R33" s="318"/>
    </row>
  </sheetData>
  <sheetProtection sheet="1" formatCells="0" formatColumns="0" formatRows="0" autoFilter="0"/>
  <autoFilter ref="A5:M33"/>
  <mergeCells count="12">
    <mergeCell ref="A13:A14"/>
    <mergeCell ref="A19:A20"/>
    <mergeCell ref="A22:A24"/>
    <mergeCell ref="Q4:R4"/>
    <mergeCell ref="E4:E5"/>
    <mergeCell ref="F4:J4"/>
    <mergeCell ref="K4:P4"/>
    <mergeCell ref="A1:C1"/>
    <mergeCell ref="A4:A5"/>
    <mergeCell ref="B4:B5"/>
    <mergeCell ref="C4:C5"/>
    <mergeCell ref="D4:D5"/>
  </mergeCell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P472"/>
  <sheetViews>
    <sheetView zoomScale="70" zoomScaleNormal="70" workbookViewId="0">
      <pane xSplit="3" ySplit="5" topLeftCell="G106"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7109375" defaultRowHeight="12.75"/>
  <cols>
    <col min="1" max="1" width="9.42578125" style="2" bestFit="1" customWidth="1"/>
    <col min="2" max="2" width="11.42578125" style="2" customWidth="1"/>
    <col min="3" max="3" width="39.42578125" style="2" customWidth="1"/>
    <col min="4" max="4" width="17.7109375" style="2" customWidth="1"/>
    <col min="5" max="5" width="15.28515625" style="2" customWidth="1"/>
    <col min="6" max="6" width="15" style="2" customWidth="1"/>
    <col min="7" max="7" width="17.42578125" style="2" customWidth="1"/>
    <col min="8" max="8" width="19.85546875" style="2" customWidth="1"/>
    <col min="9" max="9" width="17.28515625" style="2" customWidth="1"/>
    <col min="10" max="10" width="14.28515625" style="2" customWidth="1"/>
    <col min="11" max="11" width="17" style="2" customWidth="1"/>
    <col min="12" max="12" width="12.85546875" style="2" customWidth="1"/>
    <col min="13" max="13" width="19.140625" style="2" customWidth="1"/>
    <col min="14" max="14" width="27.7109375" style="2" customWidth="1"/>
    <col min="15" max="15" width="33.85546875" style="2" customWidth="1"/>
    <col min="16" max="16" width="20" style="2" customWidth="1"/>
    <col min="17" max="16384" width="8.7109375" style="2"/>
  </cols>
  <sheetData>
    <row r="1" spans="1:16">
      <c r="A1" s="4655" t="s">
        <v>4348</v>
      </c>
      <c r="B1" s="4655"/>
      <c r="C1" s="4655"/>
      <c r="D1" s="4655"/>
      <c r="E1" s="4655"/>
      <c r="F1" s="4655"/>
      <c r="G1" s="4655"/>
      <c r="H1" s="4655"/>
      <c r="I1" s="4655"/>
      <c r="J1" s="4655"/>
      <c r="K1" s="4655"/>
      <c r="L1" s="4655"/>
      <c r="M1" s="4655"/>
      <c r="N1" s="4655"/>
      <c r="O1" s="4655"/>
      <c r="P1" s="4655"/>
    </row>
    <row r="2" spans="1:16" s="30" customFormat="1">
      <c r="A2" s="28" t="str">
        <f>HYPERLINK("#Index!D2", "Index Pg")</f>
        <v>Index Pg</v>
      </c>
      <c r="B2" s="13"/>
      <c r="C2" s="14" t="str">
        <f>HYPERLINK("#'Budget Summary II'!A3:B5", "Budget Summary II")</f>
        <v>Budget Summary II</v>
      </c>
      <c r="D2" s="29"/>
      <c r="E2" s="29"/>
      <c r="F2" s="29"/>
      <c r="G2" s="29"/>
      <c r="H2" s="29"/>
      <c r="I2" s="29"/>
      <c r="J2" s="3"/>
      <c r="K2" s="3"/>
      <c r="L2" s="3"/>
      <c r="M2" s="3"/>
      <c r="N2" s="3"/>
      <c r="O2" s="3"/>
      <c r="P2" s="3"/>
    </row>
    <row r="3" spans="1:16" ht="12.75" customHeight="1">
      <c r="A3" s="4657" t="s">
        <v>53</v>
      </c>
      <c r="B3" s="4657" t="s">
        <v>54</v>
      </c>
      <c r="C3" s="4657" t="s">
        <v>55</v>
      </c>
      <c r="D3" s="4656" t="s">
        <v>4620</v>
      </c>
      <c r="E3" s="4656"/>
      <c r="F3" s="4656"/>
      <c r="G3" s="4656"/>
      <c r="H3" s="4656"/>
      <c r="I3" s="4659" t="s">
        <v>4631</v>
      </c>
      <c r="J3" s="4660"/>
      <c r="K3" s="4660"/>
      <c r="L3" s="4660"/>
      <c r="M3" s="4660"/>
      <c r="N3" s="4661"/>
      <c r="O3" s="4662" t="s">
        <v>4661</v>
      </c>
      <c r="P3" s="4663"/>
    </row>
    <row r="4" spans="1:16" ht="51">
      <c r="A4" s="4658"/>
      <c r="B4" s="4658"/>
      <c r="C4" s="4658"/>
      <c r="D4" s="52" t="s">
        <v>4621</v>
      </c>
      <c r="E4" s="52" t="s">
        <v>4629</v>
      </c>
      <c r="F4" s="52" t="s">
        <v>4622</v>
      </c>
      <c r="G4" s="52" t="s">
        <v>4630</v>
      </c>
      <c r="H4" s="53" t="s">
        <v>2534</v>
      </c>
      <c r="I4" s="50" t="s">
        <v>58</v>
      </c>
      <c r="J4" s="50" t="s">
        <v>59</v>
      </c>
      <c r="K4" s="51" t="s">
        <v>60</v>
      </c>
      <c r="L4" s="50" t="s">
        <v>61</v>
      </c>
      <c r="M4" s="51" t="s">
        <v>62</v>
      </c>
      <c r="N4" s="50" t="s">
        <v>63</v>
      </c>
      <c r="O4" s="54" t="s">
        <v>2536</v>
      </c>
      <c r="P4" s="55" t="s">
        <v>4662</v>
      </c>
    </row>
    <row r="5" spans="1:16" s="37" customFormat="1">
      <c r="A5" s="17"/>
      <c r="B5" s="17"/>
      <c r="C5" s="18" t="s">
        <v>4149</v>
      </c>
      <c r="D5" s="45"/>
      <c r="E5" s="45"/>
      <c r="F5" s="45">
        <f>F6+F12+F103+F212+F214+F217+F223+F226+F237+F264</f>
        <v>1226.08</v>
      </c>
      <c r="G5" s="45">
        <f>G6+G12+G103+G212+G214+G217+G223+G226+G237+G264</f>
        <v>207.45</v>
      </c>
      <c r="H5" s="45">
        <f>H6+H12+H103+H212+H214+H217+H223+H226+H237+H264</f>
        <v>0</v>
      </c>
      <c r="I5" s="17"/>
      <c r="J5" s="17"/>
      <c r="K5" s="36"/>
      <c r="L5" s="17"/>
      <c r="M5" s="45">
        <f>M6+M12+M103+M212+M214+M217+M223+M226+M237+M264</f>
        <v>107322.72927</v>
      </c>
      <c r="N5" s="17"/>
      <c r="O5" s="17"/>
      <c r="P5" s="45">
        <f>P6+P12+P103+P212+P214+P217+P223+P226+P237+P264</f>
        <v>0</v>
      </c>
    </row>
    <row r="6" spans="1:16" ht="25.5">
      <c r="A6" s="31">
        <f>'2.SD Community Based Annex'!A7</f>
        <v>2</v>
      </c>
      <c r="B6" s="31">
        <f>'2.SD Community Based Annex'!B7</f>
        <v>0</v>
      </c>
      <c r="C6" s="31" t="str">
        <f>'2.SD Community Based Annex'!C7</f>
        <v>Service Delivery - Community Based</v>
      </c>
      <c r="D6" s="38"/>
      <c r="E6" s="38"/>
      <c r="F6" s="38">
        <f>F7</f>
        <v>0</v>
      </c>
      <c r="G6" s="38">
        <f>G7</f>
        <v>0</v>
      </c>
      <c r="H6" s="38">
        <f>H7</f>
        <v>0</v>
      </c>
      <c r="I6" s="38"/>
      <c r="J6" s="38"/>
      <c r="K6" s="38"/>
      <c r="L6" s="38"/>
      <c r="M6" s="38">
        <f>M7</f>
        <v>0</v>
      </c>
      <c r="N6" s="38"/>
      <c r="O6" s="38"/>
      <c r="P6" s="38">
        <f>P7</f>
        <v>0</v>
      </c>
    </row>
    <row r="7" spans="1:16" s="11" customFormat="1">
      <c r="A7" s="32">
        <f>'2.SD Community Based Annex'!A8</f>
        <v>2.1</v>
      </c>
      <c r="B7" s="32">
        <f>'2.SD Community Based Annex'!B8</f>
        <v>0</v>
      </c>
      <c r="C7" s="32" t="str">
        <f>'2.SD Community Based Annex'!C8</f>
        <v>Mobile Units</v>
      </c>
      <c r="D7" s="39"/>
      <c r="E7" s="39"/>
      <c r="F7" s="39">
        <f>F8+F10</f>
        <v>0</v>
      </c>
      <c r="G7" s="39">
        <f>G8+G10</f>
        <v>0</v>
      </c>
      <c r="H7" s="39">
        <f>H8+H10</f>
        <v>0</v>
      </c>
      <c r="I7" s="39"/>
      <c r="J7" s="39"/>
      <c r="K7" s="39"/>
      <c r="L7" s="39"/>
      <c r="M7" s="39">
        <f>M8+M10</f>
        <v>0</v>
      </c>
      <c r="N7" s="39"/>
      <c r="O7" s="39"/>
      <c r="P7" s="39">
        <f>P8+P10</f>
        <v>0</v>
      </c>
    </row>
    <row r="8" spans="1:16" s="11" customFormat="1" ht="25.5">
      <c r="A8" s="20" t="str">
        <f>'2.SD Community Based Annex'!A9</f>
        <v>2.1.1</v>
      </c>
      <c r="B8" s="20" t="str">
        <f>'2.SD Community Based Annex'!B9</f>
        <v>B11</v>
      </c>
      <c r="C8" s="20" t="str">
        <f>'2.SD Community Based Annex'!C9</f>
        <v>National Mobile Medical Units (MMU)</v>
      </c>
      <c r="D8" s="40"/>
      <c r="E8" s="40"/>
      <c r="F8" s="40">
        <f>F9</f>
        <v>0</v>
      </c>
      <c r="G8" s="40">
        <f>G9</f>
        <v>0</v>
      </c>
      <c r="H8" s="40">
        <f>H9</f>
        <v>0</v>
      </c>
      <c r="I8" s="40"/>
      <c r="J8" s="40"/>
      <c r="K8" s="40"/>
      <c r="L8" s="40"/>
      <c r="M8" s="40">
        <f>M9</f>
        <v>0</v>
      </c>
      <c r="N8" s="40"/>
      <c r="O8" s="40"/>
      <c r="P8" s="40">
        <f>P9</f>
        <v>0</v>
      </c>
    </row>
    <row r="9" spans="1:16">
      <c r="A9" s="4" t="str">
        <f>'2.SD Community Based Annex'!A10</f>
        <v>2.1.1.1</v>
      </c>
      <c r="B9" s="4" t="str">
        <f>'2.SD Community Based Annex'!B10</f>
        <v>B11.1.1</v>
      </c>
      <c r="C9" s="4" t="str">
        <f>'2.SD Community Based Annex'!C10</f>
        <v>Capex</v>
      </c>
      <c r="D9" s="8">
        <f>'2.SD Community Based Annex'!F10</f>
        <v>0</v>
      </c>
      <c r="E9" s="8">
        <f>'2.SD Community Based Annex'!G10</f>
        <v>0</v>
      </c>
      <c r="F9" s="8">
        <f>'2.SD Community Based Annex'!H10</f>
        <v>0</v>
      </c>
      <c r="G9" s="8">
        <f>'2.SD Community Based Annex'!I10</f>
        <v>0</v>
      </c>
      <c r="H9" s="8">
        <f>'2.SD Community Based Annex'!J10</f>
        <v>0</v>
      </c>
      <c r="I9" s="8">
        <f>'2.SD Community Based Annex'!K10</f>
        <v>0</v>
      </c>
      <c r="J9" s="8">
        <f>'2.SD Community Based Annex'!L10</f>
        <v>0</v>
      </c>
      <c r="K9" s="8">
        <f>'2.SD Community Based Annex'!M10</f>
        <v>0</v>
      </c>
      <c r="L9" s="8">
        <f>'2.SD Community Based Annex'!N10</f>
        <v>0</v>
      </c>
      <c r="M9" s="8">
        <f>'2.SD Community Based Annex'!O10</f>
        <v>0</v>
      </c>
      <c r="N9" s="8">
        <f>'2.SD Community Based Annex'!P10</f>
        <v>0</v>
      </c>
      <c r="O9" s="8">
        <f>'2.SD Community Based Annex'!Q10</f>
        <v>0</v>
      </c>
      <c r="P9" s="8">
        <f>'2.SD Community Based Annex'!R10</f>
        <v>0</v>
      </c>
    </row>
    <row r="10" spans="1:16" s="11" customFormat="1" ht="38.25">
      <c r="A10" s="19" t="str">
        <f>'2.SD Community Based Annex'!A12</f>
        <v>2.1.2</v>
      </c>
      <c r="B10" s="19" t="str">
        <f>'2.SD Community Based Annex'!B12</f>
        <v>B11.2</v>
      </c>
      <c r="C10" s="19" t="str">
        <f>'2.SD Community Based Annex'!C12</f>
        <v>National Mobile Medical Vans (smaller vehicles) and specialised Mobile Medical Units</v>
      </c>
      <c r="D10" s="40"/>
      <c r="E10" s="40"/>
      <c r="F10" s="40">
        <f>F11</f>
        <v>0</v>
      </c>
      <c r="G10" s="40">
        <f>G11</f>
        <v>0</v>
      </c>
      <c r="H10" s="40">
        <f>H11</f>
        <v>0</v>
      </c>
      <c r="I10" s="40"/>
      <c r="J10" s="40"/>
      <c r="K10" s="40"/>
      <c r="L10" s="40"/>
      <c r="M10" s="40">
        <f>M11</f>
        <v>0</v>
      </c>
      <c r="N10" s="40"/>
      <c r="O10" s="40"/>
      <c r="P10" s="40">
        <f>P11</f>
        <v>0</v>
      </c>
    </row>
    <row r="11" spans="1:16">
      <c r="A11" s="3" t="str">
        <f>'2.SD Community Based Annex'!A13</f>
        <v>2.1.2.1</v>
      </c>
      <c r="B11" s="3" t="str">
        <f>'2.SD Community Based Annex'!B13</f>
        <v>B11.2.1</v>
      </c>
      <c r="C11" s="3" t="str">
        <f>'2.SD Community Based Annex'!C13</f>
        <v>Capex</v>
      </c>
      <c r="D11" s="8">
        <f>'2.SD Community Based Annex'!F13</f>
        <v>0</v>
      </c>
      <c r="E11" s="8">
        <f>'2.SD Community Based Annex'!G13</f>
        <v>0</v>
      </c>
      <c r="F11" s="8">
        <f>'2.SD Community Based Annex'!H13</f>
        <v>0</v>
      </c>
      <c r="G11" s="8">
        <f>'2.SD Community Based Annex'!I13</f>
        <v>0</v>
      </c>
      <c r="H11" s="8">
        <f>'2.SD Community Based Annex'!J13</f>
        <v>0</v>
      </c>
      <c r="I11" s="8">
        <f>'2.SD Community Based Annex'!K13</f>
        <v>0</v>
      </c>
      <c r="J11" s="8">
        <f>'2.SD Community Based Annex'!L13</f>
        <v>0</v>
      </c>
      <c r="K11" s="8">
        <f>'2.SD Community Based Annex'!M13</f>
        <v>0</v>
      </c>
      <c r="L11" s="8">
        <f>'2.SD Community Based Annex'!N13</f>
        <v>0</v>
      </c>
      <c r="M11" s="8">
        <f>'2.SD Community Based Annex'!O13</f>
        <v>0</v>
      </c>
      <c r="N11" s="8">
        <f>'2.SD Community Based Annex'!P13</f>
        <v>0</v>
      </c>
      <c r="O11" s="8">
        <f>'2.SD Community Based Annex'!Q13</f>
        <v>0</v>
      </c>
      <c r="P11" s="8">
        <f>'2.SD Community Based Annex'!R13</f>
        <v>0</v>
      </c>
    </row>
    <row r="12" spans="1:16">
      <c r="A12" s="31">
        <f>'5.Infrastructure Annex'!A7</f>
        <v>5</v>
      </c>
      <c r="B12" s="31">
        <f>'5.Infrastructure Annex'!B7</f>
        <v>0</v>
      </c>
      <c r="C12" s="31" t="str">
        <f>'5.Infrastructure Annex'!C7</f>
        <v>Infrastructure</v>
      </c>
      <c r="D12" s="38"/>
      <c r="E12" s="38"/>
      <c r="F12" s="38">
        <f>F13+F59+F86</f>
        <v>655.36</v>
      </c>
      <c r="G12" s="38">
        <f>G13+G59+G86</f>
        <v>56.12</v>
      </c>
      <c r="H12" s="38">
        <f>H13+H59+H86</f>
        <v>0</v>
      </c>
      <c r="I12" s="38"/>
      <c r="J12" s="38"/>
      <c r="K12" s="38"/>
      <c r="L12" s="38"/>
      <c r="M12" s="38">
        <f>M13+M59+M86</f>
        <v>71740.015629999994</v>
      </c>
      <c r="N12" s="38"/>
      <c r="O12" s="38"/>
      <c r="P12" s="38">
        <f>P13+P59+P86</f>
        <v>0</v>
      </c>
    </row>
    <row r="13" spans="1:16" ht="38.25">
      <c r="A13" s="32">
        <f>'5.Infrastructure Annex'!A8</f>
        <v>5.0999999999999996</v>
      </c>
      <c r="B13" s="32">
        <f>'5.Infrastructure Annex'!B8</f>
        <v>0</v>
      </c>
      <c r="C13" s="32" t="str">
        <f>'5.Infrastructure Annex'!C8</f>
        <v>Upgradation of existing facilities as per IPHS norms including staff quarters</v>
      </c>
      <c r="D13" s="39"/>
      <c r="E13" s="39"/>
      <c r="F13" s="39">
        <f>F14+F58</f>
        <v>345</v>
      </c>
      <c r="G13" s="39">
        <f>G14+G58</f>
        <v>0</v>
      </c>
      <c r="H13" s="39">
        <f>H14+H58</f>
        <v>0</v>
      </c>
      <c r="I13" s="39"/>
      <c r="J13" s="39"/>
      <c r="K13" s="39"/>
      <c r="L13" s="39"/>
      <c r="M13" s="39">
        <f>M14+M58</f>
        <v>59996.204879999998</v>
      </c>
      <c r="N13" s="39"/>
      <c r="O13" s="39"/>
      <c r="P13" s="39">
        <f>P14+P58</f>
        <v>0</v>
      </c>
    </row>
    <row r="14" spans="1:16">
      <c r="A14" s="20" t="str">
        <f>'5.Infrastructure Annex'!A9</f>
        <v>5.1.1</v>
      </c>
      <c r="B14" s="20" t="str">
        <f>'5.Infrastructure Annex'!B9</f>
        <v>B.4.1</v>
      </c>
      <c r="C14" s="20" t="str">
        <f>'5.Infrastructure Annex'!C9</f>
        <v>Upgradation</v>
      </c>
      <c r="D14" s="40"/>
      <c r="E14" s="40"/>
      <c r="F14" s="40">
        <f>F15+F26+F40+F50</f>
        <v>345</v>
      </c>
      <c r="G14" s="40">
        <f>G15+G26+G40+G50</f>
        <v>0</v>
      </c>
      <c r="H14" s="40">
        <f>H15+H26+H40+H50</f>
        <v>0</v>
      </c>
      <c r="I14" s="40"/>
      <c r="J14" s="40"/>
      <c r="K14" s="40"/>
      <c r="L14" s="40"/>
      <c r="M14" s="40">
        <f>M15+M26+M40+M50</f>
        <v>57913.00488</v>
      </c>
      <c r="N14" s="40"/>
      <c r="O14" s="40"/>
      <c r="P14" s="40">
        <f>P15+P26+P40+P50</f>
        <v>0</v>
      </c>
    </row>
    <row r="15" spans="1:16" ht="63.75">
      <c r="A15" s="4" t="str">
        <f>'5.Infrastructure Annex'!A10</f>
        <v>5.1.1.1</v>
      </c>
      <c r="B15" s="4" t="str">
        <f>'5.Infrastructure Annex'!B10</f>
        <v>B4.1.1 to B4.1.6/ B5.6/ A.9.10/ B.5.10</v>
      </c>
      <c r="C15" s="4" t="str">
        <f>'5.Infrastructure Annex'!C10</f>
        <v>Additional building/ Major Upgradation of existing facilities/ Structure</v>
      </c>
      <c r="D15" s="8"/>
      <c r="E15" s="8"/>
      <c r="F15" s="8">
        <f>SUM(F16:F25)</f>
        <v>0</v>
      </c>
      <c r="G15" s="8">
        <f>SUM(G16:G25)</f>
        <v>0</v>
      </c>
      <c r="H15" s="8">
        <f>SUM(H16:H25)</f>
        <v>0</v>
      </c>
      <c r="I15" s="8"/>
      <c r="J15" s="8"/>
      <c r="K15" s="8"/>
      <c r="L15" s="8"/>
      <c r="M15" s="8">
        <f>SUM(M16:M25)</f>
        <v>8712.5</v>
      </c>
      <c r="N15" s="8"/>
      <c r="O15" s="8"/>
      <c r="P15" s="8">
        <f>SUM(P16:P25)</f>
        <v>0</v>
      </c>
    </row>
    <row r="16" spans="1:16" ht="25.5">
      <c r="A16" s="4" t="str">
        <f>'5.Infrastructure Annex'!A11</f>
        <v>5.1.1.1.1</v>
      </c>
      <c r="B16" s="4" t="str">
        <f>'5.Infrastructure Annex'!B11</f>
        <v>B4.1.1.1</v>
      </c>
      <c r="C16" s="4" t="str">
        <f>'5.Infrastructure Annex'!C11</f>
        <v>District Hospitals (As per the DH Strengthening Guidelines)</v>
      </c>
      <c r="D16" s="8">
        <f>'5.Infrastructure Annex'!F11</f>
        <v>0</v>
      </c>
      <c r="E16" s="8">
        <f>'5.Infrastructure Annex'!G11</f>
        <v>0</v>
      </c>
      <c r="F16" s="8">
        <f>'5.Infrastructure Annex'!H11</f>
        <v>0</v>
      </c>
      <c r="G16" s="8">
        <f>'5.Infrastructure Annex'!I11</f>
        <v>0</v>
      </c>
      <c r="H16" s="8">
        <f>'5.Infrastructure Annex'!J11</f>
        <v>0</v>
      </c>
      <c r="I16" s="8">
        <f>'5.Infrastructure Annex'!K11</f>
        <v>0</v>
      </c>
      <c r="J16" s="8">
        <f>'5.Infrastructure Annex'!L11</f>
        <v>0</v>
      </c>
      <c r="K16" s="8">
        <f>'5.Infrastructure Annex'!M11</f>
        <v>0</v>
      </c>
      <c r="L16" s="8">
        <f>'5.Infrastructure Annex'!N11</f>
        <v>0</v>
      </c>
      <c r="M16" s="8">
        <f>'5.Infrastructure Annex'!O11</f>
        <v>0</v>
      </c>
      <c r="N16" s="8">
        <f>'5.Infrastructure Annex'!P11</f>
        <v>0</v>
      </c>
      <c r="O16" s="8">
        <f>'5.Infrastructure Annex'!Q11</f>
        <v>0</v>
      </c>
      <c r="P16" s="8">
        <f>'5.Infrastructure Annex'!R11</f>
        <v>0</v>
      </c>
    </row>
    <row r="17" spans="1:16" ht="25.5">
      <c r="A17" s="4" t="str">
        <f>'5.Infrastructure Annex'!A12</f>
        <v>5.1.1.1.2</v>
      </c>
      <c r="B17" s="4" t="str">
        <f>'5.Infrastructure Annex'!B12</f>
        <v>B4.1.6.1</v>
      </c>
      <c r="C17" s="4" t="str">
        <f>'5.Infrastructure Annex'!C12</f>
        <v>SDH</v>
      </c>
      <c r="D17" s="8">
        <f>'5.Infrastructure Annex'!F12</f>
        <v>0</v>
      </c>
      <c r="E17" s="8">
        <f>'5.Infrastructure Annex'!G12</f>
        <v>0</v>
      </c>
      <c r="F17" s="8">
        <f>'5.Infrastructure Annex'!H12</f>
        <v>0</v>
      </c>
      <c r="G17" s="8">
        <f>'5.Infrastructure Annex'!I12</f>
        <v>0</v>
      </c>
      <c r="H17" s="8">
        <f>'5.Infrastructure Annex'!J12</f>
        <v>0</v>
      </c>
      <c r="I17" s="8">
        <f>'5.Infrastructure Annex'!K12</f>
        <v>0</v>
      </c>
      <c r="J17" s="8">
        <f>'5.Infrastructure Annex'!L12</f>
        <v>0</v>
      </c>
      <c r="K17" s="8">
        <f>'5.Infrastructure Annex'!M12</f>
        <v>0</v>
      </c>
      <c r="L17" s="8">
        <f>'5.Infrastructure Annex'!N12</f>
        <v>0</v>
      </c>
      <c r="M17" s="8">
        <f>'5.Infrastructure Annex'!O12</f>
        <v>0</v>
      </c>
      <c r="N17" s="8">
        <f>'5.Infrastructure Annex'!P12</f>
        <v>0</v>
      </c>
      <c r="O17" s="8">
        <f>'5.Infrastructure Annex'!Q12</f>
        <v>0</v>
      </c>
      <c r="P17" s="8">
        <f>'5.Infrastructure Annex'!R12</f>
        <v>0</v>
      </c>
    </row>
    <row r="18" spans="1:16" ht="216.75">
      <c r="A18" s="4" t="str">
        <f>'5.Infrastructure Annex'!A13</f>
        <v>5.1.1.1.3</v>
      </c>
      <c r="B18" s="4" t="str">
        <f>'5.Infrastructure Annex'!B13</f>
        <v>B4.1.2.1</v>
      </c>
      <c r="C18" s="4" t="str">
        <f>'5.Infrastructure Annex'!C13</f>
        <v>CHCs</v>
      </c>
      <c r="D18" s="8">
        <f>'5.Infrastructure Annex'!F13</f>
        <v>0</v>
      </c>
      <c r="E18" s="8">
        <f>'5.Infrastructure Annex'!G13</f>
        <v>0</v>
      </c>
      <c r="F18" s="8">
        <f>'5.Infrastructure Annex'!H13</f>
        <v>0</v>
      </c>
      <c r="G18" s="8">
        <f>'5.Infrastructure Annex'!I13</f>
        <v>0</v>
      </c>
      <c r="H18" s="8">
        <f>'5.Infrastructure Annex'!J13</f>
        <v>0</v>
      </c>
      <c r="I18" s="8" t="str">
        <f>'5.Infrastructure Annex'!K13</f>
        <v>Upgradation from PHC to CHC</v>
      </c>
      <c r="J18" s="8">
        <f>'5.Infrastructure Annex'!L13</f>
        <v>871250000</v>
      </c>
      <c r="K18" s="8">
        <f>'5.Infrastructure Annex'!M13</f>
        <v>8712.5</v>
      </c>
      <c r="L18" s="8">
        <f>'5.Infrastructure Annex'!N13</f>
        <v>1</v>
      </c>
      <c r="M18" s="8">
        <f>'5.Infrastructure Annex'!O13</f>
        <v>8712.5</v>
      </c>
      <c r="N18" s="8" t="str">
        <f>'5.Infrastructure Annex'!P13</f>
        <v xml:space="preserve">The State is falling short of no. of 30 bedded CHC's as per IPHS norms. In order to bridge the existing gap the State is proposing upgradation of 50 PHC's into CHC's at unit cost of 6.97 Crores each.
Administrative approval is required for 
50 unit x 69700000= Rs. 3485000000/
Token money @ 25 % of the total cost is required which comes to Rs 871250000/- for this financial Year.   </v>
      </c>
      <c r="O18" s="8">
        <f>'5.Infrastructure Annex'!Q13</f>
        <v>0</v>
      </c>
      <c r="P18" s="8">
        <f>'5.Infrastructure Annex'!R13</f>
        <v>0</v>
      </c>
    </row>
    <row r="19" spans="1:16" ht="25.5">
      <c r="A19" s="4" t="str">
        <f>'5.Infrastructure Annex'!A14</f>
        <v>5.1.1.1.4</v>
      </c>
      <c r="B19" s="4" t="str">
        <f>'5.Infrastructure Annex'!B14</f>
        <v>B4.1.3.1</v>
      </c>
      <c r="C19" s="4" t="str">
        <f>'5.Infrastructure Annex'!C14</f>
        <v>PHCs</v>
      </c>
      <c r="D19" s="8">
        <f>'5.Infrastructure Annex'!F14</f>
        <v>0</v>
      </c>
      <c r="E19" s="8">
        <f>'5.Infrastructure Annex'!G14</f>
        <v>0</v>
      </c>
      <c r="F19" s="8">
        <f>'5.Infrastructure Annex'!H14</f>
        <v>0</v>
      </c>
      <c r="G19" s="8">
        <f>'5.Infrastructure Annex'!I14</f>
        <v>0</v>
      </c>
      <c r="H19" s="8">
        <f>'5.Infrastructure Annex'!J14</f>
        <v>0</v>
      </c>
      <c r="I19" s="8">
        <f>'5.Infrastructure Annex'!K14</f>
        <v>0</v>
      </c>
      <c r="J19" s="8">
        <f>'5.Infrastructure Annex'!L14</f>
        <v>0</v>
      </c>
      <c r="K19" s="8">
        <f>'5.Infrastructure Annex'!M14</f>
        <v>0</v>
      </c>
      <c r="L19" s="8">
        <f>'5.Infrastructure Annex'!N14</f>
        <v>0</v>
      </c>
      <c r="M19" s="8">
        <f>'5.Infrastructure Annex'!O14</f>
        <v>0</v>
      </c>
      <c r="N19" s="8">
        <f>'5.Infrastructure Annex'!P14</f>
        <v>0</v>
      </c>
      <c r="O19" s="8">
        <f>'5.Infrastructure Annex'!Q14</f>
        <v>0</v>
      </c>
      <c r="P19" s="8">
        <f>'5.Infrastructure Annex'!R14</f>
        <v>0</v>
      </c>
    </row>
    <row r="20" spans="1:16" ht="25.5">
      <c r="A20" s="4" t="str">
        <f>'5.Infrastructure Annex'!A15</f>
        <v>5.1.1.1.5</v>
      </c>
      <c r="B20" s="4" t="str">
        <f>'5.Infrastructure Annex'!B15</f>
        <v>B4.1.4.1</v>
      </c>
      <c r="C20" s="4" t="str">
        <f>'5.Infrastructure Annex'!C15</f>
        <v>HWC-HSCs</v>
      </c>
      <c r="D20" s="8">
        <f>'5.Infrastructure Annex'!F15</f>
        <v>0</v>
      </c>
      <c r="E20" s="8">
        <f>'5.Infrastructure Annex'!G15</f>
        <v>0</v>
      </c>
      <c r="F20" s="8">
        <f>'5.Infrastructure Annex'!H15</f>
        <v>0</v>
      </c>
      <c r="G20" s="8">
        <f>'5.Infrastructure Annex'!I15</f>
        <v>0</v>
      </c>
      <c r="H20" s="8">
        <f>'5.Infrastructure Annex'!J15</f>
        <v>0</v>
      </c>
      <c r="I20" s="8">
        <f>'5.Infrastructure Annex'!K15</f>
        <v>0</v>
      </c>
      <c r="J20" s="8">
        <f>'5.Infrastructure Annex'!L15</f>
        <v>0</v>
      </c>
      <c r="K20" s="8">
        <f>'5.Infrastructure Annex'!M15</f>
        <v>0</v>
      </c>
      <c r="L20" s="8">
        <f>'5.Infrastructure Annex'!N15</f>
        <v>0</v>
      </c>
      <c r="M20" s="8">
        <f>'5.Infrastructure Annex'!O15</f>
        <v>0</v>
      </c>
      <c r="N20" s="8">
        <f>'5.Infrastructure Annex'!P15</f>
        <v>0</v>
      </c>
      <c r="O20" s="8">
        <f>'5.Infrastructure Annex'!Q15</f>
        <v>0</v>
      </c>
      <c r="P20" s="8">
        <f>'5.Infrastructure Annex'!R15</f>
        <v>0</v>
      </c>
    </row>
    <row r="21" spans="1:16" ht="25.5">
      <c r="A21" s="4" t="str">
        <f>'5.Infrastructure Annex'!A16</f>
        <v>5.1.1.1.6</v>
      </c>
      <c r="B21" s="4" t="str">
        <f>'5.Infrastructure Annex'!B16</f>
        <v>B4.1.5.2</v>
      </c>
      <c r="C21" s="4" t="str">
        <f>'5.Infrastructure Annex'!C16</f>
        <v>Additional building/ Major Upgradation of MCH Wings</v>
      </c>
      <c r="D21" s="8">
        <f>'5.Infrastructure Annex'!F16</f>
        <v>0</v>
      </c>
      <c r="E21" s="8">
        <f>'5.Infrastructure Annex'!G16</f>
        <v>0</v>
      </c>
      <c r="F21" s="8">
        <f>'5.Infrastructure Annex'!H16</f>
        <v>0</v>
      </c>
      <c r="G21" s="8">
        <f>'5.Infrastructure Annex'!I16</f>
        <v>0</v>
      </c>
      <c r="H21" s="8">
        <f>'5.Infrastructure Annex'!J16</f>
        <v>0</v>
      </c>
      <c r="I21" s="8">
        <f>'5.Infrastructure Annex'!K16</f>
        <v>0</v>
      </c>
      <c r="J21" s="8">
        <f>'5.Infrastructure Annex'!L16</f>
        <v>0</v>
      </c>
      <c r="K21" s="8">
        <f>'5.Infrastructure Annex'!M16</f>
        <v>0</v>
      </c>
      <c r="L21" s="8">
        <f>'5.Infrastructure Annex'!N16</f>
        <v>0</v>
      </c>
      <c r="M21" s="8">
        <f>'5.Infrastructure Annex'!O16</f>
        <v>0</v>
      </c>
      <c r="N21" s="8">
        <f>'5.Infrastructure Annex'!P16</f>
        <v>0</v>
      </c>
      <c r="O21" s="8">
        <f>'5.Infrastructure Annex'!Q16</f>
        <v>0</v>
      </c>
      <c r="P21" s="8">
        <f>'5.Infrastructure Annex'!R16</f>
        <v>0</v>
      </c>
    </row>
    <row r="22" spans="1:16" ht="38.25">
      <c r="A22" s="4" t="str">
        <f>'5.Infrastructure Annex'!A17</f>
        <v>5.1.1.1.7</v>
      </c>
      <c r="B22" s="4" t="str">
        <f>'5.Infrastructure Annex'!B17</f>
        <v>B.5.6.3</v>
      </c>
      <c r="C22" s="4" t="str">
        <f>'5.Infrastructure Annex'!C17</f>
        <v>Additional building/ Major Upgradation of Facility based new-born care centres (SNCU/NBSU/NBCC/KMC unit)</v>
      </c>
      <c r="D22" s="8">
        <f>'5.Infrastructure Annex'!F17</f>
        <v>0</v>
      </c>
      <c r="E22" s="8">
        <f>'5.Infrastructure Annex'!G17</f>
        <v>0</v>
      </c>
      <c r="F22" s="8">
        <f>'5.Infrastructure Annex'!H17</f>
        <v>0</v>
      </c>
      <c r="G22" s="8">
        <f>'5.Infrastructure Annex'!I17</f>
        <v>0</v>
      </c>
      <c r="H22" s="8">
        <f>'5.Infrastructure Annex'!J17</f>
        <v>0</v>
      </c>
      <c r="I22" s="8">
        <f>'5.Infrastructure Annex'!K17</f>
        <v>0</v>
      </c>
      <c r="J22" s="8">
        <f>'5.Infrastructure Annex'!L17</f>
        <v>0</v>
      </c>
      <c r="K22" s="8">
        <f>'5.Infrastructure Annex'!M17</f>
        <v>0</v>
      </c>
      <c r="L22" s="8">
        <f>'5.Infrastructure Annex'!N17</f>
        <v>0</v>
      </c>
      <c r="M22" s="8">
        <f>'5.Infrastructure Annex'!O17</f>
        <v>0</v>
      </c>
      <c r="N22" s="8">
        <f>'5.Infrastructure Annex'!P17</f>
        <v>0</v>
      </c>
      <c r="O22" s="8">
        <f>'5.Infrastructure Annex'!Q17</f>
        <v>0</v>
      </c>
      <c r="P22" s="8">
        <f>'5.Infrastructure Annex'!R17</f>
        <v>0</v>
      </c>
    </row>
    <row r="23" spans="1:16" ht="38.25">
      <c r="A23" s="4" t="str">
        <f>'5.Infrastructure Annex'!A18</f>
        <v>5.1.1.1.8</v>
      </c>
      <c r="B23" s="4" t="str">
        <f>'5.Infrastructure Annex'!B18</f>
        <v>I.2.7</v>
      </c>
      <c r="C23" s="4" t="str">
        <f>'5.Infrastructure Annex'!C18</f>
        <v>Grant-in-aid for construction of Eye Wards and Eye OTS (renamed as  dedicated eye unit)</v>
      </c>
      <c r="D23" s="8">
        <f>'5.Infrastructure Annex'!F18</f>
        <v>0</v>
      </c>
      <c r="E23" s="8">
        <f>'5.Infrastructure Annex'!G18</f>
        <v>0</v>
      </c>
      <c r="F23" s="8">
        <f>'5.Infrastructure Annex'!H18</f>
        <v>0</v>
      </c>
      <c r="G23" s="8">
        <f>'5.Infrastructure Annex'!I18</f>
        <v>0</v>
      </c>
      <c r="H23" s="8">
        <f>'5.Infrastructure Annex'!J18</f>
        <v>0</v>
      </c>
      <c r="I23" s="8">
        <f>'5.Infrastructure Annex'!K18</f>
        <v>0</v>
      </c>
      <c r="J23" s="8">
        <f>'5.Infrastructure Annex'!L18</f>
        <v>0</v>
      </c>
      <c r="K23" s="8">
        <f>'5.Infrastructure Annex'!M18</f>
        <v>0</v>
      </c>
      <c r="L23" s="8">
        <f>'5.Infrastructure Annex'!N18</f>
        <v>0</v>
      </c>
      <c r="M23" s="8">
        <f>'5.Infrastructure Annex'!O18</f>
        <v>0</v>
      </c>
      <c r="N23" s="8">
        <f>'5.Infrastructure Annex'!P18</f>
        <v>0</v>
      </c>
      <c r="O23" s="8">
        <f>'5.Infrastructure Annex'!Q18</f>
        <v>0</v>
      </c>
      <c r="P23" s="8">
        <f>'5.Infrastructure Annex'!R18</f>
        <v>0</v>
      </c>
    </row>
    <row r="24" spans="1:16" ht="25.5">
      <c r="A24" s="4" t="str">
        <f>'5.Infrastructure Annex'!A19</f>
        <v>5.1.1.1.9</v>
      </c>
      <c r="B24" s="4" t="str">
        <f>'5.Infrastructure Annex'!B19</f>
        <v>B.5.10.1.1</v>
      </c>
      <c r="C24" s="4" t="str">
        <f>'5.Infrastructure Annex'!C19</f>
        <v>Training Institutions</v>
      </c>
      <c r="D24" s="8">
        <f>'5.Infrastructure Annex'!F19</f>
        <v>0</v>
      </c>
      <c r="E24" s="8">
        <f>'5.Infrastructure Annex'!G19</f>
        <v>0</v>
      </c>
      <c r="F24" s="8">
        <f>'5.Infrastructure Annex'!H19</f>
        <v>0</v>
      </c>
      <c r="G24" s="8">
        <f>'5.Infrastructure Annex'!I19</f>
        <v>0</v>
      </c>
      <c r="H24" s="8">
        <f>'5.Infrastructure Annex'!J19</f>
        <v>0</v>
      </c>
      <c r="I24" s="8">
        <f>'5.Infrastructure Annex'!K19</f>
        <v>0</v>
      </c>
      <c r="J24" s="8">
        <f>'5.Infrastructure Annex'!L19</f>
        <v>0</v>
      </c>
      <c r="K24" s="8">
        <f>'5.Infrastructure Annex'!M19</f>
        <v>0</v>
      </c>
      <c r="L24" s="8">
        <f>'5.Infrastructure Annex'!N19</f>
        <v>0</v>
      </c>
      <c r="M24" s="8">
        <f>'5.Infrastructure Annex'!O19</f>
        <v>0</v>
      </c>
      <c r="N24" s="8">
        <f>'5.Infrastructure Annex'!P19</f>
        <v>0</v>
      </c>
      <c r="O24" s="8">
        <f>'5.Infrastructure Annex'!Q19</f>
        <v>0</v>
      </c>
      <c r="P24" s="8">
        <f>'5.Infrastructure Annex'!R19</f>
        <v>0</v>
      </c>
    </row>
    <row r="25" spans="1:16" ht="25.5">
      <c r="A25" s="4" t="str">
        <f>'5.Infrastructure Annex'!A20</f>
        <v>5.1.1.1.10</v>
      </c>
      <c r="B25" s="4">
        <f>'5.Infrastructure Annex'!B20</f>
        <v>0</v>
      </c>
      <c r="C25" s="4" t="str">
        <f>'5.Infrastructure Annex'!C20</f>
        <v>Any Other</v>
      </c>
      <c r="D25" s="8">
        <f>'5.Infrastructure Annex'!F20</f>
        <v>0</v>
      </c>
      <c r="E25" s="8">
        <f>'5.Infrastructure Annex'!G20</f>
        <v>0</v>
      </c>
      <c r="F25" s="8">
        <f>'5.Infrastructure Annex'!H20</f>
        <v>0</v>
      </c>
      <c r="G25" s="8">
        <f>'5.Infrastructure Annex'!I20</f>
        <v>0</v>
      </c>
      <c r="H25" s="8">
        <f>'5.Infrastructure Annex'!J20</f>
        <v>0</v>
      </c>
      <c r="I25" s="8">
        <f>'5.Infrastructure Annex'!K20</f>
        <v>0</v>
      </c>
      <c r="J25" s="8">
        <f>'5.Infrastructure Annex'!L20</f>
        <v>0</v>
      </c>
      <c r="K25" s="8">
        <f>'5.Infrastructure Annex'!M20</f>
        <v>0</v>
      </c>
      <c r="L25" s="8">
        <f>'5.Infrastructure Annex'!N20</f>
        <v>0</v>
      </c>
      <c r="M25" s="8">
        <f>'5.Infrastructure Annex'!O20</f>
        <v>0</v>
      </c>
      <c r="N25" s="8">
        <f>'5.Infrastructure Annex'!P20</f>
        <v>0</v>
      </c>
      <c r="O25" s="8">
        <f>'5.Infrastructure Annex'!Q20</f>
        <v>0</v>
      </c>
      <c r="P25" s="8">
        <f>'5.Infrastructure Annex'!R20</f>
        <v>0</v>
      </c>
    </row>
    <row r="26" spans="1:16" ht="51">
      <c r="A26" s="4" t="str">
        <f>'5.Infrastructure Annex'!A21</f>
        <v>5.1.1.2</v>
      </c>
      <c r="B26" s="4" t="str">
        <f>'5.Infrastructure Annex'!B21</f>
        <v>B4.1.1 to B4.1.4/ B4.1.6/ B.5.10</v>
      </c>
      <c r="C26" s="4" t="str">
        <f>'5.Infrastructure Annex'!C21</f>
        <v>Upgradation/ Renovation</v>
      </c>
      <c r="D26" s="8">
        <f>SUM(D27:D39)</f>
        <v>230</v>
      </c>
      <c r="E26" s="8">
        <f>SUM(E27:E39)</f>
        <v>0</v>
      </c>
      <c r="F26" s="8">
        <f>SUM(F27:F39)</f>
        <v>345</v>
      </c>
      <c r="G26" s="8">
        <f>SUM(G27:G39)</f>
        <v>0</v>
      </c>
      <c r="H26" s="8">
        <f>SUM(H27:H39)</f>
        <v>0</v>
      </c>
      <c r="I26" s="8">
        <f>'5.Infrastructure Annex'!K21</f>
        <v>0</v>
      </c>
      <c r="J26" s="8">
        <f>'5.Infrastructure Annex'!L21</f>
        <v>0</v>
      </c>
      <c r="K26" s="8">
        <f>'5.Infrastructure Annex'!M21</f>
        <v>0</v>
      </c>
      <c r="L26" s="8">
        <f>'5.Infrastructure Annex'!N21</f>
        <v>0</v>
      </c>
      <c r="M26" s="8">
        <f>SUM(M27:M39)</f>
        <v>20173.5</v>
      </c>
      <c r="N26" s="8">
        <f>'5.Infrastructure Annex'!P21</f>
        <v>0</v>
      </c>
      <c r="O26" s="8">
        <f>'5.Infrastructure Annex'!Q21</f>
        <v>0</v>
      </c>
      <c r="P26" s="8">
        <f>SUM(P27:P39)</f>
        <v>0</v>
      </c>
    </row>
    <row r="27" spans="1:16" ht="25.5">
      <c r="A27" s="4" t="str">
        <f>'5.Infrastructure Annex'!A22</f>
        <v>5.1.1.2.1</v>
      </c>
      <c r="B27" s="4" t="str">
        <f>'5.Infrastructure Annex'!B22</f>
        <v>B4.1.1.2</v>
      </c>
      <c r="C27" s="4" t="str">
        <f>'5.Infrastructure Annex'!C22</f>
        <v>District Hospitals (As per the DH Strengthening Guidelines)</v>
      </c>
      <c r="D27" s="8">
        <f>'5.Infrastructure Annex'!F22</f>
        <v>0</v>
      </c>
      <c r="E27" s="8">
        <f>'5.Infrastructure Annex'!G22</f>
        <v>0</v>
      </c>
      <c r="F27" s="8">
        <f>'5.Infrastructure Annex'!H22</f>
        <v>0</v>
      </c>
      <c r="G27" s="8">
        <f>'5.Infrastructure Annex'!I22</f>
        <v>0</v>
      </c>
      <c r="H27" s="8">
        <f>'5.Infrastructure Annex'!J22</f>
        <v>0</v>
      </c>
      <c r="I27" s="8">
        <f>'5.Infrastructure Annex'!K22</f>
        <v>0</v>
      </c>
      <c r="J27" s="8">
        <f>'5.Infrastructure Annex'!L22</f>
        <v>0</v>
      </c>
      <c r="K27" s="8">
        <f>'5.Infrastructure Annex'!M22</f>
        <v>0</v>
      </c>
      <c r="L27" s="8">
        <f>'5.Infrastructure Annex'!N22</f>
        <v>0</v>
      </c>
      <c r="M27" s="8">
        <f>'5.Infrastructure Annex'!O22</f>
        <v>0</v>
      </c>
      <c r="N27" s="8">
        <f>'5.Infrastructure Annex'!P22</f>
        <v>0</v>
      </c>
      <c r="O27" s="8">
        <f>'5.Infrastructure Annex'!Q22</f>
        <v>0</v>
      </c>
      <c r="P27" s="8">
        <f>'5.Infrastructure Annex'!R22</f>
        <v>0</v>
      </c>
    </row>
    <row r="28" spans="1:16" ht="409.5">
      <c r="A28" s="4" t="str">
        <f>'5.Infrastructure Annex'!A23</f>
        <v>5.1.1.2.2</v>
      </c>
      <c r="B28" s="4" t="str">
        <f>'5.Infrastructure Annex'!B23</f>
        <v>B.26.1.1</v>
      </c>
      <c r="C28" s="4" t="str">
        <f>'5.Infrastructure Annex'!C23</f>
        <v xml:space="preserve">Renovation, Dental Chair, Equipment - District Hospitals </v>
      </c>
      <c r="D28" s="8">
        <f>'5.Infrastructure Annex'!F23</f>
        <v>0</v>
      </c>
      <c r="E28" s="8">
        <f>'5.Infrastructure Annex'!G23</f>
        <v>0</v>
      </c>
      <c r="F28" s="8">
        <f>'5.Infrastructure Annex'!H23</f>
        <v>0</v>
      </c>
      <c r="G28" s="8">
        <f>'5.Infrastructure Annex'!I23</f>
        <v>0</v>
      </c>
      <c r="H28" s="8">
        <f>'5.Infrastructure Annex'!J23</f>
        <v>0</v>
      </c>
      <c r="I28" s="8" t="str">
        <f>'5.Infrastructure Annex'!K23</f>
        <v>One Dental X - Ray unit ( D.C. )</v>
      </c>
      <c r="J28" s="8">
        <f>'5.Infrastructure Annex'!L23</f>
        <v>150000</v>
      </c>
      <c r="K28" s="8">
        <f>'5.Infrastructure Annex'!M23</f>
        <v>1.5</v>
      </c>
      <c r="L28" s="8">
        <f>'5.Infrastructure Annex'!N23</f>
        <v>37</v>
      </c>
      <c r="M28" s="8">
        <f>'5.Infrastructure Annex'!O23</f>
        <v>55.5</v>
      </c>
      <c r="N28" s="8" t="str">
        <f>'5.Infrastructure Annex'!P23</f>
        <v>In Financial Year 2020-2021 budget of rupees one lack per facility have been allocated to District Hospital for procurement of instruments used in Dentistry after doing gap analysis. The procurement work is likely to be completed in December 2020.                                                  In  financial year 2019 -2020  vide SHSB letter no.9081 dated 05/03/2020 work order for procurement and establishment of 37 RVG machine in District hospital was given to BMSICL. A sum of Rupees 2 lack for each district hospital was allocated for the work.  Compliance has not been made due to shortage of funds for  procurement  and establishment of Dental X-Ray machine and RVG machine .    Therefore in the financial year 2021-2022 the state is proposing a sum of rupees 1.5 lack  for each district hospital  for procurement of Dental X- Ray machine ( D.C.).</v>
      </c>
      <c r="O28" s="8">
        <f>'5.Infrastructure Annex'!Q23</f>
        <v>0</v>
      </c>
      <c r="P28" s="8">
        <f>'5.Infrastructure Annex'!R23</f>
        <v>0</v>
      </c>
    </row>
    <row r="29" spans="1:16" ht="25.5">
      <c r="A29" s="4" t="str">
        <f>'5.Infrastructure Annex'!A24</f>
        <v>5.1.1.2.3</v>
      </c>
      <c r="B29" s="4" t="str">
        <f>'5.Infrastructure Annex'!B24</f>
        <v>B.27.1.4</v>
      </c>
      <c r="C29" s="4" t="str">
        <f>'5.Infrastructure Annex'!C24</f>
        <v>Renovation of PC unit/ OPD/ Beds/ Miscellaneous equipment etc.</v>
      </c>
      <c r="D29" s="8">
        <f>'5.Infrastructure Annex'!F24</f>
        <v>0</v>
      </c>
      <c r="E29" s="8">
        <f>'5.Infrastructure Annex'!G24</f>
        <v>0</v>
      </c>
      <c r="F29" s="8">
        <f>'5.Infrastructure Annex'!H24</f>
        <v>0</v>
      </c>
      <c r="G29" s="8">
        <f>'5.Infrastructure Annex'!I24</f>
        <v>0</v>
      </c>
      <c r="H29" s="8">
        <f>'5.Infrastructure Annex'!J24</f>
        <v>0</v>
      </c>
      <c r="I29" s="8">
        <f>'5.Infrastructure Annex'!K24</f>
        <v>0</v>
      </c>
      <c r="J29" s="8">
        <f>'5.Infrastructure Annex'!L24</f>
        <v>0</v>
      </c>
      <c r="K29" s="8">
        <f>'5.Infrastructure Annex'!M24</f>
        <v>0</v>
      </c>
      <c r="L29" s="8">
        <f>'5.Infrastructure Annex'!N24</f>
        <v>0</v>
      </c>
      <c r="M29" s="8">
        <f>'5.Infrastructure Annex'!O24</f>
        <v>0</v>
      </c>
      <c r="N29" s="8">
        <f>'5.Infrastructure Annex'!P24</f>
        <v>0</v>
      </c>
      <c r="O29" s="8">
        <f>'5.Infrastructure Annex'!Q24</f>
        <v>0</v>
      </c>
      <c r="P29" s="8">
        <f>'5.Infrastructure Annex'!R24</f>
        <v>0</v>
      </c>
    </row>
    <row r="30" spans="1:16" ht="25.5">
      <c r="A30" s="4" t="str">
        <f>'5.Infrastructure Annex'!A25</f>
        <v>5.1.1.2.4</v>
      </c>
      <c r="B30" s="4" t="str">
        <f>'5.Infrastructure Annex'!B25</f>
        <v>B4.1.6.2</v>
      </c>
      <c r="C30" s="4" t="str">
        <f>'5.Infrastructure Annex'!C25</f>
        <v>SDH</v>
      </c>
      <c r="D30" s="8">
        <f>'5.Infrastructure Annex'!F25</f>
        <v>0</v>
      </c>
      <c r="E30" s="8">
        <f>'5.Infrastructure Annex'!G25</f>
        <v>0</v>
      </c>
      <c r="F30" s="8">
        <f>'5.Infrastructure Annex'!H25</f>
        <v>0</v>
      </c>
      <c r="G30" s="8">
        <f>'5.Infrastructure Annex'!I25</f>
        <v>0</v>
      </c>
      <c r="H30" s="8">
        <f>'5.Infrastructure Annex'!J25</f>
        <v>0</v>
      </c>
      <c r="I30" s="8">
        <f>'5.Infrastructure Annex'!K25</f>
        <v>0</v>
      </c>
      <c r="J30" s="8">
        <f>'5.Infrastructure Annex'!L25</f>
        <v>0</v>
      </c>
      <c r="K30" s="8">
        <f>'5.Infrastructure Annex'!M25</f>
        <v>0</v>
      </c>
      <c r="L30" s="8">
        <f>'5.Infrastructure Annex'!N25</f>
        <v>0</v>
      </c>
      <c r="M30" s="8">
        <f>'5.Infrastructure Annex'!O25</f>
        <v>0</v>
      </c>
      <c r="N30" s="8">
        <f>'5.Infrastructure Annex'!P25</f>
        <v>0</v>
      </c>
      <c r="O30" s="8">
        <f>'5.Infrastructure Annex'!Q25</f>
        <v>0</v>
      </c>
      <c r="P30" s="8">
        <f>'5.Infrastructure Annex'!R25</f>
        <v>0</v>
      </c>
    </row>
    <row r="31" spans="1:16" ht="25.5">
      <c r="A31" s="4" t="str">
        <f>'5.Infrastructure Annex'!A26</f>
        <v>5.1.1.2.5</v>
      </c>
      <c r="B31" s="4" t="str">
        <f>'5.Infrastructure Annex'!B26</f>
        <v>B4.1.2.2</v>
      </c>
      <c r="C31" s="4" t="str">
        <f>'5.Infrastructure Annex'!C26</f>
        <v>CHCs</v>
      </c>
      <c r="D31" s="8">
        <f>'5.Infrastructure Annex'!F26</f>
        <v>0</v>
      </c>
      <c r="E31" s="8">
        <f>'5.Infrastructure Annex'!G26</f>
        <v>0</v>
      </c>
      <c r="F31" s="8">
        <f>'5.Infrastructure Annex'!H26</f>
        <v>0</v>
      </c>
      <c r="G31" s="8">
        <f>'5.Infrastructure Annex'!I26</f>
        <v>0</v>
      </c>
      <c r="H31" s="8">
        <f>'5.Infrastructure Annex'!J26</f>
        <v>0</v>
      </c>
      <c r="I31" s="8">
        <f>'5.Infrastructure Annex'!K26</f>
        <v>0</v>
      </c>
      <c r="J31" s="8">
        <f>'5.Infrastructure Annex'!L26</f>
        <v>0</v>
      </c>
      <c r="K31" s="8">
        <f>'5.Infrastructure Annex'!M26</f>
        <v>0</v>
      </c>
      <c r="L31" s="8">
        <f>'5.Infrastructure Annex'!N26</f>
        <v>0</v>
      </c>
      <c r="M31" s="8">
        <f>'5.Infrastructure Annex'!O26</f>
        <v>0</v>
      </c>
      <c r="N31" s="8">
        <f>'5.Infrastructure Annex'!P26</f>
        <v>0</v>
      </c>
      <c r="O31" s="8">
        <f>'5.Infrastructure Annex'!Q26</f>
        <v>0</v>
      </c>
      <c r="P31" s="8">
        <f>'5.Infrastructure Annex'!R26</f>
        <v>0</v>
      </c>
    </row>
    <row r="32" spans="1:16" ht="25.5">
      <c r="A32" s="4" t="str">
        <f>'5.Infrastructure Annex'!A27</f>
        <v>5.1.1.2.6</v>
      </c>
      <c r="B32" s="4" t="str">
        <f>'5.Infrastructure Annex'!B27</f>
        <v>B4.1.3.2</v>
      </c>
      <c r="C32" s="4" t="str">
        <f>'5.Infrastructure Annex'!C27</f>
        <v>PHCs</v>
      </c>
      <c r="D32" s="8">
        <f>'5.Infrastructure Annex'!F27</f>
        <v>230</v>
      </c>
      <c r="E32" s="8">
        <f>'5.Infrastructure Annex'!G27</f>
        <v>0</v>
      </c>
      <c r="F32" s="8">
        <f>'5.Infrastructure Annex'!H27</f>
        <v>345</v>
      </c>
      <c r="G32" s="8">
        <f>'5.Infrastructure Annex'!I27</f>
        <v>0</v>
      </c>
      <c r="H32" s="8">
        <f>'5.Infrastructure Annex'!J27</f>
        <v>0</v>
      </c>
      <c r="I32" s="8">
        <f>'5.Infrastructure Annex'!K27</f>
        <v>0</v>
      </c>
      <c r="J32" s="8">
        <f>'5.Infrastructure Annex'!L27</f>
        <v>0</v>
      </c>
      <c r="K32" s="8">
        <f>'5.Infrastructure Annex'!M27</f>
        <v>0</v>
      </c>
      <c r="L32" s="8">
        <f>'5.Infrastructure Annex'!N27</f>
        <v>0</v>
      </c>
      <c r="M32" s="8">
        <f>'5.Infrastructure Annex'!O27</f>
        <v>0</v>
      </c>
      <c r="N32" s="8">
        <f>'5.Infrastructure Annex'!P27</f>
        <v>0</v>
      </c>
      <c r="O32" s="8">
        <f>'5.Infrastructure Annex'!Q27</f>
        <v>0</v>
      </c>
      <c r="P32" s="8">
        <f>'5.Infrastructure Annex'!R27</f>
        <v>0</v>
      </c>
    </row>
    <row r="33" spans="1:16" ht="25.5">
      <c r="A33" s="4" t="str">
        <f>'5.Infrastructure Annex'!A28</f>
        <v>5.1.1.2.7</v>
      </c>
      <c r="B33" s="4" t="str">
        <f>'5.Infrastructure Annex'!B28</f>
        <v>B4.1.4.2</v>
      </c>
      <c r="C33" s="4" t="str">
        <f>'5.Infrastructure Annex'!C28</f>
        <v>Upgradation/ Renovation of HWC-HSCs</v>
      </c>
      <c r="D33" s="8">
        <f>'5.Infrastructure Annex'!F28</f>
        <v>0</v>
      </c>
      <c r="E33" s="8">
        <f>'5.Infrastructure Annex'!G28</f>
        <v>0</v>
      </c>
      <c r="F33" s="8">
        <f>'5.Infrastructure Annex'!H28</f>
        <v>0</v>
      </c>
      <c r="G33" s="8">
        <f>'5.Infrastructure Annex'!I28</f>
        <v>0</v>
      </c>
      <c r="H33" s="8">
        <f>'5.Infrastructure Annex'!J28</f>
        <v>0</v>
      </c>
      <c r="I33" s="8">
        <f>'5.Infrastructure Annex'!K28</f>
        <v>0</v>
      </c>
      <c r="J33" s="8">
        <f>'5.Infrastructure Annex'!L28</f>
        <v>0</v>
      </c>
      <c r="K33" s="8">
        <f>'5.Infrastructure Annex'!M28</f>
        <v>0</v>
      </c>
      <c r="L33" s="8">
        <f>'5.Infrastructure Annex'!N28</f>
        <v>0</v>
      </c>
      <c r="M33" s="8">
        <f>'5.Infrastructure Annex'!O28</f>
        <v>0</v>
      </c>
      <c r="N33" s="8">
        <f>'5.Infrastructure Annex'!P28</f>
        <v>0</v>
      </c>
      <c r="O33" s="8">
        <f>'5.Infrastructure Annex'!Q28</f>
        <v>0</v>
      </c>
      <c r="P33" s="8">
        <f>'5.Infrastructure Annex'!R28</f>
        <v>0</v>
      </c>
    </row>
    <row r="34" spans="1:16" ht="89.25">
      <c r="A34" s="4" t="str">
        <f>'5.Infrastructure Annex'!A29</f>
        <v>5.1.1.2.8</v>
      </c>
      <c r="B34" s="4" t="str">
        <f>'5.Infrastructure Annex'!B29</f>
        <v>B18.3</v>
      </c>
      <c r="C34" s="4" t="str">
        <f>'5.Infrastructure Annex'!C29</f>
        <v>Infrastructure strengthening of SC  to H&amp;WC</v>
      </c>
      <c r="D34" s="8">
        <f>'5.Infrastructure Annex'!F29</f>
        <v>0</v>
      </c>
      <c r="E34" s="8">
        <f>'5.Infrastructure Annex'!G29</f>
        <v>0</v>
      </c>
      <c r="F34" s="8">
        <f>'5.Infrastructure Annex'!H29</f>
        <v>0</v>
      </c>
      <c r="G34" s="8">
        <f>'5.Infrastructure Annex'!I29</f>
        <v>0</v>
      </c>
      <c r="H34" s="8">
        <f>'5.Infrastructure Annex'!J29</f>
        <v>0</v>
      </c>
      <c r="I34" s="8" t="str">
        <f>'5.Infrastructure Annex'!K29</f>
        <v>No of HSCs</v>
      </c>
      <c r="J34" s="8">
        <f>'5.Infrastructure Annex'!L29</f>
        <v>700000</v>
      </c>
      <c r="K34" s="8">
        <f>'5.Infrastructure Annex'!M29</f>
        <v>7</v>
      </c>
      <c r="L34" s="8">
        <f>'5.Infrastructure Annex'!N29</f>
        <v>2874</v>
      </c>
      <c r="M34" s="8">
        <f>'5.Infrastructure Annex'!O29</f>
        <v>20118</v>
      </c>
      <c r="N34" s="8" t="str">
        <f>'5.Infrastructure Annex'!P29</f>
        <v xml:space="preserve">Continued activity- 
Proposed for Infrastructure strengthening of 2874 HSCs into HWCs @7 lakh per HSC
Total amount is Rs 2011800000/-                    </v>
      </c>
      <c r="O34" s="8">
        <f>'5.Infrastructure Annex'!Q29</f>
        <v>0</v>
      </c>
      <c r="P34" s="8">
        <f>'5.Infrastructure Annex'!R29</f>
        <v>0</v>
      </c>
    </row>
    <row r="35" spans="1:16" ht="25.5">
      <c r="A35" s="4" t="str">
        <f>'5.Infrastructure Annex'!A31</f>
        <v>5.1.1.2.10</v>
      </c>
      <c r="B35" s="4" t="str">
        <f>'5.Infrastructure Annex'!B31</f>
        <v>B.5.10.1.2</v>
      </c>
      <c r="C35" s="4" t="str">
        <f>'5.Infrastructure Annex'!C31</f>
        <v>Training Institutions</v>
      </c>
      <c r="D35" s="8">
        <f>'5.Infrastructure Annex'!F31</f>
        <v>0</v>
      </c>
      <c r="E35" s="8">
        <f>'5.Infrastructure Annex'!G31</f>
        <v>0</v>
      </c>
      <c r="F35" s="8">
        <f>'5.Infrastructure Annex'!H31</f>
        <v>0</v>
      </c>
      <c r="G35" s="8">
        <f>'5.Infrastructure Annex'!I31</f>
        <v>0</v>
      </c>
      <c r="H35" s="8">
        <f>'5.Infrastructure Annex'!J31</f>
        <v>0</v>
      </c>
      <c r="I35" s="8">
        <f>'5.Infrastructure Annex'!K31</f>
        <v>0</v>
      </c>
      <c r="J35" s="8">
        <f>'5.Infrastructure Annex'!L31</f>
        <v>0</v>
      </c>
      <c r="K35" s="8">
        <f>'5.Infrastructure Annex'!M31</f>
        <v>0</v>
      </c>
      <c r="L35" s="8">
        <f>'5.Infrastructure Annex'!N31</f>
        <v>0</v>
      </c>
      <c r="M35" s="8">
        <f>'5.Infrastructure Annex'!O31</f>
        <v>0</v>
      </c>
      <c r="N35" s="8">
        <f>'5.Infrastructure Annex'!P31</f>
        <v>0</v>
      </c>
      <c r="O35" s="8">
        <f>'5.Infrastructure Annex'!Q31</f>
        <v>0</v>
      </c>
      <c r="P35" s="8">
        <f>'5.Infrastructure Annex'!R31</f>
        <v>0</v>
      </c>
    </row>
    <row r="36" spans="1:16" ht="25.5">
      <c r="A36" s="4" t="str">
        <f>'5.Infrastructure Annex'!A32</f>
        <v>5.1.1.2.11</v>
      </c>
      <c r="B36" s="4">
        <f>'5.Infrastructure Annex'!B32</f>
        <v>0</v>
      </c>
      <c r="C36" s="4" t="str">
        <f>'5.Infrastructure Annex'!C32</f>
        <v>Drug Warehouses</v>
      </c>
      <c r="D36" s="8">
        <f>'5.Infrastructure Annex'!F32</f>
        <v>0</v>
      </c>
      <c r="E36" s="8">
        <f>'5.Infrastructure Annex'!G32</f>
        <v>0</v>
      </c>
      <c r="F36" s="8">
        <f>'5.Infrastructure Annex'!H32</f>
        <v>0</v>
      </c>
      <c r="G36" s="8">
        <f>'5.Infrastructure Annex'!I32</f>
        <v>0</v>
      </c>
      <c r="H36" s="8">
        <f>'5.Infrastructure Annex'!J32</f>
        <v>0</v>
      </c>
      <c r="I36" s="8">
        <f>'5.Infrastructure Annex'!K32</f>
        <v>0</v>
      </c>
      <c r="J36" s="8">
        <f>'5.Infrastructure Annex'!L32</f>
        <v>0</v>
      </c>
      <c r="K36" s="8">
        <f>'5.Infrastructure Annex'!M32</f>
        <v>0</v>
      </c>
      <c r="L36" s="8">
        <f>'5.Infrastructure Annex'!N32</f>
        <v>0</v>
      </c>
      <c r="M36" s="8">
        <f>'5.Infrastructure Annex'!O32</f>
        <v>0</v>
      </c>
      <c r="N36" s="8">
        <f>'5.Infrastructure Annex'!P32</f>
        <v>0</v>
      </c>
      <c r="O36" s="8">
        <f>'5.Infrastructure Annex'!Q32</f>
        <v>0</v>
      </c>
      <c r="P36" s="8">
        <f>'5.Infrastructure Annex'!R32</f>
        <v>0</v>
      </c>
    </row>
    <row r="37" spans="1:16" ht="38.25">
      <c r="A37" s="4" t="str">
        <f>'5.Infrastructure Annex'!A33</f>
        <v>5.1.1.2.12</v>
      </c>
      <c r="B37" s="4">
        <f>'5.Infrastructure Annex'!B33</f>
        <v>0</v>
      </c>
      <c r="C37" s="4" t="str">
        <f>'5.Infrastructure Annex'!C33</f>
        <v>Upgradation/ Renovation of Obstetric ICUs/ HDUs (as per operational guidelines of ICUs and HDUs, 2017)</v>
      </c>
      <c r="D37" s="8">
        <f>'5.Infrastructure Annex'!F33</f>
        <v>0</v>
      </c>
      <c r="E37" s="8">
        <f>'5.Infrastructure Annex'!G33</f>
        <v>0</v>
      </c>
      <c r="F37" s="8">
        <f>'5.Infrastructure Annex'!H33</f>
        <v>0</v>
      </c>
      <c r="G37" s="8">
        <f>'5.Infrastructure Annex'!I33</f>
        <v>0</v>
      </c>
      <c r="H37" s="8">
        <f>'5.Infrastructure Annex'!J33</f>
        <v>0</v>
      </c>
      <c r="I37" s="8">
        <f>'5.Infrastructure Annex'!K33</f>
        <v>0</v>
      </c>
      <c r="J37" s="8">
        <f>'5.Infrastructure Annex'!L33</f>
        <v>0</v>
      </c>
      <c r="K37" s="8">
        <f>'5.Infrastructure Annex'!M33</f>
        <v>0</v>
      </c>
      <c r="L37" s="8">
        <f>'5.Infrastructure Annex'!N33</f>
        <v>0</v>
      </c>
      <c r="M37" s="8">
        <f>'5.Infrastructure Annex'!O33</f>
        <v>0</v>
      </c>
      <c r="N37" s="8">
        <f>'5.Infrastructure Annex'!P33</f>
        <v>0</v>
      </c>
      <c r="O37" s="8">
        <f>'5.Infrastructure Annex'!Q33</f>
        <v>0</v>
      </c>
      <c r="P37" s="8">
        <f>'5.Infrastructure Annex'!R33</f>
        <v>0</v>
      </c>
    </row>
    <row r="38" spans="1:16" ht="25.5">
      <c r="A38" s="4" t="str">
        <f>'5.Infrastructure Annex'!A34</f>
        <v>5.1.1.2.13</v>
      </c>
      <c r="B38" s="4">
        <f>'5.Infrastructure Annex'!B34</f>
        <v>0</v>
      </c>
      <c r="C38" s="4" t="str">
        <f>'5.Infrastructure Annex'!C34</f>
        <v>Greening of Health sector: DH/ CHC as per IPHS guidelines</v>
      </c>
      <c r="D38" s="8">
        <f>'5.Infrastructure Annex'!F34</f>
        <v>0</v>
      </c>
      <c r="E38" s="8">
        <f>'5.Infrastructure Annex'!G34</f>
        <v>0</v>
      </c>
      <c r="F38" s="8">
        <f>'5.Infrastructure Annex'!H34</f>
        <v>0</v>
      </c>
      <c r="G38" s="8">
        <f>'5.Infrastructure Annex'!I34</f>
        <v>0</v>
      </c>
      <c r="H38" s="8">
        <f>'5.Infrastructure Annex'!J34</f>
        <v>0</v>
      </c>
      <c r="I38" s="8">
        <f>'5.Infrastructure Annex'!K34</f>
        <v>0</v>
      </c>
      <c r="J38" s="8">
        <f>'5.Infrastructure Annex'!L34</f>
        <v>0</v>
      </c>
      <c r="K38" s="8">
        <f>'5.Infrastructure Annex'!M34</f>
        <v>0</v>
      </c>
      <c r="L38" s="8">
        <f>'5.Infrastructure Annex'!N34</f>
        <v>0</v>
      </c>
      <c r="M38" s="8">
        <f>'5.Infrastructure Annex'!O34</f>
        <v>0</v>
      </c>
      <c r="N38" s="8">
        <f>'5.Infrastructure Annex'!P34</f>
        <v>0</v>
      </c>
      <c r="O38" s="8">
        <f>'5.Infrastructure Annex'!Q34</f>
        <v>0</v>
      </c>
      <c r="P38" s="8">
        <f>'5.Infrastructure Annex'!R34</f>
        <v>0</v>
      </c>
    </row>
    <row r="39" spans="1:16" ht="25.5">
      <c r="A39" s="4" t="str">
        <f>'5.Infrastructure Annex'!A35</f>
        <v>5.1.1.2.13</v>
      </c>
      <c r="B39" s="4">
        <f>'5.Infrastructure Annex'!B35</f>
        <v>0</v>
      </c>
      <c r="C39" s="4" t="str">
        <f>'5.Infrastructure Annex'!C35</f>
        <v>Any Others</v>
      </c>
      <c r="D39" s="8">
        <f>'5.Infrastructure Annex'!F35</f>
        <v>0</v>
      </c>
      <c r="E39" s="8">
        <f>'5.Infrastructure Annex'!G35</f>
        <v>0</v>
      </c>
      <c r="F39" s="8">
        <f>'5.Infrastructure Annex'!H35</f>
        <v>0</v>
      </c>
      <c r="G39" s="8">
        <f>'5.Infrastructure Annex'!I35</f>
        <v>0</v>
      </c>
      <c r="H39" s="8">
        <f>'5.Infrastructure Annex'!J35</f>
        <v>0</v>
      </c>
      <c r="I39" s="8">
        <f>'5.Infrastructure Annex'!K35</f>
        <v>0</v>
      </c>
      <c r="J39" s="8">
        <f>'5.Infrastructure Annex'!L35</f>
        <v>0</v>
      </c>
      <c r="K39" s="8">
        <f>'5.Infrastructure Annex'!M35</f>
        <v>0</v>
      </c>
      <c r="L39" s="8">
        <f>'5.Infrastructure Annex'!N35</f>
        <v>0</v>
      </c>
      <c r="M39" s="8">
        <f>'5.Infrastructure Annex'!O35</f>
        <v>0</v>
      </c>
      <c r="N39" s="8">
        <f>'5.Infrastructure Annex'!P35</f>
        <v>0</v>
      </c>
      <c r="O39" s="8">
        <f>'5.Infrastructure Annex'!Q35</f>
        <v>0</v>
      </c>
      <c r="P39" s="8">
        <f>'5.Infrastructure Annex'!R35</f>
        <v>0</v>
      </c>
    </row>
    <row r="40" spans="1:16" ht="89.25">
      <c r="A40" s="4" t="str">
        <f>'5.Infrastructure Annex'!A36</f>
        <v>5.1.1.3</v>
      </c>
      <c r="B40" s="4" t="str">
        <f>'5.Infrastructure Annex'!B36</f>
        <v>B4.1.1/ B4.1.2/ B4.1.3/ B4.1.4/ B4.1.5/ B4.1.6/ B.5.10</v>
      </c>
      <c r="C40" s="4" t="str">
        <f>'5.Infrastructure Annex'!C36</f>
        <v>Spill over of Ongoing Upgradation Works approved in previous years</v>
      </c>
      <c r="D40" s="8">
        <f>SUM(D41:D49)</f>
        <v>0</v>
      </c>
      <c r="E40" s="8">
        <f>SUM(E41:E49)</f>
        <v>0</v>
      </c>
      <c r="F40" s="8">
        <f>SUM(F41:F49)</f>
        <v>0</v>
      </c>
      <c r="G40" s="8">
        <f>SUM(G41:G49)</f>
        <v>0</v>
      </c>
      <c r="H40" s="8">
        <f>SUM(H41:H49)</f>
        <v>0</v>
      </c>
      <c r="I40" s="8">
        <f>'5.Infrastructure Annex'!K36</f>
        <v>0</v>
      </c>
      <c r="J40" s="8">
        <f>'5.Infrastructure Annex'!L36</f>
        <v>0</v>
      </c>
      <c r="K40" s="8">
        <f>'5.Infrastructure Annex'!M36</f>
        <v>0</v>
      </c>
      <c r="L40" s="8">
        <f>'5.Infrastructure Annex'!N36</f>
        <v>0</v>
      </c>
      <c r="M40" s="8">
        <f>SUM(M41:M49)</f>
        <v>27932.00488</v>
      </c>
      <c r="N40" s="8">
        <f>'5.Infrastructure Annex'!P36</f>
        <v>0</v>
      </c>
      <c r="O40" s="8">
        <f>'5.Infrastructure Annex'!Q36</f>
        <v>0</v>
      </c>
      <c r="P40" s="8">
        <f>SUM(P41:P49)</f>
        <v>0</v>
      </c>
    </row>
    <row r="41" spans="1:16" ht="409.5">
      <c r="A41" s="4" t="str">
        <f>'5.Infrastructure Annex'!A37</f>
        <v>5.1.1.3.1</v>
      </c>
      <c r="B41" s="4" t="str">
        <f>'5.Infrastructure Annex'!B37</f>
        <v>B4.1.1.3</v>
      </c>
      <c r="C41" s="4" t="str">
        <f>'5.Infrastructure Annex'!C37</f>
        <v>District Hospitals (As per the DH Strengthening Guidelines)</v>
      </c>
      <c r="D41" s="8">
        <f>'5.Infrastructure Annex'!F37</f>
        <v>0</v>
      </c>
      <c r="E41" s="8">
        <f>'5.Infrastructure Annex'!G37</f>
        <v>0</v>
      </c>
      <c r="F41" s="8">
        <f>'5.Infrastructure Annex'!H37</f>
        <v>0</v>
      </c>
      <c r="G41" s="8">
        <f>'5.Infrastructure Annex'!I37</f>
        <v>0</v>
      </c>
      <c r="H41" s="8">
        <f>'5.Infrastructure Annex'!J37</f>
        <v>0</v>
      </c>
      <c r="I41" s="8" t="str">
        <f>'5.Infrastructure Annex'!K37</f>
        <v xml:space="preserve">(a) 9 District Model Hospital
(b) 12 District Model Hospital </v>
      </c>
      <c r="J41" s="8">
        <f>'5.Infrastructure Annex'!L37</f>
        <v>1246832100</v>
      </c>
      <c r="K41" s="8">
        <f>'5.Infrastructure Annex'!M37</f>
        <v>12468.321</v>
      </c>
      <c r="L41" s="8">
        <f>'5.Infrastructure Annex'!N37</f>
        <v>1</v>
      </c>
      <c r="M41" s="8">
        <f>'5.Infrastructure Annex'!O37</f>
        <v>12468.321</v>
      </c>
      <c r="N41" s="8" t="str">
        <f>'5.Infrastructure Annex'!P37</f>
        <v>Continued Activity
(A) Construction of 9 District Model Hospital. 
* GOI Approved in PIP 2017-18
* GOI Approved Rs. 5 Crore  In ROP 2018-19
* GOI Approved Rs. 18 Crore  In ROP 2019-20
BMSICL provided total estimated cost for 9 Model Hospital Rs 1732746000/-
Amount to be Require  433186500/- 25 % of total estimated cost Rs 1732746000/-
(B) Construction of 12 District Model Hospital. 
* GOI Approved in PIP 2020-21
* GOI Approved Rs. 4 Crore in PIP 2020-21
GOI approved @ 20 Crore per unit in ROP 2020-21 but BMSICL provided total estimated cost for 12 Model Hospital Rs 4068228000/-. The State required administrative approval of Rs. Rs 4068228000/- for construction of 12 District Model Hospitals. 
Amount to be Require Rs 813645600/-,  20% of total estimated cost Rs  4068228000/-
Hence total amount required Rs. 12468.32 Lakh. (433186500+813645600)</v>
      </c>
      <c r="O41" s="8">
        <f>'5.Infrastructure Annex'!Q37</f>
        <v>0</v>
      </c>
      <c r="P41" s="8">
        <f>'5.Infrastructure Annex'!R37</f>
        <v>0</v>
      </c>
    </row>
    <row r="42" spans="1:16" ht="25.5">
      <c r="A42" s="4" t="str">
        <f>'5.Infrastructure Annex'!A38</f>
        <v>5.1.1.3.2</v>
      </c>
      <c r="B42" s="4" t="str">
        <f>'5.Infrastructure Annex'!B38</f>
        <v>B4.1.6.3</v>
      </c>
      <c r="C42" s="4" t="str">
        <f>'5.Infrastructure Annex'!C38</f>
        <v>SDH</v>
      </c>
      <c r="D42" s="8">
        <f>'5.Infrastructure Annex'!F38</f>
        <v>0</v>
      </c>
      <c r="E42" s="8">
        <f>'5.Infrastructure Annex'!G38</f>
        <v>0</v>
      </c>
      <c r="F42" s="8">
        <f>'5.Infrastructure Annex'!H38</f>
        <v>0</v>
      </c>
      <c r="G42" s="8">
        <f>'5.Infrastructure Annex'!I38</f>
        <v>0</v>
      </c>
      <c r="H42" s="8">
        <f>'5.Infrastructure Annex'!J38</f>
        <v>0</v>
      </c>
      <c r="I42" s="8">
        <f>'5.Infrastructure Annex'!K38</f>
        <v>0</v>
      </c>
      <c r="J42" s="8">
        <f>'5.Infrastructure Annex'!L38</f>
        <v>0</v>
      </c>
      <c r="K42" s="8">
        <f>'5.Infrastructure Annex'!M38</f>
        <v>0</v>
      </c>
      <c r="L42" s="8">
        <f>'5.Infrastructure Annex'!N38</f>
        <v>0</v>
      </c>
      <c r="M42" s="8">
        <f>'5.Infrastructure Annex'!O38</f>
        <v>0</v>
      </c>
      <c r="N42" s="8">
        <f>'5.Infrastructure Annex'!P38</f>
        <v>0</v>
      </c>
      <c r="O42" s="8">
        <f>'5.Infrastructure Annex'!Q38</f>
        <v>0</v>
      </c>
      <c r="P42" s="8">
        <f>'5.Infrastructure Annex'!R38</f>
        <v>0</v>
      </c>
    </row>
    <row r="43" spans="1:16" ht="25.5">
      <c r="A43" s="4" t="str">
        <f>'5.Infrastructure Annex'!A39</f>
        <v>5.1.1.3.3</v>
      </c>
      <c r="B43" s="4" t="str">
        <f>'5.Infrastructure Annex'!B39</f>
        <v>B4.1.2.3</v>
      </c>
      <c r="C43" s="4" t="str">
        <f>'5.Infrastructure Annex'!C39</f>
        <v>CHCs</v>
      </c>
      <c r="D43" s="8">
        <f>'5.Infrastructure Annex'!F39</f>
        <v>0</v>
      </c>
      <c r="E43" s="8">
        <f>'5.Infrastructure Annex'!G39</f>
        <v>0</v>
      </c>
      <c r="F43" s="8">
        <f>'5.Infrastructure Annex'!H39</f>
        <v>0</v>
      </c>
      <c r="G43" s="8">
        <f>'5.Infrastructure Annex'!I39</f>
        <v>0</v>
      </c>
      <c r="H43" s="8">
        <f>'5.Infrastructure Annex'!J39</f>
        <v>0</v>
      </c>
      <c r="I43" s="8">
        <f>'5.Infrastructure Annex'!K39</f>
        <v>0</v>
      </c>
      <c r="J43" s="8">
        <f>'5.Infrastructure Annex'!L39</f>
        <v>0</v>
      </c>
      <c r="K43" s="8">
        <f>'5.Infrastructure Annex'!M39</f>
        <v>0</v>
      </c>
      <c r="L43" s="8">
        <f>'5.Infrastructure Annex'!N39</f>
        <v>0</v>
      </c>
      <c r="M43" s="8">
        <f>'5.Infrastructure Annex'!O39</f>
        <v>0</v>
      </c>
      <c r="N43" s="8">
        <f>'5.Infrastructure Annex'!P39</f>
        <v>0</v>
      </c>
      <c r="O43" s="8">
        <f>'5.Infrastructure Annex'!Q39</f>
        <v>0</v>
      </c>
      <c r="P43" s="8">
        <f>'5.Infrastructure Annex'!R39</f>
        <v>0</v>
      </c>
    </row>
    <row r="44" spans="1:16" ht="25.5">
      <c r="A44" s="4" t="str">
        <f>'5.Infrastructure Annex'!A40</f>
        <v>5.1.1.3.4</v>
      </c>
      <c r="B44" s="4" t="str">
        <f>'5.Infrastructure Annex'!B40</f>
        <v>B4.1.3.3</v>
      </c>
      <c r="C44" s="4" t="str">
        <f>'5.Infrastructure Annex'!C40</f>
        <v>PHCs</v>
      </c>
      <c r="D44" s="8">
        <f>'5.Infrastructure Annex'!F40</f>
        <v>0</v>
      </c>
      <c r="E44" s="8">
        <f>'5.Infrastructure Annex'!G40</f>
        <v>0</v>
      </c>
      <c r="F44" s="8">
        <f>'5.Infrastructure Annex'!H40</f>
        <v>0</v>
      </c>
      <c r="G44" s="8">
        <f>'5.Infrastructure Annex'!I40</f>
        <v>0</v>
      </c>
      <c r="H44" s="8">
        <f>'5.Infrastructure Annex'!J40</f>
        <v>0</v>
      </c>
      <c r="I44" s="8">
        <f>'5.Infrastructure Annex'!K40</f>
        <v>0</v>
      </c>
      <c r="J44" s="8">
        <f>'5.Infrastructure Annex'!L40</f>
        <v>0</v>
      </c>
      <c r="K44" s="8">
        <f>'5.Infrastructure Annex'!M40</f>
        <v>0</v>
      </c>
      <c r="L44" s="8">
        <f>'5.Infrastructure Annex'!N40</f>
        <v>0</v>
      </c>
      <c r="M44" s="8">
        <f>'5.Infrastructure Annex'!O40</f>
        <v>0</v>
      </c>
      <c r="N44" s="8">
        <f>'5.Infrastructure Annex'!P40</f>
        <v>0</v>
      </c>
      <c r="O44" s="8">
        <f>'5.Infrastructure Annex'!Q40</f>
        <v>0</v>
      </c>
      <c r="P44" s="8">
        <f>'5.Infrastructure Annex'!R40</f>
        <v>0</v>
      </c>
    </row>
    <row r="45" spans="1:16" ht="409.5">
      <c r="A45" s="4" t="str">
        <f>'5.Infrastructure Annex'!A41</f>
        <v>5.1.1.3.5</v>
      </c>
      <c r="B45" s="4" t="str">
        <f>'5.Infrastructure Annex'!B41</f>
        <v>B4.1.4.3</v>
      </c>
      <c r="C45" s="4" t="str">
        <f>'5.Infrastructure Annex'!C41</f>
        <v>Spill over of Ongoing Upgradation Works - HWC-HSCs</v>
      </c>
      <c r="D45" s="8">
        <f>'5.Infrastructure Annex'!F41</f>
        <v>0</v>
      </c>
      <c r="E45" s="8">
        <f>'5.Infrastructure Annex'!G41</f>
        <v>0</v>
      </c>
      <c r="F45" s="8">
        <f>'5.Infrastructure Annex'!H41</f>
        <v>0</v>
      </c>
      <c r="G45" s="8">
        <f>'5.Infrastructure Annex'!I41</f>
        <v>0</v>
      </c>
      <c r="H45" s="8">
        <f>'5.Infrastructure Annex'!J41</f>
        <v>0</v>
      </c>
      <c r="I45" s="8" t="str">
        <f>'5.Infrastructure Annex'!K41</f>
        <v>(a) For 236 HWC
(b) for 260 HWC</v>
      </c>
      <c r="J45" s="8">
        <f>'5.Infrastructure Annex'!L41</f>
        <v>930000000</v>
      </c>
      <c r="K45" s="8">
        <f>'5.Infrastructure Annex'!M41</f>
        <v>9300</v>
      </c>
      <c r="L45" s="8">
        <f>'5.Infrastructure Annex'!N41</f>
        <v>1</v>
      </c>
      <c r="M45" s="8">
        <f>'5.Infrastructure Annex'!O41</f>
        <v>9300</v>
      </c>
      <c r="N45" s="8" t="str">
        <f>'5.Infrastructure Annex'!P41</f>
        <v>Continued Activity
(A) For construction of 236 HWC
*GOI approved in ROP 2019-20
* GOI approved total cost of Rs. 9440 Lakhs @ Rs 40 Lakh per unit.
GOI approved in ROP 2019-20 Amount of Rs. 2360.00 Lacs of 25% of total project cost. 
GOI approved in ROP 2020-21 Amount of Rs. 2360.00 Lakhs. 
GOI approved in the year 2020-21 revised estimated price of Rs 75 lakh per unit. 
So Total cost for 236 HWC 236x7500000=1770000000/-
Now this FY 2021-22 required amount is Rs. 442500000/- 25% of  1770000000/-. 
(B) For construction of 260 HWC
GOI approved in ROP 2020-21 @ 7500000/-
GOI approved Rs. 4875.00 Lacs of 25% of total project cost. (Total Project Cost is 195 Crore)
Now thi FY 2021-22 is required 4875 Lakh.
Total Amount required 4425+4875=9300 Lacs.</v>
      </c>
      <c r="O45" s="8">
        <f>'5.Infrastructure Annex'!Q41</f>
        <v>0</v>
      </c>
      <c r="P45" s="8">
        <f>'5.Infrastructure Annex'!R41</f>
        <v>0</v>
      </c>
    </row>
    <row r="46" spans="1:16" ht="408">
      <c r="A46" s="4" t="str">
        <f>'5.Infrastructure Annex'!A42</f>
        <v>5.1.1.3.6</v>
      </c>
      <c r="B46" s="4" t="str">
        <f>'5.Infrastructure Annex'!B42</f>
        <v>B4.1.5.3</v>
      </c>
      <c r="C46" s="4" t="str">
        <f>'5.Infrastructure Annex'!C42</f>
        <v>Spill over of Ongoing Upgradation-MCH Wings</v>
      </c>
      <c r="D46" s="8">
        <f>'5.Infrastructure Annex'!F42</f>
        <v>0</v>
      </c>
      <c r="E46" s="8">
        <f>'5.Infrastructure Annex'!G42</f>
        <v>0</v>
      </c>
      <c r="F46" s="8">
        <f>'5.Infrastructure Annex'!H42</f>
        <v>0</v>
      </c>
      <c r="G46" s="8">
        <f>'5.Infrastructure Annex'!I42</f>
        <v>0</v>
      </c>
      <c r="H46" s="8">
        <f>'5.Infrastructure Annex'!J42</f>
        <v>0</v>
      </c>
      <c r="I46" s="8" t="str">
        <f>'5.Infrastructure Annex'!K42</f>
        <v>(a) MCH Wing 100 bedded 5 nos. and 300 bedded 5 nos.
(b) MCH Wing 100 bedded 6 nos.</v>
      </c>
      <c r="J46" s="8">
        <f>'5.Infrastructure Annex'!L42</f>
        <v>616368388</v>
      </c>
      <c r="K46" s="8">
        <f>'5.Infrastructure Annex'!M42</f>
        <v>6163.6838799999996</v>
      </c>
      <c r="L46" s="8">
        <f>'5.Infrastructure Annex'!N42</f>
        <v>1</v>
      </c>
      <c r="M46" s="8">
        <f>'5.Infrastructure Annex'!O42</f>
        <v>6163.6838799999996</v>
      </c>
      <c r="N46" s="8" t="str">
        <f>'5.Infrastructure Annex'!P42</f>
        <v>Continued Activity:-
(A) Construction of 5 number 100 bedded and 5 number 30 bedded MCH wing:-
GOI approved Rs. 10 Crore in ROP 2018-19 and also Rs. 10 Crore approved in ROP 2019-20.
BMSICL total estimated cost is Rs. 1145473554/- 
Hence an amount Rs. 286368388/-is  required (25% of total estimated cost).
 (B) Construction of 6 number 100 bedded MCH wing
GOI approve @ 22 crore each unit in ROP 2019-20 (220000000x6=1320000000)
and 13 Crore released as tokeny money in same.
 Hence an amount of Rs. 33.00 crore (25%)  is needed in FY 2021-22 for the continuation of above mentioned projects.
So Amount needed (A+B) =286368388+330000000=  Rs. 616368388/-</v>
      </c>
      <c r="O46" s="8">
        <f>'5.Infrastructure Annex'!Q42</f>
        <v>0</v>
      </c>
      <c r="P46" s="8">
        <f>'5.Infrastructure Annex'!R42</f>
        <v>0</v>
      </c>
    </row>
    <row r="47" spans="1:16" ht="63.75">
      <c r="A47" s="4" t="str">
        <f>'5.Infrastructure Annex'!A43</f>
        <v>5.1.1.3.7</v>
      </c>
      <c r="B47" s="4">
        <f>'5.Infrastructure Annex'!B43</f>
        <v>0</v>
      </c>
      <c r="C47" s="4" t="str">
        <f>'5.Infrastructure Annex'!C43</f>
        <v>Spill over of Ongoing Upgradation-Facility based new-born care centres (SNCU/NBSU/NBCC/KMC unit)/MNCU &amp; State resource centre/CLMC units/Paediatric HDUs</v>
      </c>
      <c r="D47" s="8">
        <f>'5.Infrastructure Annex'!F43</f>
        <v>0</v>
      </c>
      <c r="E47" s="8">
        <f>'5.Infrastructure Annex'!G43</f>
        <v>0</v>
      </c>
      <c r="F47" s="8">
        <f>'5.Infrastructure Annex'!H43</f>
        <v>0</v>
      </c>
      <c r="G47" s="8">
        <f>'5.Infrastructure Annex'!I43</f>
        <v>0</v>
      </c>
      <c r="H47" s="8">
        <f>'5.Infrastructure Annex'!J43</f>
        <v>0</v>
      </c>
      <c r="I47" s="8">
        <f>'5.Infrastructure Annex'!K43</f>
        <v>0</v>
      </c>
      <c r="J47" s="8">
        <f>'5.Infrastructure Annex'!L43</f>
        <v>0</v>
      </c>
      <c r="K47" s="8">
        <f>'5.Infrastructure Annex'!M43</f>
        <v>0</v>
      </c>
      <c r="L47" s="8">
        <f>'5.Infrastructure Annex'!N43</f>
        <v>0</v>
      </c>
      <c r="M47" s="8">
        <f>'5.Infrastructure Annex'!O43</f>
        <v>0</v>
      </c>
      <c r="N47" s="8">
        <f>'5.Infrastructure Annex'!P43</f>
        <v>0</v>
      </c>
      <c r="O47" s="8">
        <f>'5.Infrastructure Annex'!Q43</f>
        <v>0</v>
      </c>
      <c r="P47" s="8">
        <f>'5.Infrastructure Annex'!R43</f>
        <v>0</v>
      </c>
    </row>
    <row r="48" spans="1:16" ht="25.5">
      <c r="A48" s="4" t="str">
        <f>'5.Infrastructure Annex'!A44</f>
        <v>5.1.1.3.8</v>
      </c>
      <c r="B48" s="4" t="str">
        <f>'5.Infrastructure Annex'!B44</f>
        <v>B.5.10.1.3</v>
      </c>
      <c r="C48" s="4" t="str">
        <f>'5.Infrastructure Annex'!C44</f>
        <v>Training Institutions</v>
      </c>
      <c r="D48" s="8">
        <f>'5.Infrastructure Annex'!F44</f>
        <v>0</v>
      </c>
      <c r="E48" s="8">
        <f>'5.Infrastructure Annex'!G44</f>
        <v>0</v>
      </c>
      <c r="F48" s="8">
        <f>'5.Infrastructure Annex'!H44</f>
        <v>0</v>
      </c>
      <c r="G48" s="8">
        <f>'5.Infrastructure Annex'!I44</f>
        <v>0</v>
      </c>
      <c r="H48" s="8">
        <f>'5.Infrastructure Annex'!J44</f>
        <v>0</v>
      </c>
      <c r="I48" s="8">
        <f>'5.Infrastructure Annex'!K44</f>
        <v>0</v>
      </c>
      <c r="J48" s="8">
        <f>'5.Infrastructure Annex'!L44</f>
        <v>0</v>
      </c>
      <c r="K48" s="8">
        <f>'5.Infrastructure Annex'!M44</f>
        <v>0</v>
      </c>
      <c r="L48" s="8">
        <f>'5.Infrastructure Annex'!N44</f>
        <v>0</v>
      </c>
      <c r="M48" s="8">
        <f>'5.Infrastructure Annex'!O44</f>
        <v>0</v>
      </c>
      <c r="N48" s="8">
        <f>'5.Infrastructure Annex'!P44</f>
        <v>0</v>
      </c>
      <c r="O48" s="8">
        <f>'5.Infrastructure Annex'!Q44</f>
        <v>0</v>
      </c>
      <c r="P48" s="8">
        <f>'5.Infrastructure Annex'!R44</f>
        <v>0</v>
      </c>
    </row>
    <row r="49" spans="1:16" ht="25.5">
      <c r="A49" s="4" t="str">
        <f>'5.Infrastructure Annex'!A45</f>
        <v>5.1.1.3.9</v>
      </c>
      <c r="B49" s="4">
        <f>'5.Infrastructure Annex'!B45</f>
        <v>0</v>
      </c>
      <c r="C49" s="4" t="str">
        <f>'5.Infrastructure Annex'!C45</f>
        <v>Any Others</v>
      </c>
      <c r="D49" s="8">
        <f>'5.Infrastructure Annex'!F45</f>
        <v>0</v>
      </c>
      <c r="E49" s="8">
        <f>'5.Infrastructure Annex'!G45</f>
        <v>0</v>
      </c>
      <c r="F49" s="8">
        <f>'5.Infrastructure Annex'!H45</f>
        <v>0</v>
      </c>
      <c r="G49" s="8">
        <f>'5.Infrastructure Annex'!I45</f>
        <v>0</v>
      </c>
      <c r="H49" s="8">
        <f>'5.Infrastructure Annex'!J45</f>
        <v>0</v>
      </c>
      <c r="I49" s="8">
        <f>'5.Infrastructure Annex'!K45</f>
        <v>0</v>
      </c>
      <c r="J49" s="8">
        <f>'5.Infrastructure Annex'!L45</f>
        <v>0</v>
      </c>
      <c r="K49" s="8">
        <f>'5.Infrastructure Annex'!M45</f>
        <v>0</v>
      </c>
      <c r="L49" s="8">
        <f>'5.Infrastructure Annex'!N45</f>
        <v>0</v>
      </c>
      <c r="M49" s="8">
        <f>'5.Infrastructure Annex'!O45</f>
        <v>0</v>
      </c>
      <c r="N49" s="8">
        <f>'5.Infrastructure Annex'!P45</f>
        <v>0</v>
      </c>
      <c r="O49" s="8">
        <f>'5.Infrastructure Annex'!Q45</f>
        <v>0</v>
      </c>
      <c r="P49" s="8">
        <f>'5.Infrastructure Annex'!R45</f>
        <v>0</v>
      </c>
    </row>
    <row r="50" spans="1:16" ht="76.5">
      <c r="A50" s="4" t="str">
        <f>'5.Infrastructure Annex'!A46</f>
        <v>5.1.1.4</v>
      </c>
      <c r="B50" s="4" t="str">
        <f>'5.Infrastructure Annex'!B46</f>
        <v>B4.1.1/ B4.1.2/ B4.1.3/ B4.1.4/ B4.1.6/ B.5.10</v>
      </c>
      <c r="C50" s="4" t="str">
        <f>'5.Infrastructure Annex'!C46</f>
        <v>Staff Quarters</v>
      </c>
      <c r="D50" s="8">
        <f>SUM(D51:D57)</f>
        <v>0</v>
      </c>
      <c r="E50" s="8">
        <f>SUM(E51:E57)</f>
        <v>0</v>
      </c>
      <c r="F50" s="8">
        <f>SUM(F51:F57)</f>
        <v>0</v>
      </c>
      <c r="G50" s="8">
        <f>SUM(G51:G57)</f>
        <v>0</v>
      </c>
      <c r="H50" s="8">
        <f>SUM(H51:H57)</f>
        <v>0</v>
      </c>
      <c r="I50" s="8">
        <f>'5.Infrastructure Annex'!K46</f>
        <v>0</v>
      </c>
      <c r="J50" s="8">
        <f>'5.Infrastructure Annex'!L46</f>
        <v>0</v>
      </c>
      <c r="K50" s="8">
        <f>'5.Infrastructure Annex'!M46</f>
        <v>0</v>
      </c>
      <c r="L50" s="8">
        <f>'5.Infrastructure Annex'!N46</f>
        <v>0</v>
      </c>
      <c r="M50" s="8">
        <f>SUM(M51:M57)</f>
        <v>1095</v>
      </c>
      <c r="N50" s="8">
        <f>'5.Infrastructure Annex'!P46</f>
        <v>0</v>
      </c>
      <c r="O50" s="8">
        <f>'5.Infrastructure Annex'!Q46</f>
        <v>0</v>
      </c>
      <c r="P50" s="8">
        <f>SUM(P51:P57)</f>
        <v>0</v>
      </c>
    </row>
    <row r="51" spans="1:16" ht="102">
      <c r="A51" s="4" t="str">
        <f>'5.Infrastructure Annex'!A47</f>
        <v>5.1.1.4.1</v>
      </c>
      <c r="B51" s="4" t="str">
        <f>'5.Infrastructure Annex'!B47</f>
        <v>B4.1.1.4</v>
      </c>
      <c r="C51" s="4" t="str">
        <f>'5.Infrastructure Annex'!C47</f>
        <v>District Hospitals (As per the DH Strengthening Guidelines)</v>
      </c>
      <c r="D51" s="8">
        <f>'5.Infrastructure Annex'!F47</f>
        <v>0</v>
      </c>
      <c r="E51" s="8">
        <f>'5.Infrastructure Annex'!G47</f>
        <v>0</v>
      </c>
      <c r="F51" s="8">
        <f>'5.Infrastructure Annex'!H47</f>
        <v>0</v>
      </c>
      <c r="G51" s="8">
        <f>'5.Infrastructure Annex'!I47</f>
        <v>0</v>
      </c>
      <c r="H51" s="8">
        <f>'5.Infrastructure Annex'!J47</f>
        <v>0</v>
      </c>
      <c r="I51" s="8" t="str">
        <f>'5.Infrastructure Annex'!K47</f>
        <v>Staff Qrt</v>
      </c>
      <c r="J51" s="8">
        <f>'5.Infrastructure Annex'!L47</f>
        <v>6500000</v>
      </c>
      <c r="K51" s="8">
        <f>'5.Infrastructure Annex'!M47</f>
        <v>65</v>
      </c>
      <c r="L51" s="8">
        <f>'5.Infrastructure Annex'!N47</f>
        <v>3</v>
      </c>
      <c r="M51" s="8">
        <f>'5.Infrastructure Annex'!O47</f>
        <v>195</v>
      </c>
      <c r="N51" s="8" t="str">
        <f>'5.Infrastructure Annex'!P47</f>
        <v>New activity:
State requried Staff Quarter 2 DH Nalanda- and  1 Muzaffarpur-Total  unit cost is  @13000000/- per unit Rs. 390 lakhs. State proposed only 50% token money rs.195 lakhs.</v>
      </c>
      <c r="O51" s="8">
        <f>'5.Infrastructure Annex'!Q47</f>
        <v>0</v>
      </c>
      <c r="P51" s="8">
        <f>'5.Infrastructure Annex'!R47</f>
        <v>0</v>
      </c>
    </row>
    <row r="52" spans="1:16" ht="25.5">
      <c r="A52" s="4" t="str">
        <f>'5.Infrastructure Annex'!A48</f>
        <v>5.1.1.4.2</v>
      </c>
      <c r="B52" s="4" t="str">
        <f>'5.Infrastructure Annex'!B48</f>
        <v>B4.1.6.4</v>
      </c>
      <c r="C52" s="4" t="str">
        <f>'5.Infrastructure Annex'!C48</f>
        <v>SDH</v>
      </c>
      <c r="D52" s="8">
        <f>'5.Infrastructure Annex'!F48</f>
        <v>0</v>
      </c>
      <c r="E52" s="8">
        <f>'5.Infrastructure Annex'!G48</f>
        <v>0</v>
      </c>
      <c r="F52" s="8">
        <f>'5.Infrastructure Annex'!H48</f>
        <v>0</v>
      </c>
      <c r="G52" s="8">
        <f>'5.Infrastructure Annex'!I48</f>
        <v>0</v>
      </c>
      <c r="H52" s="8">
        <f>'5.Infrastructure Annex'!J48</f>
        <v>0</v>
      </c>
      <c r="I52" s="8">
        <f>'5.Infrastructure Annex'!K48</f>
        <v>0</v>
      </c>
      <c r="J52" s="8">
        <f>'5.Infrastructure Annex'!L48</f>
        <v>0</v>
      </c>
      <c r="K52" s="8">
        <f>'5.Infrastructure Annex'!M48</f>
        <v>0</v>
      </c>
      <c r="L52" s="8">
        <f>'5.Infrastructure Annex'!N48</f>
        <v>0</v>
      </c>
      <c r="M52" s="8">
        <f>'5.Infrastructure Annex'!O48</f>
        <v>0</v>
      </c>
      <c r="N52" s="8">
        <f>'5.Infrastructure Annex'!P48</f>
        <v>0</v>
      </c>
      <c r="O52" s="8">
        <f>'5.Infrastructure Annex'!Q48</f>
        <v>0</v>
      </c>
      <c r="P52" s="8">
        <f>'5.Infrastructure Annex'!R48</f>
        <v>0</v>
      </c>
    </row>
    <row r="53" spans="1:16" ht="306">
      <c r="A53" s="4" t="str">
        <f>'5.Infrastructure Annex'!A49</f>
        <v>5.1.1.4.3</v>
      </c>
      <c r="B53" s="4" t="str">
        <f>'5.Infrastructure Annex'!B49</f>
        <v>B4.1.2.4</v>
      </c>
      <c r="C53" s="4" t="str">
        <f>'5.Infrastructure Annex'!C49</f>
        <v>CHCs</v>
      </c>
      <c r="D53" s="8">
        <f>'5.Infrastructure Annex'!F49</f>
        <v>0</v>
      </c>
      <c r="E53" s="8">
        <f>'5.Infrastructure Annex'!G49</f>
        <v>0</v>
      </c>
      <c r="F53" s="8">
        <f>'5.Infrastructure Annex'!H49</f>
        <v>0</v>
      </c>
      <c r="G53" s="8">
        <f>'5.Infrastructure Annex'!I49</f>
        <v>0</v>
      </c>
      <c r="H53" s="8">
        <f>'5.Infrastructure Annex'!J49</f>
        <v>0</v>
      </c>
      <c r="I53" s="8" t="str">
        <f>'5.Infrastructure Annex'!K49</f>
        <v>Construction of 9 unit MO+Staff quarter</v>
      </c>
      <c r="J53" s="8">
        <f>'5.Infrastructure Annex'!L49</f>
        <v>7500000</v>
      </c>
      <c r="K53" s="8">
        <f>'5.Infrastructure Annex'!M49</f>
        <v>75</v>
      </c>
      <c r="L53" s="8">
        <f>'5.Infrastructure Annex'!N49</f>
        <v>10</v>
      </c>
      <c r="M53" s="8">
        <f>'5.Infrastructure Annex'!O49</f>
        <v>750</v>
      </c>
      <c r="N53" s="8" t="str">
        <f>'5.Infrastructure Annex'!P49</f>
        <v>New Activity
Provision of 1 unit staff quarter in CHC Muzaffarpur, SDH Patouri, CHC Mohanpur, CHC Bithan (Samastipur), CHC Kadwa, Falka and Barari (Katihar), Amas and Paraiya (Gaya)  Bhawanipur (Purnea) needs to be provided due to provision of expansion of Medical facilities in the premises. 
1 Unit staff quarter means 2 MO quarter and 4 Staff quarters.
Approval in this regard is solicited. State need adminstrative approval Total project cost is Rs. 15 Crore  and in this F.Y 2021-22 state demand only token money as 50% total cost.</v>
      </c>
      <c r="O53" s="8">
        <f>'5.Infrastructure Annex'!Q49</f>
        <v>0</v>
      </c>
      <c r="P53" s="8">
        <f>'5.Infrastructure Annex'!R49</f>
        <v>0</v>
      </c>
    </row>
    <row r="54" spans="1:16" ht="318.75">
      <c r="A54" s="4" t="str">
        <f>'5.Infrastructure Annex'!A50</f>
        <v>5.1.1.4.4</v>
      </c>
      <c r="B54" s="4" t="str">
        <f>'5.Infrastructure Annex'!B50</f>
        <v>B4.1.3.4</v>
      </c>
      <c r="C54" s="4" t="str">
        <f>'5.Infrastructure Annex'!C50</f>
        <v>PHCs</v>
      </c>
      <c r="D54" s="8">
        <f>'5.Infrastructure Annex'!F50</f>
        <v>0</v>
      </c>
      <c r="E54" s="8">
        <f>'5.Infrastructure Annex'!G50</f>
        <v>0</v>
      </c>
      <c r="F54" s="8">
        <f>'5.Infrastructure Annex'!H50</f>
        <v>0</v>
      </c>
      <c r="G54" s="8">
        <f>'5.Infrastructure Annex'!I50</f>
        <v>0</v>
      </c>
      <c r="H54" s="8">
        <f>'5.Infrastructure Annex'!J50</f>
        <v>0</v>
      </c>
      <c r="I54" s="8" t="str">
        <f>'5.Infrastructure Annex'!K50</f>
        <v>Construction of 2 unit MO+Staff quarter</v>
      </c>
      <c r="J54" s="8">
        <f>'5.Infrastructure Annex'!L50</f>
        <v>7500000</v>
      </c>
      <c r="K54" s="8">
        <f>'5.Infrastructure Annex'!M50</f>
        <v>75</v>
      </c>
      <c r="L54" s="8">
        <f>'5.Infrastructure Annex'!N50</f>
        <v>2</v>
      </c>
      <c r="M54" s="8">
        <f>'5.Infrastructure Annex'!O50</f>
        <v>150</v>
      </c>
      <c r="N54" s="8" t="str">
        <f>'5.Infrastructure Annex'!P50</f>
        <v>New Activity
Provision of staff quarter in PHC Paro Muzaffarpur needs to be provided due to provision of expansion of Medical facilities in the premises of aforsaid facility (30 bedded MCH Wing).
1 Unit staff quarter means 2 MO quarter and 4 Staff quarters. There is requirement of 2 unit staff quarter in PHC Paro premises which would require an approxmite amount of 3.00 crores (1.5 crore x 2=3.00 crore). State need adminstrative approval Total project cost is Rs. 3 Crore  and in this F.Y 2021-22 state demand only token money as 50% total cost.
Approval in this regards is solicited.</v>
      </c>
      <c r="O54" s="8">
        <f>'5.Infrastructure Annex'!Q50</f>
        <v>0</v>
      </c>
      <c r="P54" s="8">
        <f>'5.Infrastructure Annex'!R50</f>
        <v>0</v>
      </c>
    </row>
    <row r="55" spans="1:16" ht="25.5">
      <c r="A55" s="4" t="str">
        <f>'5.Infrastructure Annex'!A51</f>
        <v>5.1.1.4.5</v>
      </c>
      <c r="B55" s="4" t="str">
        <f>'5.Infrastructure Annex'!B51</f>
        <v>B4.1.4.4</v>
      </c>
      <c r="C55" s="4" t="str">
        <f>'5.Infrastructure Annex'!C51</f>
        <v>Sub Centres</v>
      </c>
      <c r="D55" s="8">
        <f>'5.Infrastructure Annex'!F51</f>
        <v>0</v>
      </c>
      <c r="E55" s="8">
        <f>'5.Infrastructure Annex'!G51</f>
        <v>0</v>
      </c>
      <c r="F55" s="8">
        <f>'5.Infrastructure Annex'!H51</f>
        <v>0</v>
      </c>
      <c r="G55" s="8">
        <f>'5.Infrastructure Annex'!I51</f>
        <v>0</v>
      </c>
      <c r="H55" s="8">
        <f>'5.Infrastructure Annex'!J51</f>
        <v>0</v>
      </c>
      <c r="I55" s="8">
        <f>'5.Infrastructure Annex'!K51</f>
        <v>0</v>
      </c>
      <c r="J55" s="8">
        <f>'5.Infrastructure Annex'!L51</f>
        <v>0</v>
      </c>
      <c r="K55" s="8">
        <f>'5.Infrastructure Annex'!M51</f>
        <v>0</v>
      </c>
      <c r="L55" s="8">
        <f>'5.Infrastructure Annex'!N51</f>
        <v>0</v>
      </c>
      <c r="M55" s="8">
        <f>'5.Infrastructure Annex'!O51</f>
        <v>0</v>
      </c>
      <c r="N55" s="8">
        <f>'5.Infrastructure Annex'!P51</f>
        <v>0</v>
      </c>
      <c r="O55" s="8">
        <f>'5.Infrastructure Annex'!Q51</f>
        <v>0</v>
      </c>
      <c r="P55" s="8">
        <f>'5.Infrastructure Annex'!R51</f>
        <v>0</v>
      </c>
    </row>
    <row r="56" spans="1:16" ht="25.5">
      <c r="A56" s="4" t="str">
        <f>'5.Infrastructure Annex'!A52</f>
        <v>5.1.1.4.6</v>
      </c>
      <c r="B56" s="4" t="str">
        <f>'5.Infrastructure Annex'!B52</f>
        <v>B.5.10.1.4</v>
      </c>
      <c r="C56" s="4" t="str">
        <f>'5.Infrastructure Annex'!C52</f>
        <v>Training Institutions (incl. hostels/residential facilities)</v>
      </c>
      <c r="D56" s="8">
        <f>'5.Infrastructure Annex'!F52</f>
        <v>0</v>
      </c>
      <c r="E56" s="8">
        <f>'5.Infrastructure Annex'!G52</f>
        <v>0</v>
      </c>
      <c r="F56" s="8">
        <f>'5.Infrastructure Annex'!H52</f>
        <v>0</v>
      </c>
      <c r="G56" s="8">
        <f>'5.Infrastructure Annex'!I52</f>
        <v>0</v>
      </c>
      <c r="H56" s="8">
        <f>'5.Infrastructure Annex'!J52</f>
        <v>0</v>
      </c>
      <c r="I56" s="8">
        <f>'5.Infrastructure Annex'!K52</f>
        <v>0</v>
      </c>
      <c r="J56" s="8">
        <f>'5.Infrastructure Annex'!L52</f>
        <v>0</v>
      </c>
      <c r="K56" s="8">
        <f>'5.Infrastructure Annex'!M52</f>
        <v>0</v>
      </c>
      <c r="L56" s="8">
        <f>'5.Infrastructure Annex'!N52</f>
        <v>0</v>
      </c>
      <c r="M56" s="8">
        <f>'5.Infrastructure Annex'!O52</f>
        <v>0</v>
      </c>
      <c r="N56" s="8">
        <f>'5.Infrastructure Annex'!P52</f>
        <v>0</v>
      </c>
      <c r="O56" s="8">
        <f>'5.Infrastructure Annex'!Q52</f>
        <v>0</v>
      </c>
      <c r="P56" s="8">
        <f>'5.Infrastructure Annex'!R52</f>
        <v>0</v>
      </c>
    </row>
    <row r="57" spans="1:16" ht="25.5">
      <c r="A57" s="4" t="str">
        <f>'5.Infrastructure Annex'!A53</f>
        <v>5.1.1.4.7</v>
      </c>
      <c r="B57" s="4">
        <f>'5.Infrastructure Annex'!B53</f>
        <v>0</v>
      </c>
      <c r="C57" s="4" t="str">
        <f>'5.Infrastructure Annex'!C53</f>
        <v>Any Others</v>
      </c>
      <c r="D57" s="8">
        <f>'5.Infrastructure Annex'!F53</f>
        <v>0</v>
      </c>
      <c r="E57" s="8">
        <f>'5.Infrastructure Annex'!G53</f>
        <v>0</v>
      </c>
      <c r="F57" s="8">
        <f>'5.Infrastructure Annex'!H53</f>
        <v>0</v>
      </c>
      <c r="G57" s="8">
        <f>'5.Infrastructure Annex'!I53</f>
        <v>0</v>
      </c>
      <c r="H57" s="8">
        <f>'5.Infrastructure Annex'!J53</f>
        <v>0</v>
      </c>
      <c r="I57" s="8">
        <f>'5.Infrastructure Annex'!K53</f>
        <v>0</v>
      </c>
      <c r="J57" s="8">
        <f>'5.Infrastructure Annex'!L53</f>
        <v>0</v>
      </c>
      <c r="K57" s="8">
        <f>'5.Infrastructure Annex'!M53</f>
        <v>0</v>
      </c>
      <c r="L57" s="8">
        <f>'5.Infrastructure Annex'!N53</f>
        <v>0</v>
      </c>
      <c r="M57" s="8">
        <f>'5.Infrastructure Annex'!O53</f>
        <v>0</v>
      </c>
      <c r="N57" s="8">
        <f>'5.Infrastructure Annex'!P53</f>
        <v>0</v>
      </c>
      <c r="O57" s="8">
        <f>'5.Infrastructure Annex'!Q53</f>
        <v>0</v>
      </c>
      <c r="P57" s="8">
        <f>'5.Infrastructure Annex'!R53</f>
        <v>0</v>
      </c>
    </row>
    <row r="58" spans="1:16" ht="280.5">
      <c r="A58" s="20" t="str">
        <f>'5.Infrastructure Annex'!A54</f>
        <v>5.1.2</v>
      </c>
      <c r="B58" s="20" t="str">
        <f>'5.Infrastructure Annex'!B54</f>
        <v>B.4.3</v>
      </c>
      <c r="C58" s="20" t="str">
        <f>'5.Infrastructure Annex'!C54</f>
        <v>Sub Centre Rent and Contingencies</v>
      </c>
      <c r="D58" s="40">
        <f>'5.Infrastructure Annex'!F54</f>
        <v>0</v>
      </c>
      <c r="E58" s="40">
        <f>'5.Infrastructure Annex'!G54</f>
        <v>0</v>
      </c>
      <c r="F58" s="40">
        <f>'5.Infrastructure Annex'!H54</f>
        <v>0</v>
      </c>
      <c r="G58" s="40">
        <f>'5.Infrastructure Annex'!I54</f>
        <v>0</v>
      </c>
      <c r="H58" s="40">
        <f>'5.Infrastructure Annex'!J54</f>
        <v>0</v>
      </c>
      <c r="I58" s="40" t="str">
        <f>'5.Infrastructure Annex'!K54</f>
        <v>HSC Rent</v>
      </c>
      <c r="J58" s="40">
        <f>'5.Infrastructure Annex'!L54</f>
        <v>60000</v>
      </c>
      <c r="K58" s="40">
        <f>'5.Infrastructure Annex'!M54</f>
        <v>0.6</v>
      </c>
      <c r="L58" s="40">
        <f>'5.Infrastructure Annex'!N54</f>
        <v>3472</v>
      </c>
      <c r="M58" s="40">
        <f>'5.Infrastructure Annex'!O54</f>
        <v>2083.1999999999998</v>
      </c>
      <c r="N58" s="40" t="str">
        <f>'5.Infrastructure Annex'!P54</f>
        <v>HSC Rent 
Previously- 
(1) For 1225 Health Sub Center @ Rs. 600.00 per month Total Amount =1225*600*12=8820000.00
(2) For 2247 Health Sub Center @ Rs. 500.00 per month Total Amount =2247*500*12=13482000.00
Total HSC Rent= 8820000+13482000=Rs. 22302000.00
But now to opearte HWC in rented HSC , state need HSC Rent @ 5000 per unit per month.
Hence 5000x3742x12 month=208320000/-</v>
      </c>
      <c r="O58" s="40">
        <f>'5.Infrastructure Annex'!Q54</f>
        <v>0</v>
      </c>
      <c r="P58" s="40">
        <f>'5.Infrastructure Annex'!R54</f>
        <v>0</v>
      </c>
    </row>
    <row r="59" spans="1:16">
      <c r="A59" s="32">
        <f>'5.Infrastructure Annex'!A55</f>
        <v>5.2</v>
      </c>
      <c r="B59" s="32">
        <f>'5.Infrastructure Annex'!B55</f>
        <v>0</v>
      </c>
      <c r="C59" s="32" t="str">
        <f>'5.Infrastructure Annex'!C55</f>
        <v xml:space="preserve">New Constructions </v>
      </c>
      <c r="D59" s="39"/>
      <c r="E59" s="39"/>
      <c r="F59" s="39">
        <f>F60+F75+F86</f>
        <v>155.18</v>
      </c>
      <c r="G59" s="39">
        <f>G60+G75+G86</f>
        <v>28.06</v>
      </c>
      <c r="H59" s="39">
        <f>H60+H75+H86</f>
        <v>0</v>
      </c>
      <c r="I59" s="39"/>
      <c r="J59" s="39"/>
      <c r="K59" s="39"/>
      <c r="L59" s="39"/>
      <c r="M59" s="39">
        <f>M60+M75+M86</f>
        <v>11312.13075</v>
      </c>
      <c r="N59" s="39"/>
      <c r="O59" s="39"/>
      <c r="P59" s="39">
        <f>P60+P75+P86</f>
        <v>0</v>
      </c>
    </row>
    <row r="60" spans="1:16" ht="153">
      <c r="A60" s="20" t="str">
        <f>'5.Infrastructure Annex'!A56</f>
        <v>5.2.1</v>
      </c>
      <c r="B60" s="20" t="str">
        <f>'5.Infrastructure Annex'!B56</f>
        <v>B5.1/ B5.2/ B5.3/ B5.5/ B5.10/ A.9.10.2/ B.5.11/ B.5.12/B.5.13/ B4.1.5/ A.4.1.2/ A.2.5</v>
      </c>
      <c r="C60" s="20" t="str">
        <f>'5.Infrastructure Annex'!C56</f>
        <v>New construction (to be initiated this year) as per the IPHS norms including staff quarters</v>
      </c>
      <c r="D60" s="40"/>
      <c r="E60" s="40"/>
      <c r="F60" s="40">
        <f>SUM(F61:F74)</f>
        <v>0</v>
      </c>
      <c r="G60" s="40">
        <f>SUM(G61:G74)</f>
        <v>0</v>
      </c>
      <c r="H60" s="40">
        <f>SUM(H61:H74)</f>
        <v>0</v>
      </c>
      <c r="I60" s="40"/>
      <c r="J60" s="40"/>
      <c r="K60" s="40"/>
      <c r="L60" s="40"/>
      <c r="M60" s="40">
        <f>SUM(M61:M74)</f>
        <v>10600</v>
      </c>
      <c r="N60" s="40"/>
      <c r="O60" s="40"/>
      <c r="P60" s="40">
        <f>SUM(P61:P74)</f>
        <v>0</v>
      </c>
    </row>
    <row r="61" spans="1:16" ht="165.75">
      <c r="A61" s="4" t="str">
        <f>'5.Infrastructure Annex'!A57</f>
        <v>5.2.1.1</v>
      </c>
      <c r="B61" s="4" t="str">
        <f>'5.Infrastructure Annex'!B57</f>
        <v>B5.12.1</v>
      </c>
      <c r="C61" s="4" t="str">
        <f>'5.Infrastructure Annex'!C57</f>
        <v>DH</v>
      </c>
      <c r="D61" s="8">
        <f>'5.Infrastructure Annex'!F57</f>
        <v>0</v>
      </c>
      <c r="E61" s="8">
        <f>'5.Infrastructure Annex'!G57</f>
        <v>0</v>
      </c>
      <c r="F61" s="8">
        <f>'5.Infrastructure Annex'!H57</f>
        <v>0</v>
      </c>
      <c r="G61" s="8">
        <f>'5.Infrastructure Annex'!I57</f>
        <v>0</v>
      </c>
      <c r="H61" s="8">
        <f>'5.Infrastructure Annex'!J57</f>
        <v>0</v>
      </c>
      <c r="I61" s="8" t="str">
        <f>'5.Infrastructure Annex'!K57</f>
        <v>District Model Hospital at Saran (Chhapra) District</v>
      </c>
      <c r="J61" s="8">
        <f>'5.Infrastructure Annex'!L57</f>
        <v>400000000</v>
      </c>
      <c r="K61" s="8">
        <f>'5.Infrastructure Annex'!M57</f>
        <v>4000</v>
      </c>
      <c r="L61" s="8">
        <f>'5.Infrastructure Annex'!N57</f>
        <v>1</v>
      </c>
      <c r="M61" s="8">
        <f>'5.Infrastructure Annex'!O57</f>
        <v>4000</v>
      </c>
      <c r="N61" s="8" t="str">
        <f>'5.Infrastructure Annex'!P57</f>
        <v>New Activity
Govt. of Bihar, decided to strengthen the health care delivery system to upgrade to DH to model District hospital at Saran (Chhapra). Approx cost of Rs. 40.00 Crore. 
In this financial year 2021-22 needed 10% of total project cost 40.00 Crore. 
Hence to be require 4.00 Crore as a token money.</v>
      </c>
      <c r="O61" s="8">
        <f>'5.Infrastructure Annex'!Q57</f>
        <v>0</v>
      </c>
      <c r="P61" s="8">
        <f>'5.Infrastructure Annex'!R57</f>
        <v>0</v>
      </c>
    </row>
    <row r="62" spans="1:16">
      <c r="A62" s="4" t="str">
        <f>'5.Infrastructure Annex'!A58</f>
        <v>5.2.1.2</v>
      </c>
      <c r="B62" s="4" t="str">
        <f>'5.Infrastructure Annex'!B58</f>
        <v>B5.11.1</v>
      </c>
      <c r="C62" s="4" t="str">
        <f>'5.Infrastructure Annex'!C58</f>
        <v>SDH</v>
      </c>
      <c r="D62" s="8">
        <f>'5.Infrastructure Annex'!F58</f>
        <v>0</v>
      </c>
      <c r="E62" s="8">
        <f>'5.Infrastructure Annex'!G58</f>
        <v>0</v>
      </c>
      <c r="F62" s="8">
        <f>'5.Infrastructure Annex'!H58</f>
        <v>0</v>
      </c>
      <c r="G62" s="8">
        <f>'5.Infrastructure Annex'!I58</f>
        <v>0</v>
      </c>
      <c r="H62" s="8">
        <f>'5.Infrastructure Annex'!J58</f>
        <v>0</v>
      </c>
      <c r="I62" s="8">
        <f>'5.Infrastructure Annex'!K58</f>
        <v>0</v>
      </c>
      <c r="J62" s="8">
        <f>'5.Infrastructure Annex'!L58</f>
        <v>0</v>
      </c>
      <c r="K62" s="8">
        <f>'5.Infrastructure Annex'!M58</f>
        <v>0</v>
      </c>
      <c r="L62" s="8">
        <f>'5.Infrastructure Annex'!N58</f>
        <v>0</v>
      </c>
      <c r="M62" s="8">
        <f>'5.Infrastructure Annex'!O58</f>
        <v>0</v>
      </c>
      <c r="N62" s="8">
        <f>'5.Infrastructure Annex'!P58</f>
        <v>0</v>
      </c>
      <c r="O62" s="8">
        <f>'5.Infrastructure Annex'!Q58</f>
        <v>0</v>
      </c>
      <c r="P62" s="8">
        <f>'5.Infrastructure Annex'!R58</f>
        <v>0</v>
      </c>
    </row>
    <row r="63" spans="1:16" ht="178.5">
      <c r="A63" s="4" t="str">
        <f>'5.Infrastructure Annex'!A59</f>
        <v>5.2.1.3</v>
      </c>
      <c r="B63" s="4" t="str">
        <f>'5.Infrastructure Annex'!B59</f>
        <v>B5.1.1</v>
      </c>
      <c r="C63" s="4" t="str">
        <f>'5.Infrastructure Annex'!C59</f>
        <v>CHCs</v>
      </c>
      <c r="D63" s="8">
        <f>'5.Infrastructure Annex'!F59</f>
        <v>0</v>
      </c>
      <c r="E63" s="8">
        <f>'5.Infrastructure Annex'!G59</f>
        <v>0</v>
      </c>
      <c r="F63" s="8">
        <f>'5.Infrastructure Annex'!H59</f>
        <v>0</v>
      </c>
      <c r="G63" s="8">
        <f>'5.Infrastructure Annex'!I59</f>
        <v>0</v>
      </c>
      <c r="H63" s="8">
        <f>'5.Infrastructure Annex'!J59</f>
        <v>0</v>
      </c>
      <c r="I63" s="8" t="str">
        <f>'5.Infrastructure Annex'!K59</f>
        <v>Asha/ANM Meeting Hall</v>
      </c>
      <c r="J63" s="8">
        <f>'5.Infrastructure Annex'!L59</f>
        <v>187500000</v>
      </c>
      <c r="K63" s="8">
        <f>'5.Infrastructure Annex'!M59</f>
        <v>1875</v>
      </c>
      <c r="L63" s="8">
        <f>'5.Infrastructure Annex'!N59</f>
        <v>1</v>
      </c>
      <c r="M63" s="8">
        <f>'5.Infrastructure Annex'!O59</f>
        <v>1875</v>
      </c>
      <c r="N63" s="8" t="str">
        <f>'5.Infrastructure Annex'!P59</f>
        <v xml:space="preserve">New Activity
For the construction of Asha/ANM Meeting hall in 239 Blocks of 38 districts @ Rs 75 Lakh per unit. So in this light administrative  Approval is required for 100 unit x 75 Lakh = 750000000. 
Token money @ 25 % of the total cost is required which comes to Rs 18.75 crore/- for this financial Year. </v>
      </c>
      <c r="O63" s="8">
        <f>'5.Infrastructure Annex'!Q59</f>
        <v>0</v>
      </c>
      <c r="P63" s="8">
        <f>'5.Infrastructure Annex'!R59</f>
        <v>0</v>
      </c>
    </row>
    <row r="64" spans="1:16" ht="127.5">
      <c r="A64" s="4" t="str">
        <f>'5.Infrastructure Annex'!A60</f>
        <v>5.2.1.4</v>
      </c>
      <c r="B64" s="4" t="str">
        <f>'5.Infrastructure Annex'!B60</f>
        <v>B5.2.1</v>
      </c>
      <c r="C64" s="4" t="str">
        <f>'5.Infrastructure Annex'!C60</f>
        <v>PHCs</v>
      </c>
      <c r="D64" s="8">
        <f>'5.Infrastructure Annex'!F60</f>
        <v>0</v>
      </c>
      <c r="E64" s="8">
        <f>'5.Infrastructure Annex'!G60</f>
        <v>0</v>
      </c>
      <c r="F64" s="8">
        <f>'5.Infrastructure Annex'!H60</f>
        <v>0</v>
      </c>
      <c r="G64" s="8">
        <f>'5.Infrastructure Annex'!I60</f>
        <v>0</v>
      </c>
      <c r="H64" s="8">
        <f>'5.Infrastructure Annex'!J60</f>
        <v>0</v>
      </c>
      <c r="I64" s="8" t="str">
        <f>'5.Infrastructure Annex'!K60</f>
        <v>Day Care Centre</v>
      </c>
      <c r="J64" s="8">
        <f>'5.Infrastructure Annex'!L60</f>
        <v>6500000</v>
      </c>
      <c r="K64" s="8">
        <f>'5.Infrastructure Annex'!M60</f>
        <v>65</v>
      </c>
      <c r="L64" s="8">
        <f>'5.Infrastructure Annex'!N60</f>
        <v>15</v>
      </c>
      <c r="M64" s="8">
        <f>'5.Infrastructure Annex'!O60</f>
        <v>975</v>
      </c>
      <c r="N64" s="8" t="str">
        <f>'5.Infrastructure Annex'!P60</f>
        <v xml:space="preserve">New activity:
New Construction for Day Care Centers at Various places in Bihar. unit cost is  @13000000/- per unit Total Project cost is 1950 lakhs.State proposed only 50% token money rs.975 lakhs.
</v>
      </c>
      <c r="O64" s="8">
        <f>'5.Infrastructure Annex'!Q60</f>
        <v>0</v>
      </c>
      <c r="P64" s="8">
        <f>'5.Infrastructure Annex'!R60</f>
        <v>0</v>
      </c>
    </row>
    <row r="65" spans="1:16" ht="165.75">
      <c r="A65" s="4" t="str">
        <f>'5.Infrastructure Annex'!A61</f>
        <v>5.2.1.5</v>
      </c>
      <c r="B65" s="4" t="str">
        <f>'5.Infrastructure Annex'!B61</f>
        <v>B5.3.1</v>
      </c>
      <c r="C65" s="4" t="str">
        <f>'5.Infrastructure Annex'!C61</f>
        <v>SHCs/Sub Centres</v>
      </c>
      <c r="D65" s="8">
        <f>'5.Infrastructure Annex'!F61</f>
        <v>0</v>
      </c>
      <c r="E65" s="8">
        <f>'5.Infrastructure Annex'!G61</f>
        <v>0</v>
      </c>
      <c r="F65" s="8">
        <f>'5.Infrastructure Annex'!H61</f>
        <v>0</v>
      </c>
      <c r="G65" s="8">
        <f>'5.Infrastructure Annex'!I61</f>
        <v>0</v>
      </c>
      <c r="H65" s="8">
        <f>'5.Infrastructure Annex'!J61</f>
        <v>0</v>
      </c>
      <c r="I65" s="8" t="str">
        <f>'5.Infrastructure Annex'!K61</f>
        <v>HWC</v>
      </c>
      <c r="J65" s="8">
        <f>'5.Infrastructure Annex'!L61</f>
        <v>375000000</v>
      </c>
      <c r="K65" s="8">
        <f>'5.Infrastructure Annex'!M61</f>
        <v>3750</v>
      </c>
      <c r="L65" s="8">
        <f>'5.Infrastructure Annex'!N61</f>
        <v>1</v>
      </c>
      <c r="M65" s="8">
        <f>'5.Infrastructure Annex'!O61</f>
        <v>3750</v>
      </c>
      <c r="N65" s="8" t="str">
        <f>'5.Infrastructure Annex'!P61</f>
        <v xml:space="preserve">New Activity
HWC construction of various dist in Bihar @ Rs 75 Lakh per unit. So in this light administrative  Approval is required for 200 unit x 75 Lakh = 1500000000. 
Token money @ 25 % of the total cost is required which comes to Rs 375000000/- for this financial Year. </v>
      </c>
      <c r="O65" s="8">
        <f>'5.Infrastructure Annex'!Q61</f>
        <v>0</v>
      </c>
      <c r="P65" s="8">
        <f>'5.Infrastructure Annex'!R61</f>
        <v>0</v>
      </c>
    </row>
    <row r="66" spans="1:16">
      <c r="A66" s="4" t="str">
        <f>'5.Infrastructure Annex'!A62</f>
        <v>5.2.1.6</v>
      </c>
      <c r="B66" s="4" t="str">
        <f>'5.Infrastructure Annex'!B62</f>
        <v>B4.1.5.1</v>
      </c>
      <c r="C66" s="4" t="str">
        <f>'5.Infrastructure Annex'!C62</f>
        <v>New construction: MCH Wings</v>
      </c>
      <c r="D66" s="8">
        <f>'5.Infrastructure Annex'!F62</f>
        <v>0</v>
      </c>
      <c r="E66" s="8">
        <f>'5.Infrastructure Annex'!G62</f>
        <v>0</v>
      </c>
      <c r="F66" s="8">
        <f>'5.Infrastructure Annex'!H62</f>
        <v>0</v>
      </c>
      <c r="G66" s="8">
        <f>'5.Infrastructure Annex'!I62</f>
        <v>0</v>
      </c>
      <c r="H66" s="8">
        <f>'5.Infrastructure Annex'!J62</f>
        <v>0</v>
      </c>
      <c r="I66" s="8">
        <f>'5.Infrastructure Annex'!K62</f>
        <v>0</v>
      </c>
      <c r="J66" s="8">
        <f>'5.Infrastructure Annex'!L62</f>
        <v>0</v>
      </c>
      <c r="K66" s="8">
        <f>'5.Infrastructure Annex'!M62</f>
        <v>0</v>
      </c>
      <c r="L66" s="8">
        <f>'5.Infrastructure Annex'!N62</f>
        <v>0</v>
      </c>
      <c r="M66" s="8">
        <f>'5.Infrastructure Annex'!O62</f>
        <v>0</v>
      </c>
      <c r="N66" s="8">
        <f>'5.Infrastructure Annex'!P62</f>
        <v>0</v>
      </c>
      <c r="O66" s="8">
        <f>'5.Infrastructure Annex'!Q62</f>
        <v>0</v>
      </c>
      <c r="P66" s="8">
        <f>'5.Infrastructure Annex'!R62</f>
        <v>0</v>
      </c>
    </row>
    <row r="67" spans="1:16" ht="38.25">
      <c r="A67" s="4" t="str">
        <f>'5.Infrastructure Annex'!A63</f>
        <v>5.2.1.7</v>
      </c>
      <c r="B67" s="4" t="str">
        <f>'5.Infrastructure Annex'!B63</f>
        <v>B.5.6.1</v>
      </c>
      <c r="C67" s="4" t="str">
        <f>'5.Infrastructure Annex'!C63</f>
        <v>New construction: Facility based new-born care centres (SNCU/NBSU/NBCC/KMC unit)</v>
      </c>
      <c r="D67" s="8">
        <f>'5.Infrastructure Annex'!F63</f>
        <v>0</v>
      </c>
      <c r="E67" s="8">
        <f>'5.Infrastructure Annex'!G63</f>
        <v>0</v>
      </c>
      <c r="F67" s="8">
        <f>'5.Infrastructure Annex'!H63</f>
        <v>0</v>
      </c>
      <c r="G67" s="8">
        <f>'5.Infrastructure Annex'!I63</f>
        <v>0</v>
      </c>
      <c r="H67" s="8">
        <f>'5.Infrastructure Annex'!J63</f>
        <v>0</v>
      </c>
      <c r="I67" s="8">
        <f>'5.Infrastructure Annex'!K63</f>
        <v>0</v>
      </c>
      <c r="J67" s="8">
        <f>'5.Infrastructure Annex'!L63</f>
        <v>0</v>
      </c>
      <c r="K67" s="8">
        <f>'5.Infrastructure Annex'!M63</f>
        <v>0</v>
      </c>
      <c r="L67" s="8">
        <f>'5.Infrastructure Annex'!N63</f>
        <v>0</v>
      </c>
      <c r="M67" s="8">
        <f>'5.Infrastructure Annex'!O63</f>
        <v>0</v>
      </c>
      <c r="N67" s="8">
        <f>'5.Infrastructure Annex'!P63</f>
        <v>0</v>
      </c>
      <c r="O67" s="8">
        <f>'5.Infrastructure Annex'!Q63</f>
        <v>0</v>
      </c>
      <c r="P67" s="8">
        <f>'5.Infrastructure Annex'!R63</f>
        <v>0</v>
      </c>
    </row>
    <row r="68" spans="1:16">
      <c r="A68" s="4" t="str">
        <f>'5.Infrastructure Annex'!A64</f>
        <v>5.2.1.8</v>
      </c>
      <c r="B68" s="4" t="str">
        <f>'5.Infrastructure Annex'!B64</f>
        <v>B5.13.1</v>
      </c>
      <c r="C68" s="4" t="str">
        <f>'5.Infrastructure Annex'!C64</f>
        <v>New construction: DEIC (RBSK)</v>
      </c>
      <c r="D68" s="8">
        <f>'5.Infrastructure Annex'!F64</f>
        <v>0</v>
      </c>
      <c r="E68" s="8">
        <f>'5.Infrastructure Annex'!G64</f>
        <v>0</v>
      </c>
      <c r="F68" s="8">
        <f>'5.Infrastructure Annex'!H64</f>
        <v>0</v>
      </c>
      <c r="G68" s="8">
        <f>'5.Infrastructure Annex'!I64</f>
        <v>0</v>
      </c>
      <c r="H68" s="8">
        <f>'5.Infrastructure Annex'!J64</f>
        <v>0</v>
      </c>
      <c r="I68" s="8">
        <f>'5.Infrastructure Annex'!K64</f>
        <v>0</v>
      </c>
      <c r="J68" s="8">
        <f>'5.Infrastructure Annex'!L64</f>
        <v>0</v>
      </c>
      <c r="K68" s="8">
        <f>'5.Infrastructure Annex'!M64</f>
        <v>0</v>
      </c>
      <c r="L68" s="8">
        <f>'5.Infrastructure Annex'!N64</f>
        <v>0</v>
      </c>
      <c r="M68" s="8">
        <f>'5.Infrastructure Annex'!O64</f>
        <v>0</v>
      </c>
      <c r="N68" s="8">
        <f>'5.Infrastructure Annex'!P64</f>
        <v>0</v>
      </c>
      <c r="O68" s="8">
        <f>'5.Infrastructure Annex'!Q64</f>
        <v>0</v>
      </c>
      <c r="P68" s="8">
        <f>'5.Infrastructure Annex'!R64</f>
        <v>0</v>
      </c>
    </row>
    <row r="69" spans="1:16" ht="25.5">
      <c r="A69" s="4" t="str">
        <f>'5.Infrastructure Annex'!A65</f>
        <v>5.2.1.9</v>
      </c>
      <c r="B69" s="4" t="str">
        <f>'5.Infrastructure Annex'!B65</f>
        <v>A.4.1.2</v>
      </c>
      <c r="C69" s="4" t="str">
        <f>'5.Infrastructure Annex'!C65</f>
        <v xml:space="preserve">AFHCs at Medical college/ DH/CHC/PHC level  </v>
      </c>
      <c r="D69" s="8">
        <f>'5.Infrastructure Annex'!F65</f>
        <v>0</v>
      </c>
      <c r="E69" s="8">
        <f>'5.Infrastructure Annex'!G65</f>
        <v>0</v>
      </c>
      <c r="F69" s="8">
        <f>'5.Infrastructure Annex'!H65</f>
        <v>0</v>
      </c>
      <c r="G69" s="8">
        <f>'5.Infrastructure Annex'!I65</f>
        <v>0</v>
      </c>
      <c r="H69" s="8">
        <f>'5.Infrastructure Annex'!J65</f>
        <v>0</v>
      </c>
      <c r="I69" s="8">
        <f>'5.Infrastructure Annex'!K65</f>
        <v>0</v>
      </c>
      <c r="J69" s="8">
        <f>'5.Infrastructure Annex'!L65</f>
        <v>0</v>
      </c>
      <c r="K69" s="8">
        <f>'5.Infrastructure Annex'!M65</f>
        <v>0</v>
      </c>
      <c r="L69" s="8">
        <f>'5.Infrastructure Annex'!N65</f>
        <v>0</v>
      </c>
      <c r="M69" s="8">
        <f>'5.Infrastructure Annex'!O65</f>
        <v>0</v>
      </c>
      <c r="N69" s="8">
        <f>'5.Infrastructure Annex'!P65</f>
        <v>0</v>
      </c>
      <c r="O69" s="8">
        <f>'5.Infrastructure Annex'!Q65</f>
        <v>0</v>
      </c>
      <c r="P69" s="8">
        <f>'5.Infrastructure Annex'!R65</f>
        <v>0</v>
      </c>
    </row>
    <row r="70" spans="1:16">
      <c r="A70" s="4" t="str">
        <f>'5.Infrastructure Annex'!A66</f>
        <v>5.2.1.10</v>
      </c>
      <c r="B70" s="4" t="str">
        <f>'5.Infrastructure Annex'!B66</f>
        <v>A.2.5</v>
      </c>
      <c r="C70" s="4" t="str">
        <f>'5.Infrastructure Annex'!C66</f>
        <v>Establishment of NRCs</v>
      </c>
      <c r="D70" s="8">
        <f>'5.Infrastructure Annex'!F66</f>
        <v>0</v>
      </c>
      <c r="E70" s="8">
        <f>'5.Infrastructure Annex'!G66</f>
        <v>0</v>
      </c>
      <c r="F70" s="8">
        <f>'5.Infrastructure Annex'!H66</f>
        <v>0</v>
      </c>
      <c r="G70" s="8">
        <f>'5.Infrastructure Annex'!I66</f>
        <v>0</v>
      </c>
      <c r="H70" s="8">
        <f>'5.Infrastructure Annex'!J66</f>
        <v>0</v>
      </c>
      <c r="I70" s="8">
        <f>'5.Infrastructure Annex'!K66</f>
        <v>0</v>
      </c>
      <c r="J70" s="8">
        <f>'5.Infrastructure Annex'!L66</f>
        <v>0</v>
      </c>
      <c r="K70" s="8">
        <f>'5.Infrastructure Annex'!M66</f>
        <v>0</v>
      </c>
      <c r="L70" s="8">
        <f>'5.Infrastructure Annex'!N66</f>
        <v>0</v>
      </c>
      <c r="M70" s="8">
        <f>'5.Infrastructure Annex'!O66</f>
        <v>0</v>
      </c>
      <c r="N70" s="8">
        <f>'5.Infrastructure Annex'!P66</f>
        <v>0</v>
      </c>
      <c r="O70" s="8">
        <f>'5.Infrastructure Annex'!Q66</f>
        <v>0</v>
      </c>
      <c r="P70" s="8">
        <f>'5.Infrastructure Annex'!R66</f>
        <v>0</v>
      </c>
    </row>
    <row r="71" spans="1:16">
      <c r="A71" s="4" t="str">
        <f>'5.Infrastructure Annex'!A67</f>
        <v>5.2.1.11</v>
      </c>
      <c r="B71" s="4">
        <f>'5.Infrastructure Annex'!B67</f>
        <v>0</v>
      </c>
      <c r="C71" s="4" t="str">
        <f>'5.Infrastructure Annex'!C67</f>
        <v>Drug Warehouses</v>
      </c>
      <c r="D71" s="8">
        <f>'5.Infrastructure Annex'!F67</f>
        <v>0</v>
      </c>
      <c r="E71" s="8">
        <f>'5.Infrastructure Annex'!G67</f>
        <v>0</v>
      </c>
      <c r="F71" s="8">
        <f>'5.Infrastructure Annex'!H67</f>
        <v>0</v>
      </c>
      <c r="G71" s="8">
        <f>'5.Infrastructure Annex'!I67</f>
        <v>0</v>
      </c>
      <c r="H71" s="8">
        <f>'5.Infrastructure Annex'!J67</f>
        <v>0</v>
      </c>
      <c r="I71" s="8">
        <f>'5.Infrastructure Annex'!K67</f>
        <v>0</v>
      </c>
      <c r="J71" s="8">
        <f>'5.Infrastructure Annex'!L67</f>
        <v>0</v>
      </c>
      <c r="K71" s="8">
        <f>'5.Infrastructure Annex'!M67</f>
        <v>0</v>
      </c>
      <c r="L71" s="8">
        <f>'5.Infrastructure Annex'!N67</f>
        <v>0</v>
      </c>
      <c r="M71" s="8">
        <f>'5.Infrastructure Annex'!O67</f>
        <v>0</v>
      </c>
      <c r="N71" s="8">
        <f>'5.Infrastructure Annex'!P67</f>
        <v>0</v>
      </c>
      <c r="O71" s="8">
        <f>'5.Infrastructure Annex'!Q67</f>
        <v>0</v>
      </c>
      <c r="P71" s="8">
        <f>'5.Infrastructure Annex'!R67</f>
        <v>0</v>
      </c>
    </row>
    <row r="72" spans="1:16">
      <c r="A72" s="4" t="str">
        <f>'5.Infrastructure Annex'!A68</f>
        <v>5.2.1.12</v>
      </c>
      <c r="B72" s="4" t="str">
        <f>'5.Infrastructure Annex'!B68</f>
        <v>B5.5</v>
      </c>
      <c r="C72" s="4" t="str">
        <f>'5.Infrastructure Annex'!C68</f>
        <v>Govt. Dispensaries/ others</v>
      </c>
      <c r="D72" s="8">
        <f>'5.Infrastructure Annex'!F68</f>
        <v>0</v>
      </c>
      <c r="E72" s="8">
        <f>'5.Infrastructure Annex'!G68</f>
        <v>0</v>
      </c>
      <c r="F72" s="8">
        <f>'5.Infrastructure Annex'!H68</f>
        <v>0</v>
      </c>
      <c r="G72" s="8">
        <f>'5.Infrastructure Annex'!I68</f>
        <v>0</v>
      </c>
      <c r="H72" s="8">
        <f>'5.Infrastructure Annex'!J68</f>
        <v>0</v>
      </c>
      <c r="I72" s="8">
        <f>'5.Infrastructure Annex'!K68</f>
        <v>0</v>
      </c>
      <c r="J72" s="8">
        <f>'5.Infrastructure Annex'!L68</f>
        <v>0</v>
      </c>
      <c r="K72" s="8">
        <f>'5.Infrastructure Annex'!M68</f>
        <v>0</v>
      </c>
      <c r="L72" s="8">
        <f>'5.Infrastructure Annex'!N68</f>
        <v>0</v>
      </c>
      <c r="M72" s="8">
        <f>'5.Infrastructure Annex'!O68</f>
        <v>0</v>
      </c>
      <c r="N72" s="8">
        <f>'5.Infrastructure Annex'!P68</f>
        <v>0</v>
      </c>
      <c r="O72" s="8">
        <f>'5.Infrastructure Annex'!Q68</f>
        <v>0</v>
      </c>
      <c r="P72" s="8">
        <f>'5.Infrastructure Annex'!R68</f>
        <v>0</v>
      </c>
    </row>
    <row r="73" spans="1:16" ht="25.5">
      <c r="A73" s="4" t="str">
        <f>'5.Infrastructure Annex'!A69</f>
        <v>5.2.1.13</v>
      </c>
      <c r="B73" s="4" t="str">
        <f>'5.Infrastructure Annex'!B69</f>
        <v>B5.10.2/ B5.10.3</v>
      </c>
      <c r="C73" s="4" t="str">
        <f>'5.Infrastructure Annex'!C69</f>
        <v>Training Institutions</v>
      </c>
      <c r="D73" s="8">
        <f>'5.Infrastructure Annex'!F69</f>
        <v>0</v>
      </c>
      <c r="E73" s="8">
        <f>'5.Infrastructure Annex'!G69</f>
        <v>0</v>
      </c>
      <c r="F73" s="8">
        <f>'5.Infrastructure Annex'!H69</f>
        <v>0</v>
      </c>
      <c r="G73" s="8">
        <f>'5.Infrastructure Annex'!I69</f>
        <v>0</v>
      </c>
      <c r="H73" s="8">
        <f>'5.Infrastructure Annex'!J69</f>
        <v>0</v>
      </c>
      <c r="I73" s="8">
        <f>'5.Infrastructure Annex'!K69</f>
        <v>0</v>
      </c>
      <c r="J73" s="8">
        <f>'5.Infrastructure Annex'!L69</f>
        <v>0</v>
      </c>
      <c r="K73" s="8">
        <f>'5.Infrastructure Annex'!M69</f>
        <v>0</v>
      </c>
      <c r="L73" s="8">
        <f>'5.Infrastructure Annex'!N69</f>
        <v>0</v>
      </c>
      <c r="M73" s="8">
        <f>'5.Infrastructure Annex'!O69</f>
        <v>0</v>
      </c>
      <c r="N73" s="8">
        <f>'5.Infrastructure Annex'!P69</f>
        <v>0</v>
      </c>
      <c r="O73" s="8">
        <f>'5.Infrastructure Annex'!Q69</f>
        <v>0</v>
      </c>
      <c r="P73" s="8">
        <f>'5.Infrastructure Annex'!R69</f>
        <v>0</v>
      </c>
    </row>
    <row r="74" spans="1:16">
      <c r="A74" s="4" t="str">
        <f>'5.Infrastructure Annex'!A70</f>
        <v>5.2.1.14</v>
      </c>
      <c r="B74" s="4">
        <f>'5.Infrastructure Annex'!B70</f>
        <v>0</v>
      </c>
      <c r="C74" s="4" t="str">
        <f>'5.Infrastructure Annex'!C70</f>
        <v>Others</v>
      </c>
      <c r="D74" s="8">
        <f>'5.Infrastructure Annex'!F70</f>
        <v>0</v>
      </c>
      <c r="E74" s="8">
        <f>'5.Infrastructure Annex'!G70</f>
        <v>0</v>
      </c>
      <c r="F74" s="8">
        <f>'5.Infrastructure Annex'!H70</f>
        <v>0</v>
      </c>
      <c r="G74" s="8">
        <f>'5.Infrastructure Annex'!I70</f>
        <v>0</v>
      </c>
      <c r="H74" s="8">
        <f>'5.Infrastructure Annex'!J70</f>
        <v>0</v>
      </c>
      <c r="I74" s="8">
        <f>'5.Infrastructure Annex'!K70</f>
        <v>0</v>
      </c>
      <c r="J74" s="8">
        <f>'5.Infrastructure Annex'!L70</f>
        <v>0</v>
      </c>
      <c r="K74" s="8">
        <f>'5.Infrastructure Annex'!M70</f>
        <v>0</v>
      </c>
      <c r="L74" s="8">
        <f>'5.Infrastructure Annex'!N70</f>
        <v>0</v>
      </c>
      <c r="M74" s="8">
        <f>'5.Infrastructure Annex'!O70</f>
        <v>0</v>
      </c>
      <c r="N74" s="8">
        <f>'5.Infrastructure Annex'!P70</f>
        <v>0</v>
      </c>
      <c r="O74" s="8">
        <f>'5.Infrastructure Annex'!Q70</f>
        <v>0</v>
      </c>
      <c r="P74" s="8">
        <f>'5.Infrastructure Annex'!R70</f>
        <v>0</v>
      </c>
    </row>
    <row r="75" spans="1:16" ht="114.75">
      <c r="A75" s="20" t="str">
        <f>'5.Infrastructure Annex'!A71</f>
        <v>5.2.2</v>
      </c>
      <c r="B75" s="20" t="str">
        <f>'5.Infrastructure Annex'!B71</f>
        <v>B5.1/ B5.2/ B5.3/ B5.6/ B5.5/ B5.10/ B.5.11/ B.5.12/ B.5.13</v>
      </c>
      <c r="C75" s="20" t="str">
        <f>'5.Infrastructure Annex'!C71</f>
        <v>Carry forward of new construction initiated last year, or the year before</v>
      </c>
      <c r="D75" s="40"/>
      <c r="E75" s="40"/>
      <c r="F75" s="40">
        <f>SUM(F76:F85)</f>
        <v>0</v>
      </c>
      <c r="G75" s="40">
        <f>SUM(G76:G85)</f>
        <v>0</v>
      </c>
      <c r="H75" s="40">
        <f>SUM(H76:H85)</f>
        <v>0</v>
      </c>
      <c r="I75" s="40"/>
      <c r="J75" s="40"/>
      <c r="K75" s="40"/>
      <c r="L75" s="40"/>
      <c r="M75" s="40">
        <f>SUM(M76:M85)</f>
        <v>280.45075000000003</v>
      </c>
      <c r="N75" s="40"/>
      <c r="O75" s="40"/>
      <c r="P75" s="40">
        <f>SUM(P76:P85)</f>
        <v>0</v>
      </c>
    </row>
    <row r="76" spans="1:16">
      <c r="A76" s="4" t="str">
        <f>'5.Infrastructure Annex'!A72</f>
        <v>5.2.2.1</v>
      </c>
      <c r="B76" s="4" t="str">
        <f>'5.Infrastructure Annex'!B72</f>
        <v>B.5.12.2</v>
      </c>
      <c r="C76" s="4" t="str">
        <f>'5.Infrastructure Annex'!C72</f>
        <v>DH</v>
      </c>
      <c r="D76" s="8">
        <f>'5.Infrastructure Annex'!F72</f>
        <v>0</v>
      </c>
      <c r="E76" s="8">
        <f>'5.Infrastructure Annex'!G72</f>
        <v>0</v>
      </c>
      <c r="F76" s="8">
        <f>'5.Infrastructure Annex'!H72</f>
        <v>0</v>
      </c>
      <c r="G76" s="8">
        <f>'5.Infrastructure Annex'!I72</f>
        <v>0</v>
      </c>
      <c r="H76" s="8">
        <f>'5.Infrastructure Annex'!J72</f>
        <v>0</v>
      </c>
      <c r="I76" s="8">
        <f>'5.Infrastructure Annex'!K72</f>
        <v>0</v>
      </c>
      <c r="J76" s="8">
        <f>'5.Infrastructure Annex'!L72</f>
        <v>0</v>
      </c>
      <c r="K76" s="8">
        <f>'5.Infrastructure Annex'!M72</f>
        <v>0</v>
      </c>
      <c r="L76" s="8">
        <f>'5.Infrastructure Annex'!N72</f>
        <v>0</v>
      </c>
      <c r="M76" s="8">
        <f>'5.Infrastructure Annex'!O72</f>
        <v>0</v>
      </c>
      <c r="N76" s="8">
        <f>'5.Infrastructure Annex'!P72</f>
        <v>0</v>
      </c>
      <c r="O76" s="8">
        <f>'5.Infrastructure Annex'!Q72</f>
        <v>0</v>
      </c>
      <c r="P76" s="8">
        <f>'5.Infrastructure Annex'!R72</f>
        <v>0</v>
      </c>
    </row>
    <row r="77" spans="1:16">
      <c r="A77" s="4" t="str">
        <f>'5.Infrastructure Annex'!A73</f>
        <v>5.2.2.2</v>
      </c>
      <c r="B77" s="4" t="str">
        <f>'5.Infrastructure Annex'!B73</f>
        <v>B.5.11.2</v>
      </c>
      <c r="C77" s="4" t="str">
        <f>'5.Infrastructure Annex'!C73</f>
        <v>SDH</v>
      </c>
      <c r="D77" s="8">
        <f>'5.Infrastructure Annex'!F73</f>
        <v>0</v>
      </c>
      <c r="E77" s="8">
        <f>'5.Infrastructure Annex'!G73</f>
        <v>0</v>
      </c>
      <c r="F77" s="8">
        <f>'5.Infrastructure Annex'!H73</f>
        <v>0</v>
      </c>
      <c r="G77" s="8">
        <f>'5.Infrastructure Annex'!I73</f>
        <v>0</v>
      </c>
      <c r="H77" s="8">
        <f>'5.Infrastructure Annex'!J73</f>
        <v>0</v>
      </c>
      <c r="I77" s="8">
        <f>'5.Infrastructure Annex'!K73</f>
        <v>0</v>
      </c>
      <c r="J77" s="8">
        <f>'5.Infrastructure Annex'!L73</f>
        <v>0</v>
      </c>
      <c r="K77" s="8">
        <f>'5.Infrastructure Annex'!M73</f>
        <v>0</v>
      </c>
      <c r="L77" s="8">
        <f>'5.Infrastructure Annex'!N73</f>
        <v>0</v>
      </c>
      <c r="M77" s="8">
        <f>'5.Infrastructure Annex'!O73</f>
        <v>0</v>
      </c>
      <c r="N77" s="8">
        <f>'5.Infrastructure Annex'!P73</f>
        <v>0</v>
      </c>
      <c r="O77" s="8">
        <f>'5.Infrastructure Annex'!Q73</f>
        <v>0</v>
      </c>
      <c r="P77" s="8">
        <f>'5.Infrastructure Annex'!R73</f>
        <v>0</v>
      </c>
    </row>
    <row r="78" spans="1:16">
      <c r="A78" s="4" t="str">
        <f>'5.Infrastructure Annex'!A74</f>
        <v>5.2.2.3</v>
      </c>
      <c r="B78" s="4" t="str">
        <f>'5.Infrastructure Annex'!B74</f>
        <v>B5.1.2</v>
      </c>
      <c r="C78" s="4" t="str">
        <f>'5.Infrastructure Annex'!C74</f>
        <v>CHCs</v>
      </c>
      <c r="D78" s="8">
        <f>'5.Infrastructure Annex'!F74</f>
        <v>0</v>
      </c>
      <c r="E78" s="8">
        <f>'5.Infrastructure Annex'!G74</f>
        <v>0</v>
      </c>
      <c r="F78" s="8">
        <f>'5.Infrastructure Annex'!H74</f>
        <v>0</v>
      </c>
      <c r="G78" s="8">
        <f>'5.Infrastructure Annex'!I74</f>
        <v>0</v>
      </c>
      <c r="H78" s="8">
        <f>'5.Infrastructure Annex'!J74</f>
        <v>0</v>
      </c>
      <c r="I78" s="8">
        <f>'5.Infrastructure Annex'!K74</f>
        <v>0</v>
      </c>
      <c r="J78" s="8">
        <f>'5.Infrastructure Annex'!L74</f>
        <v>0</v>
      </c>
      <c r="K78" s="8">
        <f>'5.Infrastructure Annex'!M74</f>
        <v>0</v>
      </c>
      <c r="L78" s="8">
        <f>'5.Infrastructure Annex'!N74</f>
        <v>0</v>
      </c>
      <c r="M78" s="8">
        <f>'5.Infrastructure Annex'!O74</f>
        <v>0</v>
      </c>
      <c r="N78" s="8">
        <f>'5.Infrastructure Annex'!P74</f>
        <v>0</v>
      </c>
      <c r="O78" s="8">
        <f>'5.Infrastructure Annex'!Q74</f>
        <v>0</v>
      </c>
      <c r="P78" s="8">
        <f>'5.Infrastructure Annex'!R74</f>
        <v>0</v>
      </c>
    </row>
    <row r="79" spans="1:16">
      <c r="A79" s="4" t="str">
        <f>'5.Infrastructure Annex'!A75</f>
        <v>5.2.2.4</v>
      </c>
      <c r="B79" s="4" t="str">
        <f>'5.Infrastructure Annex'!B75</f>
        <v>B5.2.2</v>
      </c>
      <c r="C79" s="4" t="str">
        <f>'5.Infrastructure Annex'!C75</f>
        <v>PHCs</v>
      </c>
      <c r="D79" s="8">
        <f>'5.Infrastructure Annex'!F75</f>
        <v>0</v>
      </c>
      <c r="E79" s="8">
        <f>'5.Infrastructure Annex'!G75</f>
        <v>0</v>
      </c>
      <c r="F79" s="8">
        <f>'5.Infrastructure Annex'!H75</f>
        <v>0</v>
      </c>
      <c r="G79" s="8">
        <f>'5.Infrastructure Annex'!I75</f>
        <v>0</v>
      </c>
      <c r="H79" s="8">
        <f>'5.Infrastructure Annex'!J75</f>
        <v>0</v>
      </c>
      <c r="I79" s="8">
        <f>'5.Infrastructure Annex'!K75</f>
        <v>0</v>
      </c>
      <c r="J79" s="8">
        <f>'5.Infrastructure Annex'!L75</f>
        <v>0</v>
      </c>
      <c r="K79" s="8">
        <f>'5.Infrastructure Annex'!M75</f>
        <v>0</v>
      </c>
      <c r="L79" s="8">
        <f>'5.Infrastructure Annex'!N75</f>
        <v>0</v>
      </c>
      <c r="M79" s="8">
        <f>'5.Infrastructure Annex'!O75</f>
        <v>0</v>
      </c>
      <c r="N79" s="8">
        <f>'5.Infrastructure Annex'!P75</f>
        <v>0</v>
      </c>
      <c r="O79" s="8">
        <f>'5.Infrastructure Annex'!Q75</f>
        <v>0</v>
      </c>
      <c r="P79" s="8">
        <f>'5.Infrastructure Annex'!R75</f>
        <v>0</v>
      </c>
    </row>
    <row r="80" spans="1:16">
      <c r="A80" s="4" t="str">
        <f>'5.Infrastructure Annex'!A76</f>
        <v>5.2.2.5</v>
      </c>
      <c r="B80" s="4" t="str">
        <f>'5.Infrastructure Annex'!B76</f>
        <v>B5.3.2</v>
      </c>
      <c r="C80" s="4" t="str">
        <f>'5.Infrastructure Annex'!C76</f>
        <v>SHCs/Sub Centres</v>
      </c>
      <c r="D80" s="8">
        <f>'5.Infrastructure Annex'!F76</f>
        <v>0</v>
      </c>
      <c r="E80" s="8">
        <f>'5.Infrastructure Annex'!G76</f>
        <v>0</v>
      </c>
      <c r="F80" s="8">
        <f>'5.Infrastructure Annex'!H76</f>
        <v>0</v>
      </c>
      <c r="G80" s="8">
        <f>'5.Infrastructure Annex'!I76</f>
        <v>0</v>
      </c>
      <c r="H80" s="8">
        <f>'5.Infrastructure Annex'!J76</f>
        <v>0</v>
      </c>
      <c r="I80" s="8">
        <f>'5.Infrastructure Annex'!K76</f>
        <v>0</v>
      </c>
      <c r="J80" s="8">
        <f>'5.Infrastructure Annex'!L76</f>
        <v>0</v>
      </c>
      <c r="K80" s="8">
        <f>'5.Infrastructure Annex'!M76</f>
        <v>0</v>
      </c>
      <c r="L80" s="8">
        <f>'5.Infrastructure Annex'!N76</f>
        <v>0</v>
      </c>
      <c r="M80" s="8">
        <f>'5.Infrastructure Annex'!O76</f>
        <v>0</v>
      </c>
      <c r="N80" s="8">
        <f>'5.Infrastructure Annex'!P76</f>
        <v>0</v>
      </c>
      <c r="O80" s="8">
        <f>'5.Infrastructure Annex'!Q76</f>
        <v>0</v>
      </c>
      <c r="P80" s="8">
        <f>'5.Infrastructure Annex'!R76</f>
        <v>0</v>
      </c>
    </row>
    <row r="81" spans="1:16" ht="51">
      <c r="A81" s="4" t="str">
        <f>'5.Infrastructure Annex'!A77</f>
        <v>5.2.2.6</v>
      </c>
      <c r="B81" s="4" t="str">
        <f>'5.Infrastructure Annex'!B77</f>
        <v>B.5.6.2</v>
      </c>
      <c r="C81" s="4" t="str">
        <f>'5.Infrastructure Annex'!C77</f>
        <v>Carry forward: Facility based new-born care centres (SNCU/NBSU/NBCC/KMC unit/ Mother New-born Care Unit/ State Resource Centre/Paediatric HDU</v>
      </c>
      <c r="D81" s="8">
        <f>'5.Infrastructure Annex'!F77</f>
        <v>0</v>
      </c>
      <c r="E81" s="8">
        <f>'5.Infrastructure Annex'!G77</f>
        <v>0</v>
      </c>
      <c r="F81" s="8">
        <f>'5.Infrastructure Annex'!H77</f>
        <v>0</v>
      </c>
      <c r="G81" s="8">
        <f>'5.Infrastructure Annex'!I77</f>
        <v>0</v>
      </c>
      <c r="H81" s="8">
        <f>'5.Infrastructure Annex'!J77</f>
        <v>0</v>
      </c>
      <c r="I81" s="8">
        <f>'5.Infrastructure Annex'!K77</f>
        <v>0</v>
      </c>
      <c r="J81" s="8">
        <f>'5.Infrastructure Annex'!L77</f>
        <v>0</v>
      </c>
      <c r="K81" s="8">
        <f>'5.Infrastructure Annex'!M77</f>
        <v>0</v>
      </c>
      <c r="L81" s="8">
        <f>'5.Infrastructure Annex'!N77</f>
        <v>0</v>
      </c>
      <c r="M81" s="8">
        <f>'5.Infrastructure Annex'!O77</f>
        <v>0</v>
      </c>
      <c r="N81" s="8">
        <f>'5.Infrastructure Annex'!P77</f>
        <v>0</v>
      </c>
      <c r="O81" s="8">
        <f>'5.Infrastructure Annex'!Q77</f>
        <v>0</v>
      </c>
      <c r="P81" s="8">
        <f>'5.Infrastructure Annex'!R77</f>
        <v>0</v>
      </c>
    </row>
    <row r="82" spans="1:16" ht="409.5">
      <c r="A82" s="4" t="str">
        <f>'5.Infrastructure Annex'!A78</f>
        <v>5.2.2.7</v>
      </c>
      <c r="B82" s="4" t="str">
        <f>'5.Infrastructure Annex'!B78</f>
        <v>B.5.13.2</v>
      </c>
      <c r="C82" s="4" t="str">
        <f>'5.Infrastructure Annex'!C78</f>
        <v>Carry forward: DEIC (RBSK)</v>
      </c>
      <c r="D82" s="8">
        <f>'5.Infrastructure Annex'!F78</f>
        <v>9</v>
      </c>
      <c r="E82" s="8">
        <f>'5.Infrastructure Annex'!G78</f>
        <v>9</v>
      </c>
      <c r="F82" s="8">
        <f>'5.Infrastructure Annex'!H78</f>
        <v>0</v>
      </c>
      <c r="G82" s="8">
        <f>'5.Infrastructure Annex'!I78</f>
        <v>0</v>
      </c>
      <c r="H82" s="8">
        <f>'5.Infrastructure Annex'!J78</f>
        <v>0</v>
      </c>
      <c r="I82" s="8" t="str">
        <f>'5.Infrastructure Annex'!K78</f>
        <v>No. of DEICs</v>
      </c>
      <c r="J82" s="8">
        <f>'5.Infrastructure Annex'!L78</f>
        <v>5609015</v>
      </c>
      <c r="K82" s="8">
        <f>'5.Infrastructure Annex'!M78</f>
        <v>56.090150000000001</v>
      </c>
      <c r="L82" s="8">
        <f>'5.Infrastructure Annex'!N78</f>
        <v>5</v>
      </c>
      <c r="M82" s="8">
        <f>'5.Infrastructure Annex'!O78</f>
        <v>280.45075000000003</v>
      </c>
      <c r="N82" s="8" t="str">
        <f>'5.Infrastructure Annex'!P78</f>
        <v xml:space="preserve">Continued  Activity-
As per the DPR prepared by BMSICL the total cost for 9 divisional headquarter DEICs construction was Rs.11,03,19,720/-. 
During the 1st phase construction of 4 DEICs (In Medical College-Gaya &amp; Bhagalpur and in District Hospital-Muzaffarpur and Saharsa) completed by BMSICL and the total amount for construction i.e Rs. 4,91,00,645/- was transferred to BMSICL. 
In the 2nd phase the construction order for rest  5 DEICs (Patna, Saran, Darbhanga, Munger &amp; Purnea), letter was issued to BMSICL through letter No. 6697 dated 07-02-2018 and Rs. 5,81,74,000/- was transferred to BMSICL against the total cost of Rs. 6,12,19,075/-. Balance amount of Rs. 30,45,075/- to be transferred to BMSICL once the construction work is completed. Thus Rs. 30,45,075/- is budgeted in FY 2021-22.
For up gradation of District Early Intervention Centre (DEIC) at  Nalanda Medical College Hospital (NMCH),Patna into center of excellence Rs. 2,50,00,000/- is budgeted in FY 2021-22.
Thus the total budgeted amount under this FMR code is Rs. 2,80,45,075/-  (Rs. 30,45,075+ Rs. 2,50,00,000).
Key Deliverables:- Operationalize all  9 DEIC. Out of 9 DEIC construction of 4 DEIC completed and started functioning from own building. Out of 108, 51 personal are on board. Rest recruitment is under process. 
</v>
      </c>
      <c r="O82" s="8">
        <f>'5.Infrastructure Annex'!Q78</f>
        <v>0</v>
      </c>
      <c r="P82" s="8">
        <f>'5.Infrastructure Annex'!R78</f>
        <v>0</v>
      </c>
    </row>
    <row r="83" spans="1:16">
      <c r="A83" s="4" t="str">
        <f>'5.Infrastructure Annex'!A79</f>
        <v>5.2.2.8</v>
      </c>
      <c r="B83" s="4" t="str">
        <f>'5.Infrastructure Annex'!B79</f>
        <v>B5.5</v>
      </c>
      <c r="C83" s="4" t="str">
        <f>'5.Infrastructure Annex'!C79</f>
        <v>Govt. Dispensaries/ others</v>
      </c>
      <c r="D83" s="8">
        <f>'5.Infrastructure Annex'!F79</f>
        <v>0</v>
      </c>
      <c r="E83" s="8">
        <f>'5.Infrastructure Annex'!G79</f>
        <v>0</v>
      </c>
      <c r="F83" s="8">
        <f>'5.Infrastructure Annex'!H79</f>
        <v>0</v>
      </c>
      <c r="G83" s="8">
        <f>'5.Infrastructure Annex'!I79</f>
        <v>0</v>
      </c>
      <c r="H83" s="8">
        <f>'5.Infrastructure Annex'!J79</f>
        <v>0</v>
      </c>
      <c r="I83" s="8">
        <f>'5.Infrastructure Annex'!K79</f>
        <v>0</v>
      </c>
      <c r="J83" s="8">
        <f>'5.Infrastructure Annex'!L79</f>
        <v>0</v>
      </c>
      <c r="K83" s="8">
        <f>'5.Infrastructure Annex'!M79</f>
        <v>0</v>
      </c>
      <c r="L83" s="8">
        <f>'5.Infrastructure Annex'!N79</f>
        <v>0</v>
      </c>
      <c r="M83" s="8">
        <f>'5.Infrastructure Annex'!O79</f>
        <v>0</v>
      </c>
      <c r="N83" s="8">
        <f>'5.Infrastructure Annex'!P79</f>
        <v>0</v>
      </c>
      <c r="O83" s="8">
        <f>'5.Infrastructure Annex'!Q79</f>
        <v>0</v>
      </c>
      <c r="P83" s="8">
        <f>'5.Infrastructure Annex'!R79</f>
        <v>0</v>
      </c>
    </row>
    <row r="84" spans="1:16">
      <c r="A84" s="4" t="str">
        <f>'5.Infrastructure Annex'!A80</f>
        <v>5.2.2.9</v>
      </c>
      <c r="B84" s="4" t="str">
        <f>'5.Infrastructure Annex'!B80</f>
        <v>B5.10.4</v>
      </c>
      <c r="C84" s="4" t="str">
        <f>'5.Infrastructure Annex'!C80</f>
        <v>Training Institutions</v>
      </c>
      <c r="D84" s="8">
        <f>'5.Infrastructure Annex'!F80</f>
        <v>0</v>
      </c>
      <c r="E84" s="8">
        <f>'5.Infrastructure Annex'!G80</f>
        <v>0</v>
      </c>
      <c r="F84" s="8">
        <f>'5.Infrastructure Annex'!H80</f>
        <v>0</v>
      </c>
      <c r="G84" s="8">
        <f>'5.Infrastructure Annex'!I80</f>
        <v>0</v>
      </c>
      <c r="H84" s="8">
        <f>'5.Infrastructure Annex'!J80</f>
        <v>0</v>
      </c>
      <c r="I84" s="8">
        <f>'5.Infrastructure Annex'!K80</f>
        <v>0</v>
      </c>
      <c r="J84" s="8">
        <f>'5.Infrastructure Annex'!L80</f>
        <v>0</v>
      </c>
      <c r="K84" s="8">
        <f>'5.Infrastructure Annex'!M80</f>
        <v>0</v>
      </c>
      <c r="L84" s="8">
        <f>'5.Infrastructure Annex'!N80</f>
        <v>0</v>
      </c>
      <c r="M84" s="8">
        <f>'5.Infrastructure Annex'!O80</f>
        <v>0</v>
      </c>
      <c r="N84" s="8">
        <f>'5.Infrastructure Annex'!P80</f>
        <v>0</v>
      </c>
      <c r="O84" s="8">
        <f>'5.Infrastructure Annex'!Q80</f>
        <v>0</v>
      </c>
      <c r="P84" s="8">
        <f>'5.Infrastructure Annex'!R80</f>
        <v>0</v>
      </c>
    </row>
    <row r="85" spans="1:16">
      <c r="A85" s="4" t="str">
        <f>'5.Infrastructure Annex'!A81</f>
        <v>5.2.2.10</v>
      </c>
      <c r="B85" s="4">
        <f>'5.Infrastructure Annex'!B81</f>
        <v>0</v>
      </c>
      <c r="C85" s="4" t="str">
        <f>'5.Infrastructure Annex'!C81</f>
        <v>Others</v>
      </c>
      <c r="D85" s="8">
        <f>'5.Infrastructure Annex'!F81</f>
        <v>0</v>
      </c>
      <c r="E85" s="8">
        <f>'5.Infrastructure Annex'!G81</f>
        <v>0</v>
      </c>
      <c r="F85" s="8">
        <f>'5.Infrastructure Annex'!H81</f>
        <v>0</v>
      </c>
      <c r="G85" s="8">
        <f>'5.Infrastructure Annex'!I81</f>
        <v>0</v>
      </c>
      <c r="H85" s="8">
        <f>'5.Infrastructure Annex'!J81</f>
        <v>0</v>
      </c>
      <c r="I85" s="8">
        <f>'5.Infrastructure Annex'!K81</f>
        <v>0</v>
      </c>
      <c r="J85" s="8">
        <f>'5.Infrastructure Annex'!L81</f>
        <v>0</v>
      </c>
      <c r="K85" s="8">
        <f>'5.Infrastructure Annex'!M81</f>
        <v>0</v>
      </c>
      <c r="L85" s="8">
        <f>'5.Infrastructure Annex'!N81</f>
        <v>0</v>
      </c>
      <c r="M85" s="8">
        <f>'5.Infrastructure Annex'!O81</f>
        <v>0</v>
      </c>
      <c r="N85" s="8">
        <f>'5.Infrastructure Annex'!P81</f>
        <v>0</v>
      </c>
      <c r="O85" s="8">
        <f>'5.Infrastructure Annex'!Q81</f>
        <v>0</v>
      </c>
      <c r="P85" s="8">
        <f>'5.Infrastructure Annex'!R81</f>
        <v>0</v>
      </c>
    </row>
    <row r="86" spans="1:16" ht="25.5">
      <c r="A86" s="32">
        <f>'5.Infrastructure Annex'!A82</f>
        <v>5.3</v>
      </c>
      <c r="B86" s="32">
        <f>'5.Infrastructure Annex'!B82</f>
        <v>0</v>
      </c>
      <c r="C86" s="32" t="str">
        <f>'5.Infrastructure Annex'!C82</f>
        <v>Other construction/ Civil works except IPHS Infrastructure</v>
      </c>
      <c r="D86" s="39"/>
      <c r="E86" s="39"/>
      <c r="F86" s="39">
        <f>SUM(F87:F102)</f>
        <v>155.18</v>
      </c>
      <c r="G86" s="39">
        <f>SUM(G87:G102)</f>
        <v>28.06</v>
      </c>
      <c r="H86" s="39">
        <f>SUM(H87:H102)</f>
        <v>0</v>
      </c>
      <c r="I86" s="39"/>
      <c r="J86" s="39"/>
      <c r="K86" s="39"/>
      <c r="L86" s="39"/>
      <c r="M86" s="39">
        <f>SUM(M87:M102)</f>
        <v>431.68</v>
      </c>
      <c r="N86" s="39"/>
      <c r="O86" s="39"/>
      <c r="P86" s="39">
        <f>SUM(P87:P102)</f>
        <v>0</v>
      </c>
    </row>
    <row r="87" spans="1:16">
      <c r="A87" s="4" t="str">
        <f>'5.Infrastructure Annex'!A83</f>
        <v>5.3.1</v>
      </c>
      <c r="B87" s="4" t="str">
        <f>'5.Infrastructure Annex'!B83</f>
        <v>B4.1.5.4</v>
      </c>
      <c r="C87" s="4" t="str">
        <f>'5.Infrastructure Annex'!C83</f>
        <v>Civil Works</v>
      </c>
      <c r="D87" s="8">
        <f>'5.Infrastructure Annex'!F83</f>
        <v>0</v>
      </c>
      <c r="E87" s="8">
        <f>'5.Infrastructure Annex'!G83</f>
        <v>0</v>
      </c>
      <c r="F87" s="8">
        <f>'5.Infrastructure Annex'!H83</f>
        <v>0</v>
      </c>
      <c r="G87" s="8">
        <f>'5.Infrastructure Annex'!I83</f>
        <v>0</v>
      </c>
      <c r="H87" s="8">
        <f>'5.Infrastructure Annex'!J83</f>
        <v>0</v>
      </c>
      <c r="I87" s="8">
        <f>'5.Infrastructure Annex'!K83</f>
        <v>0</v>
      </c>
      <c r="J87" s="8">
        <f>'5.Infrastructure Annex'!L83</f>
        <v>0</v>
      </c>
      <c r="K87" s="8">
        <f>'5.Infrastructure Annex'!M83</f>
        <v>0</v>
      </c>
      <c r="L87" s="8">
        <f>'5.Infrastructure Annex'!N83</f>
        <v>0</v>
      </c>
      <c r="M87" s="8">
        <f>'5.Infrastructure Annex'!O83</f>
        <v>0</v>
      </c>
      <c r="N87" s="8">
        <f>'5.Infrastructure Annex'!P83</f>
        <v>0</v>
      </c>
      <c r="O87" s="8">
        <f>'5.Infrastructure Annex'!Q83</f>
        <v>0</v>
      </c>
      <c r="P87" s="8">
        <f>'5.Infrastructure Annex'!R83</f>
        <v>0</v>
      </c>
    </row>
    <row r="88" spans="1:16" ht="153">
      <c r="A88" s="4" t="str">
        <f>'5.Infrastructure Annex'!A84</f>
        <v>5.3.3</v>
      </c>
      <c r="B88" s="4" t="str">
        <f>'5.Infrastructure Annex'!B84</f>
        <v>B4.1.5.4.1</v>
      </c>
      <c r="C88" s="4" t="str">
        <f>'5.Infrastructure Annex'!C84</f>
        <v>Blood bank/ BCSU/ BSU/ Day care centre for hemoglobinopathies</v>
      </c>
      <c r="D88" s="8">
        <f>'5.Infrastructure Annex'!F84</f>
        <v>0</v>
      </c>
      <c r="E88" s="8">
        <f>'5.Infrastructure Annex'!G84</f>
        <v>0</v>
      </c>
      <c r="F88" s="8">
        <f>'5.Infrastructure Annex'!H84</f>
        <v>0</v>
      </c>
      <c r="G88" s="8">
        <f>'5.Infrastructure Annex'!I84</f>
        <v>0</v>
      </c>
      <c r="H88" s="8">
        <f>'5.Infrastructure Annex'!J84</f>
        <v>0</v>
      </c>
      <c r="I88" s="8">
        <f>'5.Infrastructure Annex'!K84</f>
        <v>0</v>
      </c>
      <c r="J88" s="8">
        <f>'5.Infrastructure Annex'!L84</f>
        <v>5000000</v>
      </c>
      <c r="K88" s="8">
        <f>'5.Infrastructure Annex'!M84</f>
        <v>50</v>
      </c>
      <c r="L88" s="8">
        <f>'5.Infrastructure Annex'!N84</f>
        <v>1</v>
      </c>
      <c r="M88" s="8">
        <f>'5.Infrastructure Annex'!O84</f>
        <v>50</v>
      </c>
      <c r="N88" s="8" t="str">
        <f>'5.Infrastructure Annex'!P84</f>
        <v>Renovation of all 26 old blood banks &amp; 10 new blood banks and 4 BCSU is under process as budgut approved in ROP 2020- 2021 . Shortage of fund is reported from  Blood banks namely Araria, Banka, Madhubani, Jehanabad , Samastipur etc. Renovation of newly proposed 1 blood Bank &amp; 2 BCSU.</v>
      </c>
      <c r="O88" s="8">
        <f>'5.Infrastructure Annex'!Q84</f>
        <v>0</v>
      </c>
      <c r="P88" s="8">
        <f>'5.Infrastructure Annex'!R84</f>
        <v>0</v>
      </c>
    </row>
    <row r="89" spans="1:16">
      <c r="A89" s="4" t="str">
        <f>'5.Infrastructure Annex'!A85</f>
        <v>5.3.4</v>
      </c>
      <c r="B89" s="4" t="str">
        <f>'5.Infrastructure Annex'!B85</f>
        <v>B.5.7</v>
      </c>
      <c r="C89" s="4" t="str">
        <f>'5.Infrastructure Annex'!C85</f>
        <v>Operationalization of FRUS</v>
      </c>
      <c r="D89" s="8">
        <f>'5.Infrastructure Annex'!F85</f>
        <v>0</v>
      </c>
      <c r="E89" s="8">
        <f>'5.Infrastructure Annex'!G85</f>
        <v>0</v>
      </c>
      <c r="F89" s="8">
        <f>'5.Infrastructure Annex'!H85</f>
        <v>0</v>
      </c>
      <c r="G89" s="8">
        <f>'5.Infrastructure Annex'!I85</f>
        <v>0</v>
      </c>
      <c r="H89" s="8">
        <f>'5.Infrastructure Annex'!J85</f>
        <v>0</v>
      </c>
      <c r="I89" s="8">
        <f>'5.Infrastructure Annex'!K85</f>
        <v>0</v>
      </c>
      <c r="J89" s="8">
        <f>'5.Infrastructure Annex'!L85</f>
        <v>0</v>
      </c>
      <c r="K89" s="8">
        <f>'5.Infrastructure Annex'!M85</f>
        <v>0</v>
      </c>
      <c r="L89" s="8">
        <f>'5.Infrastructure Annex'!N85</f>
        <v>0</v>
      </c>
      <c r="M89" s="8">
        <f>'5.Infrastructure Annex'!O85</f>
        <v>0</v>
      </c>
      <c r="N89" s="8">
        <f>'5.Infrastructure Annex'!P85</f>
        <v>0</v>
      </c>
      <c r="O89" s="8">
        <f>'5.Infrastructure Annex'!Q85</f>
        <v>0</v>
      </c>
      <c r="P89" s="8">
        <f>'5.Infrastructure Annex'!R85</f>
        <v>0</v>
      </c>
    </row>
    <row r="90" spans="1:16" ht="25.5">
      <c r="A90" s="4" t="str">
        <f>'5.Infrastructure Annex'!A86</f>
        <v>5.3.5</v>
      </c>
      <c r="B90" s="4" t="str">
        <f>'5.Infrastructure Annex'!B86</f>
        <v>B.5.8</v>
      </c>
      <c r="C90" s="4" t="str">
        <f>'5.Infrastructure Annex'!C86</f>
        <v>Operationalization of 24 hour services at PHCs</v>
      </c>
      <c r="D90" s="8">
        <f>'5.Infrastructure Annex'!F86</f>
        <v>0</v>
      </c>
      <c r="E90" s="8">
        <f>'5.Infrastructure Annex'!G86</f>
        <v>0</v>
      </c>
      <c r="F90" s="8">
        <f>'5.Infrastructure Annex'!H86</f>
        <v>0</v>
      </c>
      <c r="G90" s="8">
        <f>'5.Infrastructure Annex'!I86</f>
        <v>0</v>
      </c>
      <c r="H90" s="8">
        <f>'5.Infrastructure Annex'!J86</f>
        <v>0</v>
      </c>
      <c r="I90" s="8">
        <f>'5.Infrastructure Annex'!K86</f>
        <v>0</v>
      </c>
      <c r="J90" s="8">
        <f>'5.Infrastructure Annex'!L86</f>
        <v>0</v>
      </c>
      <c r="K90" s="8">
        <f>'5.Infrastructure Annex'!M86</f>
        <v>0</v>
      </c>
      <c r="L90" s="8">
        <f>'5.Infrastructure Annex'!N86</f>
        <v>0</v>
      </c>
      <c r="M90" s="8">
        <f>'5.Infrastructure Annex'!O86</f>
        <v>0</v>
      </c>
      <c r="N90" s="8">
        <f>'5.Infrastructure Annex'!P86</f>
        <v>0</v>
      </c>
      <c r="O90" s="8">
        <f>'5.Infrastructure Annex'!Q86</f>
        <v>0</v>
      </c>
      <c r="P90" s="8">
        <f>'5.Infrastructure Annex'!R86</f>
        <v>0</v>
      </c>
    </row>
    <row r="91" spans="1:16" ht="25.5">
      <c r="A91" s="4" t="str">
        <f>'5.Infrastructure Annex'!A87</f>
        <v>5.3.6</v>
      </c>
      <c r="B91" s="4" t="str">
        <f>'5.Infrastructure Annex'!B87</f>
        <v>B.5.9</v>
      </c>
      <c r="C91" s="4" t="str">
        <f>'5.Infrastructure Annex'!C87</f>
        <v>Operationalising Infection Management &amp; Environment Plan at health facilities</v>
      </c>
      <c r="D91" s="8">
        <f>'5.Infrastructure Annex'!F87</f>
        <v>0</v>
      </c>
      <c r="E91" s="8">
        <f>'5.Infrastructure Annex'!G87</f>
        <v>0</v>
      </c>
      <c r="F91" s="8">
        <f>'5.Infrastructure Annex'!H87</f>
        <v>0</v>
      </c>
      <c r="G91" s="8">
        <f>'5.Infrastructure Annex'!I87</f>
        <v>0</v>
      </c>
      <c r="H91" s="8">
        <f>'5.Infrastructure Annex'!J87</f>
        <v>0</v>
      </c>
      <c r="I91" s="8">
        <f>'5.Infrastructure Annex'!K87</f>
        <v>0</v>
      </c>
      <c r="J91" s="8">
        <f>'5.Infrastructure Annex'!L87</f>
        <v>0</v>
      </c>
      <c r="K91" s="8">
        <f>'5.Infrastructure Annex'!M87</f>
        <v>0</v>
      </c>
      <c r="L91" s="8">
        <f>'5.Infrastructure Annex'!N87</f>
        <v>0</v>
      </c>
      <c r="M91" s="8">
        <f>'5.Infrastructure Annex'!O87</f>
        <v>0</v>
      </c>
      <c r="N91" s="8">
        <f>'5.Infrastructure Annex'!P87</f>
        <v>0</v>
      </c>
      <c r="O91" s="8">
        <f>'5.Infrastructure Annex'!Q87</f>
        <v>0</v>
      </c>
      <c r="P91" s="8">
        <f>'5.Infrastructure Annex'!R87</f>
        <v>0</v>
      </c>
    </row>
    <row r="92" spans="1:16" ht="25.5">
      <c r="A92" s="4" t="str">
        <f>'5.Infrastructure Annex'!A88</f>
        <v>5.3.8</v>
      </c>
      <c r="B92" s="4" t="str">
        <f>'5.Infrastructure Annex'!B88</f>
        <v>B.28.1</v>
      </c>
      <c r="C92" s="4" t="str">
        <f>'5.Infrastructure Annex'!C88</f>
        <v>Assistance to State for Capacity building (Burns &amp; injury): Civil Work</v>
      </c>
      <c r="D92" s="8">
        <f>'5.Infrastructure Annex'!F88</f>
        <v>0</v>
      </c>
      <c r="E92" s="8">
        <f>'5.Infrastructure Annex'!G88</f>
        <v>0</v>
      </c>
      <c r="F92" s="8">
        <f>'5.Infrastructure Annex'!H88</f>
        <v>0</v>
      </c>
      <c r="G92" s="8">
        <f>'5.Infrastructure Annex'!I88</f>
        <v>0</v>
      </c>
      <c r="H92" s="8">
        <f>'5.Infrastructure Annex'!J88</f>
        <v>0</v>
      </c>
      <c r="I92" s="8">
        <f>'5.Infrastructure Annex'!K88</f>
        <v>0</v>
      </c>
      <c r="J92" s="8">
        <f>'5.Infrastructure Annex'!L88</f>
        <v>0</v>
      </c>
      <c r="K92" s="8">
        <f>'5.Infrastructure Annex'!M88</f>
        <v>0</v>
      </c>
      <c r="L92" s="8">
        <f>'5.Infrastructure Annex'!N88</f>
        <v>0</v>
      </c>
      <c r="M92" s="8">
        <f>'5.Infrastructure Annex'!O88</f>
        <v>0</v>
      </c>
      <c r="N92" s="8">
        <f>'5.Infrastructure Annex'!P88</f>
        <v>0</v>
      </c>
      <c r="O92" s="8">
        <f>'5.Infrastructure Annex'!Q88</f>
        <v>0</v>
      </c>
      <c r="P92" s="8">
        <f>'5.Infrastructure Annex'!R88</f>
        <v>0</v>
      </c>
    </row>
    <row r="93" spans="1:16">
      <c r="A93" s="4" t="str">
        <f>'5.Infrastructure Annex'!A89</f>
        <v>5.3.9</v>
      </c>
      <c r="B93" s="4" t="str">
        <f>'5.Infrastructure Annex'!B89</f>
        <v>C.1.p</v>
      </c>
      <c r="C93" s="4" t="str">
        <f>'5.Infrastructure Annex'!C89</f>
        <v>Safety Pits</v>
      </c>
      <c r="D93" s="8">
        <f>'5.Infrastructure Annex'!F89</f>
        <v>0</v>
      </c>
      <c r="E93" s="8">
        <f>'5.Infrastructure Annex'!G89</f>
        <v>0</v>
      </c>
      <c r="F93" s="8">
        <f>'5.Infrastructure Annex'!H89</f>
        <v>0</v>
      </c>
      <c r="G93" s="8">
        <f>'5.Infrastructure Annex'!I89</f>
        <v>0</v>
      </c>
      <c r="H93" s="8">
        <f>'5.Infrastructure Annex'!J89</f>
        <v>0</v>
      </c>
      <c r="I93" s="8">
        <f>'5.Infrastructure Annex'!K89</f>
        <v>0</v>
      </c>
      <c r="J93" s="8">
        <f>'5.Infrastructure Annex'!L89</f>
        <v>0</v>
      </c>
      <c r="K93" s="8">
        <f>'5.Infrastructure Annex'!M89</f>
        <v>0</v>
      </c>
      <c r="L93" s="8">
        <f>'5.Infrastructure Annex'!N89</f>
        <v>0</v>
      </c>
      <c r="M93" s="8">
        <f>'5.Infrastructure Annex'!O89</f>
        <v>0</v>
      </c>
      <c r="N93" s="8">
        <f>'5.Infrastructure Annex'!P89</f>
        <v>0</v>
      </c>
      <c r="O93" s="8">
        <f>'5.Infrastructure Annex'!Q89</f>
        <v>0</v>
      </c>
      <c r="P93" s="8">
        <f>'5.Infrastructure Annex'!R89</f>
        <v>0</v>
      </c>
    </row>
    <row r="94" spans="1:16" ht="409.5">
      <c r="A94" s="4" t="str">
        <f>'5.Infrastructure Annex'!A90</f>
        <v>5.3.10</v>
      </c>
      <c r="B94" s="4" t="str">
        <f>'5.Infrastructure Annex'!B90</f>
        <v>D.2</v>
      </c>
      <c r="C94" s="4" t="str">
        <f>'5.Infrastructure Annex'!C90</f>
        <v>Establishment of IDD Monitoring Lab</v>
      </c>
      <c r="D94" s="8">
        <f>'5.Infrastructure Annex'!F90</f>
        <v>0</v>
      </c>
      <c r="E94" s="8">
        <f>'5.Infrastructure Annex'!G90</f>
        <v>0</v>
      </c>
      <c r="F94" s="8">
        <f>'5.Infrastructure Annex'!H90</f>
        <v>0</v>
      </c>
      <c r="G94" s="8">
        <f>'5.Infrastructure Annex'!I90</f>
        <v>0</v>
      </c>
      <c r="H94" s="8">
        <f>'5.Infrastructure Annex'!J90</f>
        <v>0</v>
      </c>
      <c r="I94" s="8" t="str">
        <f>'5.Infrastructure Annex'!K90</f>
        <v xml:space="preserve">per lab </v>
      </c>
      <c r="J94" s="8">
        <f>'5.Infrastructure Annex'!L90</f>
        <v>400000</v>
      </c>
      <c r="K94" s="8">
        <f>'5.Infrastructure Annex'!M90</f>
        <v>4</v>
      </c>
      <c r="L94" s="8">
        <f>'5.Infrastructure Annex'!N90</f>
        <v>1</v>
      </c>
      <c r="M94" s="8">
        <f>'5.Infrastructure Annex'!O90</f>
        <v>4</v>
      </c>
      <c r="N94" s="8" t="str">
        <f>'5.Infrastructure Annex'!P90</f>
        <v>New Activity- According to WHO – UNICEF- NIDDCP and GOI Guidelines [3, 4]  the 3 programme indicators to monitor progress towards elimination of IDDs are 1. Estimation of Iodine in salt  2.TGR  3.UIE in 6-12 years old children and pregnant women. The first two indicators are being monitored in Bihar. However UIE is not being done during IDD surveys as there are no facilities or lab. The need of the hour is to establish a UIE Lab in Bihar. Presently, the state is testing iodine level in salt. WHO has recommended initiating the principal impact indicator UIE among the people. As per NIDDCP, Urinary Iodine Excretion (UIE) is an important activity to be undertaken by all states. Establishment of urin Iodine testing lab in PSM department ,PMCH, Patna  Fund Calculation- Civil work and renovation of existing infrastructure@Rs 570000+130000 misclenious. Detailed proposal annexed.</v>
      </c>
      <c r="O94" s="8">
        <f>'5.Infrastructure Annex'!Q90</f>
        <v>0</v>
      </c>
      <c r="P94" s="8">
        <f>'5.Infrastructure Annex'!R90</f>
        <v>0</v>
      </c>
    </row>
    <row r="95" spans="1:16" ht="25.5">
      <c r="A95" s="4" t="str">
        <f>'5.Infrastructure Annex'!A91</f>
        <v>5.3.11</v>
      </c>
      <c r="B95" s="4" t="str">
        <f>'5.Infrastructure Annex'!B91</f>
        <v>F.1.1.j</v>
      </c>
      <c r="C95" s="4" t="str">
        <f>'5.Infrastructure Annex'!C91</f>
        <v>Construction and maintenance of Hatcheries</v>
      </c>
      <c r="D95" s="8">
        <f>'5.Infrastructure Annex'!F91</f>
        <v>0</v>
      </c>
      <c r="E95" s="8">
        <f>'5.Infrastructure Annex'!G91</f>
        <v>0</v>
      </c>
      <c r="F95" s="8">
        <f>'5.Infrastructure Annex'!H91</f>
        <v>0</v>
      </c>
      <c r="G95" s="8">
        <f>'5.Infrastructure Annex'!I91</f>
        <v>0</v>
      </c>
      <c r="H95" s="8">
        <f>'5.Infrastructure Annex'!J91</f>
        <v>0</v>
      </c>
      <c r="I95" s="8">
        <f>'5.Infrastructure Annex'!K91</f>
        <v>0</v>
      </c>
      <c r="J95" s="8">
        <f>'5.Infrastructure Annex'!L91</f>
        <v>0</v>
      </c>
      <c r="K95" s="8">
        <f>'5.Infrastructure Annex'!M91</f>
        <v>0</v>
      </c>
      <c r="L95" s="8">
        <f>'5.Infrastructure Annex'!N91</f>
        <v>0</v>
      </c>
      <c r="M95" s="8">
        <f>'5.Infrastructure Annex'!O91</f>
        <v>0</v>
      </c>
      <c r="N95" s="8">
        <f>'5.Infrastructure Annex'!P91</f>
        <v>0</v>
      </c>
      <c r="O95" s="8">
        <f>'5.Infrastructure Annex'!Q91</f>
        <v>0</v>
      </c>
      <c r="P95" s="8">
        <f>'5.Infrastructure Annex'!R91</f>
        <v>0</v>
      </c>
    </row>
    <row r="96" spans="1:16">
      <c r="A96" s="4" t="str">
        <f>'5.Infrastructure Annex'!A92</f>
        <v>5.3.12</v>
      </c>
      <c r="B96" s="4" t="str">
        <f>'5.Infrastructure Annex'!B92</f>
        <v>F.2.1.e</v>
      </c>
      <c r="C96" s="4" t="str">
        <f>'5.Infrastructure Annex'!C92</f>
        <v>Infrastructure (INF)</v>
      </c>
      <c r="D96" s="8">
        <f>'5.Infrastructure Annex'!F92</f>
        <v>0</v>
      </c>
      <c r="E96" s="8">
        <f>'5.Infrastructure Annex'!G92</f>
        <v>0</v>
      </c>
      <c r="F96" s="8">
        <f>'5.Infrastructure Annex'!H92</f>
        <v>0</v>
      </c>
      <c r="G96" s="8">
        <f>'5.Infrastructure Annex'!I92</f>
        <v>0</v>
      </c>
      <c r="H96" s="8">
        <f>'5.Infrastructure Annex'!J92</f>
        <v>0</v>
      </c>
      <c r="I96" s="8">
        <f>'5.Infrastructure Annex'!K92</f>
        <v>0</v>
      </c>
      <c r="J96" s="8">
        <f>'5.Infrastructure Annex'!L92</f>
        <v>0</v>
      </c>
      <c r="K96" s="8">
        <f>'5.Infrastructure Annex'!M92</f>
        <v>0</v>
      </c>
      <c r="L96" s="8">
        <f>'5.Infrastructure Annex'!N92</f>
        <v>0</v>
      </c>
      <c r="M96" s="8">
        <f>'5.Infrastructure Annex'!O92</f>
        <v>0</v>
      </c>
      <c r="N96" s="8">
        <f>'5.Infrastructure Annex'!P92</f>
        <v>0</v>
      </c>
      <c r="O96" s="8">
        <f>'5.Infrastructure Annex'!Q92</f>
        <v>0</v>
      </c>
      <c r="P96" s="8">
        <f>'5.Infrastructure Annex'!R92</f>
        <v>0</v>
      </c>
    </row>
    <row r="97" spans="1:16" ht="229.5">
      <c r="A97" s="4" t="str">
        <f>'5.Infrastructure Annex'!A93</f>
        <v>5.3.13</v>
      </c>
      <c r="B97" s="4" t="str">
        <f>'5.Infrastructure Annex'!B93</f>
        <v>F.1.3.j</v>
      </c>
      <c r="C97" s="4" t="str">
        <f>'5.Infrastructure Annex'!C93</f>
        <v>ICU Establishment in Endemic District</v>
      </c>
      <c r="D97" s="8">
        <f>'5.Infrastructure Annex'!F93</f>
        <v>0</v>
      </c>
      <c r="E97" s="8">
        <f>'5.Infrastructure Annex'!G93</f>
        <v>0</v>
      </c>
      <c r="F97" s="8">
        <f>'5.Infrastructure Annex'!H93</f>
        <v>0</v>
      </c>
      <c r="G97" s="8">
        <f>'5.Infrastructure Annex'!I93</f>
        <v>0</v>
      </c>
      <c r="H97" s="8">
        <f>'5.Infrastructure Annex'!J93</f>
        <v>0</v>
      </c>
      <c r="I97" s="8" t="str">
        <f>'5.Infrastructure Annex'!K93</f>
        <v>Per PICU</v>
      </c>
      <c r="J97" s="8">
        <f>'5.Infrastructure Annex'!L93</f>
        <v>7500000</v>
      </c>
      <c r="K97" s="8">
        <f>'5.Infrastructure Annex'!M93</f>
        <v>75</v>
      </c>
      <c r="L97" s="8">
        <f>'5.Infrastructure Annex'!N93</f>
        <v>1</v>
      </c>
      <c r="M97" s="8">
        <f>'5.Infrastructure Annex'!O93</f>
        <v>75</v>
      </c>
      <c r="N97" s="8" t="str">
        <f>'5.Infrastructure Annex'!P93</f>
        <v xml:space="preserve">Annex.I-List of PICU equipments as per GoI norms,attached. Annex.II- Unit cost of PICU equipments by BMSICL, Patna as per list  decided by GoI attached. Annex.III- Complition of 15 PICU &amp; UC details  by BMSICL,Patna  as per list  decided by GoI attached. Annex.IV- Demand of additional PICU equipments one time as per Revised SOP-2021 attached  for 15 GoM districts @ Rs. 5.00 Lakh each,total Rs. 75.00 Lakh in.   </v>
      </c>
      <c r="O97" s="8">
        <f>'5.Infrastructure Annex'!Q93</f>
        <v>0</v>
      </c>
      <c r="P97" s="8">
        <f>'5.Infrastructure Annex'!R93</f>
        <v>0</v>
      </c>
    </row>
    <row r="98" spans="1:16" ht="331.5">
      <c r="A98" s="4" t="str">
        <f>'5.Infrastructure Annex'!A94</f>
        <v>5.3.14</v>
      </c>
      <c r="B98" s="4" t="str">
        <f>'5.Infrastructure Annex'!B94</f>
        <v>H.1</v>
      </c>
      <c r="C98" s="4" t="str">
        <f>'5.Infrastructure Annex'!C94</f>
        <v>Civil Works under NTEP</v>
      </c>
      <c r="D98" s="8">
        <f>'5.Infrastructure Annex'!F94</f>
        <v>0</v>
      </c>
      <c r="E98" s="8">
        <f>'5.Infrastructure Annex'!G94</f>
        <v>0</v>
      </c>
      <c r="F98" s="8">
        <f>'5.Infrastructure Annex'!H94</f>
        <v>155.18</v>
      </c>
      <c r="G98" s="8">
        <f>'5.Infrastructure Annex'!I94</f>
        <v>28.06</v>
      </c>
      <c r="H98" s="8">
        <f>'5.Infrastructure Annex'!J94</f>
        <v>0</v>
      </c>
      <c r="I98" s="8" t="str">
        <f>'5.Infrastructure Annex'!K94</f>
        <v>No. of Laboratories / Centers / Stores</v>
      </c>
      <c r="J98" s="8">
        <f>'5.Infrastructure Annex'!L94</f>
        <v>28168000</v>
      </c>
      <c r="K98" s="8">
        <f>'5.Infrastructure Annex'!M94</f>
        <v>281.68</v>
      </c>
      <c r="L98" s="8">
        <f>'5.Infrastructure Annex'!N94</f>
        <v>1</v>
      </c>
      <c r="M98" s="8">
        <f>'5.Infrastructure Annex'!O94</f>
        <v>281.68</v>
      </c>
      <c r="N98" s="8" t="str">
        <f>'5.Infrastructure Annex'!P94</f>
        <v>1. Waterproofing of roof (2nd floor-Training Hall and Hostel) TBDC Patna. 2. Water proofing of roof 1st floor- State drug store patna. 3. Establishment of Nodal DRTB centre and centre of Excellence for extrapulmonary and paediatric TB case Mangement at AIIMS Patna. 4. Nodal DR TB centre Initial Establishment at JNKTMCH, madhepura and VIMS Pawapuri Nalanda. 5. IGIMS for LPA labs. 6. Maintenance cost of STC, SDS-2, STDC-2, DTC-38, TU-534, DMC-736, CBNAAT site-70, NDRTBC-6, IRL-1, CDST lab-2 and initial establishment of X ray Units- 28, TU-10, DMC-20, etc. The expnediture can be drawn through pooled budget.</v>
      </c>
      <c r="O98" s="8">
        <f>'5.Infrastructure Annex'!Q94</f>
        <v>0</v>
      </c>
      <c r="P98" s="8">
        <f>'5.Infrastructure Annex'!R94</f>
        <v>0</v>
      </c>
    </row>
    <row r="99" spans="1:16" ht="114.75">
      <c r="A99" s="4" t="str">
        <f>'5.Infrastructure Annex'!A95</f>
        <v>5.3.15</v>
      </c>
      <c r="B99" s="4" t="str">
        <f>'5.Infrastructure Annex'!B95</f>
        <v>J.1.1</v>
      </c>
      <c r="C99" s="4" t="str">
        <f>'5.Infrastructure Annex'!C95</f>
        <v>District DMHP Centre, Counselling Centre under psychology dept.. In a selected college including crisis helpline</v>
      </c>
      <c r="D99" s="8">
        <f>'5.Infrastructure Annex'!F95</f>
        <v>0</v>
      </c>
      <c r="E99" s="8">
        <f>'5.Infrastructure Annex'!G95</f>
        <v>0</v>
      </c>
      <c r="F99" s="8">
        <f>'5.Infrastructure Annex'!H95</f>
        <v>0</v>
      </c>
      <c r="G99" s="8">
        <f>'5.Infrastructure Annex'!I95</f>
        <v>0</v>
      </c>
      <c r="H99" s="8">
        <f>'5.Infrastructure Annex'!J95</f>
        <v>0</v>
      </c>
      <c r="I99" s="8" t="str">
        <f>'5.Infrastructure Annex'!K95</f>
        <v>DMHP centre establishment</v>
      </c>
      <c r="J99" s="8">
        <f>'5.Infrastructure Annex'!L95</f>
        <v>300000</v>
      </c>
      <c r="K99" s="8">
        <f>'5.Infrastructure Annex'!M95</f>
        <v>3</v>
      </c>
      <c r="L99" s="8">
        <f>'5.Infrastructure Annex'!N95</f>
        <v>7</v>
      </c>
      <c r="M99" s="8">
        <f>'5.Infrastructure Annex'!O95</f>
        <v>21</v>
      </c>
      <c r="N99" s="8" t="str">
        <f>'5.Infrastructure Annex'!P95</f>
        <v>3 lakh per district for 7 district. Need to approval (Patna,Darbhanga,Bhojpur, Nalanda, Lakhisarai, Arwal &amp; Jehanbad) to setting up center, furniture, camputer &amp; other facilities etc for strengthing of mental health at all 38 district</v>
      </c>
      <c r="O99" s="8">
        <f>'5.Infrastructure Annex'!Q95</f>
        <v>0</v>
      </c>
      <c r="P99" s="8">
        <f>'5.Infrastructure Annex'!R95</f>
        <v>0</v>
      </c>
    </row>
    <row r="100" spans="1:16" ht="63.75">
      <c r="A100" s="4" t="str">
        <f>'5.Infrastructure Annex'!A96</f>
        <v>5.3.16</v>
      </c>
      <c r="B100" s="4" t="str">
        <f>'5.Infrastructure Annex'!B96</f>
        <v>K.2.1.1</v>
      </c>
      <c r="C100" s="4" t="str">
        <f>'5.Infrastructure Annex'!C96</f>
        <v>Non-recurring GIA: New Construction @80  lakh/ Extension of existing ward @ 40 lakh/ Renovation @20 lakh/ for Geriatrics Unit with 10 beds and OPD facilities at DH</v>
      </c>
      <c r="D100" s="8">
        <f>'5.Infrastructure Annex'!F96</f>
        <v>0</v>
      </c>
      <c r="E100" s="8">
        <f>'5.Infrastructure Annex'!G96</f>
        <v>0</v>
      </c>
      <c r="F100" s="8">
        <f>'5.Infrastructure Annex'!H96</f>
        <v>0</v>
      </c>
      <c r="G100" s="8">
        <f>'5.Infrastructure Annex'!I96</f>
        <v>0</v>
      </c>
      <c r="H100" s="8">
        <f>'5.Infrastructure Annex'!J96</f>
        <v>0</v>
      </c>
      <c r="I100" s="8">
        <f>'5.Infrastructure Annex'!K96</f>
        <v>0</v>
      </c>
      <c r="J100" s="8">
        <f>'5.Infrastructure Annex'!L96</f>
        <v>0</v>
      </c>
      <c r="K100" s="8">
        <f>'5.Infrastructure Annex'!M96</f>
        <v>0</v>
      </c>
      <c r="L100" s="8">
        <f>'5.Infrastructure Annex'!N96</f>
        <v>0</v>
      </c>
      <c r="M100" s="8">
        <f>'5.Infrastructure Annex'!O96</f>
        <v>0</v>
      </c>
      <c r="N100" s="8">
        <f>'5.Infrastructure Annex'!P96</f>
        <v>0</v>
      </c>
      <c r="O100" s="8">
        <f>'5.Infrastructure Annex'!Q96</f>
        <v>0</v>
      </c>
      <c r="P100" s="8">
        <f>'5.Infrastructure Annex'!R96</f>
        <v>0</v>
      </c>
    </row>
    <row r="101" spans="1:16">
      <c r="A101" s="4" t="str">
        <f>'5.Infrastructure Annex'!A97</f>
        <v>5.3.17</v>
      </c>
      <c r="B101" s="4" t="str">
        <f>'5.Infrastructure Annex'!B97</f>
        <v>O1.1.2.1</v>
      </c>
      <c r="C101" s="4" t="str">
        <f>'5.Infrastructure Annex'!C97</f>
        <v>Cardiac Care Unit (CCU/ ICU)</v>
      </c>
      <c r="D101" s="8">
        <f>'5.Infrastructure Annex'!F97</f>
        <v>0</v>
      </c>
      <c r="E101" s="8">
        <f>'5.Infrastructure Annex'!G97</f>
        <v>0</v>
      </c>
      <c r="F101" s="8">
        <f>'5.Infrastructure Annex'!H97</f>
        <v>0</v>
      </c>
      <c r="G101" s="8">
        <f>'5.Infrastructure Annex'!I97</f>
        <v>0</v>
      </c>
      <c r="H101" s="8">
        <f>'5.Infrastructure Annex'!J97</f>
        <v>0</v>
      </c>
      <c r="I101" s="8">
        <f>'5.Infrastructure Annex'!K97</f>
        <v>0</v>
      </c>
      <c r="J101" s="8">
        <f>'5.Infrastructure Annex'!L97</f>
        <v>0</v>
      </c>
      <c r="K101" s="8">
        <f>'5.Infrastructure Annex'!M97</f>
        <v>0</v>
      </c>
      <c r="L101" s="8">
        <f>'5.Infrastructure Annex'!N97</f>
        <v>0</v>
      </c>
      <c r="M101" s="8">
        <f>'5.Infrastructure Annex'!O97</f>
        <v>0</v>
      </c>
      <c r="N101" s="8">
        <f>'5.Infrastructure Annex'!P97</f>
        <v>0</v>
      </c>
      <c r="O101" s="8">
        <f>'5.Infrastructure Annex'!Q97</f>
        <v>0</v>
      </c>
      <c r="P101" s="8">
        <f>'5.Infrastructure Annex'!R97</f>
        <v>0</v>
      </c>
    </row>
    <row r="102" spans="1:16">
      <c r="A102" s="4" t="str">
        <f>'5.Infrastructure Annex'!A98</f>
        <v>5.3.18</v>
      </c>
      <c r="B102" s="4">
        <f>'5.Infrastructure Annex'!B98</f>
        <v>0</v>
      </c>
      <c r="C102" s="4" t="str">
        <f>'5.Infrastructure Annex'!C98</f>
        <v>Any other (please specify)</v>
      </c>
      <c r="D102" s="8">
        <f>'5.Infrastructure Annex'!F98</f>
        <v>0</v>
      </c>
      <c r="E102" s="8">
        <f>'5.Infrastructure Annex'!G98</f>
        <v>0</v>
      </c>
      <c r="F102" s="8">
        <f>'5.Infrastructure Annex'!H98</f>
        <v>0</v>
      </c>
      <c r="G102" s="8">
        <f>'5.Infrastructure Annex'!I98</f>
        <v>0</v>
      </c>
      <c r="H102" s="8">
        <f>'5.Infrastructure Annex'!J98</f>
        <v>0</v>
      </c>
      <c r="I102" s="8">
        <f>'5.Infrastructure Annex'!K98</f>
        <v>0</v>
      </c>
      <c r="J102" s="8">
        <f>'5.Infrastructure Annex'!L98</f>
        <v>0</v>
      </c>
      <c r="K102" s="8">
        <f>'5.Infrastructure Annex'!M98</f>
        <v>0</v>
      </c>
      <c r="L102" s="8">
        <f>'5.Infrastructure Annex'!N98</f>
        <v>0</v>
      </c>
      <c r="M102" s="8">
        <f>'5.Infrastructure Annex'!O98</f>
        <v>0</v>
      </c>
      <c r="N102" s="8">
        <f>'5.Infrastructure Annex'!P98</f>
        <v>0</v>
      </c>
      <c r="O102" s="8">
        <f>'5.Infrastructure Annex'!Q98</f>
        <v>0</v>
      </c>
      <c r="P102" s="8">
        <f>'5.Infrastructure Annex'!R98</f>
        <v>0</v>
      </c>
    </row>
    <row r="103" spans="1:16">
      <c r="A103" s="32">
        <f>'6-A. Proc. Sub-Annex'!B5</f>
        <v>6.1</v>
      </c>
      <c r="B103" s="32" t="str">
        <f>'6-A. Proc. Sub-Annex'!C5</f>
        <v>B.16.1</v>
      </c>
      <c r="C103" s="32" t="str">
        <f>'6-A. Proc. Sub-Annex'!D5</f>
        <v>Procurement of Equipment</v>
      </c>
      <c r="D103" s="39"/>
      <c r="E103" s="39"/>
      <c r="F103" s="39">
        <f>'6-A. Proc. Sub-Annex'!I5</f>
        <v>0</v>
      </c>
      <c r="G103" s="39">
        <f>'6-A. Proc. Sub-Annex'!J5</f>
        <v>0</v>
      </c>
      <c r="H103" s="39">
        <f>'6-A. Proc. Sub-Annex'!K5</f>
        <v>0</v>
      </c>
      <c r="I103" s="39"/>
      <c r="J103" s="39"/>
      <c r="K103" s="39"/>
      <c r="L103" s="39"/>
      <c r="M103" s="39">
        <f>'6-A. Proc. Sub-Annex'!P5</f>
        <v>0</v>
      </c>
      <c r="N103" s="39"/>
      <c r="O103" s="39"/>
      <c r="P103" s="39">
        <f>'6-A. Proc. Sub-Annex'!S5</f>
        <v>0</v>
      </c>
    </row>
    <row r="104" spans="1:16" ht="25.5">
      <c r="A104" s="4" t="str">
        <f>'6-A. Proc. Sub-Annex'!B7</f>
        <v>6.1.1.1</v>
      </c>
      <c r="B104" s="4" t="str">
        <f>'6-A. Proc. Sub-Annex'!C7</f>
        <v>B16.1.1</v>
      </c>
      <c r="C104" s="4" t="str">
        <f>'6-A. Proc. Sub-Annex'!D7</f>
        <v>Procurement of bio-medical and other equipment:  MH</v>
      </c>
      <c r="D104" s="8"/>
      <c r="E104" s="8"/>
      <c r="F104" s="8">
        <f>SUM(F105:F108)</f>
        <v>21.5</v>
      </c>
      <c r="G104" s="8">
        <f>SUM(G105:G108)</f>
        <v>0.31919999999999998</v>
      </c>
      <c r="H104" s="8">
        <f>SUM(H105:H108)</f>
        <v>0</v>
      </c>
      <c r="I104" s="8"/>
      <c r="J104" s="8"/>
      <c r="K104" s="8"/>
      <c r="L104" s="8"/>
      <c r="M104" s="8">
        <f>SUM(M105:M108)</f>
        <v>1208.9615999999999</v>
      </c>
      <c r="N104" s="8">
        <f>'6-A. Proc. Sub-Annex'!Q7</f>
        <v>0</v>
      </c>
      <c r="O104" s="8">
        <f>'6-A. Proc. Sub-Annex'!R7</f>
        <v>0</v>
      </c>
      <c r="P104" s="8">
        <f>SUM(P105:P108)</f>
        <v>0</v>
      </c>
    </row>
    <row r="105" spans="1:16" ht="51">
      <c r="A105" s="4" t="str">
        <f>'6-A. Proc. Sub-Annex'!B8</f>
        <v>6.1.1.1.1</v>
      </c>
      <c r="B105" s="4" t="str">
        <f>'6-A. Proc. Sub-Annex'!C8</f>
        <v>B16.1.1.2</v>
      </c>
      <c r="C105" s="4" t="str">
        <f>'6-A. Proc. Sub-Annex'!D8</f>
        <v>MVA /EVA for Safe Abortion services</v>
      </c>
      <c r="D105" s="8">
        <f>'6-A. Proc. Sub-Annex'!G8</f>
        <v>800</v>
      </c>
      <c r="E105" s="8">
        <f>'6-A. Proc. Sub-Annex'!H8</f>
        <v>0</v>
      </c>
      <c r="F105" s="8">
        <f>'6-A. Proc. Sub-Annex'!I8</f>
        <v>21.5</v>
      </c>
      <c r="G105" s="8">
        <f>'6-A. Proc. Sub-Annex'!J8</f>
        <v>0.31919999999999998</v>
      </c>
      <c r="H105" s="8">
        <f>'6-A. Proc. Sub-Annex'!K8</f>
        <v>0</v>
      </c>
      <c r="I105" s="8" t="str">
        <f>'6-A. Proc. Sub-Annex'!L8</f>
        <v>Per MVA Kit</v>
      </c>
      <c r="J105" s="8">
        <f>'6-A. Proc. Sub-Annex'!M8</f>
        <v>2688</v>
      </c>
      <c r="K105" s="8">
        <f>'6-A. Proc. Sub-Annex'!N8</f>
        <v>2.6880000000000001E-2</v>
      </c>
      <c r="L105" s="8">
        <f>'6-A. Proc. Sub-Annex'!O8</f>
        <v>800</v>
      </c>
      <c r="M105" s="8">
        <f>'6-A. Proc. Sub-Annex'!P8</f>
        <v>21.504000000000001</v>
      </c>
      <c r="N105" s="8" t="str">
        <f>'6-A. Proc. Sub-Annex'!Q8</f>
        <v>Continued Activity, 
800 MVA kits @ Rs.2688 per kit- (Rs.2688 X 800 kits = Rs.21,50,400)</v>
      </c>
      <c r="O105" s="8">
        <f>'6-A. Proc. Sub-Annex'!R8</f>
        <v>0</v>
      </c>
      <c r="P105" s="8">
        <f>'6-A. Proc. Sub-Annex'!S8</f>
        <v>0</v>
      </c>
    </row>
    <row r="106" spans="1:16" ht="25.5">
      <c r="A106" s="4" t="str">
        <f>'6-A. Proc. Sub-Annex'!B9</f>
        <v>6.1.1.1.2</v>
      </c>
      <c r="B106" s="4">
        <f>'6-A. Proc. Sub-Annex'!C9</f>
        <v>0</v>
      </c>
      <c r="C106" s="4" t="str">
        <f>'6-A. Proc. Sub-Annex'!D9</f>
        <v>Procurement under LaQshya</v>
      </c>
      <c r="D106" s="8">
        <f>'6-A. Proc. Sub-Annex'!G9</f>
        <v>0</v>
      </c>
      <c r="E106" s="8">
        <f>'6-A. Proc. Sub-Annex'!H9</f>
        <v>0</v>
      </c>
      <c r="F106" s="8">
        <f>'6-A. Proc. Sub-Annex'!I9</f>
        <v>0</v>
      </c>
      <c r="G106" s="8">
        <f>'6-A. Proc. Sub-Annex'!J9</f>
        <v>0</v>
      </c>
      <c r="H106" s="8">
        <f>'6-A. Proc. Sub-Annex'!K9</f>
        <v>0</v>
      </c>
      <c r="I106" s="8">
        <f>'6-A. Proc. Sub-Annex'!L9</f>
        <v>0</v>
      </c>
      <c r="J106" s="8">
        <f>'6-A. Proc. Sub-Annex'!M9</f>
        <v>0</v>
      </c>
      <c r="K106" s="8">
        <f>'6-A. Proc. Sub-Annex'!N9</f>
        <v>0</v>
      </c>
      <c r="L106" s="8">
        <f>'6-A. Proc. Sub-Annex'!O9</f>
        <v>0</v>
      </c>
      <c r="M106" s="8">
        <f>'6-A. Proc. Sub-Annex'!P9</f>
        <v>0</v>
      </c>
      <c r="N106" s="8">
        <f>'6-A. Proc. Sub-Annex'!Q9</f>
        <v>0</v>
      </c>
      <c r="O106" s="8">
        <f>'6-A. Proc. Sub-Annex'!R9</f>
        <v>0</v>
      </c>
      <c r="P106" s="8">
        <f>'6-A. Proc. Sub-Annex'!S9</f>
        <v>0</v>
      </c>
    </row>
    <row r="107" spans="1:16" ht="38.25">
      <c r="A107" s="4" t="str">
        <f>'6-A. Proc. Sub-Annex'!B10</f>
        <v>6.1.1.1.3</v>
      </c>
      <c r="B107" s="4">
        <f>'6-A. Proc. Sub-Annex'!C10</f>
        <v>0</v>
      </c>
      <c r="C107" s="4" t="str">
        <f>'6-A. Proc. Sub-Annex'!D10</f>
        <v>Equipment for  Obstetric ICUs/ HDUs (as per operational guidelines of ICUs and HDUs, 2017)</v>
      </c>
      <c r="D107" s="8">
        <f>'6-A. Proc. Sub-Annex'!G10</f>
        <v>0</v>
      </c>
      <c r="E107" s="8">
        <f>'6-A. Proc. Sub-Annex'!H10</f>
        <v>0</v>
      </c>
      <c r="F107" s="8">
        <f>'6-A. Proc. Sub-Annex'!I10</f>
        <v>0</v>
      </c>
      <c r="G107" s="8">
        <f>'6-A. Proc. Sub-Annex'!J10</f>
        <v>0</v>
      </c>
      <c r="H107" s="8">
        <f>'6-A. Proc. Sub-Annex'!K10</f>
        <v>0</v>
      </c>
      <c r="I107" s="8">
        <f>'6-A. Proc. Sub-Annex'!L10</f>
        <v>0</v>
      </c>
      <c r="J107" s="8">
        <f>'6-A. Proc. Sub-Annex'!M10</f>
        <v>0</v>
      </c>
      <c r="K107" s="8">
        <f>'6-A. Proc. Sub-Annex'!N10</f>
        <v>0</v>
      </c>
      <c r="L107" s="8">
        <f>'6-A. Proc. Sub-Annex'!O10</f>
        <v>0</v>
      </c>
      <c r="M107" s="8">
        <f>'6-A. Proc. Sub-Annex'!P10</f>
        <v>0</v>
      </c>
      <c r="N107" s="8">
        <f>'6-A. Proc. Sub-Annex'!Q10</f>
        <v>0</v>
      </c>
      <c r="O107" s="8">
        <f>'6-A. Proc. Sub-Annex'!R10</f>
        <v>0</v>
      </c>
      <c r="P107" s="8">
        <f>'6-A. Proc. Sub-Annex'!S10</f>
        <v>0</v>
      </c>
    </row>
    <row r="108" spans="1:16" ht="318.75">
      <c r="A108" s="4" t="str">
        <f>'6-A. Proc. Sub-Annex'!B12</f>
        <v>6.1.1.1.4</v>
      </c>
      <c r="B108" s="4" t="str">
        <f>'6-A. Proc. Sub-Annex'!C12</f>
        <v>B16.1.1.3</v>
      </c>
      <c r="C108" s="4" t="str">
        <f>'6-A. Proc. Sub-Annex'!D12</f>
        <v>Any other equipment (please specify)</v>
      </c>
      <c r="D108" s="8">
        <f>'6-A. Proc. Sub-Annex'!G12</f>
        <v>0</v>
      </c>
      <c r="E108" s="8">
        <f>'6-A. Proc. Sub-Annex'!H12</f>
        <v>0</v>
      </c>
      <c r="F108" s="8">
        <f>'6-A. Proc. Sub-Annex'!I12</f>
        <v>0</v>
      </c>
      <c r="G108" s="8">
        <f>'6-A. Proc. Sub-Annex'!J12</f>
        <v>0</v>
      </c>
      <c r="H108" s="8">
        <f>'6-A. Proc. Sub-Annex'!K12</f>
        <v>0</v>
      </c>
      <c r="I108" s="8" t="str">
        <f>'6-A. Proc. Sub-Annex'!L12</f>
        <v>Per ILR</v>
      </c>
      <c r="J108" s="8">
        <f>'6-A. Proc. Sub-Annex'!M12</f>
        <v>198240</v>
      </c>
      <c r="K108" s="8">
        <f>'6-A. Proc. Sub-Annex'!N12</f>
        <v>1.9823999999999999</v>
      </c>
      <c r="L108" s="8">
        <f>'6-A. Proc. Sub-Annex'!O12</f>
        <v>599</v>
      </c>
      <c r="M108" s="8">
        <f>'6-A. Proc. Sub-Annex'!P12</f>
        <v>1187.4576</v>
      </c>
      <c r="N108" s="8" t="str">
        <f>'6-A. Proc. Sub-Annex'!Q12</f>
        <v>Demand is being made for Procurement  of Large Ice Lined Refrigerator (ILR) for storing HIV, Syphilis &amp; Hepatitis kits. 
2 large ILRs are proposed for 27 large districts and 1 Large ILR for rest 11 districts which are to be installed at district hospitals and for all 534 PHCs for providing kits to VHSND Level.
Total number of Large Ice Lined Refrigerators required-
65 for DH + 534 for PHC = 599.
Unit cost (as per rate contract BMSICL) of each large Ice lined regrigerator is Rs. 1,98,240. 
Hence total Budget required = 599 * Rs. 1,98,240.00 
Rs. 118746000</v>
      </c>
      <c r="O108" s="8">
        <f>'6-A. Proc. Sub-Annex'!R12</f>
        <v>0</v>
      </c>
      <c r="P108" s="8">
        <f>'6-A. Proc. Sub-Annex'!S12</f>
        <v>0</v>
      </c>
    </row>
    <row r="109" spans="1:16" ht="25.5">
      <c r="A109" s="4" t="str">
        <f>'6-A. Proc. Sub-Annex'!B13</f>
        <v>6.1.1.2</v>
      </c>
      <c r="B109" s="4" t="str">
        <f>'6-A. Proc. Sub-Annex'!C13</f>
        <v>B16.1.2</v>
      </c>
      <c r="C109" s="4" t="str">
        <f>'6-A. Proc. Sub-Annex'!D13</f>
        <v>Procurement of bio-medical and other equipment:  CH</v>
      </c>
      <c r="D109" s="8"/>
      <c r="E109" s="8"/>
      <c r="F109" s="8">
        <f>SUM(F110:F111)</f>
        <v>0</v>
      </c>
      <c r="G109" s="8">
        <f>SUM(G110:G111)</f>
        <v>0</v>
      </c>
      <c r="H109" s="8">
        <f>SUM(H110:H111)</f>
        <v>0</v>
      </c>
      <c r="I109" s="8"/>
      <c r="J109" s="8"/>
      <c r="K109" s="8"/>
      <c r="L109" s="8"/>
      <c r="M109" s="8">
        <f>SUM(M110:M111)</f>
        <v>251</v>
      </c>
      <c r="N109" s="8">
        <f>'6-A. Proc. Sub-Annex'!Q13</f>
        <v>0</v>
      </c>
      <c r="O109" s="8">
        <f>'6-A. Proc. Sub-Annex'!R13</f>
        <v>0</v>
      </c>
      <c r="P109" s="8">
        <f>SUM(P110:P111)</f>
        <v>0</v>
      </c>
    </row>
    <row r="110" spans="1:16" ht="25.5">
      <c r="A110" s="4" t="str">
        <f>'6-A. Proc. Sub-Annex'!B14</f>
        <v>6.1.1.2.1</v>
      </c>
      <c r="B110" s="4" t="str">
        <f>'6-A. Proc. Sub-Annex'!C14</f>
        <v>B16.1.2.1</v>
      </c>
      <c r="C110" s="4" t="str">
        <f>'6-A. Proc. Sub-Annex'!D14</f>
        <v>Equipment for Paediatric HDU, Emergency, OPD and Ward</v>
      </c>
      <c r="D110" s="8">
        <f>'6-A. Proc. Sub-Annex'!G14</f>
        <v>0</v>
      </c>
      <c r="E110" s="8">
        <f>'6-A. Proc. Sub-Annex'!H14</f>
        <v>0</v>
      </c>
      <c r="F110" s="8">
        <f>'6-A. Proc. Sub-Annex'!I14</f>
        <v>0</v>
      </c>
      <c r="G110" s="8">
        <f>'6-A. Proc. Sub-Annex'!J14</f>
        <v>0</v>
      </c>
      <c r="H110" s="8">
        <f>'6-A. Proc. Sub-Annex'!K14</f>
        <v>0</v>
      </c>
      <c r="I110" s="8">
        <f>'6-A. Proc. Sub-Annex'!L14</f>
        <v>0</v>
      </c>
      <c r="J110" s="8">
        <f>'6-A. Proc. Sub-Annex'!M14</f>
        <v>0</v>
      </c>
      <c r="K110" s="8">
        <f>'6-A. Proc. Sub-Annex'!N14</f>
        <v>0</v>
      </c>
      <c r="L110" s="8">
        <f>'6-A. Proc. Sub-Annex'!O14</f>
        <v>0</v>
      </c>
      <c r="M110" s="8">
        <f>'6-A. Proc. Sub-Annex'!P14</f>
        <v>0</v>
      </c>
      <c r="N110" s="8">
        <f>'6-A. Proc. Sub-Annex'!Q14</f>
        <v>0</v>
      </c>
      <c r="O110" s="8">
        <f>'6-A. Proc. Sub-Annex'!R14</f>
        <v>0</v>
      </c>
      <c r="P110" s="8">
        <f>'6-A. Proc. Sub-Annex'!S14</f>
        <v>0</v>
      </c>
    </row>
    <row r="111" spans="1:16" ht="409.5">
      <c r="A111" s="4" t="str">
        <f>'6-A. Proc. Sub-Annex'!B18</f>
        <v>6.1.1.2.4</v>
      </c>
      <c r="B111" s="4" t="str">
        <f>'6-A. Proc. Sub-Annex'!C18</f>
        <v>B16.1.2.2</v>
      </c>
      <c r="C111" s="4" t="str">
        <f>'6-A. Proc. Sub-Annex'!D18</f>
        <v>Any other equipment (including equipment for SRC/MNCU/SNCU/ NBSU/NBCC/NRC/ etc</v>
      </c>
      <c r="D111" s="8">
        <f>'6-A. Proc. Sub-Annex'!G18</f>
        <v>0</v>
      </c>
      <c r="E111" s="8">
        <f>'6-A. Proc. Sub-Annex'!H18</f>
        <v>0</v>
      </c>
      <c r="F111" s="8">
        <f>'6-A. Proc. Sub-Annex'!I18</f>
        <v>0</v>
      </c>
      <c r="G111" s="8">
        <f>'6-A. Proc. Sub-Annex'!J18</f>
        <v>0</v>
      </c>
      <c r="H111" s="8">
        <f>'6-A. Proc. Sub-Annex'!K18</f>
        <v>0</v>
      </c>
      <c r="I111" s="8">
        <f>'6-A. Proc. Sub-Annex'!L18</f>
        <v>0</v>
      </c>
      <c r="J111" s="8">
        <f>'6-A. Proc. Sub-Annex'!M18</f>
        <v>25100000</v>
      </c>
      <c r="K111" s="8">
        <f>'6-A. Proc. Sub-Annex'!N18</f>
        <v>251</v>
      </c>
      <c r="L111" s="8">
        <f>'6-A. Proc. Sub-Annex'!O18</f>
        <v>1</v>
      </c>
      <c r="M111" s="8">
        <f>'6-A. Proc. Sub-Annex'!P18</f>
        <v>251</v>
      </c>
      <c r="N111" s="8" t="str">
        <f>'6-A. Proc. Sub-Annex'!Q18</f>
        <v>Budge is being proposed for FY 2021-22 
1.Procurement of 100 Radiant warmer@Rs.46000 per RW at NBCC to replace old(more than 6 years) unreparable RW = 46.00 lakh
2. Procurement of 400 Suction Machine@Rs.15000 per Suction Machine at NBCC = 400*Rs.15000 = 60.00 lakh 
3. Establishment of 40 CPAP@Rs.250000 per CPAP in 40 SNCU = 100.00 lakh
Total Budget required = 46 + 60 + 100 = 206 lakh 
NRC
1. Procurement of 14 Stadiometer@Rs.3000 per Stadiometer = Rs.0.42 lakh
2. Procurement of 15 Infantometer@Rs.3000 per infanntometer = Rs.0.45 lakh
3. Procurement of 14 Digital baby weighing Scale@Rs.5000 per weighing scale = Rs.0.70 lakh
4. Procurement of 29 LED TVs(42")@Rs. 30000 per LED TV = 29* Rs. 30000 = 8.70 lakh
5.  Procurement of 17 RO water purifiers@Rs. 20000 per RO = 17* Rs. 20000 = 3.40 lakh
6.  Procurement of 18 Refrigerator (more than or equal to 200 liters)@Rs. 20000 per Refrigerator = 18* Rs. 20000 = 3.60 lakh
7. Procurement of 26 Desktop Computer Set (Computer set, printer, mouse, antivirus etc.)@Rs. 60000 per Computer set = 26* Rs. 60000 = 15.60 lakh
Total Budget required = 0.42+ 0.45+0.70+8.70+ 3.40+4.00+ 15.60 = 32.87 lakh
IYCF Counsceling Centre  for 111 (New)
1. Procurement of 111 Stadiometer@Rs.3000 per Stadiometer = Rs.3.33 lakh
2. Procurement of 111 Infantometer@Rs.3000 per infanntometer = Rs.3.33 lakh
3. Procurement of 111 Digital baby weighing Scale@Rs.5000 per weighing scale = Rs.5.55 lakh
Total Budget = 12.21 lakh
TOTAL BuDGET</v>
      </c>
      <c r="O111" s="8">
        <f>'6-A. Proc. Sub-Annex'!R18</f>
        <v>0</v>
      </c>
      <c r="P111" s="8">
        <f>'6-A. Proc. Sub-Annex'!S18</f>
        <v>0</v>
      </c>
    </row>
    <row r="112" spans="1:16" ht="25.5">
      <c r="A112" s="4" t="str">
        <f>'6-A. Proc. Sub-Annex'!B19</f>
        <v>6.1.1.3</v>
      </c>
      <c r="B112" s="4" t="str">
        <f>'6-A. Proc. Sub-Annex'!C19</f>
        <v>B16.1.3</v>
      </c>
      <c r="C112" s="4" t="str">
        <f>'6-A. Proc. Sub-Annex'!D19</f>
        <v>Procurement of bio-medical and other equipment:  FP</v>
      </c>
      <c r="D112" s="8"/>
      <c r="E112" s="8"/>
      <c r="F112" s="8">
        <f>SUM(F113:F118)</f>
        <v>628.40000000000009</v>
      </c>
      <c r="G112" s="8">
        <f>SUM(G113:G118)</f>
        <v>38.5</v>
      </c>
      <c r="H112" s="8">
        <f>SUM(H113:H118)</f>
        <v>0</v>
      </c>
      <c r="I112" s="8"/>
      <c r="J112" s="8"/>
      <c r="K112" s="8"/>
      <c r="L112" s="8"/>
      <c r="M112" s="8">
        <f>SUM(M113:M118)</f>
        <v>475.63600000000002</v>
      </c>
      <c r="N112" s="8">
        <f>'6-A. Proc. Sub-Annex'!Q19</f>
        <v>0</v>
      </c>
      <c r="O112" s="8">
        <f>'6-A. Proc. Sub-Annex'!R19</f>
        <v>0</v>
      </c>
      <c r="P112" s="8">
        <f>SUM(P113:P118)</f>
        <v>0</v>
      </c>
    </row>
    <row r="113" spans="1:16" ht="191.25">
      <c r="A113" s="4" t="str">
        <f>'6-A. Proc. Sub-Annex'!B20</f>
        <v>6.1.1.3.1</v>
      </c>
      <c r="B113" s="4" t="str">
        <f>'6-A. Proc. Sub-Annex'!C20</f>
        <v>B16.1.3.1</v>
      </c>
      <c r="C113" s="4" t="str">
        <f>'6-A. Proc. Sub-Annex'!D20</f>
        <v>NSV kits</v>
      </c>
      <c r="D113" s="8">
        <f>'6-A. Proc. Sub-Annex'!G20</f>
        <v>1444</v>
      </c>
      <c r="E113" s="8">
        <f>'6-A. Proc. Sub-Annex'!H20</f>
        <v>82</v>
      </c>
      <c r="F113" s="8">
        <f>'6-A. Proc. Sub-Annex'!I20</f>
        <v>28.88</v>
      </c>
      <c r="G113" s="8">
        <f>'6-A. Proc. Sub-Annex'!J20</f>
        <v>1.64</v>
      </c>
      <c r="H113" s="8">
        <f>'6-A. Proc. Sub-Annex'!K20</f>
        <v>0</v>
      </c>
      <c r="I113" s="8" t="str">
        <f>'6-A. Proc. Sub-Annex'!L20</f>
        <v>NSV kit</v>
      </c>
      <c r="J113" s="8">
        <f>'6-A. Proc. Sub-Annex'!M20</f>
        <v>2000</v>
      </c>
      <c r="K113" s="8">
        <f>'6-A. Proc. Sub-Annex'!N20</f>
        <v>0.02</v>
      </c>
      <c r="L113" s="8">
        <f>'6-A. Proc. Sub-Annex'!O20</f>
        <v>910</v>
      </c>
      <c r="M113" s="8">
        <f>'6-A. Proc. Sub-Annex'!P20</f>
        <v>18.2</v>
      </c>
      <c r="N113" s="8" t="str">
        <f>'6-A. Proc. Sub-Annex'!Q20</f>
        <v>Continued Activity  
Provision is made for 2 Kit per 9 RTCs @2000/- per kit and  161 FRUs. 2 kits per training batches to be also procured. vasecomy kits can be provided 1 per 534 PHCs. Total NSV kit required is 376 while Vasectomy kit required is 534. 
Budget required is : 376 NSV kit*Rs.2000 + 534 Vasectomy Kit (534PHC*1) *Rs. 2000= Rs 18.20Lacs</v>
      </c>
      <c r="O113" s="8">
        <f>'6-A. Proc. Sub-Annex'!R20</f>
        <v>0</v>
      </c>
      <c r="P113" s="8">
        <f>'6-A. Proc. Sub-Annex'!S20</f>
        <v>0</v>
      </c>
    </row>
    <row r="114" spans="1:16" ht="216.75">
      <c r="A114" s="4" t="str">
        <f>'6-A. Proc. Sub-Annex'!B21</f>
        <v>6.1.1.3.2</v>
      </c>
      <c r="B114" s="4" t="str">
        <f>'6-A. Proc. Sub-Annex'!C21</f>
        <v>B16.1.3.2</v>
      </c>
      <c r="C114" s="4" t="str">
        <f>'6-A. Proc. Sub-Annex'!D21</f>
        <v>IUCD kits</v>
      </c>
      <c r="D114" s="8">
        <f>'6-A. Proc. Sub-Annex'!G21</f>
        <v>14194</v>
      </c>
      <c r="E114" s="8">
        <f>'6-A. Proc. Sub-Annex'!H21</f>
        <v>908</v>
      </c>
      <c r="F114" s="8">
        <f>'6-A. Proc. Sub-Annex'!I21</f>
        <v>354.85</v>
      </c>
      <c r="G114" s="8">
        <f>'6-A. Proc. Sub-Annex'!J21</f>
        <v>22.69</v>
      </c>
      <c r="H114" s="8">
        <f>'6-A. Proc. Sub-Annex'!K21</f>
        <v>0</v>
      </c>
      <c r="I114" s="8" t="str">
        <f>'6-A. Proc. Sub-Annex'!L21</f>
        <v>IUCD kit</v>
      </c>
      <c r="J114" s="8">
        <f>'6-A. Proc. Sub-Annex'!M21</f>
        <v>2500</v>
      </c>
      <c r="K114" s="8">
        <f>'6-A. Proc. Sub-Annex'!N21</f>
        <v>2.5000000000000001E-2</v>
      </c>
      <c r="L114" s="8">
        <f>'6-A. Proc. Sub-Annex'!O21</f>
        <v>7938</v>
      </c>
      <c r="M114" s="8">
        <f>'6-A. Proc. Sub-Annex'!P21</f>
        <v>198.45000000000002</v>
      </c>
      <c r="N114" s="8" t="str">
        <f>'6-A. Proc. Sub-Annex'!Q21</f>
        <v xml:space="preserve">Continued Activity (Key deliverable- mCPR)
2 IUCD Kit is to be provided at each PHCs, 1 Kit to be provided to all APHCs and 1 kit each to be provided to each HSCs.
161 FRU *3 +534 PHC*2+1387 APHC*1+ 5000 HSC*1 = 7938 IUCD Kit
Per Kit budget is  of Rs 2500/kit . 
Total Budget for this activity is Rs.2500*7938 kits= Rs 198.45 lacs
</v>
      </c>
      <c r="O114" s="8">
        <f>'6-A. Proc. Sub-Annex'!R21</f>
        <v>0</v>
      </c>
      <c r="P114" s="8">
        <f>'6-A. Proc. Sub-Annex'!S21</f>
        <v>0</v>
      </c>
    </row>
    <row r="115" spans="1:16" ht="153">
      <c r="A115" s="4" t="str">
        <f>'6-A. Proc. Sub-Annex'!B22</f>
        <v>6.1.1.3.3</v>
      </c>
      <c r="B115" s="4" t="str">
        <f>'6-A. Proc. Sub-Annex'!C22</f>
        <v>B16.1.3.3</v>
      </c>
      <c r="C115" s="4" t="str">
        <f>'6-A. Proc. Sub-Annex'!D22</f>
        <v>minilap kits</v>
      </c>
      <c r="D115" s="8">
        <f>'6-A. Proc. Sub-Annex'!G22</f>
        <v>1735</v>
      </c>
      <c r="E115" s="8">
        <f>'6-A. Proc. Sub-Annex'!H22</f>
        <v>100</v>
      </c>
      <c r="F115" s="8">
        <f>'6-A. Proc. Sub-Annex'!I22</f>
        <v>121.45</v>
      </c>
      <c r="G115" s="8">
        <f>'6-A. Proc. Sub-Annex'!J22</f>
        <v>6.96</v>
      </c>
      <c r="H115" s="8">
        <f>'6-A. Proc. Sub-Annex'!K22</f>
        <v>0</v>
      </c>
      <c r="I115" s="8" t="str">
        <f>'6-A. Proc. Sub-Annex'!L22</f>
        <v>No. Of minilap kit</v>
      </c>
      <c r="J115" s="8">
        <f>'6-A. Proc. Sub-Annex'!M22</f>
        <v>7000</v>
      </c>
      <c r="K115" s="8">
        <f>'6-A. Proc. Sub-Annex'!N22</f>
        <v>7.0000000000000007E-2</v>
      </c>
      <c r="L115" s="8">
        <f>'6-A. Proc. Sub-Annex'!O22</f>
        <v>1835</v>
      </c>
      <c r="M115" s="8">
        <f>'6-A. Proc. Sub-Annex'!P22</f>
        <v>128.45000000000002</v>
      </c>
      <c r="N115" s="8" t="str">
        <f>'6-A. Proc. Sub-Annex'!Q22</f>
        <v>Continued Activity (Key deliverable- mCPR)
2 Minilap set would be provided at all the 534 PHCs, 2 Minilap sets to be provided to 161 FRUs and 2 sets to be provided to 142 APHCs having 8 or more rooms in the state.
Budget proposed for this activity is : Rs. 7000*1835 kit: 128.45 lacs.</v>
      </c>
      <c r="O115" s="8">
        <f>'6-A. Proc. Sub-Annex'!R22</f>
        <v>0</v>
      </c>
      <c r="P115" s="8">
        <f>'6-A. Proc. Sub-Annex'!S22</f>
        <v>0</v>
      </c>
    </row>
    <row r="116" spans="1:16" ht="204">
      <c r="A116" s="4" t="str">
        <f>'6-A. Proc. Sub-Annex'!B23</f>
        <v>6.1.1.3.4</v>
      </c>
      <c r="B116" s="4" t="str">
        <f>'6-A. Proc. Sub-Annex'!C23</f>
        <v>B16.1.3.4</v>
      </c>
      <c r="C116" s="4" t="str">
        <f>'6-A. Proc. Sub-Annex'!D23</f>
        <v>laparoscopes</v>
      </c>
      <c r="D116" s="8">
        <f>'6-A. Proc. Sub-Annex'!G23</f>
        <v>10</v>
      </c>
      <c r="E116" s="8">
        <f>'6-A. Proc. Sub-Annex'!H23</f>
        <v>0</v>
      </c>
      <c r="F116" s="8">
        <f>'6-A. Proc. Sub-Annex'!I23</f>
        <v>50</v>
      </c>
      <c r="G116" s="8">
        <f>'6-A. Proc. Sub-Annex'!J23</f>
        <v>0</v>
      </c>
      <c r="H116" s="8">
        <f>'6-A. Proc. Sub-Annex'!K23</f>
        <v>0</v>
      </c>
      <c r="I116" s="8" t="str">
        <f>'6-A. Proc. Sub-Annex'!L23</f>
        <v>No. Of laproscope set</v>
      </c>
      <c r="J116" s="8">
        <f>'6-A. Proc. Sub-Annex'!M23</f>
        <v>2000000</v>
      </c>
      <c r="K116" s="8">
        <f>'6-A. Proc. Sub-Annex'!N23</f>
        <v>20</v>
      </c>
      <c r="L116" s="8">
        <f>'6-A. Proc. Sub-Annex'!O23</f>
        <v>4</v>
      </c>
      <c r="M116" s="8">
        <f>'6-A. Proc. Sub-Annex'!P23</f>
        <v>80</v>
      </c>
      <c r="N116" s="8" t="str">
        <f>'6-A. Proc. Sub-Annex'!Q23</f>
        <v xml:space="preserve">Continued Activity (Key deliverable- mCPR)
1 laproscopes set would be provided to 4 selected  District Hopital in the state to introduce Laproscopic services at tertiary center at Medical Collage (IGIMS, GMC, Betiah, KTMCH, Madhepura &amp; VIMS, Pawapuri. 
Budget proposed for this activity is : Rs. 2000000*4 kit: 80 lacs.
</v>
      </c>
      <c r="O116" s="8">
        <f>'6-A. Proc. Sub-Annex'!R23</f>
        <v>0</v>
      </c>
      <c r="P116" s="8">
        <f>'6-A. Proc. Sub-Annex'!S23</f>
        <v>0</v>
      </c>
    </row>
    <row r="117" spans="1:16" ht="165.75">
      <c r="A117" s="4" t="str">
        <f>'6-A. Proc. Sub-Annex'!B24</f>
        <v>6.1.1.3.5</v>
      </c>
      <c r="B117" s="4" t="str">
        <f>'6-A. Proc. Sub-Annex'!C24</f>
        <v>B16.1.3.5</v>
      </c>
      <c r="C117" s="4" t="str">
        <f>'6-A. Proc. Sub-Annex'!D24</f>
        <v>PPIUCD forceps</v>
      </c>
      <c r="D117" s="8">
        <f>'6-A. Proc. Sub-Annex'!G24</f>
        <v>2923</v>
      </c>
      <c r="E117" s="8">
        <f>'6-A. Proc. Sub-Annex'!H24</f>
        <v>151</v>
      </c>
      <c r="F117" s="8">
        <f>'6-A. Proc. Sub-Annex'!I24</f>
        <v>23.38</v>
      </c>
      <c r="G117" s="8">
        <f>'6-A. Proc. Sub-Annex'!J24</f>
        <v>1.21</v>
      </c>
      <c r="H117" s="8">
        <f>'6-A. Proc. Sub-Annex'!K24</f>
        <v>0</v>
      </c>
      <c r="I117" s="8" t="str">
        <f>'6-A. Proc. Sub-Annex'!L24</f>
        <v>No. Of PPIUCD forcep</v>
      </c>
      <c r="J117" s="8">
        <f>'6-A. Proc. Sub-Annex'!M24</f>
        <v>800</v>
      </c>
      <c r="K117" s="8">
        <f>'6-A. Proc. Sub-Annex'!N24</f>
        <v>8.0000000000000002E-3</v>
      </c>
      <c r="L117" s="8">
        <f>'6-A. Proc. Sub-Annex'!O24</f>
        <v>3379</v>
      </c>
      <c r="M117" s="8">
        <f>'6-A. Proc. Sub-Annex'!P24</f>
        <v>27.032</v>
      </c>
      <c r="N117" s="8" t="str">
        <f>'6-A. Proc. Sub-Annex'!Q24</f>
        <v>Continued Activity(Key deliverable- mCPR &amp; PPIUCD)
534 APHC*2 pcs + 534 PHC*2 pc + 161 FRU*2 pc +9 RTC*1 pc +76 PPIUCD training Batch @ 12 participants= Total 3379 pieces
Hence 3379 Kit is planned for 2020-21@Rs.800=27.08 lacs</v>
      </c>
      <c r="O117" s="8">
        <f>'6-A. Proc. Sub-Annex'!R24</f>
        <v>0</v>
      </c>
      <c r="P117" s="8">
        <f>'6-A. Proc. Sub-Annex'!S24</f>
        <v>0</v>
      </c>
    </row>
    <row r="118" spans="1:16" ht="191.25">
      <c r="A118" s="4" t="str">
        <f>'6-A. Proc. Sub-Annex'!B25</f>
        <v>6.1.1.3.6</v>
      </c>
      <c r="B118" s="4" t="str">
        <f>'6-A. Proc. Sub-Annex'!C25</f>
        <v>B16.1.3.6</v>
      </c>
      <c r="C118" s="4" t="str">
        <f>'6-A. Proc. Sub-Annex'!D25</f>
        <v>Any other equipment (please specify)</v>
      </c>
      <c r="D118" s="8">
        <f>'6-A. Proc. Sub-Annex'!G25</f>
        <v>6645</v>
      </c>
      <c r="E118" s="8">
        <f>'6-A. Proc. Sub-Annex'!H25</f>
        <v>800</v>
      </c>
      <c r="F118" s="8">
        <f>'6-A. Proc. Sub-Annex'!I25</f>
        <v>49.84</v>
      </c>
      <c r="G118" s="8">
        <f>'6-A. Proc. Sub-Annex'!J25</f>
        <v>6</v>
      </c>
      <c r="H118" s="8">
        <f>'6-A. Proc. Sub-Annex'!K25</f>
        <v>0</v>
      </c>
      <c r="I118" s="8" t="str">
        <f>'6-A. Proc. Sub-Annex'!L25</f>
        <v>No. Of Condom box &amp; Display Tray</v>
      </c>
      <c r="J118" s="8">
        <f>'6-A. Proc. Sub-Annex'!M25</f>
        <v>800</v>
      </c>
      <c r="K118" s="8">
        <f>'6-A. Proc. Sub-Annex'!N25</f>
        <v>8.0000000000000002E-3</v>
      </c>
      <c r="L118" s="8">
        <f>'6-A. Proc. Sub-Annex'!O25</f>
        <v>2938</v>
      </c>
      <c r="M118" s="8">
        <f>'6-A. Proc. Sub-Annex'!P25</f>
        <v>23.504000000000001</v>
      </c>
      <c r="N118" s="8" t="str">
        <f>'6-A. Proc. Sub-Annex'!Q25</f>
        <v>Continued Activity (Key deliverable- mCPR)
Condom box @Rs.500/-and contraceptive basket@Rs.300/- is to be procured.
Required Budget is : Condom BOX &amp; Contcraceptive Display tray/ basket- 3028 (161 FRUsX3 + 534 PHC*2 + 1387 APHCX1) 
The Budget proposed for the purpose is = 2938 Units *Rs.800 = Rs 23.50 LAcs</v>
      </c>
      <c r="O118" s="8">
        <f>'6-A. Proc. Sub-Annex'!R25</f>
        <v>0</v>
      </c>
      <c r="P118" s="8">
        <f>'6-A. Proc. Sub-Annex'!S25</f>
        <v>0</v>
      </c>
    </row>
    <row r="119" spans="1:16" ht="25.5">
      <c r="A119" s="4" t="str">
        <f>'6-A. Proc. Sub-Annex'!B26</f>
        <v>6.1.1.4</v>
      </c>
      <c r="B119" s="4" t="str">
        <f>'6-A. Proc. Sub-Annex'!C26</f>
        <v>B16.1.6</v>
      </c>
      <c r="C119" s="4" t="str">
        <f>'6-A. Proc. Sub-Annex'!D26</f>
        <v>Procurement of bio-medical and other equipment:  AH</v>
      </c>
      <c r="D119" s="8"/>
      <c r="E119" s="8"/>
      <c r="F119" s="8">
        <f>SUM(F120:F121)</f>
        <v>0</v>
      </c>
      <c r="G119" s="8">
        <f>SUM(G120:G121)</f>
        <v>0</v>
      </c>
      <c r="H119" s="8">
        <f>SUM(H120:H121)</f>
        <v>0</v>
      </c>
      <c r="I119" s="8"/>
      <c r="J119" s="8"/>
      <c r="K119" s="8"/>
      <c r="L119" s="8"/>
      <c r="M119" s="8">
        <f>SUM(M120:M121)</f>
        <v>0</v>
      </c>
      <c r="N119" s="8">
        <f>'6-A. Proc. Sub-Annex'!Q26</f>
        <v>0</v>
      </c>
      <c r="O119" s="8">
        <f>'6-A. Proc. Sub-Annex'!R26</f>
        <v>0</v>
      </c>
      <c r="P119" s="8">
        <f>SUM(P120:P121)</f>
        <v>0</v>
      </c>
    </row>
    <row r="120" spans="1:16" ht="25.5">
      <c r="A120" s="4" t="str">
        <f>'6-A. Proc. Sub-Annex'!B27</f>
        <v>6.1.1.4.1</v>
      </c>
      <c r="B120" s="4" t="str">
        <f>'6-A. Proc. Sub-Annex'!C27</f>
        <v>B16.1.6.1</v>
      </c>
      <c r="C120" s="4" t="str">
        <f>'6-A. Proc. Sub-Annex'!D27</f>
        <v>Equipment for AFHCs</v>
      </c>
      <c r="D120" s="8">
        <f>'6-A. Proc. Sub-Annex'!G27</f>
        <v>0</v>
      </c>
      <c r="E120" s="8">
        <f>'6-A. Proc. Sub-Annex'!H27</f>
        <v>0</v>
      </c>
      <c r="F120" s="8">
        <f>'6-A. Proc. Sub-Annex'!I27</f>
        <v>0</v>
      </c>
      <c r="G120" s="8">
        <f>'6-A. Proc. Sub-Annex'!J27</f>
        <v>0</v>
      </c>
      <c r="H120" s="8">
        <f>'6-A. Proc. Sub-Annex'!K27</f>
        <v>0</v>
      </c>
      <c r="I120" s="8">
        <f>'6-A. Proc. Sub-Annex'!L27</f>
        <v>0</v>
      </c>
      <c r="J120" s="8">
        <f>'6-A. Proc. Sub-Annex'!M27</f>
        <v>0</v>
      </c>
      <c r="K120" s="8">
        <f>'6-A. Proc. Sub-Annex'!N27</f>
        <v>0</v>
      </c>
      <c r="L120" s="8">
        <f>'6-A. Proc. Sub-Annex'!O27</f>
        <v>0</v>
      </c>
      <c r="M120" s="8">
        <f>'6-A. Proc. Sub-Annex'!P27</f>
        <v>0</v>
      </c>
      <c r="N120" s="8">
        <f>'6-A. Proc. Sub-Annex'!Q27</f>
        <v>0</v>
      </c>
      <c r="O120" s="8">
        <f>'6-A. Proc. Sub-Annex'!R27</f>
        <v>0</v>
      </c>
      <c r="P120" s="8">
        <f>'6-A. Proc. Sub-Annex'!S27</f>
        <v>0</v>
      </c>
    </row>
    <row r="121" spans="1:16" ht="25.5">
      <c r="A121" s="4" t="str">
        <f>'6-A. Proc. Sub-Annex'!B28</f>
        <v>6.1.1.4.2</v>
      </c>
      <c r="B121" s="4" t="str">
        <f>'6-A. Proc. Sub-Annex'!C28</f>
        <v>B16.1.6.2</v>
      </c>
      <c r="C121" s="4" t="str">
        <f>'6-A. Proc. Sub-Annex'!D28</f>
        <v>Any other equipment (please specify)</v>
      </c>
      <c r="D121" s="8">
        <f>'6-A. Proc. Sub-Annex'!G28</f>
        <v>0</v>
      </c>
      <c r="E121" s="8">
        <f>'6-A. Proc. Sub-Annex'!H28</f>
        <v>0</v>
      </c>
      <c r="F121" s="8">
        <f>'6-A. Proc. Sub-Annex'!I28</f>
        <v>0</v>
      </c>
      <c r="G121" s="8">
        <f>'6-A. Proc. Sub-Annex'!J28</f>
        <v>0</v>
      </c>
      <c r="H121" s="8">
        <f>'6-A. Proc. Sub-Annex'!K28</f>
        <v>0</v>
      </c>
      <c r="I121" s="8">
        <f>'6-A. Proc. Sub-Annex'!L28</f>
        <v>0</v>
      </c>
      <c r="J121" s="8">
        <f>'6-A. Proc. Sub-Annex'!M28</f>
        <v>0</v>
      </c>
      <c r="K121" s="8">
        <f>'6-A. Proc. Sub-Annex'!N28</f>
        <v>0</v>
      </c>
      <c r="L121" s="8">
        <f>'6-A. Proc. Sub-Annex'!O28</f>
        <v>0</v>
      </c>
      <c r="M121" s="8">
        <f>'6-A. Proc. Sub-Annex'!P28</f>
        <v>0</v>
      </c>
      <c r="N121" s="8">
        <f>'6-A. Proc. Sub-Annex'!Q28</f>
        <v>0</v>
      </c>
      <c r="O121" s="8">
        <f>'6-A. Proc. Sub-Annex'!R28</f>
        <v>0</v>
      </c>
      <c r="P121" s="8">
        <f>'6-A. Proc. Sub-Annex'!S28</f>
        <v>0</v>
      </c>
    </row>
    <row r="122" spans="1:16" ht="25.5">
      <c r="A122" s="4" t="str">
        <f>'6-A. Proc. Sub-Annex'!B29</f>
        <v>6.1.1.5</v>
      </c>
      <c r="B122" s="4" t="str">
        <f>'6-A. Proc. Sub-Annex'!C29</f>
        <v>B16.1.6.3</v>
      </c>
      <c r="C122" s="4" t="str">
        <f>'6-A. Proc. Sub-Annex'!D29</f>
        <v>Procurement of bio-medical and other equipment:  RBSK</v>
      </c>
      <c r="D122" s="8"/>
      <c r="E122" s="8"/>
      <c r="F122" s="8">
        <f>SUM(F123:F125)</f>
        <v>343.46999999999997</v>
      </c>
      <c r="G122" s="8">
        <f>SUM(G123:G125)</f>
        <v>0</v>
      </c>
      <c r="H122" s="8">
        <f>SUM(H123:H125)</f>
        <v>0</v>
      </c>
      <c r="I122" s="8"/>
      <c r="J122" s="8"/>
      <c r="K122" s="8"/>
      <c r="L122" s="8"/>
      <c r="M122" s="8">
        <f>SUM(M123:M125)</f>
        <v>98.52</v>
      </c>
      <c r="N122" s="8">
        <f>'6-A. Proc. Sub-Annex'!Q29</f>
        <v>0</v>
      </c>
      <c r="O122" s="8">
        <f>'6-A. Proc. Sub-Annex'!R29</f>
        <v>0</v>
      </c>
      <c r="P122" s="8">
        <f>SUM(P123:P125)</f>
        <v>0</v>
      </c>
    </row>
    <row r="123" spans="1:16" ht="89.25">
      <c r="A123" s="4" t="str">
        <f>'6-A. Proc. Sub-Annex'!B30</f>
        <v>6.1.1.5.1</v>
      </c>
      <c r="B123" s="4" t="str">
        <f>'6-A. Proc. Sub-Annex'!C30</f>
        <v>B16.1.6.3.1</v>
      </c>
      <c r="C123" s="4" t="str">
        <f>'6-A. Proc. Sub-Annex'!D30</f>
        <v xml:space="preserve">Equipment for Mobile health teams </v>
      </c>
      <c r="D123" s="8">
        <f>'6-A. Proc. Sub-Annex'!G30</f>
        <v>785</v>
      </c>
      <c r="E123" s="8">
        <f>'6-A. Proc. Sub-Annex'!H30</f>
        <v>785</v>
      </c>
      <c r="F123" s="8">
        <f>'6-A. Proc. Sub-Annex'!I30</f>
        <v>116.4</v>
      </c>
      <c r="G123" s="8">
        <f>'6-A. Proc. Sub-Annex'!J30</f>
        <v>0</v>
      </c>
      <c r="H123" s="8">
        <f>'6-A. Proc. Sub-Annex'!K30</f>
        <v>0</v>
      </c>
      <c r="I123" s="8" t="str">
        <f>'6-A. Proc. Sub-Annex'!L30</f>
        <v>Per Team amount for  repairing of Equipments</v>
      </c>
      <c r="J123" s="8">
        <f>'6-A. Proc. Sub-Annex'!M30</f>
        <v>12000</v>
      </c>
      <c r="K123" s="8">
        <f>'6-A. Proc. Sub-Annex'!N30</f>
        <v>0.12</v>
      </c>
      <c r="L123" s="8">
        <f>'6-A. Proc. Sub-Annex'!O30</f>
        <v>776</v>
      </c>
      <c r="M123" s="8">
        <f>'6-A. Proc. Sub-Annex'!P30</f>
        <v>93.11999999999999</v>
      </c>
      <c r="N123" s="8" t="str">
        <f>'6-A. Proc. Sub-Annex'!Q30</f>
        <v>Continued Activity,
For maintenance of equipment's supplied to mobile health teams @ Rs.12,000 / team x 776 existing mobile health teams = Rs. 93,12,000/-</v>
      </c>
      <c r="O123" s="8">
        <f>'6-A. Proc. Sub-Annex'!R30</f>
        <v>0</v>
      </c>
      <c r="P123" s="8">
        <f>'6-A. Proc. Sub-Annex'!S30</f>
        <v>0</v>
      </c>
    </row>
    <row r="124" spans="1:16" ht="25.5">
      <c r="A124" s="4" t="str">
        <f>'6-A. Proc. Sub-Annex'!B31</f>
        <v>6.1.1.5.2</v>
      </c>
      <c r="B124" s="4" t="str">
        <f>'6-A. Proc. Sub-Annex'!C31</f>
        <v>B16.1.6.3.2</v>
      </c>
      <c r="C124" s="4" t="str">
        <f>'6-A. Proc. Sub-Annex'!D31</f>
        <v xml:space="preserve">Equipment for DEIC </v>
      </c>
      <c r="D124" s="8">
        <f>'6-A. Proc. Sub-Annex'!G31</f>
        <v>9</v>
      </c>
      <c r="E124" s="8">
        <f>'6-A. Proc. Sub-Annex'!H31</f>
        <v>9</v>
      </c>
      <c r="F124" s="8">
        <f>'6-A. Proc. Sub-Annex'!I31</f>
        <v>221.67</v>
      </c>
      <c r="G124" s="8">
        <f>'6-A. Proc. Sub-Annex'!J31</f>
        <v>0</v>
      </c>
      <c r="H124" s="8">
        <f>'6-A. Proc. Sub-Annex'!K31</f>
        <v>0</v>
      </c>
      <c r="I124" s="8" t="str">
        <f>'6-A. Proc. Sub-Annex'!L31</f>
        <v>No. of DEICs</v>
      </c>
      <c r="J124" s="8">
        <f>'6-A. Proc. Sub-Annex'!M31</f>
        <v>0</v>
      </c>
      <c r="K124" s="8">
        <f>'6-A. Proc. Sub-Annex'!N31</f>
        <v>0</v>
      </c>
      <c r="L124" s="8">
        <f>'6-A. Proc. Sub-Annex'!O31</f>
        <v>0</v>
      </c>
      <c r="M124" s="8">
        <f>'6-A. Proc. Sub-Annex'!P31</f>
        <v>0</v>
      </c>
      <c r="N124" s="8">
        <f>'6-A. Proc. Sub-Annex'!Q31</f>
        <v>0</v>
      </c>
      <c r="O124" s="8">
        <f>'6-A. Proc. Sub-Annex'!R31</f>
        <v>0</v>
      </c>
      <c r="P124" s="8">
        <f>'6-A. Proc. Sub-Annex'!S31</f>
        <v>0</v>
      </c>
    </row>
    <row r="125" spans="1:16" ht="229.5">
      <c r="A125" s="4" t="str">
        <f>'6-A. Proc. Sub-Annex'!B34</f>
        <v>6.1.1.5.3</v>
      </c>
      <c r="B125" s="4">
        <f>'6-A. Proc. Sub-Annex'!C34</f>
        <v>0</v>
      </c>
      <c r="C125" s="4" t="str">
        <f>'6-A. Proc. Sub-Annex'!D34</f>
        <v>Any other equipment (please specify)</v>
      </c>
      <c r="D125" s="8">
        <f>'6-A. Proc. Sub-Annex'!G34</f>
        <v>9</v>
      </c>
      <c r="E125" s="8">
        <f>'6-A. Proc. Sub-Annex'!H34</f>
        <v>9</v>
      </c>
      <c r="F125" s="8">
        <f>'6-A. Proc. Sub-Annex'!I34</f>
        <v>5.4</v>
      </c>
      <c r="G125" s="8">
        <f>'6-A. Proc. Sub-Annex'!J34</f>
        <v>0</v>
      </c>
      <c r="H125" s="8">
        <f>'6-A. Proc. Sub-Annex'!K34</f>
        <v>0</v>
      </c>
      <c r="I125" s="8" t="str">
        <f>'6-A. Proc. Sub-Annex'!L34</f>
        <v>No. of Tertiary Care</v>
      </c>
      <c r="J125" s="8">
        <f>'6-A. Proc. Sub-Annex'!M34</f>
        <v>5000</v>
      </c>
      <c r="K125" s="8">
        <f>'6-A. Proc. Sub-Annex'!N34</f>
        <v>0.05</v>
      </c>
      <c r="L125" s="8">
        <f>'6-A. Proc. Sub-Annex'!O34</f>
        <v>108</v>
      </c>
      <c r="M125" s="8">
        <f>'6-A. Proc. Sub-Annex'!P34</f>
        <v>5.4</v>
      </c>
      <c r="N125" s="8" t="str">
        <f>'6-A. Proc. Sub-Annex'!Q34</f>
        <v>Continued Activity-
For proper maintenance of records of each referred patient at Tertiary Care as well as holding review meetings, non-recurring cost is required. The budget will be utilized for purchase of stationaries (paper, pen. File etc.), photocopy, cartridge, photography and other items as well as organising review meetings. Rs.5000/- per month per institution (9) is budgeted for 12 months = 5000*12*9 = Rs.5,40,000/-</v>
      </c>
      <c r="O125" s="8">
        <f>'6-A. Proc. Sub-Annex'!R34</f>
        <v>0</v>
      </c>
      <c r="P125" s="8">
        <f>'6-A. Proc. Sub-Annex'!S34</f>
        <v>0</v>
      </c>
    </row>
    <row r="126" spans="1:16" ht="25.5">
      <c r="A126" s="4" t="str">
        <f>'6-A. Proc. Sub-Annex'!B38</f>
        <v>6.1.1.6</v>
      </c>
      <c r="B126" s="4">
        <f>'6-A. Proc. Sub-Annex'!C38</f>
        <v>0</v>
      </c>
      <c r="C126" s="4" t="str">
        <f>'6-A. Proc. Sub-Annex'!D38</f>
        <v>Procurement of bio-medical and other equipment: NIDDCP</v>
      </c>
      <c r="D126" s="8"/>
      <c r="E126" s="8"/>
      <c r="F126" s="8">
        <f>SUM(F127:F128)</f>
        <v>0</v>
      </c>
      <c r="G126" s="8">
        <f>SUM(G127:G128)</f>
        <v>0</v>
      </c>
      <c r="H126" s="8">
        <f>SUM(H127:H128)</f>
        <v>0</v>
      </c>
      <c r="I126" s="8"/>
      <c r="J126" s="8"/>
      <c r="K126" s="8"/>
      <c r="L126" s="8"/>
      <c r="M126" s="8">
        <f>SUM(M127:M128)</f>
        <v>2.5</v>
      </c>
      <c r="N126" s="8">
        <f>'6-A. Proc. Sub-Annex'!Q38</f>
        <v>0</v>
      </c>
      <c r="O126" s="8">
        <f>'6-A. Proc. Sub-Annex'!R38</f>
        <v>0</v>
      </c>
      <c r="P126" s="8">
        <f>SUM(P127:P128)</f>
        <v>0</v>
      </c>
    </row>
    <row r="127" spans="1:16" ht="204">
      <c r="A127" s="4" t="str">
        <f>'6-A. Proc. Sub-Annex'!B39</f>
        <v>6.1.1.6.1</v>
      </c>
      <c r="B127" s="4">
        <f>'6-A. Proc. Sub-Annex'!C39</f>
        <v>0</v>
      </c>
      <c r="C127" s="4" t="str">
        <f>'6-A. Proc. Sub-Annex'!D39</f>
        <v>Procurement of lab equipment</v>
      </c>
      <c r="D127" s="8">
        <f>'6-A. Proc. Sub-Annex'!G39</f>
        <v>0</v>
      </c>
      <c r="E127" s="8">
        <f>'6-A. Proc. Sub-Annex'!H39</f>
        <v>0</v>
      </c>
      <c r="F127" s="8">
        <f>'6-A. Proc. Sub-Annex'!I39</f>
        <v>0</v>
      </c>
      <c r="G127" s="8">
        <f>'6-A. Proc. Sub-Annex'!J39</f>
        <v>0</v>
      </c>
      <c r="H127" s="8">
        <f>'6-A. Proc. Sub-Annex'!K39</f>
        <v>0</v>
      </c>
      <c r="I127" s="8" t="str">
        <f>'6-A. Proc. Sub-Annex'!L39</f>
        <v>Per lab</v>
      </c>
      <c r="J127" s="8">
        <f>'6-A. Proc. Sub-Annex'!M39</f>
        <v>250000</v>
      </c>
      <c r="K127" s="8">
        <f>'6-A. Proc. Sub-Annex'!N39</f>
        <v>2.5</v>
      </c>
      <c r="L127" s="8">
        <f>'6-A. Proc. Sub-Annex'!O39</f>
        <v>1</v>
      </c>
      <c r="M127" s="8">
        <f>'6-A. Proc. Sub-Annex'!P39</f>
        <v>2.5</v>
      </c>
      <c r="N127" s="8" t="str">
        <f>'6-A. Proc. Sub-Annex'!Q39</f>
        <v xml:space="preserve">    NEW  Activity- For the running of UIE lab need to procure equipment. Fund Calculation Electronic Weighing Machines- Rs. 25,000, Digital Colorimeter- Rs.15000, Micropipate-Rs. 30000 , Water Bath- Rs.25000, Hot Air oven-Rs. 40000, Auto Buratte-Rs. 20000, Distillation Plant- Rs.50000 , Magnatic Stirrer- Rs.15000 and misclenious 30000 Total Budget-2,50,000
</v>
      </c>
      <c r="O127" s="8">
        <f>'6-A. Proc. Sub-Annex'!R39</f>
        <v>0</v>
      </c>
      <c r="P127" s="8">
        <f>'6-A. Proc. Sub-Annex'!S39</f>
        <v>0</v>
      </c>
    </row>
    <row r="128" spans="1:16" ht="25.5">
      <c r="A128" s="4" t="str">
        <f>'6-A. Proc. Sub-Annex'!B40</f>
        <v>6.1.1.6.2</v>
      </c>
      <c r="B128" s="4">
        <f>'6-A. Proc. Sub-Annex'!C40</f>
        <v>0</v>
      </c>
      <c r="C128" s="4" t="str">
        <f>'6-A. Proc. Sub-Annex'!D40</f>
        <v>Any other equipment (please specify)</v>
      </c>
      <c r="D128" s="8">
        <f>'6-A. Proc. Sub-Annex'!G40</f>
        <v>0</v>
      </c>
      <c r="E128" s="8">
        <f>'6-A. Proc. Sub-Annex'!H40</f>
        <v>0</v>
      </c>
      <c r="F128" s="8">
        <f>'6-A. Proc. Sub-Annex'!I40</f>
        <v>0</v>
      </c>
      <c r="G128" s="8">
        <f>'6-A. Proc. Sub-Annex'!J40</f>
        <v>0</v>
      </c>
      <c r="H128" s="8">
        <f>'6-A. Proc. Sub-Annex'!K40</f>
        <v>0</v>
      </c>
      <c r="I128" s="8">
        <f>'6-A. Proc. Sub-Annex'!L40</f>
        <v>0</v>
      </c>
      <c r="J128" s="8">
        <f>'6-A. Proc. Sub-Annex'!M40</f>
        <v>0</v>
      </c>
      <c r="K128" s="8">
        <f>'6-A. Proc. Sub-Annex'!N40</f>
        <v>0</v>
      </c>
      <c r="L128" s="8">
        <f>'6-A. Proc. Sub-Annex'!O40</f>
        <v>0</v>
      </c>
      <c r="M128" s="8">
        <f>'6-A. Proc. Sub-Annex'!P40</f>
        <v>0</v>
      </c>
      <c r="N128" s="8">
        <f>'6-A. Proc. Sub-Annex'!Q40</f>
        <v>0</v>
      </c>
      <c r="O128" s="8">
        <f>'6-A. Proc. Sub-Annex'!R40</f>
        <v>0</v>
      </c>
      <c r="P128" s="8">
        <f>'6-A. Proc. Sub-Annex'!S40</f>
        <v>0</v>
      </c>
    </row>
    <row r="129" spans="1:16" ht="25.5">
      <c r="A129" s="4" t="str">
        <f>'6-A. Proc. Sub-Annex'!B42</f>
        <v>6.1.1.7</v>
      </c>
      <c r="B129" s="4" t="str">
        <f>'6-A. Proc. Sub-Annex'!C42</f>
        <v>B16.1.7</v>
      </c>
      <c r="C129" s="4" t="str">
        <f>'6-A. Proc. Sub-Annex'!D42</f>
        <v xml:space="preserve">Procurement of bio-medical and other equipment: Training </v>
      </c>
      <c r="D129" s="8"/>
      <c r="E129" s="8"/>
      <c r="F129" s="8">
        <f>SUM(F130:F134)</f>
        <v>0</v>
      </c>
      <c r="G129" s="8">
        <f>SUM(G130:G134)</f>
        <v>0</v>
      </c>
      <c r="H129" s="8">
        <f>SUM(H130:H134)</f>
        <v>0</v>
      </c>
      <c r="I129" s="8"/>
      <c r="J129" s="8"/>
      <c r="K129" s="8"/>
      <c r="L129" s="8"/>
      <c r="M129" s="8">
        <f>SUM(M130:M134)</f>
        <v>410</v>
      </c>
      <c r="N129" s="8">
        <f>'6-A. Proc. Sub-Annex'!Q42</f>
        <v>0</v>
      </c>
      <c r="O129" s="8">
        <f>'6-A. Proc. Sub-Annex'!R42</f>
        <v>0</v>
      </c>
      <c r="P129" s="8">
        <f>SUM(P130:P134)</f>
        <v>0</v>
      </c>
    </row>
    <row r="130" spans="1:16" ht="25.5">
      <c r="A130" s="4" t="str">
        <f>'6-A. Proc. Sub-Annex'!B43</f>
        <v>6.1.1.7.1</v>
      </c>
      <c r="B130" s="4" t="str">
        <f>'6-A. Proc. Sub-Annex'!C43</f>
        <v>B3.3</v>
      </c>
      <c r="C130" s="4" t="str">
        <f>'6-A. Proc. Sub-Annex'!D43</f>
        <v>Equipment for Rollout of B.Sc. (Community Health)</v>
      </c>
      <c r="D130" s="8">
        <f>'6-A. Proc. Sub-Annex'!G43</f>
        <v>0</v>
      </c>
      <c r="E130" s="8">
        <f>'6-A. Proc. Sub-Annex'!H43</f>
        <v>0</v>
      </c>
      <c r="F130" s="8">
        <f>'6-A. Proc. Sub-Annex'!I43</f>
        <v>0</v>
      </c>
      <c r="G130" s="8">
        <f>'6-A. Proc. Sub-Annex'!J43</f>
        <v>0</v>
      </c>
      <c r="H130" s="8">
        <f>'6-A. Proc. Sub-Annex'!K43</f>
        <v>0</v>
      </c>
      <c r="I130" s="8">
        <f>'6-A. Proc. Sub-Annex'!L43</f>
        <v>0</v>
      </c>
      <c r="J130" s="8">
        <f>'6-A. Proc. Sub-Annex'!M43</f>
        <v>0</v>
      </c>
      <c r="K130" s="8">
        <f>'6-A. Proc. Sub-Annex'!N43</f>
        <v>0</v>
      </c>
      <c r="L130" s="8">
        <f>'6-A. Proc. Sub-Annex'!O43</f>
        <v>0</v>
      </c>
      <c r="M130" s="8">
        <f>'6-A. Proc. Sub-Annex'!P43</f>
        <v>0</v>
      </c>
      <c r="N130" s="8">
        <f>'6-A. Proc. Sub-Annex'!Q43</f>
        <v>0</v>
      </c>
      <c r="O130" s="8">
        <f>'6-A. Proc. Sub-Annex'!R43</f>
        <v>0</v>
      </c>
      <c r="P130" s="8">
        <f>'6-A. Proc. Sub-Annex'!S43</f>
        <v>0</v>
      </c>
    </row>
    <row r="131" spans="1:16" ht="25.5">
      <c r="A131" s="4" t="str">
        <f>'6-A. Proc. Sub-Annex'!B44</f>
        <v>6.1.1.7.2</v>
      </c>
      <c r="B131" s="4" t="str">
        <f>'6-A. Proc. Sub-Annex'!C44</f>
        <v>B16.1.7</v>
      </c>
      <c r="C131" s="4" t="str">
        <f>'6-A. Proc. Sub-Annex'!D44</f>
        <v xml:space="preserve">Equipment and mannequin </v>
      </c>
      <c r="D131" s="8">
        <f>'6-A. Proc. Sub-Annex'!G44</f>
        <v>0</v>
      </c>
      <c r="E131" s="8">
        <f>'6-A. Proc. Sub-Annex'!H44</f>
        <v>0</v>
      </c>
      <c r="F131" s="8">
        <f>'6-A. Proc. Sub-Annex'!I44</f>
        <v>0</v>
      </c>
      <c r="G131" s="8">
        <f>'6-A. Proc. Sub-Annex'!J44</f>
        <v>0</v>
      </c>
      <c r="H131" s="8">
        <f>'6-A. Proc. Sub-Annex'!K44</f>
        <v>0</v>
      </c>
      <c r="I131" s="8">
        <f>'6-A. Proc. Sub-Annex'!L44</f>
        <v>0</v>
      </c>
      <c r="J131" s="8">
        <f>'6-A. Proc. Sub-Annex'!M44</f>
        <v>0</v>
      </c>
      <c r="K131" s="8">
        <f>'6-A. Proc. Sub-Annex'!N44</f>
        <v>0</v>
      </c>
      <c r="L131" s="8">
        <f>'6-A. Proc. Sub-Annex'!O44</f>
        <v>0</v>
      </c>
      <c r="M131" s="8">
        <f>'6-A. Proc. Sub-Annex'!P44</f>
        <v>0</v>
      </c>
      <c r="N131" s="8">
        <f>'6-A. Proc. Sub-Annex'!Q44</f>
        <v>0</v>
      </c>
      <c r="O131" s="8">
        <f>'6-A. Proc. Sub-Annex'!R44</f>
        <v>0</v>
      </c>
      <c r="P131" s="8">
        <f>'6-A. Proc. Sub-Annex'!S44</f>
        <v>0</v>
      </c>
    </row>
    <row r="132" spans="1:16" ht="25.5">
      <c r="A132" s="4" t="str">
        <f>'6-A. Proc. Sub-Annex'!B11</f>
        <v>6.1.1.7.3</v>
      </c>
      <c r="B132" s="4" t="str">
        <f>'6-A. Proc. Sub-Annex'!C11</f>
        <v>B16.1.7/ A.9.1.2.2</v>
      </c>
      <c r="C132" s="4" t="str">
        <f>'6-A. Proc. Sub-Annex'!D11</f>
        <v>Models and Equipment for DAKSHATA training</v>
      </c>
      <c r="D132" s="8">
        <f>'6-A. Proc. Sub-Annex'!G11</f>
        <v>0</v>
      </c>
      <c r="E132" s="8">
        <f>'6-A. Proc. Sub-Annex'!H11</f>
        <v>0</v>
      </c>
      <c r="F132" s="8">
        <f>'6-A. Proc. Sub-Annex'!I11</f>
        <v>0</v>
      </c>
      <c r="G132" s="8">
        <f>'6-A. Proc. Sub-Annex'!J11</f>
        <v>0</v>
      </c>
      <c r="H132" s="8">
        <f>'6-A. Proc. Sub-Annex'!K11</f>
        <v>0</v>
      </c>
      <c r="I132" s="8">
        <f>'6-A. Proc. Sub-Annex'!L11</f>
        <v>0</v>
      </c>
      <c r="J132" s="8">
        <f>'6-A. Proc. Sub-Annex'!M11</f>
        <v>0</v>
      </c>
      <c r="K132" s="8">
        <f>'6-A. Proc. Sub-Annex'!N11</f>
        <v>0</v>
      </c>
      <c r="L132" s="8">
        <f>'6-A. Proc. Sub-Annex'!O11</f>
        <v>0</v>
      </c>
      <c r="M132" s="8">
        <f>'6-A. Proc. Sub-Annex'!P11</f>
        <v>0</v>
      </c>
      <c r="N132" s="8">
        <f>'6-A. Proc. Sub-Annex'!Q11</f>
        <v>0</v>
      </c>
      <c r="O132" s="8">
        <f>'6-A. Proc. Sub-Annex'!R11</f>
        <v>0</v>
      </c>
      <c r="P132" s="8">
        <f>'6-A. Proc. Sub-Annex'!S11</f>
        <v>0</v>
      </c>
    </row>
    <row r="133" spans="1:16" ht="409.5">
      <c r="A133" s="4" t="str">
        <f>'6-A. Proc. Sub-Annex'!B45</f>
        <v>6.1.1.7.4</v>
      </c>
      <c r="B133" s="4" t="str">
        <f>'6-A. Proc. Sub-Annex'!C45</f>
        <v>B16.1.7/ A.9.10.1</v>
      </c>
      <c r="C133" s="4" t="str">
        <f>'6-A. Proc. Sub-Annex'!D45</f>
        <v>Equipment for nursing schools/institutions</v>
      </c>
      <c r="D133" s="8">
        <f>'6-A. Proc. Sub-Annex'!G45</f>
        <v>0</v>
      </c>
      <c r="E133" s="8">
        <f>'6-A. Proc. Sub-Annex'!H45</f>
        <v>0</v>
      </c>
      <c r="F133" s="8">
        <f>'6-A. Proc. Sub-Annex'!I45</f>
        <v>0</v>
      </c>
      <c r="G133" s="8">
        <f>'6-A. Proc. Sub-Annex'!J45</f>
        <v>0</v>
      </c>
      <c r="H133" s="8">
        <f>'6-A. Proc. Sub-Annex'!K45</f>
        <v>0</v>
      </c>
      <c r="I133" s="8" t="str">
        <f>'6-A. Proc. Sub-Annex'!L45</f>
        <v>No. of ANM/GNM School</v>
      </c>
      <c r="J133" s="8">
        <f>'6-A. Proc. Sub-Annex'!M45</f>
        <v>5125000</v>
      </c>
      <c r="K133" s="8">
        <f>'6-A. Proc. Sub-Annex'!N45</f>
        <v>51.25</v>
      </c>
      <c r="L133" s="8">
        <f>'6-A. Proc. Sub-Annex'!O45</f>
        <v>8</v>
      </c>
      <c r="M133" s="8">
        <f>'6-A. Proc. Sub-Annex'!P45</f>
        <v>410</v>
      </c>
      <c r="N133" s="8" t="str">
        <f>'6-A. Proc. Sub-Annex'!Q45</f>
        <v xml:space="preserve">Continued activity: Establishment of Skills Lab, Library, IT Lab and Other Labs (Nursing Foundation Lab, Community Health Nursing Lab, Nutrition Lab, Pre-Clinical Lab) in Newly Established and functional 1 ANM School, Jale, Darbhanga and 7 GNM School, Banka, Jehanabad, Rohtas (Sasaram), Saharsa, Sheikhpura, Buxar, West Champaran (Betia).
As per “Revised Operational Guidelines 2017 – Strengthening Pre-Service Education for Nursing Midwifery Cadre In India” per unit cost for Labs as follows-
ANM School (Per Unit Cost)
(1) Skills Lab @ Rs. 23,00,000/-
(2) Library including GoI guideline @ Rs. 2,50,000/-
(3) Computer Lab @ Rs. 4,00,000/-
(4) Nursing Foundation Lab @ Rs. 8,00,000/-
(5) Community Health Nursing Lab @ Rs. 2,00,000/-
(6) Nutrition Lab @ Rs. 1,50,000/-
(7) Pre-Clinical Lab @ Rs. 1,50,000/-
Total – 23,00,000 + 2,50,000 + 4,00,000 + 8,00,000 + 2,00,000 + 1,50,000 + 1,50,000 = Rs. 42,50,000/-
GNM School (Per Unit Cost)
(1) Skills Lab @ Rs. 27,00,000/-
(2) Library including GoI guideline @ Rs. 7,50,000/-
(3) Computer Lab @ Rs. 5,00,000/-
(4) Nursing Foundation Lab @ Rs. 8,00,000/-
(5) Community Health Nursing Lab @ Rs. 2,00,000/-
(6) Nutrition Lab @ Rs. 1,50,000/-
(7) Pre-Clinical Lab @ Rs. 1,50,000/-
Total – 27,00,000 + 7,50,000 + 5,00,000 + 8,00,000 + 2,00,000 + 1,50,000 + 1,50,000 = Rs.52,50,000/-
Fund Required – (Rs. 42,50,000 x 1 ANM School) + (52,50,000 x 7 GNM School)
Total Proposed Amount- 42,50,000 + 3,67,50,000 = Rs. 4,10,00,000/-
</v>
      </c>
      <c r="O133" s="8">
        <f>'6-A. Proc. Sub-Annex'!R45</f>
        <v>0</v>
      </c>
      <c r="P133" s="8">
        <f>'6-A. Proc. Sub-Annex'!S45</f>
        <v>0</v>
      </c>
    </row>
    <row r="134" spans="1:16" ht="25.5">
      <c r="A134" s="4" t="str">
        <f>'6-A. Proc. Sub-Annex'!B46</f>
        <v>6.1.1.7.5</v>
      </c>
      <c r="B134" s="4">
        <f>'6-A. Proc. Sub-Annex'!C46</f>
        <v>0</v>
      </c>
      <c r="C134" s="4" t="str">
        <f>'6-A. Proc. Sub-Annex'!D46</f>
        <v>Any other equipment (please specify)</v>
      </c>
      <c r="D134" s="8">
        <f>'6-A. Proc. Sub-Annex'!G46</f>
        <v>0</v>
      </c>
      <c r="E134" s="8">
        <f>'6-A. Proc. Sub-Annex'!H46</f>
        <v>0</v>
      </c>
      <c r="F134" s="8">
        <f>'6-A. Proc. Sub-Annex'!I46</f>
        <v>0</v>
      </c>
      <c r="G134" s="8">
        <f>'6-A. Proc. Sub-Annex'!J46</f>
        <v>0</v>
      </c>
      <c r="H134" s="8">
        <f>'6-A. Proc. Sub-Annex'!K46</f>
        <v>0</v>
      </c>
      <c r="I134" s="8">
        <f>'6-A. Proc. Sub-Annex'!L46</f>
        <v>0</v>
      </c>
      <c r="J134" s="8">
        <f>'6-A. Proc. Sub-Annex'!M46</f>
        <v>0</v>
      </c>
      <c r="K134" s="8">
        <f>'6-A. Proc. Sub-Annex'!N46</f>
        <v>0</v>
      </c>
      <c r="L134" s="8">
        <f>'6-A. Proc. Sub-Annex'!O46</f>
        <v>0</v>
      </c>
      <c r="M134" s="8">
        <f>'6-A. Proc. Sub-Annex'!P46</f>
        <v>0</v>
      </c>
      <c r="N134" s="8">
        <f>'6-A. Proc. Sub-Annex'!Q46</f>
        <v>0</v>
      </c>
      <c r="O134" s="8">
        <f>'6-A. Proc. Sub-Annex'!R46</f>
        <v>0</v>
      </c>
      <c r="P134" s="8">
        <f>'6-A. Proc. Sub-Annex'!S46</f>
        <v>0</v>
      </c>
    </row>
    <row r="135" spans="1:16" ht="25.5">
      <c r="A135" s="4" t="str">
        <f>'6-A. Proc. Sub-Annex'!B47</f>
        <v>6.1.1.8</v>
      </c>
      <c r="B135" s="4" t="str">
        <f>'6-A. Proc. Sub-Annex'!C47</f>
        <v>B16.1.8</v>
      </c>
      <c r="C135" s="4" t="str">
        <f>'6-A. Proc. Sub-Annex'!D47</f>
        <v>Procurement of bio-medical and other equipment: AYUSH</v>
      </c>
      <c r="D135" s="8"/>
      <c r="E135" s="8"/>
      <c r="F135" s="8">
        <f>SUM(F136:F137)</f>
        <v>0</v>
      </c>
      <c r="G135" s="8">
        <f>SUM(G136:G137)</f>
        <v>0</v>
      </c>
      <c r="H135" s="8">
        <f>SUM(H136:H137)</f>
        <v>0</v>
      </c>
      <c r="I135" s="8"/>
      <c r="J135" s="8"/>
      <c r="K135" s="8"/>
      <c r="L135" s="8"/>
      <c r="M135" s="8">
        <f>SUM(M136:M137)</f>
        <v>0</v>
      </c>
      <c r="N135" s="8">
        <f>'6-A. Proc. Sub-Annex'!Q47</f>
        <v>0</v>
      </c>
      <c r="O135" s="8">
        <f>'6-A. Proc. Sub-Annex'!R47</f>
        <v>0</v>
      </c>
      <c r="P135" s="8">
        <f>SUM(P136:P137)</f>
        <v>0</v>
      </c>
    </row>
    <row r="136" spans="1:16" ht="25.5">
      <c r="A136" s="4" t="str">
        <f>'6-A. Proc. Sub-Annex'!B48</f>
        <v>6.1.1.8.1</v>
      </c>
      <c r="B136" s="4">
        <f>'6-A. Proc. Sub-Annex'!C48</f>
        <v>0</v>
      </c>
      <c r="C136" s="4" t="str">
        <f>'6-A. Proc. Sub-Annex'!D48</f>
        <v>Procurement of bio-medical and other equipment: AYUSH</v>
      </c>
      <c r="D136" s="8">
        <f>'6-A. Proc. Sub-Annex'!G48</f>
        <v>0</v>
      </c>
      <c r="E136" s="8">
        <f>'6-A. Proc. Sub-Annex'!H48</f>
        <v>0</v>
      </c>
      <c r="F136" s="8">
        <f>'6-A. Proc. Sub-Annex'!I48</f>
        <v>0</v>
      </c>
      <c r="G136" s="8">
        <f>'6-A. Proc. Sub-Annex'!J48</f>
        <v>0</v>
      </c>
      <c r="H136" s="8">
        <f>'6-A. Proc. Sub-Annex'!K48</f>
        <v>0</v>
      </c>
      <c r="I136" s="8">
        <f>'6-A. Proc. Sub-Annex'!L48</f>
        <v>0</v>
      </c>
      <c r="J136" s="8">
        <f>'6-A. Proc. Sub-Annex'!M48</f>
        <v>0</v>
      </c>
      <c r="K136" s="8">
        <f>'6-A. Proc. Sub-Annex'!N48</f>
        <v>0</v>
      </c>
      <c r="L136" s="8">
        <f>'6-A. Proc. Sub-Annex'!O48</f>
        <v>0</v>
      </c>
      <c r="M136" s="8">
        <f>'6-A. Proc. Sub-Annex'!P48</f>
        <v>0</v>
      </c>
      <c r="N136" s="8">
        <f>'6-A. Proc. Sub-Annex'!Q48</f>
        <v>0</v>
      </c>
      <c r="O136" s="8">
        <f>'6-A. Proc. Sub-Annex'!R48</f>
        <v>0</v>
      </c>
      <c r="P136" s="8">
        <f>'6-A. Proc. Sub-Annex'!S48</f>
        <v>0</v>
      </c>
    </row>
    <row r="137" spans="1:16" ht="25.5">
      <c r="A137" s="4" t="str">
        <f>'6-A. Proc. Sub-Annex'!B49</f>
        <v>6.1.1.8.2</v>
      </c>
      <c r="B137" s="4">
        <f>'6-A. Proc. Sub-Annex'!C49</f>
        <v>0</v>
      </c>
      <c r="C137" s="4" t="str">
        <f>'6-A. Proc. Sub-Annex'!D49</f>
        <v>Any other</v>
      </c>
      <c r="D137" s="8">
        <f>'6-A. Proc. Sub-Annex'!G49</f>
        <v>0</v>
      </c>
      <c r="E137" s="8">
        <f>'6-A. Proc. Sub-Annex'!H49</f>
        <v>0</v>
      </c>
      <c r="F137" s="8">
        <f>'6-A. Proc. Sub-Annex'!I49</f>
        <v>0</v>
      </c>
      <c r="G137" s="8">
        <f>'6-A. Proc. Sub-Annex'!J49</f>
        <v>0</v>
      </c>
      <c r="H137" s="8">
        <f>'6-A. Proc. Sub-Annex'!K49</f>
        <v>0</v>
      </c>
      <c r="I137" s="8">
        <f>'6-A. Proc. Sub-Annex'!L49</f>
        <v>0</v>
      </c>
      <c r="J137" s="8">
        <f>'6-A. Proc. Sub-Annex'!M49</f>
        <v>0</v>
      </c>
      <c r="K137" s="8">
        <f>'6-A. Proc. Sub-Annex'!N49</f>
        <v>0</v>
      </c>
      <c r="L137" s="8">
        <f>'6-A. Proc. Sub-Annex'!O49</f>
        <v>0</v>
      </c>
      <c r="M137" s="8">
        <f>'6-A. Proc. Sub-Annex'!P49</f>
        <v>0</v>
      </c>
      <c r="N137" s="8">
        <f>'6-A. Proc. Sub-Annex'!Q49</f>
        <v>0</v>
      </c>
      <c r="O137" s="8">
        <f>'6-A. Proc. Sub-Annex'!R49</f>
        <v>0</v>
      </c>
      <c r="P137" s="8">
        <f>'6-A. Proc. Sub-Annex'!S49</f>
        <v>0</v>
      </c>
    </row>
    <row r="138" spans="1:16" ht="25.5">
      <c r="A138" s="4" t="str">
        <f>'6-A. Proc. Sub-Annex'!B50</f>
        <v>6.1.1.9</v>
      </c>
      <c r="B138" s="4" t="str">
        <f>'6-A. Proc. Sub-Annex'!C50</f>
        <v>B16.1.1.1</v>
      </c>
      <c r="C138" s="4" t="str">
        <f>'6-A. Proc. Sub-Annex'!D50</f>
        <v>Procurement of bio-medical and other equipment: Blood Banks/BSUs</v>
      </c>
      <c r="D138" s="8"/>
      <c r="E138" s="8"/>
      <c r="F138" s="8">
        <f>SUM(F139:F140)</f>
        <v>0</v>
      </c>
      <c r="G138" s="8">
        <f>SUM(G139:G140)</f>
        <v>0</v>
      </c>
      <c r="H138" s="8">
        <f>SUM(H139:H140)</f>
        <v>0</v>
      </c>
      <c r="I138" s="8"/>
      <c r="J138" s="8"/>
      <c r="K138" s="8"/>
      <c r="L138" s="8"/>
      <c r="M138" s="8">
        <f>SUM(M139:M140)</f>
        <v>0</v>
      </c>
      <c r="N138" s="8">
        <f>'6-A. Proc. Sub-Annex'!Q50</f>
        <v>0</v>
      </c>
      <c r="O138" s="8">
        <f>'6-A. Proc. Sub-Annex'!R50</f>
        <v>0</v>
      </c>
      <c r="P138" s="8">
        <f>SUM(P139:P140)</f>
        <v>0</v>
      </c>
    </row>
    <row r="139" spans="1:16" ht="25.5">
      <c r="A139" s="4" t="str">
        <f>'6-A. Proc. Sub-Annex'!B51</f>
        <v>6.1.1.9.1</v>
      </c>
      <c r="B139" s="4">
        <f>'6-A. Proc. Sub-Annex'!C51</f>
        <v>0</v>
      </c>
      <c r="C139" s="4" t="str">
        <f>'6-A. Proc. Sub-Annex'!D51</f>
        <v>Equipment for Blood Banks/BSU/BCSU</v>
      </c>
      <c r="D139" s="8">
        <f>'6-A. Proc. Sub-Annex'!G51</f>
        <v>0</v>
      </c>
      <c r="E139" s="8">
        <f>'6-A. Proc. Sub-Annex'!H51</f>
        <v>0</v>
      </c>
      <c r="F139" s="8">
        <f>'6-A. Proc. Sub-Annex'!I51</f>
        <v>0</v>
      </c>
      <c r="G139" s="8">
        <f>'6-A. Proc. Sub-Annex'!J51</f>
        <v>0</v>
      </c>
      <c r="H139" s="8">
        <f>'6-A. Proc. Sub-Annex'!K51</f>
        <v>0</v>
      </c>
      <c r="I139" s="8">
        <f>'6-A. Proc. Sub-Annex'!L51</f>
        <v>0</v>
      </c>
      <c r="J139" s="8">
        <f>'6-A. Proc. Sub-Annex'!M51</f>
        <v>0</v>
      </c>
      <c r="K139" s="8">
        <f>'6-A. Proc. Sub-Annex'!N51</f>
        <v>0</v>
      </c>
      <c r="L139" s="8">
        <f>'6-A. Proc. Sub-Annex'!O51</f>
        <v>0</v>
      </c>
      <c r="M139" s="8">
        <f>'6-A. Proc. Sub-Annex'!P51</f>
        <v>0</v>
      </c>
      <c r="N139" s="8">
        <f>'6-A. Proc. Sub-Annex'!Q51</f>
        <v>0</v>
      </c>
      <c r="O139" s="8">
        <f>'6-A. Proc. Sub-Annex'!R51</f>
        <v>0</v>
      </c>
      <c r="P139" s="8">
        <f>'6-A. Proc. Sub-Annex'!S51</f>
        <v>0</v>
      </c>
    </row>
    <row r="140" spans="1:16" ht="25.5">
      <c r="A140" s="4" t="str">
        <f>'6-A. Proc. Sub-Annex'!B52</f>
        <v>6.1.1.9.2</v>
      </c>
      <c r="B140" s="4">
        <f>'6-A. Proc. Sub-Annex'!C52</f>
        <v>0</v>
      </c>
      <c r="C140" s="4" t="str">
        <f>'6-A. Proc. Sub-Annex'!D52</f>
        <v>Equipment for Day Care Centre</v>
      </c>
      <c r="D140" s="8">
        <f>'6-A. Proc. Sub-Annex'!G52</f>
        <v>0</v>
      </c>
      <c r="E140" s="8">
        <f>'6-A. Proc. Sub-Annex'!H52</f>
        <v>0</v>
      </c>
      <c r="F140" s="8">
        <f>'6-A. Proc. Sub-Annex'!I52</f>
        <v>0</v>
      </c>
      <c r="G140" s="8">
        <f>'6-A. Proc. Sub-Annex'!J52</f>
        <v>0</v>
      </c>
      <c r="H140" s="8">
        <f>'6-A. Proc. Sub-Annex'!K52</f>
        <v>0</v>
      </c>
      <c r="I140" s="8">
        <f>'6-A. Proc. Sub-Annex'!L52</f>
        <v>0</v>
      </c>
      <c r="J140" s="8">
        <f>'6-A. Proc. Sub-Annex'!M52</f>
        <v>0</v>
      </c>
      <c r="K140" s="8">
        <f>'6-A. Proc. Sub-Annex'!N52</f>
        <v>0</v>
      </c>
      <c r="L140" s="8">
        <f>'6-A. Proc. Sub-Annex'!O52</f>
        <v>0</v>
      </c>
      <c r="M140" s="8">
        <f>'6-A. Proc. Sub-Annex'!P52</f>
        <v>0</v>
      </c>
      <c r="N140" s="8">
        <f>'6-A. Proc. Sub-Annex'!Q52</f>
        <v>0</v>
      </c>
      <c r="O140" s="8">
        <f>'6-A. Proc. Sub-Annex'!R52</f>
        <v>0</v>
      </c>
      <c r="P140" s="8">
        <f>'6-A. Proc. Sub-Annex'!S52</f>
        <v>0</v>
      </c>
    </row>
    <row r="141" spans="1:16">
      <c r="A141" s="4" t="str">
        <f>'6-A. Proc. Sub-Annex'!B53</f>
        <v>6.1.1.10</v>
      </c>
      <c r="B141" s="4" t="str">
        <f>'6-A. Proc. Sub-Annex'!C53</f>
        <v>B16.1.4</v>
      </c>
      <c r="C141" s="4" t="str">
        <f>'6-A. Proc. Sub-Annex'!D53</f>
        <v>Procurement of equipment: IMEP</v>
      </c>
      <c r="D141" s="8"/>
      <c r="E141" s="8"/>
      <c r="F141" s="8">
        <f>SUM(F142:F143)</f>
        <v>0</v>
      </c>
      <c r="G141" s="8">
        <f>SUM(G142:G143)</f>
        <v>0</v>
      </c>
      <c r="H141" s="8">
        <f>SUM(H142:H143)</f>
        <v>0</v>
      </c>
      <c r="I141" s="8"/>
      <c r="J141" s="8"/>
      <c r="K141" s="8"/>
      <c r="L141" s="8"/>
      <c r="M141" s="8">
        <f>SUM(M142:M143)</f>
        <v>1578</v>
      </c>
      <c r="N141" s="8">
        <f>'6-A. Proc. Sub-Annex'!Q53</f>
        <v>0</v>
      </c>
      <c r="O141" s="8">
        <f>'6-A. Proc. Sub-Annex'!R53</f>
        <v>0</v>
      </c>
      <c r="P141" s="8">
        <f>SUM(P142:P143)</f>
        <v>0</v>
      </c>
    </row>
    <row r="142" spans="1:16" ht="140.25">
      <c r="A142" s="4" t="str">
        <f>'6-A. Proc. Sub-Annex'!B36</f>
        <v>6.1.1.10.1</v>
      </c>
      <c r="B142" s="4" t="str">
        <f>'6-A. Proc. Sub-Annex'!C36</f>
        <v>C.1.o</v>
      </c>
      <c r="C142" s="4" t="str">
        <f>'6-A. Proc. Sub-Annex'!D36</f>
        <v>Hub Cutter</v>
      </c>
      <c r="D142" s="8">
        <f>'6-A. Proc. Sub-Annex'!G36</f>
        <v>12422</v>
      </c>
      <c r="E142" s="8">
        <f>'6-A. Proc. Sub-Annex'!H36</f>
        <v>0</v>
      </c>
      <c r="F142" s="8">
        <f>'6-A. Proc. Sub-Annex'!I36</f>
        <v>0</v>
      </c>
      <c r="G142" s="8">
        <f>'6-A. Proc. Sub-Annex'!J36</f>
        <v>0</v>
      </c>
      <c r="H142" s="8">
        <f>'6-A. Proc. Sub-Annex'!K36</f>
        <v>0</v>
      </c>
      <c r="I142" s="8" t="str">
        <f>'6-A. Proc. Sub-Annex'!L36</f>
        <v>Hub Cutter for session site</v>
      </c>
      <c r="J142" s="8">
        <f>'6-A. Proc. Sub-Annex'!M36</f>
        <v>2000</v>
      </c>
      <c r="K142" s="8">
        <f>'6-A. Proc. Sub-Annex'!N36</f>
        <v>0.02</v>
      </c>
      <c r="L142" s="8">
        <f>'6-A. Proc. Sub-Annex'!O36</f>
        <v>5000</v>
      </c>
      <c r="M142" s="8">
        <f>'6-A. Proc. Sub-Annex'!P36</f>
        <v>100</v>
      </c>
      <c r="N142" s="8" t="str">
        <f>'6-A. Proc. Sub-Annex'!Q36</f>
        <v xml:space="preserve">
For session site Hub Cutter had been suppied before 8 years ago.
Most of sites it became out of service.
This year we proposed Hub Cutter for 5000 pcs @ 2000/-
Fund : requirement: 5000 X 2000= 1,00,00,000/-</v>
      </c>
      <c r="O142" s="8">
        <f>'6-A. Proc. Sub-Annex'!R36</f>
        <v>0</v>
      </c>
      <c r="P142" s="8">
        <f>'6-A. Proc. Sub-Annex'!S36</f>
        <v>0</v>
      </c>
    </row>
    <row r="143" spans="1:16" ht="382.5">
      <c r="A143" s="4" t="str">
        <f>'6-A. Proc. Sub-Annex'!B54</f>
        <v>6.1.1.10.2</v>
      </c>
      <c r="B143" s="4" t="str">
        <f>'6-A. Proc. Sub-Annex'!C54</f>
        <v>B16.1.6.2</v>
      </c>
      <c r="C143" s="4">
        <f>'6-A. Proc. Sub-Annex'!D54</f>
        <v>0</v>
      </c>
      <c r="D143" s="8">
        <f>'6-A. Proc. Sub-Annex'!G54</f>
        <v>0</v>
      </c>
      <c r="E143" s="8">
        <f>'6-A. Proc. Sub-Annex'!H54</f>
        <v>0</v>
      </c>
      <c r="F143" s="8">
        <f>'6-A. Proc. Sub-Annex'!I54</f>
        <v>0</v>
      </c>
      <c r="G143" s="8">
        <f>'6-A. Proc. Sub-Annex'!J54</f>
        <v>0</v>
      </c>
      <c r="H143" s="8">
        <f>'6-A. Proc. Sub-Annex'!K54</f>
        <v>0</v>
      </c>
      <c r="I143" s="8">
        <f>'6-A. Proc. Sub-Annex'!L54</f>
        <v>0</v>
      </c>
      <c r="J143" s="8">
        <f>'6-A. Proc. Sub-Annex'!M54</f>
        <v>147800000</v>
      </c>
      <c r="K143" s="8">
        <f>'6-A. Proc. Sub-Annex'!N54</f>
        <v>1478</v>
      </c>
      <c r="L143" s="8">
        <f>'6-A. Proc. Sub-Annex'!O54</f>
        <v>1</v>
      </c>
      <c r="M143" s="8">
        <f>'6-A. Proc. Sub-Annex'!P54</f>
        <v>1478</v>
      </c>
      <c r="N143" s="8" t="str">
        <f>'6-A. Proc. Sub-Annex'!Q54</f>
        <v xml:space="preserve">In FY 2018-19 Rs 2108 lakh was approved. In FY 2019-20 Rs.2920 lakh was In principle recommended, So  the total sanction amount is 5028 Lakh (2108+2920). Regarding the Rs.2920 amount approved in FY 2019-20,  10 % of the recommended amount that is  292 lakh was approved in FY 2019-20 and Rs 657 Lakh approved in FY 2020-21.   Rest 1971 lakh is required for the establishment Of Effluent Treatment Plant  as well  operational  and maintainence  for  6 years of ETP  for  District and subdivisional Hospitals. (as proposed in DPR by the BMSICL) Administrative approval can be given for Rs 1971 lakh and 25% of the amount ie 493 lakh has been proposed in Supplementry PIP, Rest  75% amount that is 1478 Lakh can be given.  </v>
      </c>
      <c r="O143" s="8">
        <f>'6-A. Proc. Sub-Annex'!R54</f>
        <v>0</v>
      </c>
      <c r="P143" s="8">
        <f>'6-A. Proc. Sub-Annex'!S54</f>
        <v>0</v>
      </c>
    </row>
    <row r="144" spans="1:16" ht="25.5">
      <c r="A144" s="4" t="str">
        <f>'6-A. Proc. Sub-Annex'!B123</f>
        <v>6.1.1.11</v>
      </c>
      <c r="B144" s="4" t="str">
        <f>'6-A. Proc. Sub-Annex'!C123</f>
        <v>B.25.2.1.a</v>
      </c>
      <c r="C144" s="4" t="str">
        <f>'6-A. Proc. Sub-Annex'!D123</f>
        <v>Procurement of bio-medical and other Equipment: NPPCD</v>
      </c>
      <c r="D144" s="8"/>
      <c r="E144" s="8"/>
      <c r="F144" s="8">
        <f>SUM(F145:F146)</f>
        <v>0</v>
      </c>
      <c r="G144" s="8">
        <f>SUM(G145:G146)</f>
        <v>0</v>
      </c>
      <c r="H144" s="8">
        <f>SUM(H145:H146)</f>
        <v>0</v>
      </c>
      <c r="I144" s="8"/>
      <c r="J144" s="8"/>
      <c r="K144" s="8"/>
      <c r="L144" s="8"/>
      <c r="M144" s="8">
        <f>SUM(M145:M146)</f>
        <v>342.95256000000001</v>
      </c>
      <c r="N144" s="8">
        <f>'6-A. Proc. Sub-Annex'!Q123</f>
        <v>0</v>
      </c>
      <c r="O144" s="8">
        <f>'6-A. Proc. Sub-Annex'!R123</f>
        <v>0</v>
      </c>
      <c r="P144" s="8">
        <f>SUM(P145:P146)</f>
        <v>0</v>
      </c>
    </row>
    <row r="145" spans="1:16" ht="357">
      <c r="A145" s="4" t="str">
        <f>'6-A. Proc. Sub-Annex'!B124</f>
        <v>6.1.1.11.1</v>
      </c>
      <c r="B145" s="4">
        <f>'6-A. Proc. Sub-Annex'!C124</f>
        <v>0</v>
      </c>
      <c r="C145" s="4" t="str">
        <f>'6-A. Proc. Sub-Annex'!D124</f>
        <v>Procurement of equipment</v>
      </c>
      <c r="D145" s="8">
        <f>'6-A. Proc. Sub-Annex'!G124</f>
        <v>0</v>
      </c>
      <c r="E145" s="8">
        <f>'6-A. Proc. Sub-Annex'!H124</f>
        <v>0</v>
      </c>
      <c r="F145" s="8">
        <f>'6-A. Proc. Sub-Annex'!I124</f>
        <v>0</v>
      </c>
      <c r="G145" s="8">
        <f>'6-A. Proc. Sub-Annex'!J124</f>
        <v>0</v>
      </c>
      <c r="H145" s="8">
        <f>'6-A. Proc. Sub-Annex'!K124</f>
        <v>0</v>
      </c>
      <c r="I145" s="8" t="str">
        <f>'6-A. Proc. Sub-Annex'!L124</f>
        <v>No. of DH</v>
      </c>
      <c r="J145" s="8">
        <f>'6-A. Proc. Sub-Annex'!M124</f>
        <v>56038</v>
      </c>
      <c r="K145" s="8">
        <f>'6-A. Proc. Sub-Annex'!N124</f>
        <v>0.56037999999999999</v>
      </c>
      <c r="L145" s="8">
        <f>'6-A. Proc. Sub-Annex'!O124</f>
        <v>612</v>
      </c>
      <c r="M145" s="8">
        <f>'6-A. Proc. Sub-Annex'!P124</f>
        <v>342.95256000000001</v>
      </c>
      <c r="N145" s="8" t="str">
        <f>'6-A. Proc. Sub-Annex'!Q124</f>
        <v xml:space="preserve">Continuation of previous activity for 11  Districts namely Vaishali, Muzaffarpur, Rohtas, Kaimur, East Champaran, West Champaran, Banka, Jamui, Gopalganj, Buxar &amp; Purnea .  The total amount of Rs 4,32,95,000/- was received vide (letter No V.19019/35/2013-PH-I(i) Dated 20.03.2014,  Rs 68,06,000/- , Letter No2 - V.19019/35/2013-PH-I(IV) Dated 20.03.2014, Rs 3,60,95,000/- &amp; Letter No3 V.19019/35/2013-PH-I(VII) Dated 20.03.2014 Rs 3,94,000/- ) Administrative approval is desired from GoI for all above disticts (20,00,000X 11, SDH- 50,000X15, CHC 50,000X22, APHC/PHC 563X15,000)
And for Gaya district kindly release Rs. 20,00,000/-.
</v>
      </c>
      <c r="O145" s="8">
        <f>'6-A. Proc. Sub-Annex'!R124</f>
        <v>0</v>
      </c>
      <c r="P145" s="8">
        <f>'6-A. Proc. Sub-Annex'!S124</f>
        <v>0</v>
      </c>
    </row>
    <row r="146" spans="1:16" ht="25.5">
      <c r="A146" s="4" t="str">
        <f>'6-A. Proc. Sub-Annex'!B125</f>
        <v>6.1.1.11.2</v>
      </c>
      <c r="B146" s="4">
        <f>'6-A. Proc. Sub-Annex'!C125</f>
        <v>0</v>
      </c>
      <c r="C146" s="4" t="str">
        <f>'6-A. Proc. Sub-Annex'!D125</f>
        <v>Any other equipment (please specify)</v>
      </c>
      <c r="D146" s="8">
        <f>'6-A. Proc. Sub-Annex'!G125</f>
        <v>0</v>
      </c>
      <c r="E146" s="8">
        <f>'6-A. Proc. Sub-Annex'!H125</f>
        <v>0</v>
      </c>
      <c r="F146" s="8">
        <f>'6-A. Proc. Sub-Annex'!I125</f>
        <v>0</v>
      </c>
      <c r="G146" s="8">
        <f>'6-A. Proc. Sub-Annex'!J125</f>
        <v>0</v>
      </c>
      <c r="H146" s="8">
        <f>'6-A. Proc. Sub-Annex'!K125</f>
        <v>0</v>
      </c>
      <c r="I146" s="8">
        <f>'6-A. Proc. Sub-Annex'!L125</f>
        <v>0</v>
      </c>
      <c r="J146" s="8">
        <f>'6-A. Proc. Sub-Annex'!M125</f>
        <v>0</v>
      </c>
      <c r="K146" s="8">
        <f>'6-A. Proc. Sub-Annex'!N125</f>
        <v>0</v>
      </c>
      <c r="L146" s="8">
        <f>'6-A. Proc. Sub-Annex'!O125</f>
        <v>0</v>
      </c>
      <c r="M146" s="8">
        <f>'6-A. Proc. Sub-Annex'!P125</f>
        <v>0</v>
      </c>
      <c r="N146" s="8">
        <f>'6-A. Proc. Sub-Annex'!Q125</f>
        <v>0</v>
      </c>
      <c r="O146" s="8">
        <f>'6-A. Proc. Sub-Annex'!R125</f>
        <v>0</v>
      </c>
      <c r="P146" s="8">
        <f>'6-A. Proc. Sub-Annex'!S125</f>
        <v>0</v>
      </c>
    </row>
    <row r="147" spans="1:16" ht="25.5">
      <c r="A147" s="4" t="str">
        <f>'6-A. Proc. Sub-Annex'!B126</f>
        <v>6.1.1.12</v>
      </c>
      <c r="B147" s="4">
        <f>'6-A. Proc. Sub-Annex'!C126</f>
        <v>0</v>
      </c>
      <c r="C147" s="4" t="str">
        <f>'6-A. Proc. Sub-Annex'!D126</f>
        <v>Procurement of bio-medical and other Equipment: NOHP</v>
      </c>
      <c r="D147" s="8"/>
      <c r="E147" s="8"/>
      <c r="F147" s="8">
        <f>SUM(F148:F149)</f>
        <v>0</v>
      </c>
      <c r="G147" s="8">
        <f>SUM(G148:G149)</f>
        <v>0</v>
      </c>
      <c r="H147" s="8">
        <f>SUM(H148:H149)</f>
        <v>0</v>
      </c>
      <c r="I147" s="8"/>
      <c r="J147" s="8"/>
      <c r="K147" s="8"/>
      <c r="L147" s="8"/>
      <c r="M147" s="8">
        <f>SUM(M148:M149)</f>
        <v>108.4</v>
      </c>
      <c r="N147" s="8">
        <f>'6-A. Proc. Sub-Annex'!Q126</f>
        <v>0</v>
      </c>
      <c r="O147" s="8">
        <f>'6-A. Proc. Sub-Annex'!R126</f>
        <v>0</v>
      </c>
      <c r="P147" s="8">
        <f>SUM(P148:P149)</f>
        <v>0</v>
      </c>
    </row>
    <row r="148" spans="1:16" ht="408">
      <c r="A148" s="4" t="str">
        <f>'6-A. Proc. Sub-Annex'!B127</f>
        <v>6.1.1.12.1</v>
      </c>
      <c r="B148" s="4" t="str">
        <f>'6-A. Proc. Sub-Annex'!C127</f>
        <v>B.26.1.1</v>
      </c>
      <c r="C148" s="4" t="str">
        <f>'6-A. Proc. Sub-Annex'!D127</f>
        <v>Dental Chair, Equipment</v>
      </c>
      <c r="D148" s="8">
        <f>'6-A. Proc. Sub-Annex'!G127</f>
        <v>0</v>
      </c>
      <c r="E148" s="8">
        <f>'6-A. Proc. Sub-Annex'!H127</f>
        <v>0</v>
      </c>
      <c r="F148" s="8">
        <f>'6-A. Proc. Sub-Annex'!I127</f>
        <v>0</v>
      </c>
      <c r="G148" s="8">
        <f>'6-A. Proc. Sub-Annex'!J127</f>
        <v>0</v>
      </c>
      <c r="H148" s="8">
        <f>'6-A. Proc. Sub-Annex'!K127</f>
        <v>0</v>
      </c>
      <c r="I148" s="8" t="str">
        <f>'6-A. Proc. Sub-Annex'!L127</f>
        <v xml:space="preserve"> One Health facility</v>
      </c>
      <c r="J148" s="8">
        <f>'6-A. Proc. Sub-Annex'!M127</f>
        <v>20000</v>
      </c>
      <c r="K148" s="8">
        <f>'6-A. Proc. Sub-Annex'!N127</f>
        <v>0.2</v>
      </c>
      <c r="L148" s="8">
        <f>'6-A. Proc. Sub-Annex'!O127</f>
        <v>542</v>
      </c>
      <c r="M148" s="8">
        <f>'6-A. Proc. Sub-Annex'!P127</f>
        <v>108.4</v>
      </c>
      <c r="N148" s="8" t="str">
        <f>'6-A. Proc. Sub-Annex'!Q127</f>
        <v xml:space="preserve">work order for procurement and establishmentof 363 Dental chair in different Sub- Divisional hospitals and Primary Health Center of the state has been given to BMSICL by SHSB letter no. 3237 dated 05/08/2020 against which a supply order was generated by BMSICL on 02/10/2020 by letter no. 5438.                                                    Till date (14/12/2020) out of 363 Dental Chair 361 Dental Chair has been supplied. Out of 361 supplied Dental Chair 322 chairs have been installed. Installation of all the Dental chair likely to be completed in the  Current Financial year.      
 In the Financial Year 2021-2022 the state is proposing a sum of rupees 20000/- each for 542 Health Facilities for procurement of additional Dental instruments which were left out in in FY 2020-2021 after doing gap analysis.                                                                       </v>
      </c>
      <c r="O148" s="8">
        <f>'6-A. Proc. Sub-Annex'!R127</f>
        <v>0</v>
      </c>
      <c r="P148" s="8">
        <f>'6-A. Proc. Sub-Annex'!S127</f>
        <v>0</v>
      </c>
    </row>
    <row r="149" spans="1:16" ht="25.5">
      <c r="A149" s="4" t="str">
        <f>'6-A. Proc. Sub-Annex'!B128</f>
        <v>6.1.1.12.2</v>
      </c>
      <c r="B149" s="4">
        <f>'6-A. Proc. Sub-Annex'!C128</f>
        <v>0</v>
      </c>
      <c r="C149" s="4" t="str">
        <f>'6-A. Proc. Sub-Annex'!D128</f>
        <v>Any other equipment (please specify)</v>
      </c>
      <c r="D149" s="8">
        <f>'6-A. Proc. Sub-Annex'!G128</f>
        <v>0</v>
      </c>
      <c r="E149" s="8">
        <f>'6-A. Proc. Sub-Annex'!H128</f>
        <v>0</v>
      </c>
      <c r="F149" s="8">
        <f>'6-A. Proc. Sub-Annex'!I128</f>
        <v>0</v>
      </c>
      <c r="G149" s="8">
        <f>'6-A. Proc. Sub-Annex'!J128</f>
        <v>0</v>
      </c>
      <c r="H149" s="8">
        <f>'6-A. Proc. Sub-Annex'!K128</f>
        <v>0</v>
      </c>
      <c r="I149" s="8">
        <f>'6-A. Proc. Sub-Annex'!L128</f>
        <v>0</v>
      </c>
      <c r="J149" s="8">
        <f>'6-A. Proc. Sub-Annex'!M128</f>
        <v>0</v>
      </c>
      <c r="K149" s="8">
        <f>'6-A. Proc. Sub-Annex'!N128</f>
        <v>0</v>
      </c>
      <c r="L149" s="8">
        <f>'6-A. Proc. Sub-Annex'!O128</f>
        <v>0</v>
      </c>
      <c r="M149" s="8">
        <f>'6-A. Proc. Sub-Annex'!P128</f>
        <v>0</v>
      </c>
      <c r="N149" s="8">
        <f>'6-A. Proc. Sub-Annex'!Q128</f>
        <v>0</v>
      </c>
      <c r="O149" s="8">
        <f>'6-A. Proc. Sub-Annex'!R128</f>
        <v>0</v>
      </c>
      <c r="P149" s="8">
        <f>'6-A. Proc. Sub-Annex'!S128</f>
        <v>0</v>
      </c>
    </row>
    <row r="150" spans="1:16" ht="25.5">
      <c r="A150" s="4" t="str">
        <f>'6-A. Proc. Sub-Annex'!B129</f>
        <v>6.1.1.13</v>
      </c>
      <c r="B150" s="4">
        <f>'6-A. Proc. Sub-Annex'!C129</f>
        <v>0</v>
      </c>
      <c r="C150" s="4" t="str">
        <f>'6-A. Proc. Sub-Annex'!D129</f>
        <v>Procurement of bio-medical and other Equipment: NPPC</v>
      </c>
      <c r="D150" s="8"/>
      <c r="E150" s="8"/>
      <c r="F150" s="8">
        <f>SUM(F151:F152)</f>
        <v>0</v>
      </c>
      <c r="G150" s="8">
        <f>SUM(G151:G152)</f>
        <v>0</v>
      </c>
      <c r="H150" s="8">
        <f>SUM(H151:H152)</f>
        <v>0</v>
      </c>
      <c r="I150" s="8"/>
      <c r="J150" s="8"/>
      <c r="K150" s="8"/>
      <c r="L150" s="8"/>
      <c r="M150" s="8">
        <f>SUM(M151:M152)</f>
        <v>0</v>
      </c>
      <c r="N150" s="8">
        <f>'6-A. Proc. Sub-Annex'!Q129</f>
        <v>0</v>
      </c>
      <c r="O150" s="8">
        <f>'6-A. Proc. Sub-Annex'!R129</f>
        <v>0</v>
      </c>
      <c r="P150" s="8">
        <f>SUM(P151:P152)</f>
        <v>0</v>
      </c>
    </row>
    <row r="151" spans="1:16" ht="25.5">
      <c r="A151" s="4" t="str">
        <f>'6-A. Proc. Sub-Annex'!B130</f>
        <v>6.1.1.13.1</v>
      </c>
      <c r="B151" s="4" t="str">
        <f>'6-A. Proc. Sub-Annex'!C130</f>
        <v>B.27.1.4</v>
      </c>
      <c r="C151" s="4" t="str">
        <f>'6-A. Proc. Sub-Annex'!D130</f>
        <v>Equipment</v>
      </c>
      <c r="D151" s="8">
        <f>'6-A. Proc. Sub-Annex'!G130</f>
        <v>0</v>
      </c>
      <c r="E151" s="8">
        <f>'6-A. Proc. Sub-Annex'!H130</f>
        <v>0</v>
      </c>
      <c r="F151" s="8">
        <f>'6-A. Proc. Sub-Annex'!I130</f>
        <v>0</v>
      </c>
      <c r="G151" s="8">
        <f>'6-A. Proc. Sub-Annex'!J130</f>
        <v>0</v>
      </c>
      <c r="H151" s="8">
        <f>'6-A. Proc. Sub-Annex'!K130</f>
        <v>0</v>
      </c>
      <c r="I151" s="8">
        <f>'6-A. Proc. Sub-Annex'!L130</f>
        <v>0</v>
      </c>
      <c r="J151" s="8">
        <f>'6-A. Proc. Sub-Annex'!M130</f>
        <v>0</v>
      </c>
      <c r="K151" s="8">
        <f>'6-A. Proc. Sub-Annex'!N130</f>
        <v>0</v>
      </c>
      <c r="L151" s="8">
        <f>'6-A. Proc. Sub-Annex'!O130</f>
        <v>0</v>
      </c>
      <c r="M151" s="8">
        <f>'6-A. Proc. Sub-Annex'!P130</f>
        <v>0</v>
      </c>
      <c r="N151" s="8">
        <f>'6-A. Proc. Sub-Annex'!Q130</f>
        <v>0</v>
      </c>
      <c r="O151" s="8">
        <f>'6-A. Proc. Sub-Annex'!R130</f>
        <v>0</v>
      </c>
      <c r="P151" s="8">
        <f>'6-A. Proc. Sub-Annex'!S130</f>
        <v>0</v>
      </c>
    </row>
    <row r="152" spans="1:16" ht="25.5">
      <c r="A152" s="4" t="str">
        <f>'6-A. Proc. Sub-Annex'!B131</f>
        <v>6.1.1.13.2</v>
      </c>
      <c r="B152" s="4">
        <f>'6-A. Proc. Sub-Annex'!C131</f>
        <v>0</v>
      </c>
      <c r="C152" s="4" t="str">
        <f>'6-A. Proc. Sub-Annex'!D131</f>
        <v>Any other equipment (please specify)</v>
      </c>
      <c r="D152" s="8">
        <f>'6-A. Proc. Sub-Annex'!G131</f>
        <v>0</v>
      </c>
      <c r="E152" s="8">
        <f>'6-A. Proc. Sub-Annex'!H131</f>
        <v>0</v>
      </c>
      <c r="F152" s="8">
        <f>'6-A. Proc. Sub-Annex'!I131</f>
        <v>0</v>
      </c>
      <c r="G152" s="8">
        <f>'6-A. Proc. Sub-Annex'!J131</f>
        <v>0</v>
      </c>
      <c r="H152" s="8">
        <f>'6-A. Proc. Sub-Annex'!K131</f>
        <v>0</v>
      </c>
      <c r="I152" s="8">
        <f>'6-A. Proc. Sub-Annex'!L131</f>
        <v>0</v>
      </c>
      <c r="J152" s="8">
        <f>'6-A. Proc. Sub-Annex'!M131</f>
        <v>0</v>
      </c>
      <c r="K152" s="8">
        <f>'6-A. Proc. Sub-Annex'!N131</f>
        <v>0</v>
      </c>
      <c r="L152" s="8">
        <f>'6-A. Proc. Sub-Annex'!O131</f>
        <v>0</v>
      </c>
      <c r="M152" s="8">
        <f>'6-A. Proc. Sub-Annex'!P131</f>
        <v>0</v>
      </c>
      <c r="N152" s="8">
        <f>'6-A. Proc. Sub-Annex'!Q131</f>
        <v>0</v>
      </c>
      <c r="O152" s="8">
        <f>'6-A. Proc. Sub-Annex'!R131</f>
        <v>0</v>
      </c>
      <c r="P152" s="8">
        <f>'6-A. Proc. Sub-Annex'!S131</f>
        <v>0</v>
      </c>
    </row>
    <row r="153" spans="1:16" ht="25.5">
      <c r="A153" s="4" t="str">
        <f>'6-A. Proc. Sub-Annex'!B132</f>
        <v>6.1.1.14</v>
      </c>
      <c r="B153" s="4">
        <f>'6-A. Proc. Sub-Annex'!C132</f>
        <v>0</v>
      </c>
      <c r="C153" s="4" t="str">
        <f>'6-A. Proc. Sub-Annex'!D132</f>
        <v>Procurement of bio-medical and other Equipment: Burns &amp; Injury</v>
      </c>
      <c r="D153" s="8"/>
      <c r="E153" s="8"/>
      <c r="F153" s="8">
        <f>SUM(F154:F155)</f>
        <v>0</v>
      </c>
      <c r="G153" s="8">
        <f>SUM(G154:G155)</f>
        <v>0</v>
      </c>
      <c r="H153" s="8">
        <f>SUM(H154:H155)</f>
        <v>0</v>
      </c>
      <c r="I153" s="8"/>
      <c r="J153" s="8"/>
      <c r="K153" s="8"/>
      <c r="L153" s="8"/>
      <c r="M153" s="8">
        <f>SUM(M154:M155)</f>
        <v>0</v>
      </c>
      <c r="N153" s="8">
        <f>'6-A. Proc. Sub-Annex'!Q132</f>
        <v>0</v>
      </c>
      <c r="O153" s="8">
        <f>'6-A. Proc. Sub-Annex'!R132</f>
        <v>0</v>
      </c>
      <c r="P153" s="8">
        <f>SUM(P154:P155)</f>
        <v>0</v>
      </c>
    </row>
    <row r="154" spans="1:16" ht="25.5">
      <c r="A154" s="4" t="str">
        <f>'6-A. Proc. Sub-Annex'!B133</f>
        <v>6.1.1.14.1</v>
      </c>
      <c r="B154" s="4" t="str">
        <f>'6-A. Proc. Sub-Annex'!C133</f>
        <v>B.28.2</v>
      </c>
      <c r="C154" s="4" t="str">
        <f>'6-A. Proc. Sub-Annex'!D133</f>
        <v>Procurement of Equipment</v>
      </c>
      <c r="D154" s="8">
        <f>'6-A. Proc. Sub-Annex'!G133</f>
        <v>0</v>
      </c>
      <c r="E154" s="8">
        <f>'6-A. Proc. Sub-Annex'!H133</f>
        <v>0</v>
      </c>
      <c r="F154" s="8">
        <f>'6-A. Proc. Sub-Annex'!I133</f>
        <v>0</v>
      </c>
      <c r="G154" s="8">
        <f>'6-A. Proc. Sub-Annex'!J133</f>
        <v>0</v>
      </c>
      <c r="H154" s="8">
        <f>'6-A. Proc. Sub-Annex'!K133</f>
        <v>0</v>
      </c>
      <c r="I154" s="8">
        <f>'6-A. Proc. Sub-Annex'!L133</f>
        <v>0</v>
      </c>
      <c r="J154" s="8">
        <f>'6-A. Proc. Sub-Annex'!M133</f>
        <v>0</v>
      </c>
      <c r="K154" s="8">
        <f>'6-A. Proc. Sub-Annex'!N133</f>
        <v>0</v>
      </c>
      <c r="L154" s="8">
        <f>'6-A. Proc. Sub-Annex'!O133</f>
        <v>0</v>
      </c>
      <c r="M154" s="8">
        <f>'6-A. Proc. Sub-Annex'!P133</f>
        <v>0</v>
      </c>
      <c r="N154" s="8">
        <f>'6-A. Proc. Sub-Annex'!Q133</f>
        <v>0</v>
      </c>
      <c r="O154" s="8">
        <f>'6-A. Proc. Sub-Annex'!R133</f>
        <v>0</v>
      </c>
      <c r="P154" s="8">
        <f>'6-A. Proc. Sub-Annex'!S133</f>
        <v>0</v>
      </c>
    </row>
    <row r="155" spans="1:16" ht="25.5">
      <c r="A155" s="4" t="str">
        <f>'6-A. Proc. Sub-Annex'!B134</f>
        <v>6.1.1.14.2</v>
      </c>
      <c r="B155" s="4">
        <f>'6-A. Proc. Sub-Annex'!C134</f>
        <v>0</v>
      </c>
      <c r="C155" s="4" t="str">
        <f>'6-A. Proc. Sub-Annex'!D134</f>
        <v>Any other equipment (please specify)</v>
      </c>
      <c r="D155" s="8">
        <f>'6-A. Proc. Sub-Annex'!G134</f>
        <v>0</v>
      </c>
      <c r="E155" s="8">
        <f>'6-A. Proc. Sub-Annex'!H134</f>
        <v>0</v>
      </c>
      <c r="F155" s="8">
        <f>'6-A. Proc. Sub-Annex'!I134</f>
        <v>0</v>
      </c>
      <c r="G155" s="8">
        <f>'6-A. Proc. Sub-Annex'!J134</f>
        <v>0</v>
      </c>
      <c r="H155" s="8">
        <f>'6-A. Proc. Sub-Annex'!K134</f>
        <v>0</v>
      </c>
      <c r="I155" s="8">
        <f>'6-A. Proc. Sub-Annex'!L134</f>
        <v>0</v>
      </c>
      <c r="J155" s="8">
        <f>'6-A. Proc. Sub-Annex'!M134</f>
        <v>0</v>
      </c>
      <c r="K155" s="8">
        <f>'6-A. Proc. Sub-Annex'!N134</f>
        <v>0</v>
      </c>
      <c r="L155" s="8">
        <f>'6-A. Proc. Sub-Annex'!O134</f>
        <v>0</v>
      </c>
      <c r="M155" s="8">
        <f>'6-A. Proc. Sub-Annex'!P134</f>
        <v>0</v>
      </c>
      <c r="N155" s="8">
        <f>'6-A. Proc. Sub-Annex'!Q134</f>
        <v>0</v>
      </c>
      <c r="O155" s="8">
        <f>'6-A. Proc. Sub-Annex'!R134</f>
        <v>0</v>
      </c>
      <c r="P155" s="8">
        <f>'6-A. Proc. Sub-Annex'!S134</f>
        <v>0</v>
      </c>
    </row>
    <row r="156" spans="1:16" ht="25.5">
      <c r="A156" s="4" t="str">
        <f>'6-A. Proc. Sub-Annex'!B73</f>
        <v>6.1.1.15</v>
      </c>
      <c r="B156" s="4">
        <f>'6-A. Proc. Sub-Annex'!C73</f>
        <v>0</v>
      </c>
      <c r="C156" s="4" t="str">
        <f>'6-A. Proc. Sub-Annex'!D73</f>
        <v>Procurement of bio-medical and other Equipment: IDSP</v>
      </c>
      <c r="D156" s="8"/>
      <c r="E156" s="8"/>
      <c r="F156" s="8">
        <f>SUM(F157:F158)</f>
        <v>0</v>
      </c>
      <c r="G156" s="8">
        <f>SUM(G157:G158)</f>
        <v>0</v>
      </c>
      <c r="H156" s="8">
        <f>SUM(H157:H158)</f>
        <v>0</v>
      </c>
      <c r="I156" s="8"/>
      <c r="J156" s="8"/>
      <c r="K156" s="8"/>
      <c r="L156" s="8"/>
      <c r="M156" s="8">
        <f>SUM(M157:M158)</f>
        <v>0</v>
      </c>
      <c r="N156" s="8">
        <f>'6-A. Proc. Sub-Annex'!Q73</f>
        <v>0</v>
      </c>
      <c r="O156" s="8">
        <f>'6-A. Proc. Sub-Annex'!R73</f>
        <v>0</v>
      </c>
      <c r="P156" s="8">
        <f>SUM(P157:P158)</f>
        <v>0</v>
      </c>
    </row>
    <row r="157" spans="1:16" ht="38.25">
      <c r="A157" s="4" t="str">
        <f>'6-A. Proc. Sub-Annex'!B74</f>
        <v>6.1.1.15.1</v>
      </c>
      <c r="B157" s="4" t="str">
        <f>'6-A. Proc. Sub-Annex'!C74</f>
        <v>E.3.1</v>
      </c>
      <c r="C157" s="4" t="str">
        <f>'6-A. Proc. Sub-Annex'!D74</f>
        <v xml:space="preserve">Non-recurring costs on account of equipment for District Public Health Labs requiring strengthening. </v>
      </c>
      <c r="D157" s="8">
        <f>'6-A. Proc. Sub-Annex'!G74</f>
        <v>0</v>
      </c>
      <c r="E157" s="8">
        <f>'6-A. Proc. Sub-Annex'!H74</f>
        <v>0</v>
      </c>
      <c r="F157" s="8">
        <f>'6-A. Proc. Sub-Annex'!I74</f>
        <v>0</v>
      </c>
      <c r="G157" s="8">
        <f>'6-A. Proc. Sub-Annex'!J74</f>
        <v>0</v>
      </c>
      <c r="H157" s="8">
        <f>'6-A. Proc. Sub-Annex'!K74</f>
        <v>0</v>
      </c>
      <c r="I157" s="8">
        <f>'6-A. Proc. Sub-Annex'!L74</f>
        <v>0</v>
      </c>
      <c r="J157" s="8">
        <f>'6-A. Proc. Sub-Annex'!M74</f>
        <v>0</v>
      </c>
      <c r="K157" s="8">
        <f>'6-A. Proc. Sub-Annex'!N74</f>
        <v>0</v>
      </c>
      <c r="L157" s="8">
        <f>'6-A. Proc. Sub-Annex'!O74</f>
        <v>0</v>
      </c>
      <c r="M157" s="8">
        <f>'6-A. Proc. Sub-Annex'!P74</f>
        <v>0</v>
      </c>
      <c r="N157" s="8">
        <f>'6-A. Proc. Sub-Annex'!Q74</f>
        <v>0</v>
      </c>
      <c r="O157" s="8">
        <f>'6-A. Proc. Sub-Annex'!R74</f>
        <v>0</v>
      </c>
      <c r="P157" s="8">
        <f>'6-A. Proc. Sub-Annex'!S74</f>
        <v>0</v>
      </c>
    </row>
    <row r="158" spans="1:16" ht="25.5">
      <c r="A158" s="4" t="str">
        <f>'6-A. Proc. Sub-Annex'!B75</f>
        <v>6.1.1.15.2</v>
      </c>
      <c r="B158" s="4">
        <f>'6-A. Proc. Sub-Annex'!C75</f>
        <v>0</v>
      </c>
      <c r="C158" s="4" t="str">
        <f>'6-A. Proc. Sub-Annex'!D75</f>
        <v>Any other equipment (please specify)</v>
      </c>
      <c r="D158" s="8">
        <f>'6-A. Proc. Sub-Annex'!G75</f>
        <v>0</v>
      </c>
      <c r="E158" s="8">
        <f>'6-A. Proc. Sub-Annex'!H75</f>
        <v>0</v>
      </c>
      <c r="F158" s="8">
        <f>'6-A. Proc. Sub-Annex'!I75</f>
        <v>0</v>
      </c>
      <c r="G158" s="8">
        <f>'6-A. Proc. Sub-Annex'!J75</f>
        <v>0</v>
      </c>
      <c r="H158" s="8">
        <f>'6-A. Proc. Sub-Annex'!K75</f>
        <v>0</v>
      </c>
      <c r="I158" s="8">
        <f>'6-A. Proc. Sub-Annex'!L75</f>
        <v>0</v>
      </c>
      <c r="J158" s="8">
        <f>'6-A. Proc. Sub-Annex'!M75</f>
        <v>0</v>
      </c>
      <c r="K158" s="8">
        <f>'6-A. Proc. Sub-Annex'!N75</f>
        <v>0</v>
      </c>
      <c r="L158" s="8">
        <f>'6-A. Proc. Sub-Annex'!O75</f>
        <v>0</v>
      </c>
      <c r="M158" s="8">
        <f>'6-A. Proc. Sub-Annex'!P75</f>
        <v>0</v>
      </c>
      <c r="N158" s="8">
        <f>'6-A. Proc. Sub-Annex'!Q75</f>
        <v>0</v>
      </c>
      <c r="O158" s="8">
        <f>'6-A. Proc. Sub-Annex'!R75</f>
        <v>0</v>
      </c>
      <c r="P158" s="8">
        <f>'6-A. Proc. Sub-Annex'!S75</f>
        <v>0</v>
      </c>
    </row>
    <row r="159" spans="1:16" ht="25.5">
      <c r="A159" s="4" t="str">
        <f>'6-A. Proc. Sub-Annex'!B76</f>
        <v>6.1.1.16</v>
      </c>
      <c r="B159" s="4">
        <f>'6-A. Proc. Sub-Annex'!C76</f>
        <v>0</v>
      </c>
      <c r="C159" s="4" t="str">
        <f>'6-A. Proc. Sub-Annex'!D76</f>
        <v>Procurement of bio-medical and other Equipment: NVBDCP</v>
      </c>
      <c r="D159" s="8"/>
      <c r="E159" s="8"/>
      <c r="F159" s="8">
        <f>SUM(F160:F160)</f>
        <v>0</v>
      </c>
      <c r="G159" s="8">
        <f>SUM(G160:G160)</f>
        <v>0</v>
      </c>
      <c r="H159" s="8">
        <f>SUM(H160:H160)</f>
        <v>0</v>
      </c>
      <c r="I159" s="8"/>
      <c r="J159" s="8"/>
      <c r="K159" s="8"/>
      <c r="L159" s="8"/>
      <c r="M159" s="8">
        <f>SUM(M160:M160)</f>
        <v>0</v>
      </c>
      <c r="N159" s="8">
        <f>'6-A. Proc. Sub-Annex'!Q76</f>
        <v>0</v>
      </c>
      <c r="O159" s="8">
        <f>'6-A. Proc. Sub-Annex'!R76</f>
        <v>0</v>
      </c>
      <c r="P159" s="8">
        <f>SUM(P160:P160)</f>
        <v>0</v>
      </c>
    </row>
    <row r="160" spans="1:16" ht="25.5">
      <c r="A160" s="4" t="str">
        <f>'6-A. Proc. Sub-Annex'!B77</f>
        <v>6.1.1.16.1</v>
      </c>
      <c r="B160" s="4" t="str">
        <f>'6-A. Proc. Sub-Annex'!C77</f>
        <v>F.2.1.c</v>
      </c>
      <c r="C160" s="4" t="str">
        <f>'6-A. Proc. Sub-Annex'!D77</f>
        <v>Health Products- Equipment (HPE) - GFATM</v>
      </c>
      <c r="D160" s="8">
        <f>'6-A. Proc. Sub-Annex'!G77</f>
        <v>0</v>
      </c>
      <c r="E160" s="8">
        <f>'6-A. Proc. Sub-Annex'!H77</f>
        <v>0</v>
      </c>
      <c r="F160" s="8">
        <f>'6-A. Proc. Sub-Annex'!I77</f>
        <v>0</v>
      </c>
      <c r="G160" s="8">
        <f>'6-A. Proc. Sub-Annex'!J77</f>
        <v>0</v>
      </c>
      <c r="H160" s="8">
        <f>'6-A. Proc. Sub-Annex'!K77</f>
        <v>0</v>
      </c>
      <c r="I160" s="8">
        <f>'6-A. Proc. Sub-Annex'!L77</f>
        <v>0</v>
      </c>
      <c r="J160" s="8">
        <f>'6-A. Proc. Sub-Annex'!M77</f>
        <v>0</v>
      </c>
      <c r="K160" s="8">
        <f>'6-A. Proc. Sub-Annex'!N77</f>
        <v>0</v>
      </c>
      <c r="L160" s="8">
        <f>'6-A. Proc. Sub-Annex'!O77</f>
        <v>0</v>
      </c>
      <c r="M160" s="8">
        <f>'6-A. Proc. Sub-Annex'!P77</f>
        <v>0</v>
      </c>
      <c r="N160" s="8">
        <f>'6-A. Proc. Sub-Annex'!Q77</f>
        <v>0</v>
      </c>
      <c r="O160" s="8">
        <f>'6-A. Proc. Sub-Annex'!R77</f>
        <v>0</v>
      </c>
      <c r="P160" s="8">
        <f>'6-A. Proc. Sub-Annex'!S77</f>
        <v>0</v>
      </c>
    </row>
    <row r="161" spans="1:16" ht="25.5">
      <c r="A161" s="4" t="str">
        <f>'6-A. Proc. Sub-Annex'!B83</f>
        <v>6.1.1.17</v>
      </c>
      <c r="B161" s="4">
        <f>'6-A. Proc. Sub-Annex'!C83</f>
        <v>0</v>
      </c>
      <c r="C161" s="4" t="str">
        <f>'6-A. Proc. Sub-Annex'!D83</f>
        <v>Procurement of bio-medical and other Equipment: NLEP</v>
      </c>
      <c r="D161" s="8"/>
      <c r="E161" s="8"/>
      <c r="F161" s="8">
        <f>F162</f>
        <v>0</v>
      </c>
      <c r="G161" s="8">
        <f>G162</f>
        <v>0</v>
      </c>
      <c r="H161" s="8">
        <f>H162</f>
        <v>0</v>
      </c>
      <c r="I161" s="8"/>
      <c r="J161" s="8"/>
      <c r="K161" s="8"/>
      <c r="L161" s="8"/>
      <c r="M161" s="8">
        <f>M162</f>
        <v>0</v>
      </c>
      <c r="N161" s="8">
        <f>'6-A. Proc. Sub-Annex'!Q83</f>
        <v>0</v>
      </c>
      <c r="O161" s="8">
        <f>'6-A. Proc. Sub-Annex'!R83</f>
        <v>0</v>
      </c>
      <c r="P161" s="8">
        <f>P162</f>
        <v>0</v>
      </c>
    </row>
    <row r="162" spans="1:16" ht="25.5">
      <c r="A162" s="4" t="str">
        <f>'6-A. Proc. Sub-Annex'!B84</f>
        <v>6.1.1.17.1</v>
      </c>
      <c r="B162" s="4" t="str">
        <f>'6-A. Proc. Sub-Annex'!C84</f>
        <v>G.1.4</v>
      </c>
      <c r="C162" s="4" t="str">
        <f>'6-A. Proc. Sub-Annex'!D84</f>
        <v>Equipment</v>
      </c>
      <c r="D162" s="8">
        <f>'6-A. Proc. Sub-Annex'!G84</f>
        <v>0</v>
      </c>
      <c r="E162" s="8">
        <f>'6-A. Proc. Sub-Annex'!H84</f>
        <v>0</v>
      </c>
      <c r="F162" s="8">
        <f>'6-A. Proc. Sub-Annex'!I84</f>
        <v>0</v>
      </c>
      <c r="G162" s="8">
        <f>'6-A. Proc. Sub-Annex'!J84</f>
        <v>0</v>
      </c>
      <c r="H162" s="8">
        <f>'6-A. Proc. Sub-Annex'!K84</f>
        <v>0</v>
      </c>
      <c r="I162" s="8">
        <f>'6-A. Proc. Sub-Annex'!L84</f>
        <v>0</v>
      </c>
      <c r="J162" s="8">
        <f>'6-A. Proc. Sub-Annex'!M84</f>
        <v>0</v>
      </c>
      <c r="K162" s="8">
        <f>'6-A. Proc. Sub-Annex'!N84</f>
        <v>0</v>
      </c>
      <c r="L162" s="8">
        <f>'6-A. Proc. Sub-Annex'!O84</f>
        <v>0</v>
      </c>
      <c r="M162" s="8">
        <f>'6-A. Proc. Sub-Annex'!P84</f>
        <v>0</v>
      </c>
      <c r="N162" s="8">
        <f>'6-A. Proc. Sub-Annex'!Q84</f>
        <v>0</v>
      </c>
      <c r="O162" s="8">
        <f>'6-A. Proc. Sub-Annex'!R84</f>
        <v>0</v>
      </c>
      <c r="P162" s="8">
        <f>'6-A. Proc. Sub-Annex'!S84</f>
        <v>0</v>
      </c>
    </row>
    <row r="163" spans="1:16" ht="25.5">
      <c r="A163" s="4" t="str">
        <f>'6-A. Proc. Sub-Annex'!B88</f>
        <v>6.1.1.18</v>
      </c>
      <c r="B163" s="4">
        <f>'6-A. Proc. Sub-Annex'!C88</f>
        <v>0</v>
      </c>
      <c r="C163" s="4" t="str">
        <f>'6-A. Proc. Sub-Annex'!D88</f>
        <v>Procurement of bio-medical and other Equipment: NTEP</v>
      </c>
      <c r="D163" s="8"/>
      <c r="E163" s="8"/>
      <c r="F163" s="8">
        <f>F164</f>
        <v>54.3</v>
      </c>
      <c r="G163" s="8">
        <f>G164</f>
        <v>8.93</v>
      </c>
      <c r="H163" s="8">
        <f>H164</f>
        <v>0</v>
      </c>
      <c r="I163" s="8"/>
      <c r="J163" s="8"/>
      <c r="K163" s="8"/>
      <c r="L163" s="8"/>
      <c r="M163" s="8">
        <f>M164</f>
        <v>455</v>
      </c>
      <c r="N163" s="8">
        <f>'6-A. Proc. Sub-Annex'!Q88</f>
        <v>0</v>
      </c>
      <c r="O163" s="8">
        <f>'6-A. Proc. Sub-Annex'!R88</f>
        <v>0</v>
      </c>
      <c r="P163" s="8">
        <f>P164</f>
        <v>0</v>
      </c>
    </row>
    <row r="164" spans="1:16" ht="331.5">
      <c r="A164" s="4" t="str">
        <f>'6-A. Proc. Sub-Annex'!B89</f>
        <v>6.1.1.18.1</v>
      </c>
      <c r="B164" s="4" t="str">
        <f>'6-A. Proc. Sub-Annex'!C89</f>
        <v>H.17</v>
      </c>
      <c r="C164" s="4" t="str">
        <f>'6-A. Proc. Sub-Annex'!D89</f>
        <v>Procurement of Equipment</v>
      </c>
      <c r="D164" s="8">
        <f>'6-A. Proc. Sub-Annex'!G89</f>
        <v>0</v>
      </c>
      <c r="E164" s="8">
        <f>'6-A. Proc. Sub-Annex'!H89</f>
        <v>0</v>
      </c>
      <c r="F164" s="8">
        <f>'6-A. Proc. Sub-Annex'!I89</f>
        <v>54.3</v>
      </c>
      <c r="G164" s="8">
        <f>'6-A. Proc. Sub-Annex'!J89</f>
        <v>8.93</v>
      </c>
      <c r="H164" s="8">
        <f>'6-A. Proc. Sub-Annex'!K89</f>
        <v>0</v>
      </c>
      <c r="I164" s="8">
        <f>'6-A. Proc. Sub-Annex'!L89</f>
        <v>0</v>
      </c>
      <c r="J164" s="8">
        <f>'6-A. Proc. Sub-Annex'!M89</f>
        <v>45500000</v>
      </c>
      <c r="K164" s="8">
        <f>'6-A. Proc. Sub-Annex'!N89</f>
        <v>455</v>
      </c>
      <c r="L164" s="8">
        <f>'6-A. Proc. Sub-Annex'!O89</f>
        <v>1</v>
      </c>
      <c r="M164" s="8">
        <f>'6-A. Proc. Sub-Annex'!P89</f>
        <v>455</v>
      </c>
      <c r="N164" s="8" t="str">
        <f>'6-A. Proc. Sub-Annex'!Q89</f>
        <v>1. CDST labs equipment ( for LPA) procurement for IGIMS and Narayana Medical college. 2. Colour coded BMW disposal container and liner for all DMC and Mask, sanitizer etc for NTEP superviosrs and Lab technicians.3. Steel Almirah in each TU for storing anti TB drugs/equipments/records/usables for TB supervisors. 4. District to utilize laptop with web camera for ECHO video conferencing or virtual meetings. 5. office eqipments (AC, computer set, Laptop etc). 6. Other supporting Lab equipments battery, UPS, Refrigerator etc. 7. DRTB euipments Nebuliser and Suction Machines. 7. Fire extinguiher, hygrometer for SDS and DDS .</v>
      </c>
      <c r="O164" s="8">
        <f>'6-A. Proc. Sub-Annex'!R89</f>
        <v>0</v>
      </c>
      <c r="P164" s="8">
        <f>'6-A. Proc. Sub-Annex'!S89</f>
        <v>0</v>
      </c>
    </row>
    <row r="165" spans="1:16" ht="25.5">
      <c r="A165" s="4" t="str">
        <f>'6-A. Proc. Sub-Annex'!B93</f>
        <v>6.1.1.19</v>
      </c>
      <c r="B165" s="4">
        <f>'6-A. Proc. Sub-Annex'!C93</f>
        <v>0</v>
      </c>
      <c r="C165" s="4" t="str">
        <f>'6-A. Proc. Sub-Annex'!D93</f>
        <v>Procurement of bio-medical and other Equipment: NPCB</v>
      </c>
      <c r="D165" s="8"/>
      <c r="E165" s="8"/>
      <c r="F165" s="8">
        <f>SUM(F166:F170)</f>
        <v>0</v>
      </c>
      <c r="G165" s="8">
        <f>SUM(G166:G170)</f>
        <v>0</v>
      </c>
      <c r="H165" s="8">
        <f>SUM(H166:H170)</f>
        <v>0</v>
      </c>
      <c r="I165" s="8"/>
      <c r="J165" s="8"/>
      <c r="K165" s="8"/>
      <c r="L165" s="8"/>
      <c r="M165" s="8">
        <f>SUM(M166:M170)</f>
        <v>200</v>
      </c>
      <c r="N165" s="8">
        <f>'6-A. Proc. Sub-Annex'!Q93</f>
        <v>0</v>
      </c>
      <c r="O165" s="8">
        <f>'6-A. Proc. Sub-Annex'!R93</f>
        <v>0</v>
      </c>
      <c r="P165" s="8">
        <f>SUM(P166:P170)</f>
        <v>0</v>
      </c>
    </row>
    <row r="166" spans="1:16" ht="51">
      <c r="A166" s="4" t="str">
        <f>'6-A. Proc. Sub-Annex'!B94</f>
        <v>6.1.1.19.1</v>
      </c>
      <c r="B166" s="4" t="str">
        <f>'6-A. Proc. Sub-Annex'!C94</f>
        <v>I.2.1.</v>
      </c>
      <c r="C166" s="4" t="str">
        <f>'6-A. Proc. Sub-Annex'!D94</f>
        <v>Grant-in-aid for District Hospitals</v>
      </c>
      <c r="D166" s="8">
        <f>'6-A. Proc. Sub-Annex'!G94</f>
        <v>0</v>
      </c>
      <c r="E166" s="8">
        <f>'6-A. Proc. Sub-Annex'!H94</f>
        <v>0</v>
      </c>
      <c r="F166" s="8">
        <f>'6-A. Proc. Sub-Annex'!I94</f>
        <v>0</v>
      </c>
      <c r="G166" s="8">
        <f>'6-A. Proc. Sub-Annex'!J94</f>
        <v>0</v>
      </c>
      <c r="H166" s="8">
        <f>'6-A. Proc. Sub-Annex'!K94</f>
        <v>0</v>
      </c>
      <c r="I166" s="8" t="str">
        <f>'6-A. Proc. Sub-Annex'!L94</f>
        <v>Per District Hospital</v>
      </c>
      <c r="J166" s="8">
        <f>'6-A. Proc. Sub-Annex'!M94</f>
        <v>4000000</v>
      </c>
      <c r="K166" s="8">
        <f>'6-A. Proc. Sub-Annex'!N94</f>
        <v>40</v>
      </c>
      <c r="L166" s="8">
        <f>'6-A. Proc. Sub-Annex'!O94</f>
        <v>5</v>
      </c>
      <c r="M166" s="8">
        <f>'6-A. Proc. Sub-Annex'!P94</f>
        <v>200</v>
      </c>
      <c r="N166" s="8" t="str">
        <f>'6-A. Proc. Sub-Annex'!Q94</f>
        <v>Continuous Activity:-
For Strengthening of Eye Health facilities in  District Hospital.</v>
      </c>
      <c r="O166" s="8">
        <f>'6-A. Proc. Sub-Annex'!R94</f>
        <v>0</v>
      </c>
      <c r="P166" s="8">
        <f>'6-A. Proc. Sub-Annex'!S94</f>
        <v>0</v>
      </c>
    </row>
    <row r="167" spans="1:16" ht="25.5">
      <c r="A167" s="4" t="str">
        <f>'6-A. Proc. Sub-Annex'!B95</f>
        <v>6.1.1.19.2</v>
      </c>
      <c r="B167" s="4" t="str">
        <f>'6-A. Proc. Sub-Annex'!C95</f>
        <v>I.2.2.</v>
      </c>
      <c r="C167" s="4" t="str">
        <f>'6-A. Proc. Sub-Annex'!D95</f>
        <v>Grant-in-aid for Sub Divisional Hospitals</v>
      </c>
      <c r="D167" s="8">
        <f>'6-A. Proc. Sub-Annex'!G95</f>
        <v>0</v>
      </c>
      <c r="E167" s="8">
        <f>'6-A. Proc. Sub-Annex'!H95</f>
        <v>0</v>
      </c>
      <c r="F167" s="8">
        <f>'6-A. Proc. Sub-Annex'!I95</f>
        <v>0</v>
      </c>
      <c r="G167" s="8">
        <f>'6-A. Proc. Sub-Annex'!J95</f>
        <v>0</v>
      </c>
      <c r="H167" s="8">
        <f>'6-A. Proc. Sub-Annex'!K95</f>
        <v>0</v>
      </c>
      <c r="I167" s="8">
        <f>'6-A. Proc. Sub-Annex'!L95</f>
        <v>0</v>
      </c>
      <c r="J167" s="8">
        <f>'6-A. Proc. Sub-Annex'!M95</f>
        <v>0</v>
      </c>
      <c r="K167" s="8">
        <f>'6-A. Proc. Sub-Annex'!N95</f>
        <v>0</v>
      </c>
      <c r="L167" s="8">
        <f>'6-A. Proc. Sub-Annex'!O95</f>
        <v>0</v>
      </c>
      <c r="M167" s="8">
        <f>'6-A. Proc. Sub-Annex'!P95</f>
        <v>0</v>
      </c>
      <c r="N167" s="8">
        <f>'6-A. Proc. Sub-Annex'!Q95</f>
        <v>0</v>
      </c>
      <c r="O167" s="8">
        <f>'6-A. Proc. Sub-Annex'!R95</f>
        <v>0</v>
      </c>
      <c r="P167" s="8">
        <f>'6-A. Proc. Sub-Annex'!S95</f>
        <v>0</v>
      </c>
    </row>
    <row r="168" spans="1:16" ht="25.5">
      <c r="A168" s="4" t="str">
        <f>'6-A. Proc. Sub-Annex'!B96</f>
        <v>6.1.1.19.3</v>
      </c>
      <c r="B168" s="4" t="str">
        <f>'6-A. Proc. Sub-Annex'!C96</f>
        <v>I.2.3</v>
      </c>
      <c r="C168" s="4" t="str">
        <f>'6-A. Proc. Sub-Annex'!D96</f>
        <v xml:space="preserve">Grant-in-aid for Vision Centre (PHC) (Govt.) </v>
      </c>
      <c r="D168" s="8">
        <f>'6-A. Proc. Sub-Annex'!G96</f>
        <v>0</v>
      </c>
      <c r="E168" s="8">
        <f>'6-A. Proc. Sub-Annex'!H96</f>
        <v>0</v>
      </c>
      <c r="F168" s="8">
        <f>'6-A. Proc. Sub-Annex'!I96</f>
        <v>0</v>
      </c>
      <c r="G168" s="8">
        <f>'6-A. Proc. Sub-Annex'!J96</f>
        <v>0</v>
      </c>
      <c r="H168" s="8">
        <f>'6-A. Proc. Sub-Annex'!K96</f>
        <v>0</v>
      </c>
      <c r="I168" s="8">
        <f>'6-A. Proc. Sub-Annex'!L96</f>
        <v>0</v>
      </c>
      <c r="J168" s="8">
        <f>'6-A. Proc. Sub-Annex'!M96</f>
        <v>0</v>
      </c>
      <c r="K168" s="8">
        <f>'6-A. Proc. Sub-Annex'!N96</f>
        <v>0</v>
      </c>
      <c r="L168" s="8">
        <f>'6-A. Proc. Sub-Annex'!O96</f>
        <v>0</v>
      </c>
      <c r="M168" s="8">
        <f>'6-A. Proc. Sub-Annex'!P96</f>
        <v>0</v>
      </c>
      <c r="N168" s="8">
        <f>'6-A. Proc. Sub-Annex'!Q96</f>
        <v>0</v>
      </c>
      <c r="O168" s="8">
        <f>'6-A. Proc. Sub-Annex'!R96</f>
        <v>0</v>
      </c>
      <c r="P168" s="8">
        <f>'6-A. Proc. Sub-Annex'!S96</f>
        <v>0</v>
      </c>
    </row>
    <row r="169" spans="1:16" ht="25.5">
      <c r="A169" s="4" t="str">
        <f>'6-A. Proc. Sub-Annex'!B97</f>
        <v>6.1.1.19.4</v>
      </c>
      <c r="B169" s="4" t="str">
        <f>'6-A. Proc. Sub-Annex'!C97</f>
        <v>I.2.4</v>
      </c>
      <c r="C169" s="4" t="str">
        <f>'6-A. Proc. Sub-Annex'!D97</f>
        <v>Grant-in-aid for Eye Bank (Govt.)</v>
      </c>
      <c r="D169" s="8">
        <f>'6-A. Proc. Sub-Annex'!G97</f>
        <v>0</v>
      </c>
      <c r="E169" s="8">
        <f>'6-A. Proc. Sub-Annex'!H97</f>
        <v>0</v>
      </c>
      <c r="F169" s="8">
        <f>'6-A. Proc. Sub-Annex'!I97</f>
        <v>0</v>
      </c>
      <c r="G169" s="8">
        <f>'6-A. Proc. Sub-Annex'!J97</f>
        <v>0</v>
      </c>
      <c r="H169" s="8">
        <f>'6-A. Proc. Sub-Annex'!K97</f>
        <v>0</v>
      </c>
      <c r="I169" s="8">
        <f>'6-A. Proc. Sub-Annex'!L97</f>
        <v>0</v>
      </c>
      <c r="J169" s="8">
        <f>'6-A. Proc. Sub-Annex'!M97</f>
        <v>0</v>
      </c>
      <c r="K169" s="8">
        <f>'6-A. Proc. Sub-Annex'!N97</f>
        <v>0</v>
      </c>
      <c r="L169" s="8">
        <f>'6-A. Proc. Sub-Annex'!O97</f>
        <v>0</v>
      </c>
      <c r="M169" s="8">
        <f>'6-A. Proc. Sub-Annex'!P97</f>
        <v>0</v>
      </c>
      <c r="N169" s="8">
        <f>'6-A. Proc. Sub-Annex'!Q97</f>
        <v>0</v>
      </c>
      <c r="O169" s="8">
        <f>'6-A. Proc. Sub-Annex'!R97</f>
        <v>0</v>
      </c>
      <c r="P169" s="8">
        <f>'6-A. Proc. Sub-Annex'!S97</f>
        <v>0</v>
      </c>
    </row>
    <row r="170" spans="1:16" ht="25.5">
      <c r="A170" s="4" t="str">
        <f>'6-A. Proc. Sub-Annex'!B98</f>
        <v>6.1.1.19.5</v>
      </c>
      <c r="B170" s="4" t="str">
        <f>'6-A. Proc. Sub-Annex'!C98</f>
        <v>I.2.5</v>
      </c>
      <c r="C170" s="4" t="str">
        <f>'6-A. Proc. Sub-Annex'!D98</f>
        <v>Grant-in-aid for Eye Donation Centre (Govt.)</v>
      </c>
      <c r="D170" s="8">
        <f>'6-A. Proc. Sub-Annex'!G98</f>
        <v>0</v>
      </c>
      <c r="E170" s="8">
        <f>'6-A. Proc. Sub-Annex'!H98</f>
        <v>0</v>
      </c>
      <c r="F170" s="8">
        <f>'6-A. Proc. Sub-Annex'!I98</f>
        <v>0</v>
      </c>
      <c r="G170" s="8">
        <f>'6-A. Proc. Sub-Annex'!J98</f>
        <v>0</v>
      </c>
      <c r="H170" s="8">
        <f>'6-A. Proc. Sub-Annex'!K98</f>
        <v>0</v>
      </c>
      <c r="I170" s="8">
        <f>'6-A. Proc. Sub-Annex'!L98</f>
        <v>0</v>
      </c>
      <c r="J170" s="8">
        <f>'6-A. Proc. Sub-Annex'!M98</f>
        <v>0</v>
      </c>
      <c r="K170" s="8">
        <f>'6-A. Proc. Sub-Annex'!N98</f>
        <v>0</v>
      </c>
      <c r="L170" s="8">
        <f>'6-A. Proc. Sub-Annex'!O98</f>
        <v>0</v>
      </c>
      <c r="M170" s="8">
        <f>'6-A. Proc. Sub-Annex'!P98</f>
        <v>0</v>
      </c>
      <c r="N170" s="8">
        <f>'6-A. Proc. Sub-Annex'!Q98</f>
        <v>0</v>
      </c>
      <c r="O170" s="8">
        <f>'6-A. Proc. Sub-Annex'!R98</f>
        <v>0</v>
      </c>
      <c r="P170" s="8">
        <f>'6-A. Proc. Sub-Annex'!S98</f>
        <v>0</v>
      </c>
    </row>
    <row r="171" spans="1:16" ht="25.5">
      <c r="A171" s="4" t="str">
        <f>'6-A. Proc. Sub-Annex'!B99</f>
        <v>6.1.1.20</v>
      </c>
      <c r="B171" s="4">
        <f>'6-A. Proc. Sub-Annex'!C99</f>
        <v>0</v>
      </c>
      <c r="C171" s="4" t="str">
        <f>'6-A. Proc. Sub-Annex'!D99</f>
        <v>Procurement of bio-medical and other Equipment: NMHP</v>
      </c>
      <c r="D171" s="8"/>
      <c r="E171" s="8"/>
      <c r="F171" s="8">
        <f>F172</f>
        <v>0</v>
      </c>
      <c r="G171" s="8">
        <f>G172</f>
        <v>0</v>
      </c>
      <c r="H171" s="8">
        <f>H172</f>
        <v>0</v>
      </c>
      <c r="I171" s="8"/>
      <c r="J171" s="8"/>
      <c r="K171" s="8"/>
      <c r="L171" s="8"/>
      <c r="M171" s="8">
        <f>M172</f>
        <v>10.5</v>
      </c>
      <c r="N171" s="8">
        <f>'6-A. Proc. Sub-Annex'!Q99</f>
        <v>0</v>
      </c>
      <c r="O171" s="8">
        <f>'6-A. Proc. Sub-Annex'!R99</f>
        <v>0</v>
      </c>
      <c r="P171" s="8">
        <f>P172</f>
        <v>0</v>
      </c>
    </row>
    <row r="172" spans="1:16" ht="76.5">
      <c r="A172" s="4" t="str">
        <f>'6-A. Proc. Sub-Annex'!B100</f>
        <v>6.1.1.20.1</v>
      </c>
      <c r="B172" s="4" t="str">
        <f>'6-A. Proc. Sub-Annex'!C100</f>
        <v>J.1.4</v>
      </c>
      <c r="C172" s="4" t="str">
        <f>'6-A. Proc. Sub-Annex'!D100</f>
        <v>Equipment</v>
      </c>
      <c r="D172" s="8">
        <f>'6-A. Proc. Sub-Annex'!G100</f>
        <v>0</v>
      </c>
      <c r="E172" s="8">
        <f>'6-A. Proc. Sub-Annex'!H100</f>
        <v>0</v>
      </c>
      <c r="F172" s="8">
        <f>'6-A. Proc. Sub-Annex'!I100</f>
        <v>0</v>
      </c>
      <c r="G172" s="8">
        <f>'6-A. Proc. Sub-Annex'!J100</f>
        <v>0</v>
      </c>
      <c r="H172" s="8">
        <f>'6-A. Proc. Sub-Annex'!K100</f>
        <v>0</v>
      </c>
      <c r="I172" s="8" t="str">
        <f>'6-A. Proc. Sub-Annex'!L100</f>
        <v>per district</v>
      </c>
      <c r="J172" s="8">
        <f>'6-A. Proc. Sub-Annex'!M100</f>
        <v>150000</v>
      </c>
      <c r="K172" s="8">
        <f>'6-A. Proc. Sub-Annex'!N100</f>
        <v>1.5</v>
      </c>
      <c r="L172" s="8">
        <f>'6-A. Proc. Sub-Annex'!O100</f>
        <v>7</v>
      </c>
      <c r="M172" s="8">
        <f>'6-A. Proc. Sub-Annex'!P100</f>
        <v>10.5</v>
      </c>
      <c r="N172" s="8" t="str">
        <f>'6-A. Proc. Sub-Annex'!Q100</f>
        <v>Rs. 1.5 lakh per district for 7 rest district to procure Psychotherapy Tools for clinical psychologist &amp; psychiatrist basic medical equipments</v>
      </c>
      <c r="O172" s="8">
        <f>'6-A. Proc. Sub-Annex'!R100</f>
        <v>0</v>
      </c>
      <c r="P172" s="8">
        <f>'6-A. Proc. Sub-Annex'!S100</f>
        <v>0</v>
      </c>
    </row>
    <row r="173" spans="1:16" ht="25.5">
      <c r="A173" s="4" t="str">
        <f>'6-A. Proc. Sub-Annex'!B101</f>
        <v>6.1.1.21</v>
      </c>
      <c r="B173" s="4" t="str">
        <f>'6-A. Proc. Sub-Annex'!C101</f>
        <v>B16.1.10</v>
      </c>
      <c r="C173" s="4" t="str">
        <f>'6-A. Proc. Sub-Annex'!D101</f>
        <v>Procurement of bio-medical and other Equipment: NPHCE</v>
      </c>
      <c r="D173" s="8"/>
      <c r="E173" s="8"/>
      <c r="F173" s="8">
        <f>SUM(F174:F178)</f>
        <v>62</v>
      </c>
      <c r="G173" s="8">
        <f>SUM(G174:G178)</f>
        <v>0</v>
      </c>
      <c r="H173" s="8">
        <f>SUM(H174:H178)</f>
        <v>0</v>
      </c>
      <c r="I173" s="8"/>
      <c r="J173" s="8"/>
      <c r="K173" s="8"/>
      <c r="L173" s="8"/>
      <c r="M173" s="8">
        <f>SUM(M174:M178)</f>
        <v>0</v>
      </c>
      <c r="N173" s="8">
        <f>'6-A. Proc. Sub-Annex'!Q101</f>
        <v>0</v>
      </c>
      <c r="O173" s="8">
        <f>'6-A. Proc. Sub-Annex'!R101</f>
        <v>0</v>
      </c>
      <c r="P173" s="8">
        <f>SUM(P174:P178)</f>
        <v>0</v>
      </c>
    </row>
    <row r="174" spans="1:16" ht="38.25">
      <c r="A174" s="4" t="str">
        <f>'6-A. Proc. Sub-Annex'!B102</f>
        <v>6.1.1.21.1</v>
      </c>
      <c r="B174" s="4" t="str">
        <f>'6-A. Proc. Sub-Annex'!C102</f>
        <v>K.1.1.1</v>
      </c>
      <c r="C174" s="4" t="str">
        <f>'6-A. Proc. Sub-Annex'!D102</f>
        <v>Recurring GIA: Machinery &amp; Equipment for DH @ 3 lakh/ CHC @ 0.50 lakh/ PHC @ 0.20 lakh</v>
      </c>
      <c r="D174" s="8">
        <f>'6-A. Proc. Sub-Annex'!G102</f>
        <v>0</v>
      </c>
      <c r="E174" s="8">
        <f>'6-A. Proc. Sub-Annex'!H102</f>
        <v>0</v>
      </c>
      <c r="F174" s="8">
        <f>'6-A. Proc. Sub-Annex'!I102</f>
        <v>0</v>
      </c>
      <c r="G174" s="8">
        <f>'6-A. Proc. Sub-Annex'!J102</f>
        <v>0</v>
      </c>
      <c r="H174" s="8">
        <f>'6-A. Proc. Sub-Annex'!K102</f>
        <v>0</v>
      </c>
      <c r="I174" s="8">
        <f>'6-A. Proc. Sub-Annex'!L102</f>
        <v>0</v>
      </c>
      <c r="J174" s="8">
        <f>'6-A. Proc. Sub-Annex'!M102</f>
        <v>0</v>
      </c>
      <c r="K174" s="8">
        <f>'6-A. Proc. Sub-Annex'!N102</f>
        <v>0</v>
      </c>
      <c r="L174" s="8">
        <f>'6-A. Proc. Sub-Annex'!O102</f>
        <v>0</v>
      </c>
      <c r="M174" s="8">
        <f>'6-A. Proc. Sub-Annex'!P102</f>
        <v>0</v>
      </c>
      <c r="N174" s="8">
        <f>'6-A. Proc. Sub-Annex'!Q102</f>
        <v>0</v>
      </c>
      <c r="O174" s="8">
        <f>'6-A. Proc. Sub-Annex'!R102</f>
        <v>0</v>
      </c>
      <c r="P174" s="8">
        <f>'6-A. Proc. Sub-Annex'!S102</f>
        <v>0</v>
      </c>
    </row>
    <row r="175" spans="1:16" ht="25.5">
      <c r="A175" s="4" t="str">
        <f>'6-A. Proc. Sub-Annex'!B103</f>
        <v>6.1.1.21.2</v>
      </c>
      <c r="B175" s="4" t="str">
        <f>'6-A. Proc. Sub-Annex'!C103</f>
        <v>K.1.4.1</v>
      </c>
      <c r="C175" s="4" t="str">
        <f>'6-A. Proc. Sub-Annex'!D103</f>
        <v>Aids and Appliances for Sub-Centre/HWC Sub Centre</v>
      </c>
      <c r="D175" s="8">
        <f>'6-A. Proc. Sub-Annex'!G103</f>
        <v>0</v>
      </c>
      <c r="E175" s="8">
        <f>'6-A. Proc. Sub-Annex'!H103</f>
        <v>0</v>
      </c>
      <c r="F175" s="8">
        <f>'6-A. Proc. Sub-Annex'!I103</f>
        <v>0</v>
      </c>
      <c r="G175" s="8">
        <f>'6-A. Proc. Sub-Annex'!J103</f>
        <v>0</v>
      </c>
      <c r="H175" s="8">
        <f>'6-A. Proc. Sub-Annex'!K103</f>
        <v>0</v>
      </c>
      <c r="I175" s="8">
        <f>'6-A. Proc. Sub-Annex'!L103</f>
        <v>0</v>
      </c>
      <c r="J175" s="8">
        <f>'6-A. Proc. Sub-Annex'!M103</f>
        <v>0</v>
      </c>
      <c r="K175" s="8">
        <f>'6-A. Proc. Sub-Annex'!N103</f>
        <v>0</v>
      </c>
      <c r="L175" s="8">
        <f>'6-A. Proc. Sub-Annex'!O103</f>
        <v>0</v>
      </c>
      <c r="M175" s="8">
        <f>'6-A. Proc. Sub-Annex'!P103</f>
        <v>0</v>
      </c>
      <c r="N175" s="8">
        <f>'6-A. Proc. Sub-Annex'!Q103</f>
        <v>0</v>
      </c>
      <c r="O175" s="8">
        <f>'6-A. Proc. Sub-Annex'!R103</f>
        <v>0</v>
      </c>
      <c r="P175" s="8">
        <f>'6-A. Proc. Sub-Annex'!S103</f>
        <v>0</v>
      </c>
    </row>
    <row r="176" spans="1:16" ht="25.5">
      <c r="A176" s="4" t="str">
        <f>'6-A. Proc. Sub-Annex'!B104</f>
        <v>6.1.1.21.3</v>
      </c>
      <c r="B176" s="4" t="str">
        <f>'6-A. Proc. Sub-Annex'!C104</f>
        <v>K.2.1.2</v>
      </c>
      <c r="C176" s="4" t="str">
        <f>'6-A. Proc. Sub-Annex'!D104</f>
        <v>Non-recurring GIA: Machinery &amp; Equipment for DH</v>
      </c>
      <c r="D176" s="8">
        <f>'6-A. Proc. Sub-Annex'!G104</f>
        <v>31</v>
      </c>
      <c r="E176" s="8">
        <f>'6-A. Proc. Sub-Annex'!H104</f>
        <v>0</v>
      </c>
      <c r="F176" s="8">
        <f>'6-A. Proc. Sub-Annex'!I104</f>
        <v>62</v>
      </c>
      <c r="G176" s="8">
        <f>'6-A. Proc. Sub-Annex'!J104</f>
        <v>0</v>
      </c>
      <c r="H176" s="8">
        <f>'6-A. Proc. Sub-Annex'!K104</f>
        <v>0</v>
      </c>
      <c r="I176" s="8">
        <f>'6-A. Proc. Sub-Annex'!L104</f>
        <v>0</v>
      </c>
      <c r="J176" s="8">
        <f>'6-A. Proc. Sub-Annex'!M104</f>
        <v>0</v>
      </c>
      <c r="K176" s="8">
        <f>'6-A. Proc. Sub-Annex'!N104</f>
        <v>0</v>
      </c>
      <c r="L176" s="8">
        <f>'6-A. Proc. Sub-Annex'!O104</f>
        <v>0</v>
      </c>
      <c r="M176" s="8">
        <f>'6-A. Proc. Sub-Annex'!P104</f>
        <v>0</v>
      </c>
      <c r="N176" s="8">
        <f>'6-A. Proc. Sub-Annex'!Q104</f>
        <v>0</v>
      </c>
      <c r="O176" s="8">
        <f>'6-A. Proc. Sub-Annex'!R104</f>
        <v>0</v>
      </c>
      <c r="P176" s="8">
        <f>'6-A. Proc. Sub-Annex'!S104</f>
        <v>0</v>
      </c>
    </row>
    <row r="177" spans="1:16" ht="25.5">
      <c r="A177" s="4" t="str">
        <f>'6-A. Proc. Sub-Annex'!B105</f>
        <v>6.1.1.21.4</v>
      </c>
      <c r="B177" s="4" t="str">
        <f>'6-A. Proc. Sub-Annex'!C105</f>
        <v>K.2.2</v>
      </c>
      <c r="C177" s="4" t="str">
        <f>'6-A. Proc. Sub-Annex'!D105</f>
        <v>Non-recurring GIA: Machinery &amp; Equipment for CHC</v>
      </c>
      <c r="D177" s="8">
        <f>'6-A. Proc. Sub-Annex'!G105</f>
        <v>0</v>
      </c>
      <c r="E177" s="8">
        <f>'6-A. Proc. Sub-Annex'!H105</f>
        <v>0</v>
      </c>
      <c r="F177" s="8">
        <f>'6-A. Proc. Sub-Annex'!I105</f>
        <v>0</v>
      </c>
      <c r="G177" s="8">
        <f>'6-A. Proc. Sub-Annex'!J105</f>
        <v>0</v>
      </c>
      <c r="H177" s="8">
        <f>'6-A. Proc. Sub-Annex'!K105</f>
        <v>0</v>
      </c>
      <c r="I177" s="8">
        <f>'6-A. Proc. Sub-Annex'!L105</f>
        <v>0</v>
      </c>
      <c r="J177" s="8">
        <f>'6-A. Proc. Sub-Annex'!M105</f>
        <v>0</v>
      </c>
      <c r="K177" s="8">
        <f>'6-A. Proc. Sub-Annex'!N105</f>
        <v>0</v>
      </c>
      <c r="L177" s="8">
        <f>'6-A. Proc. Sub-Annex'!O105</f>
        <v>0</v>
      </c>
      <c r="M177" s="8">
        <f>'6-A. Proc. Sub-Annex'!P105</f>
        <v>0</v>
      </c>
      <c r="N177" s="8">
        <f>'6-A. Proc. Sub-Annex'!Q105</f>
        <v>0</v>
      </c>
      <c r="O177" s="8">
        <f>'6-A. Proc. Sub-Annex'!R105</f>
        <v>0</v>
      </c>
      <c r="P177" s="8">
        <f>'6-A. Proc. Sub-Annex'!S105</f>
        <v>0</v>
      </c>
    </row>
    <row r="178" spans="1:16" ht="25.5">
      <c r="A178" s="4" t="str">
        <f>'6-A. Proc. Sub-Annex'!B106</f>
        <v>6.1.1.21.5</v>
      </c>
      <c r="B178" s="4" t="str">
        <f>'6-A. Proc. Sub-Annex'!C106</f>
        <v>K.2.3</v>
      </c>
      <c r="C178" s="4" t="str">
        <f>'6-A. Proc. Sub-Annex'!D106</f>
        <v>Non-recurring GIA: Machinery &amp; Equipment for PHC</v>
      </c>
      <c r="D178" s="8">
        <f>'6-A. Proc. Sub-Annex'!G106</f>
        <v>0</v>
      </c>
      <c r="E178" s="8">
        <f>'6-A. Proc. Sub-Annex'!H106</f>
        <v>0</v>
      </c>
      <c r="F178" s="8">
        <f>'6-A. Proc. Sub-Annex'!I106</f>
        <v>0</v>
      </c>
      <c r="G178" s="8">
        <f>'6-A. Proc. Sub-Annex'!J106</f>
        <v>0</v>
      </c>
      <c r="H178" s="8">
        <f>'6-A. Proc. Sub-Annex'!K106</f>
        <v>0</v>
      </c>
      <c r="I178" s="8">
        <f>'6-A. Proc. Sub-Annex'!L106</f>
        <v>0</v>
      </c>
      <c r="J178" s="8">
        <f>'6-A. Proc. Sub-Annex'!M106</f>
        <v>0</v>
      </c>
      <c r="K178" s="8">
        <f>'6-A. Proc. Sub-Annex'!N106</f>
        <v>0</v>
      </c>
      <c r="L178" s="8">
        <f>'6-A. Proc. Sub-Annex'!O106</f>
        <v>0</v>
      </c>
      <c r="M178" s="8">
        <f>'6-A. Proc. Sub-Annex'!P106</f>
        <v>0</v>
      </c>
      <c r="N178" s="8">
        <f>'6-A. Proc. Sub-Annex'!Q106</f>
        <v>0</v>
      </c>
      <c r="O178" s="8">
        <f>'6-A. Proc. Sub-Annex'!R106</f>
        <v>0</v>
      </c>
      <c r="P178" s="8">
        <f>'6-A. Proc. Sub-Annex'!S106</f>
        <v>0</v>
      </c>
    </row>
    <row r="179" spans="1:16" ht="25.5">
      <c r="A179" s="4" t="str">
        <f>'6-A. Proc. Sub-Annex'!B109</f>
        <v>6.1.1.22</v>
      </c>
      <c r="B179" s="4">
        <f>'6-A. Proc. Sub-Annex'!C109</f>
        <v>0</v>
      </c>
      <c r="C179" s="4" t="str">
        <f>'6-A. Proc. Sub-Annex'!D109</f>
        <v>Procurement of bio-medical and other equipment: NTCP</v>
      </c>
      <c r="D179" s="8"/>
      <c r="E179" s="8"/>
      <c r="F179" s="8">
        <f>SUM(F180:F182)</f>
        <v>0</v>
      </c>
      <c r="G179" s="8">
        <f>SUM(G180:G182)</f>
        <v>0</v>
      </c>
      <c r="H179" s="8">
        <f>SUM(H180:H182)</f>
        <v>0</v>
      </c>
      <c r="I179" s="8"/>
      <c r="J179" s="8"/>
      <c r="K179" s="8"/>
      <c r="L179" s="8"/>
      <c r="M179" s="8">
        <f>SUM(M180:M182)</f>
        <v>38</v>
      </c>
      <c r="N179" s="8">
        <f>'6-A. Proc. Sub-Annex'!Q109</f>
        <v>0</v>
      </c>
      <c r="O179" s="8">
        <f>'6-A. Proc. Sub-Annex'!R109</f>
        <v>0</v>
      </c>
      <c r="P179" s="8">
        <f>SUM(P180:P182)</f>
        <v>0</v>
      </c>
    </row>
    <row r="180" spans="1:16" ht="38.25">
      <c r="A180" s="4" t="str">
        <f>'6-A. Proc. Sub-Annex'!B110</f>
        <v>6.1.1.22.1</v>
      </c>
      <c r="B180" s="4" t="str">
        <f>'6-A. Proc. Sub-Annex'!C110</f>
        <v>M.1.5.1</v>
      </c>
      <c r="C180" s="4" t="str">
        <f>'6-A. Proc. Sub-Annex'!D110</f>
        <v>Non-recurring: Equipment for DTCC</v>
      </c>
      <c r="D180" s="8">
        <f>'6-A. Proc. Sub-Annex'!G110</f>
        <v>0</v>
      </c>
      <c r="E180" s="8">
        <f>'6-A. Proc. Sub-Annex'!H110</f>
        <v>0</v>
      </c>
      <c r="F180" s="8">
        <f>'6-A. Proc. Sub-Annex'!I110</f>
        <v>0</v>
      </c>
      <c r="G180" s="8">
        <f>'6-A. Proc. Sub-Annex'!J110</f>
        <v>0</v>
      </c>
      <c r="H180" s="8">
        <f>'6-A. Proc. Sub-Annex'!K110</f>
        <v>0</v>
      </c>
      <c r="I180" s="8" t="str">
        <f>'6-A. Proc. Sub-Annex'!L110</f>
        <v>per district</v>
      </c>
      <c r="J180" s="8">
        <f>'6-A. Proc. Sub-Annex'!M110</f>
        <v>100000</v>
      </c>
      <c r="K180" s="8">
        <f>'6-A. Proc. Sub-Annex'!N110</f>
        <v>1</v>
      </c>
      <c r="L180" s="8">
        <f>'6-A. Proc. Sub-Annex'!O110</f>
        <v>38</v>
      </c>
      <c r="M180" s="8">
        <f>'6-A. Proc. Sub-Annex'!P110</f>
        <v>38</v>
      </c>
      <c r="N180" s="8" t="str">
        <f>'6-A. Proc. Sub-Annex'!Q110</f>
        <v>For bare minimum office furnitures and other office equipments</v>
      </c>
      <c r="O180" s="8">
        <f>'6-A. Proc. Sub-Annex'!R110</f>
        <v>0</v>
      </c>
      <c r="P180" s="8">
        <f>'6-A. Proc. Sub-Annex'!S110</f>
        <v>0</v>
      </c>
    </row>
    <row r="181" spans="1:16" ht="25.5">
      <c r="A181" s="4" t="str">
        <f>'6-A. Proc. Sub-Annex'!B111</f>
        <v>6.1.1.22.2</v>
      </c>
      <c r="B181" s="4" t="str">
        <f>'6-A. Proc. Sub-Annex'!C111</f>
        <v>M.2.3.1</v>
      </c>
      <c r="C181" s="4" t="str">
        <f>'6-A. Proc. Sub-Annex'!D111</f>
        <v>Non-recurring: Equipment for TCC</v>
      </c>
      <c r="D181" s="8">
        <f>'6-A. Proc. Sub-Annex'!G111</f>
        <v>0</v>
      </c>
      <c r="E181" s="8">
        <f>'6-A. Proc. Sub-Annex'!H111</f>
        <v>0</v>
      </c>
      <c r="F181" s="8">
        <f>'6-A. Proc. Sub-Annex'!I111</f>
        <v>0</v>
      </c>
      <c r="G181" s="8">
        <f>'6-A. Proc. Sub-Annex'!J111</f>
        <v>0</v>
      </c>
      <c r="H181" s="8">
        <f>'6-A. Proc. Sub-Annex'!K111</f>
        <v>0</v>
      </c>
      <c r="I181" s="8">
        <f>'6-A. Proc. Sub-Annex'!L111</f>
        <v>0</v>
      </c>
      <c r="J181" s="8">
        <f>'6-A. Proc. Sub-Annex'!M111</f>
        <v>0</v>
      </c>
      <c r="K181" s="8">
        <f>'6-A. Proc. Sub-Annex'!N111</f>
        <v>0</v>
      </c>
      <c r="L181" s="8">
        <f>'6-A. Proc. Sub-Annex'!O111</f>
        <v>0</v>
      </c>
      <c r="M181" s="8">
        <f>'6-A. Proc. Sub-Annex'!P111</f>
        <v>0</v>
      </c>
      <c r="N181" s="8">
        <f>'6-A. Proc. Sub-Annex'!Q111</f>
        <v>0</v>
      </c>
      <c r="O181" s="8">
        <f>'6-A. Proc. Sub-Annex'!R111</f>
        <v>0</v>
      </c>
      <c r="P181" s="8">
        <f>'6-A. Proc. Sub-Annex'!S111</f>
        <v>0</v>
      </c>
    </row>
    <row r="182" spans="1:16" ht="25.5">
      <c r="A182" s="4" t="str">
        <f>'6-A. Proc. Sub-Annex'!B112</f>
        <v>6.1.1.22.3</v>
      </c>
      <c r="B182" s="4">
        <f>'6-A. Proc. Sub-Annex'!C112</f>
        <v>0</v>
      </c>
      <c r="C182" s="4" t="str">
        <f>'6-A. Proc. Sub-Annex'!D112</f>
        <v>Any other equipment (please specify)</v>
      </c>
      <c r="D182" s="8">
        <f>'6-A. Proc. Sub-Annex'!G112</f>
        <v>0</v>
      </c>
      <c r="E182" s="8">
        <f>'6-A. Proc. Sub-Annex'!H112</f>
        <v>0</v>
      </c>
      <c r="F182" s="8">
        <f>'6-A. Proc. Sub-Annex'!I112</f>
        <v>0</v>
      </c>
      <c r="G182" s="8">
        <f>'6-A. Proc. Sub-Annex'!J112</f>
        <v>0</v>
      </c>
      <c r="H182" s="8">
        <f>'6-A. Proc. Sub-Annex'!K112</f>
        <v>0</v>
      </c>
      <c r="I182" s="8">
        <f>'6-A. Proc. Sub-Annex'!L112</f>
        <v>0</v>
      </c>
      <c r="J182" s="8">
        <f>'6-A. Proc. Sub-Annex'!M112</f>
        <v>0</v>
      </c>
      <c r="K182" s="8">
        <f>'6-A. Proc. Sub-Annex'!N112</f>
        <v>0</v>
      </c>
      <c r="L182" s="8">
        <f>'6-A. Proc. Sub-Annex'!O112</f>
        <v>0</v>
      </c>
      <c r="M182" s="8">
        <f>'6-A. Proc. Sub-Annex'!P112</f>
        <v>0</v>
      </c>
      <c r="N182" s="8">
        <f>'6-A. Proc. Sub-Annex'!Q112</f>
        <v>0</v>
      </c>
      <c r="O182" s="8">
        <f>'6-A. Proc. Sub-Annex'!R112</f>
        <v>0</v>
      </c>
      <c r="P182" s="8">
        <f>'6-A. Proc. Sub-Annex'!S112</f>
        <v>0</v>
      </c>
    </row>
    <row r="183" spans="1:16" ht="25.5">
      <c r="A183" s="4" t="str">
        <f>'6-A. Proc. Sub-Annex'!B113</f>
        <v>6.1.1.23</v>
      </c>
      <c r="B183" s="4">
        <f>'6-A. Proc. Sub-Annex'!C113</f>
        <v>0</v>
      </c>
      <c r="C183" s="4" t="str">
        <f>'6-A. Proc. Sub-Annex'!D113</f>
        <v>Procurement of bio-medical and other equipment: NPCDCS</v>
      </c>
      <c r="D183" s="8"/>
      <c r="E183" s="8"/>
      <c r="F183" s="8">
        <f>SUM(F184:F188)</f>
        <v>1900184</v>
      </c>
      <c r="G183" s="8">
        <f>SUM(G184:G188)</f>
        <v>0</v>
      </c>
      <c r="H183" s="8">
        <f>SUM(H184:H188)</f>
        <v>0</v>
      </c>
      <c r="I183" s="8"/>
      <c r="J183" s="8"/>
      <c r="K183" s="8"/>
      <c r="L183" s="8"/>
      <c r="M183" s="8">
        <f>SUM(M184:M188)</f>
        <v>173</v>
      </c>
      <c r="N183" s="8">
        <f>'6-A. Proc. Sub-Annex'!Q113</f>
        <v>0</v>
      </c>
      <c r="O183" s="8">
        <f>'6-A. Proc. Sub-Annex'!R113</f>
        <v>0</v>
      </c>
      <c r="P183" s="8">
        <f>SUM(P184:P188)</f>
        <v>0</v>
      </c>
    </row>
    <row r="184" spans="1:16" ht="25.5">
      <c r="A184" s="4" t="str">
        <f>'6-A. Proc. Sub-Annex'!B114</f>
        <v>6.1.1.23.1</v>
      </c>
      <c r="B184" s="4" t="str">
        <f>'6-A. Proc. Sub-Annex'!C114</f>
        <v>O1.1.2.1</v>
      </c>
      <c r="C184" s="4" t="str">
        <f>'6-A. Proc. Sub-Annex'!D114</f>
        <v>Non-recurring: Equipping Cardiac Care Unit (CCU)/ICU</v>
      </c>
      <c r="D184" s="8">
        <f>'6-A. Proc. Sub-Annex'!G114</f>
        <v>0</v>
      </c>
      <c r="E184" s="8">
        <f>'6-A. Proc. Sub-Annex'!H114</f>
        <v>0</v>
      </c>
      <c r="F184" s="8">
        <f>'6-A. Proc. Sub-Annex'!I114</f>
        <v>0</v>
      </c>
      <c r="G184" s="8">
        <f>'6-A. Proc. Sub-Annex'!J114</f>
        <v>0</v>
      </c>
      <c r="H184" s="8">
        <f>'6-A. Proc. Sub-Annex'!K114</f>
        <v>0</v>
      </c>
      <c r="I184" s="8">
        <f>'6-A. Proc. Sub-Annex'!L114</f>
        <v>0</v>
      </c>
      <c r="J184" s="8">
        <f>'6-A. Proc. Sub-Annex'!M114</f>
        <v>0</v>
      </c>
      <c r="K184" s="8">
        <f>'6-A. Proc. Sub-Annex'!N114</f>
        <v>0</v>
      </c>
      <c r="L184" s="8">
        <f>'6-A. Proc. Sub-Annex'!O114</f>
        <v>0</v>
      </c>
      <c r="M184" s="8">
        <f>'6-A. Proc. Sub-Annex'!P114</f>
        <v>0</v>
      </c>
      <c r="N184" s="8">
        <f>'6-A. Proc. Sub-Annex'!Q114</f>
        <v>0</v>
      </c>
      <c r="O184" s="8">
        <f>'6-A. Proc. Sub-Annex'!R114</f>
        <v>0</v>
      </c>
      <c r="P184" s="8">
        <f>'6-A. Proc. Sub-Annex'!S114</f>
        <v>0</v>
      </c>
    </row>
    <row r="185" spans="1:16" ht="140.25">
      <c r="A185" s="4" t="str">
        <f>'6-A. Proc. Sub-Annex'!B115</f>
        <v>6.1.1.23.2</v>
      </c>
      <c r="B185" s="4" t="str">
        <f>'6-A. Proc. Sub-Annex'!C115</f>
        <v>O1.1.2.2</v>
      </c>
      <c r="C185" s="4" t="str">
        <f>'6-A. Proc. Sub-Annex'!D115</f>
        <v>Non recurring: Equipment for Cancer  Care</v>
      </c>
      <c r="D185" s="8">
        <f>'6-A. Proc. Sub-Annex'!G115</f>
        <v>38</v>
      </c>
      <c r="E185" s="8">
        <f>'6-A. Proc. Sub-Annex'!H115</f>
        <v>16</v>
      </c>
      <c r="F185" s="8">
        <f>'6-A. Proc. Sub-Annex'!I115</f>
        <v>19</v>
      </c>
      <c r="G185" s="8">
        <f>'6-A. Proc. Sub-Annex'!J115</f>
        <v>0</v>
      </c>
      <c r="H185" s="8">
        <f>'6-A. Proc. Sub-Annex'!K115</f>
        <v>0</v>
      </c>
      <c r="I185" s="8" t="str">
        <f>'6-A. Proc. Sub-Annex'!L115</f>
        <v>Per District</v>
      </c>
      <c r="J185" s="8">
        <f>'6-A. Proc. Sub-Annex'!M115</f>
        <v>25000</v>
      </c>
      <c r="K185" s="8">
        <f>'6-A. Proc. Sub-Annex'!N115</f>
        <v>0.25</v>
      </c>
      <c r="L185" s="8">
        <f>'6-A. Proc. Sub-Annex'!O115</f>
        <v>616</v>
      </c>
      <c r="M185" s="8">
        <f>'6-A. Proc. Sub-Annex'!P115</f>
        <v>154</v>
      </c>
      <c r="N185" s="8" t="str">
        <f>'6-A. Proc. Sub-Annex'!Q115</f>
        <v xml:space="preserve">Continued activity  Purchased of  Cancer care  Equipment   for screening (Spatula,Mouth mirror Torch, Cusco's Speculam and Acetic acid  etc                                                                                                                   Demand  All NCD Clinic Dist+CHC and SDH (38 +533+45)=616@25000 per Center   Required Amount 616*25000=154 Lakhs                                            </v>
      </c>
      <c r="O185" s="8">
        <f>'6-A. Proc. Sub-Annex'!R115</f>
        <v>0</v>
      </c>
      <c r="P185" s="8">
        <f>'6-A. Proc. Sub-Annex'!S115</f>
        <v>0</v>
      </c>
    </row>
    <row r="186" spans="1:16" ht="114.75">
      <c r="A186" s="4" t="str">
        <f>'6-A. Proc. Sub-Annex'!B116</f>
        <v>6.1.1.23.3</v>
      </c>
      <c r="B186" s="4" t="str">
        <f>'6-A. Proc. Sub-Annex'!C116</f>
        <v>O1.1.3.2</v>
      </c>
      <c r="C186" s="4" t="str">
        <f>'6-A. Proc. Sub-Annex'!D116</f>
        <v>Non-recurring: Equipment at District NCD clinic</v>
      </c>
      <c r="D186" s="8">
        <f>'6-A. Proc. Sub-Annex'!G116</f>
        <v>38</v>
      </c>
      <c r="E186" s="8">
        <f>'6-A. Proc. Sub-Annex'!H116</f>
        <v>38</v>
      </c>
      <c r="F186" s="8">
        <f>'6-A. Proc. Sub-Annex'!I116</f>
        <v>1900000</v>
      </c>
      <c r="G186" s="8">
        <f>'6-A. Proc. Sub-Annex'!J116</f>
        <v>0</v>
      </c>
      <c r="H186" s="8">
        <f>'6-A. Proc. Sub-Annex'!K116</f>
        <v>0</v>
      </c>
      <c r="I186" s="8" t="str">
        <f>'6-A. Proc. Sub-Annex'!L116</f>
        <v>Per NCD Clinic</v>
      </c>
      <c r="J186" s="8">
        <f>'6-A. Proc. Sub-Annex'!M116</f>
        <v>50000</v>
      </c>
      <c r="K186" s="8">
        <f>'6-A. Proc. Sub-Annex'!N116</f>
        <v>0.5</v>
      </c>
      <c r="L186" s="8">
        <f>'6-A. Proc. Sub-Annex'!O116</f>
        <v>38</v>
      </c>
      <c r="M186" s="8">
        <f>'6-A. Proc. Sub-Annex'!P116</f>
        <v>19</v>
      </c>
      <c r="N186" s="8" t="str">
        <f>'6-A. Proc. Sub-Annex'!Q116</f>
        <v xml:space="preserve">Continued Activity                                                                           Purchase of  Spirometer ( to diagnose Asthma, COPD and Covid-19) and other Equipment   etc.    Demand  Dist  NCD Clinic =38@50000 per NCD Clinic  Required Amount 38*50000=19 Lakhs                                                                                                                                                                                                            </v>
      </c>
      <c r="O186" s="8">
        <f>'6-A. Proc. Sub-Annex'!R116</f>
        <v>0</v>
      </c>
      <c r="P186" s="8">
        <f>'6-A. Proc. Sub-Annex'!S116</f>
        <v>0</v>
      </c>
    </row>
    <row r="187" spans="1:16" ht="25.5">
      <c r="A187" s="4" t="str">
        <f>'6-A. Proc. Sub-Annex'!B117</f>
        <v>6.1.1.23.4</v>
      </c>
      <c r="B187" s="4" t="str">
        <f>'6-A. Proc. Sub-Annex'!C117</f>
        <v>O1.1.4.1</v>
      </c>
      <c r="C187" s="4" t="str">
        <f>'6-A. Proc. Sub-Annex'!D117</f>
        <v>Non-recurring: Equipment at CHC NCD clinic</v>
      </c>
      <c r="D187" s="8">
        <f>'6-A. Proc. Sub-Annex'!G117</f>
        <v>267</v>
      </c>
      <c r="E187" s="8">
        <f>'6-A. Proc. Sub-Annex'!H117</f>
        <v>174</v>
      </c>
      <c r="F187" s="8">
        <f>'6-A. Proc. Sub-Annex'!I117</f>
        <v>133.5</v>
      </c>
      <c r="G187" s="8">
        <f>'6-A. Proc. Sub-Annex'!J117</f>
        <v>0</v>
      </c>
      <c r="H187" s="8">
        <f>'6-A. Proc. Sub-Annex'!K117</f>
        <v>0</v>
      </c>
      <c r="I187" s="8">
        <f>'6-A. Proc. Sub-Annex'!L117</f>
        <v>0</v>
      </c>
      <c r="J187" s="8">
        <f>'6-A. Proc. Sub-Annex'!M117</f>
        <v>0</v>
      </c>
      <c r="K187" s="8">
        <f>'6-A. Proc. Sub-Annex'!N117</f>
        <v>0</v>
      </c>
      <c r="L187" s="8">
        <f>'6-A. Proc. Sub-Annex'!O117</f>
        <v>0</v>
      </c>
      <c r="M187" s="8">
        <f>'6-A. Proc. Sub-Annex'!P117</f>
        <v>0</v>
      </c>
      <c r="N187" s="8">
        <f>'6-A. Proc. Sub-Annex'!Q117</f>
        <v>0</v>
      </c>
      <c r="O187" s="8">
        <f>'6-A. Proc. Sub-Annex'!R117</f>
        <v>0</v>
      </c>
      <c r="P187" s="8">
        <f>'6-A. Proc. Sub-Annex'!S117</f>
        <v>0</v>
      </c>
    </row>
    <row r="188" spans="1:16" ht="25.5">
      <c r="A188" s="4" t="str">
        <f>'6-A. Proc. Sub-Annex'!B119</f>
        <v>6.1.1.23.5</v>
      </c>
      <c r="B188" s="4">
        <f>'6-A. Proc. Sub-Annex'!C119</f>
        <v>0</v>
      </c>
      <c r="C188" s="4" t="str">
        <f>'6-A. Proc. Sub-Annex'!D119</f>
        <v>Any other equipment (please specify)</v>
      </c>
      <c r="D188" s="8">
        <f>'6-A. Proc. Sub-Annex'!G119</f>
        <v>63</v>
      </c>
      <c r="E188" s="8">
        <f>'6-A. Proc. Sub-Annex'!H119</f>
        <v>36</v>
      </c>
      <c r="F188" s="8">
        <f>'6-A. Proc. Sub-Annex'!I119</f>
        <v>31.5</v>
      </c>
      <c r="G188" s="8">
        <f>'6-A. Proc. Sub-Annex'!J119</f>
        <v>0</v>
      </c>
      <c r="H188" s="8">
        <f>'6-A. Proc. Sub-Annex'!K119</f>
        <v>0</v>
      </c>
      <c r="I188" s="8">
        <f>'6-A. Proc. Sub-Annex'!L119</f>
        <v>0</v>
      </c>
      <c r="J188" s="8">
        <f>'6-A. Proc. Sub-Annex'!M119</f>
        <v>0</v>
      </c>
      <c r="K188" s="8">
        <f>'6-A. Proc. Sub-Annex'!N119</f>
        <v>0</v>
      </c>
      <c r="L188" s="8">
        <f>'6-A. Proc. Sub-Annex'!O119</f>
        <v>0</v>
      </c>
      <c r="M188" s="8">
        <f>'6-A. Proc. Sub-Annex'!P119</f>
        <v>0</v>
      </c>
      <c r="N188" s="8">
        <f>'6-A. Proc. Sub-Annex'!Q119</f>
        <v>0</v>
      </c>
      <c r="O188" s="8">
        <f>'6-A. Proc. Sub-Annex'!R119</f>
        <v>0</v>
      </c>
      <c r="P188" s="8">
        <f>'6-A. Proc. Sub-Annex'!S119</f>
        <v>0</v>
      </c>
    </row>
    <row r="189" spans="1:16" ht="25.5">
      <c r="A189" s="4" t="str">
        <f>'6-A. Proc. Sub-Annex'!B120</f>
        <v>6.1.1.24</v>
      </c>
      <c r="B189" s="4" t="str">
        <f>'6-A. Proc. Sub-Annex'!C120</f>
        <v>B.13.4</v>
      </c>
      <c r="C189" s="4" t="str">
        <f>'6-A. Proc. Sub-Annex'!D120</f>
        <v>Procurement of bio-medical and other equipment: National Dialysis Programme</v>
      </c>
      <c r="D189" s="8"/>
      <c r="E189" s="8"/>
      <c r="F189" s="8">
        <f>SUM(F190:F191)</f>
        <v>0</v>
      </c>
      <c r="G189" s="8">
        <f>SUM(G190:G191)</f>
        <v>0</v>
      </c>
      <c r="H189" s="8">
        <f>SUM(H190:H191)</f>
        <v>0</v>
      </c>
      <c r="I189" s="8"/>
      <c r="J189" s="8"/>
      <c r="K189" s="8"/>
      <c r="L189" s="8"/>
      <c r="M189" s="8">
        <f>SUM(M190:M191)</f>
        <v>0</v>
      </c>
      <c r="N189" s="8">
        <f>'6-A. Proc. Sub-Annex'!Q120</f>
        <v>0</v>
      </c>
      <c r="O189" s="8">
        <f>'6-A. Proc. Sub-Annex'!R120</f>
        <v>0</v>
      </c>
      <c r="P189" s="8">
        <f>SUM(P190:P191)</f>
        <v>0</v>
      </c>
    </row>
    <row r="190" spans="1:16" ht="25.5">
      <c r="A190" s="4" t="str">
        <f>'6-A. Proc. Sub-Annex'!B121</f>
        <v>6.1.1.24.1</v>
      </c>
      <c r="B190" s="4">
        <f>'6-A. Proc. Sub-Annex'!C121</f>
        <v>0</v>
      </c>
      <c r="C190" s="4" t="str">
        <f>'6-A. Proc. Sub-Annex'!D121</f>
        <v xml:space="preserve">Medical devices as per National Dialysis Programme </v>
      </c>
      <c r="D190" s="8">
        <f>'6-A. Proc. Sub-Annex'!G121</f>
        <v>0</v>
      </c>
      <c r="E190" s="8">
        <f>'6-A. Proc. Sub-Annex'!H121</f>
        <v>0</v>
      </c>
      <c r="F190" s="8">
        <f>'6-A. Proc. Sub-Annex'!I121</f>
        <v>0</v>
      </c>
      <c r="G190" s="8">
        <f>'6-A. Proc. Sub-Annex'!J121</f>
        <v>0</v>
      </c>
      <c r="H190" s="8">
        <f>'6-A. Proc. Sub-Annex'!K121</f>
        <v>0</v>
      </c>
      <c r="I190" s="8">
        <f>'6-A. Proc. Sub-Annex'!L121</f>
        <v>0</v>
      </c>
      <c r="J190" s="8">
        <f>'6-A. Proc. Sub-Annex'!M121</f>
        <v>0</v>
      </c>
      <c r="K190" s="8">
        <f>'6-A. Proc. Sub-Annex'!N121</f>
        <v>0</v>
      </c>
      <c r="L190" s="8">
        <f>'6-A. Proc. Sub-Annex'!O121</f>
        <v>0</v>
      </c>
      <c r="M190" s="8">
        <f>'6-A. Proc. Sub-Annex'!P121</f>
        <v>0</v>
      </c>
      <c r="N190" s="8">
        <f>'6-A. Proc. Sub-Annex'!Q121</f>
        <v>0</v>
      </c>
      <c r="O190" s="8">
        <f>'6-A. Proc. Sub-Annex'!R121</f>
        <v>0</v>
      </c>
      <c r="P190" s="8">
        <f>'6-A. Proc. Sub-Annex'!S121</f>
        <v>0</v>
      </c>
    </row>
    <row r="191" spans="1:16" ht="25.5">
      <c r="A191" s="4" t="str">
        <f>'6-A. Proc. Sub-Annex'!B122</f>
        <v>6.1.1.24.2</v>
      </c>
      <c r="B191" s="4">
        <f>'6-A. Proc. Sub-Annex'!C122</f>
        <v>0</v>
      </c>
      <c r="C191" s="4" t="str">
        <f>'6-A. Proc. Sub-Annex'!D122</f>
        <v>Any other equipment (please specify)</v>
      </c>
      <c r="D191" s="8">
        <f>'6-A. Proc. Sub-Annex'!G122</f>
        <v>0</v>
      </c>
      <c r="E191" s="8">
        <f>'6-A. Proc. Sub-Annex'!H122</f>
        <v>0</v>
      </c>
      <c r="F191" s="8">
        <f>'6-A. Proc. Sub-Annex'!I122</f>
        <v>0</v>
      </c>
      <c r="G191" s="8">
        <f>'6-A. Proc. Sub-Annex'!J122</f>
        <v>0</v>
      </c>
      <c r="H191" s="8">
        <f>'6-A. Proc. Sub-Annex'!K122</f>
        <v>0</v>
      </c>
      <c r="I191" s="8">
        <f>'6-A. Proc. Sub-Annex'!L122</f>
        <v>0</v>
      </c>
      <c r="J191" s="8">
        <f>'6-A. Proc. Sub-Annex'!M122</f>
        <v>0</v>
      </c>
      <c r="K191" s="8">
        <f>'6-A. Proc. Sub-Annex'!N122</f>
        <v>0</v>
      </c>
      <c r="L191" s="8">
        <f>'6-A. Proc. Sub-Annex'!O122</f>
        <v>0</v>
      </c>
      <c r="M191" s="8">
        <f>'6-A. Proc. Sub-Annex'!P122</f>
        <v>0</v>
      </c>
      <c r="N191" s="8">
        <f>'6-A. Proc. Sub-Annex'!Q122</f>
        <v>0</v>
      </c>
      <c r="O191" s="8">
        <f>'6-A. Proc. Sub-Annex'!R122</f>
        <v>0</v>
      </c>
      <c r="P191" s="8">
        <f>'6-A. Proc. Sub-Annex'!S122</f>
        <v>0</v>
      </c>
    </row>
    <row r="192" spans="1:16">
      <c r="A192" s="4" t="str">
        <f>'6-A. Proc. Sub-Annex'!B55</f>
        <v>6.1.1.25</v>
      </c>
      <c r="B192" s="4">
        <f>'6-A. Proc. Sub-Annex'!C55</f>
        <v>0</v>
      </c>
      <c r="C192" s="4" t="str">
        <f>'6-A. Proc. Sub-Annex'!D55</f>
        <v>Procurement of any other equipment</v>
      </c>
      <c r="D192" s="8"/>
      <c r="E192" s="8"/>
      <c r="F192" s="8">
        <f>SUM(F193:F193)</f>
        <v>0</v>
      </c>
      <c r="G192" s="8">
        <f>SUM(G193:G193)</f>
        <v>0</v>
      </c>
      <c r="H192" s="8">
        <f>SUM(H193:H193)</f>
        <v>0</v>
      </c>
      <c r="I192" s="8"/>
      <c r="J192" s="8"/>
      <c r="K192" s="8"/>
      <c r="L192" s="8"/>
      <c r="M192" s="8">
        <f>SUM(M193:M193)</f>
        <v>0</v>
      </c>
      <c r="N192" s="8">
        <f>'6-A. Proc. Sub-Annex'!Q55</f>
        <v>0</v>
      </c>
      <c r="O192" s="8">
        <f>'6-A. Proc. Sub-Annex'!R55</f>
        <v>0</v>
      </c>
      <c r="P192" s="8">
        <f>SUM(P193:P193)</f>
        <v>0</v>
      </c>
    </row>
    <row r="193" spans="1:16" ht="38.25">
      <c r="A193" s="4" t="str">
        <f>'6-A. Proc. Sub-Annex'!B56</f>
        <v>6.1.1.25.1</v>
      </c>
      <c r="B193" s="4">
        <f>'6-A. Proc. Sub-Annex'!C56</f>
        <v>0</v>
      </c>
      <c r="C193" s="4" t="str">
        <f>'6-A. Proc. Sub-Annex'!D56</f>
        <v>Any other equipment for hospital strengthening as per IPHS (please specify)</v>
      </c>
      <c r="D193" s="8">
        <f>'6-A. Proc. Sub-Annex'!G56</f>
        <v>0</v>
      </c>
      <c r="E193" s="8">
        <f>'6-A. Proc. Sub-Annex'!H56</f>
        <v>0</v>
      </c>
      <c r="F193" s="8">
        <f>'6-A. Proc. Sub-Annex'!I56</f>
        <v>0</v>
      </c>
      <c r="G193" s="8">
        <f>'6-A. Proc. Sub-Annex'!J56</f>
        <v>0</v>
      </c>
      <c r="H193" s="8">
        <f>'6-A. Proc. Sub-Annex'!K56</f>
        <v>0</v>
      </c>
      <c r="I193" s="8">
        <f>'6-A. Proc. Sub-Annex'!L56</f>
        <v>0</v>
      </c>
      <c r="J193" s="8">
        <f>'6-A. Proc. Sub-Annex'!M56</f>
        <v>0</v>
      </c>
      <c r="K193" s="8">
        <f>'6-A. Proc. Sub-Annex'!N56</f>
        <v>0</v>
      </c>
      <c r="L193" s="8">
        <f>'6-A. Proc. Sub-Annex'!O56</f>
        <v>0</v>
      </c>
      <c r="M193" s="8">
        <f>'6-A. Proc. Sub-Annex'!P56</f>
        <v>0</v>
      </c>
      <c r="N193" s="8">
        <f>'6-A. Proc. Sub-Annex'!Q56</f>
        <v>0</v>
      </c>
      <c r="O193" s="8">
        <f>'6-A. Proc. Sub-Annex'!R56</f>
        <v>0</v>
      </c>
      <c r="P193" s="8">
        <f>'6-A. Proc. Sub-Annex'!S56</f>
        <v>0</v>
      </c>
    </row>
    <row r="194" spans="1:16" ht="25.5">
      <c r="A194" s="4" t="str">
        <f>'6-A. Proc. Sub-Annex'!B17</f>
        <v>6.1.2.1.1</v>
      </c>
      <c r="B194" s="4">
        <f>'6-A. Proc. Sub-Annex'!C17</f>
        <v>0</v>
      </c>
      <c r="C194" s="4" t="str">
        <f>'6-A. Proc. Sub-Annex'!D17</f>
        <v>Furniture for paediatric OPD and ward</v>
      </c>
      <c r="D194" s="8">
        <f>'6-A. Proc. Sub-Annex'!G17</f>
        <v>0</v>
      </c>
      <c r="E194" s="8">
        <f>'6-A. Proc. Sub-Annex'!H17</f>
        <v>0</v>
      </c>
      <c r="F194" s="8">
        <f>'6-A. Proc. Sub-Annex'!I17</f>
        <v>0</v>
      </c>
      <c r="G194" s="8">
        <f>'6-A. Proc. Sub-Annex'!J17</f>
        <v>0</v>
      </c>
      <c r="H194" s="8">
        <f>'6-A. Proc. Sub-Annex'!K17</f>
        <v>0</v>
      </c>
      <c r="I194" s="8">
        <f>'6-A. Proc. Sub-Annex'!L17</f>
        <v>0</v>
      </c>
      <c r="J194" s="8">
        <f>'6-A. Proc. Sub-Annex'!M17</f>
        <v>0</v>
      </c>
      <c r="K194" s="8">
        <f>'6-A. Proc. Sub-Annex'!N17</f>
        <v>0</v>
      </c>
      <c r="L194" s="8">
        <f>'6-A. Proc. Sub-Annex'!O17</f>
        <v>0</v>
      </c>
      <c r="M194" s="8">
        <f>'6-A. Proc. Sub-Annex'!P17</f>
        <v>0</v>
      </c>
      <c r="N194" s="8">
        <f>'6-A. Proc. Sub-Annex'!Q17</f>
        <v>0</v>
      </c>
      <c r="O194" s="8">
        <f>'6-A. Proc. Sub-Annex'!R17</f>
        <v>0</v>
      </c>
      <c r="P194" s="8">
        <f>'6-A. Proc. Sub-Annex'!S17</f>
        <v>0</v>
      </c>
    </row>
    <row r="195" spans="1:16" ht="25.5">
      <c r="A195" s="4" t="str">
        <f>'6-A. Proc. Sub-Annex'!B32</f>
        <v>6.1.2.1.2</v>
      </c>
      <c r="B195" s="4" t="str">
        <f>'6-A. Proc. Sub-Annex'!C32</f>
        <v>B16.1.6.3.3</v>
      </c>
      <c r="C195" s="4" t="str">
        <f>'6-A. Proc. Sub-Annex'!D32</f>
        <v>Laptop for mobile health teams</v>
      </c>
      <c r="D195" s="8">
        <f>'6-A. Proc. Sub-Annex'!G32</f>
        <v>0</v>
      </c>
      <c r="E195" s="8">
        <f>'6-A. Proc. Sub-Annex'!H32</f>
        <v>0</v>
      </c>
      <c r="F195" s="8">
        <f>'6-A. Proc. Sub-Annex'!I32</f>
        <v>0</v>
      </c>
      <c r="G195" s="8">
        <f>'6-A. Proc. Sub-Annex'!J32</f>
        <v>0</v>
      </c>
      <c r="H195" s="8">
        <f>'6-A. Proc. Sub-Annex'!K32</f>
        <v>0</v>
      </c>
      <c r="I195" s="8">
        <f>'6-A. Proc. Sub-Annex'!L32</f>
        <v>0</v>
      </c>
      <c r="J195" s="8">
        <f>'6-A. Proc. Sub-Annex'!M32</f>
        <v>0</v>
      </c>
      <c r="K195" s="8">
        <f>'6-A. Proc. Sub-Annex'!N32</f>
        <v>0</v>
      </c>
      <c r="L195" s="8">
        <f>'6-A. Proc. Sub-Annex'!O32</f>
        <v>2</v>
      </c>
      <c r="M195" s="8">
        <f>'6-A. Proc. Sub-Annex'!P32</f>
        <v>0</v>
      </c>
      <c r="N195" s="8">
        <f>'6-A. Proc. Sub-Annex'!Q32</f>
        <v>0</v>
      </c>
      <c r="O195" s="8">
        <f>'6-A. Proc. Sub-Annex'!R32</f>
        <v>0</v>
      </c>
      <c r="P195" s="8">
        <f>'6-A. Proc. Sub-Annex'!S32</f>
        <v>0</v>
      </c>
    </row>
    <row r="196" spans="1:16" ht="25.5">
      <c r="A196" s="4" t="str">
        <f>'6-A. Proc. Sub-Annex'!B33</f>
        <v>6.1.2.1.3</v>
      </c>
      <c r="B196" s="4" t="str">
        <f>'6-A. Proc. Sub-Annex'!C33</f>
        <v>B16.1.6.3.4</v>
      </c>
      <c r="C196" s="4" t="str">
        <f>'6-A. Proc. Sub-Annex'!D33</f>
        <v>Desktop for DEIC</v>
      </c>
      <c r="D196" s="8">
        <f>'6-A. Proc. Sub-Annex'!G33</f>
        <v>0</v>
      </c>
      <c r="E196" s="8">
        <f>'6-A. Proc. Sub-Annex'!H33</f>
        <v>0</v>
      </c>
      <c r="F196" s="8">
        <f>'6-A. Proc. Sub-Annex'!I33</f>
        <v>0</v>
      </c>
      <c r="G196" s="8">
        <f>'6-A. Proc. Sub-Annex'!J33</f>
        <v>0</v>
      </c>
      <c r="H196" s="8">
        <f>'6-A. Proc. Sub-Annex'!K33</f>
        <v>0</v>
      </c>
      <c r="I196" s="8">
        <f>'6-A. Proc. Sub-Annex'!L33</f>
        <v>0</v>
      </c>
      <c r="J196" s="8">
        <f>'6-A. Proc. Sub-Annex'!M33</f>
        <v>0</v>
      </c>
      <c r="K196" s="8">
        <f>'6-A. Proc. Sub-Annex'!N33</f>
        <v>0</v>
      </c>
      <c r="L196" s="8">
        <f>'6-A. Proc. Sub-Annex'!O33</f>
        <v>0</v>
      </c>
      <c r="M196" s="8">
        <f>'6-A. Proc. Sub-Annex'!P33</f>
        <v>0</v>
      </c>
      <c r="N196" s="8">
        <f>'6-A. Proc. Sub-Annex'!Q33</f>
        <v>0</v>
      </c>
      <c r="O196" s="8">
        <f>'6-A. Proc. Sub-Annex'!R33</f>
        <v>0</v>
      </c>
      <c r="P196" s="8">
        <f>'6-A. Proc. Sub-Annex'!S33</f>
        <v>0</v>
      </c>
    </row>
    <row r="197" spans="1:16" ht="25.5">
      <c r="A197" s="4" t="str">
        <f>'6-A. Proc. Sub-Annex'!B78</f>
        <v>6.1.2.2.1</v>
      </c>
      <c r="B197" s="4" t="str">
        <f>'6-A. Proc. Sub-Annex'!C78</f>
        <v>F.1.3.f</v>
      </c>
      <c r="C197" s="4" t="str">
        <f>'6-A. Proc. Sub-Annex'!D78</f>
        <v>Fogging Machine</v>
      </c>
      <c r="D197" s="8">
        <f>'6-A. Proc. Sub-Annex'!G78</f>
        <v>0</v>
      </c>
      <c r="E197" s="8">
        <f>'6-A. Proc. Sub-Annex'!H78</f>
        <v>0</v>
      </c>
      <c r="F197" s="8">
        <f>'6-A. Proc. Sub-Annex'!I78</f>
        <v>0</v>
      </c>
      <c r="G197" s="8">
        <f>'6-A. Proc. Sub-Annex'!J78</f>
        <v>0</v>
      </c>
      <c r="H197" s="8">
        <f>'6-A. Proc. Sub-Annex'!K78</f>
        <v>0</v>
      </c>
      <c r="I197" s="8">
        <f>'6-A. Proc. Sub-Annex'!L78</f>
        <v>0</v>
      </c>
      <c r="J197" s="8">
        <f>'6-A. Proc. Sub-Annex'!M78</f>
        <v>0</v>
      </c>
      <c r="K197" s="8">
        <f>'6-A. Proc. Sub-Annex'!N78</f>
        <v>0</v>
      </c>
      <c r="L197" s="8">
        <f>'6-A. Proc. Sub-Annex'!O78</f>
        <v>0</v>
      </c>
      <c r="M197" s="8">
        <f>'6-A. Proc. Sub-Annex'!P78</f>
        <v>0</v>
      </c>
      <c r="N197" s="8">
        <f>'6-A. Proc. Sub-Annex'!Q78</f>
        <v>0</v>
      </c>
      <c r="O197" s="8">
        <f>'6-A. Proc. Sub-Annex'!R78</f>
        <v>0</v>
      </c>
      <c r="P197" s="8">
        <f>'6-A. Proc. Sub-Annex'!S78</f>
        <v>0</v>
      </c>
    </row>
    <row r="198" spans="1:16" ht="51">
      <c r="A198" s="4" t="str">
        <f>'6-A. Proc. Sub-Annex'!B79</f>
        <v>6.1.2.2.2</v>
      </c>
      <c r="B198" s="4" t="str">
        <f>'6-A. Proc. Sub-Annex'!C79</f>
        <v>F.1.5.a</v>
      </c>
      <c r="C198" s="4" t="str">
        <f>'6-A. Proc. Sub-Annex'!D79</f>
        <v>Spray Pumps &amp; accessories</v>
      </c>
      <c r="D198" s="8">
        <f>'6-A. Proc. Sub-Annex'!G79</f>
        <v>0</v>
      </c>
      <c r="E198" s="8">
        <f>'6-A. Proc. Sub-Annex'!H79</f>
        <v>0</v>
      </c>
      <c r="F198" s="8">
        <f>'6-A. Proc. Sub-Annex'!I79</f>
        <v>0</v>
      </c>
      <c r="G198" s="8">
        <f>'6-A. Proc. Sub-Annex'!J79</f>
        <v>0</v>
      </c>
      <c r="H198" s="8">
        <f>'6-A. Proc. Sub-Annex'!K79</f>
        <v>0</v>
      </c>
      <c r="I198" s="8" t="str">
        <f>'6-A. Proc. Sub-Annex'!L79</f>
        <v>Squad</v>
      </c>
      <c r="J198" s="8">
        <f>'6-A. Proc. Sub-Annex'!M79</f>
        <v>1234.4000000000001</v>
      </c>
      <c r="K198" s="8">
        <f>'6-A. Proc. Sub-Annex'!N79</f>
        <v>1.2344000000000001E-2</v>
      </c>
      <c r="L198" s="8">
        <f>'6-A. Proc. Sub-Annex'!O79</f>
        <v>1151</v>
      </c>
      <c r="M198" s="8">
        <f>'6-A. Proc. Sub-Annex'!P79</f>
        <v>14.207944000000001</v>
      </c>
      <c r="N198" s="8" t="str">
        <f>'6-A. Proc. Sub-Annex'!Q79</f>
        <v xml:space="preserve"> Rs.400/Squad/round for 1151 squad for two round &amp; 5 lac for purchase  bucket</v>
      </c>
      <c r="O198" s="8">
        <f>'6-A. Proc. Sub-Annex'!R79</f>
        <v>0</v>
      </c>
      <c r="P198" s="8">
        <f>'6-A. Proc. Sub-Annex'!S79</f>
        <v>0</v>
      </c>
    </row>
    <row r="199" spans="1:16" ht="25.5">
      <c r="A199" s="4" t="str">
        <f>'6-A. Proc. Sub-Annex'!B80</f>
        <v>6.1.2.2.3</v>
      </c>
      <c r="B199" s="4" t="str">
        <f>'6-A. Proc. Sub-Annex'!C80</f>
        <v>F.2.1.f</v>
      </c>
      <c r="C199" s="4" t="str">
        <f>'6-A. Proc. Sub-Annex'!D80</f>
        <v>Non-Health Equipment (NHP) - GFATM</v>
      </c>
      <c r="D199" s="8">
        <f>'6-A. Proc. Sub-Annex'!G80</f>
        <v>0</v>
      </c>
      <c r="E199" s="8">
        <f>'6-A. Proc. Sub-Annex'!H80</f>
        <v>0</v>
      </c>
      <c r="F199" s="8">
        <f>'6-A. Proc. Sub-Annex'!I80</f>
        <v>0</v>
      </c>
      <c r="G199" s="8">
        <f>'6-A. Proc. Sub-Annex'!J80</f>
        <v>0</v>
      </c>
      <c r="H199" s="8">
        <f>'6-A. Proc. Sub-Annex'!K80</f>
        <v>0</v>
      </c>
      <c r="I199" s="8">
        <f>'6-A. Proc. Sub-Annex'!L80</f>
        <v>0</v>
      </c>
      <c r="J199" s="8">
        <f>'6-A. Proc. Sub-Annex'!M80</f>
        <v>0</v>
      </c>
      <c r="K199" s="8">
        <f>'6-A. Proc. Sub-Annex'!N80</f>
        <v>0</v>
      </c>
      <c r="L199" s="8">
        <f>'6-A. Proc. Sub-Annex'!O80</f>
        <v>0</v>
      </c>
      <c r="M199" s="8">
        <f>'6-A. Proc. Sub-Annex'!P80</f>
        <v>0</v>
      </c>
      <c r="N199" s="8">
        <f>'6-A. Proc. Sub-Annex'!Q80</f>
        <v>0</v>
      </c>
      <c r="O199" s="8">
        <f>'6-A. Proc. Sub-Annex'!R80</f>
        <v>0</v>
      </c>
      <c r="P199" s="8">
        <f>'6-A. Proc. Sub-Annex'!S80</f>
        <v>0</v>
      </c>
    </row>
    <row r="200" spans="1:16" ht="25.5">
      <c r="A200" s="4" t="str">
        <f>'6-A. Proc. Sub-Annex'!B81</f>
        <v>6.1.2.2.4</v>
      </c>
      <c r="B200" s="4">
        <f>'6-A. Proc. Sub-Annex'!C81</f>
        <v>0</v>
      </c>
      <c r="C200" s="4" t="str">
        <f>'6-A. Proc. Sub-Annex'!D81</f>
        <v>Logistic for Entomological Lab Strengthening and others under MVCR</v>
      </c>
      <c r="D200" s="8">
        <f>'6-A. Proc. Sub-Annex'!G81</f>
        <v>0</v>
      </c>
      <c r="E200" s="8">
        <f>'6-A. Proc. Sub-Annex'!H81</f>
        <v>0</v>
      </c>
      <c r="F200" s="8">
        <f>'6-A. Proc. Sub-Annex'!I81</f>
        <v>0</v>
      </c>
      <c r="G200" s="8">
        <f>'6-A. Proc. Sub-Annex'!J81</f>
        <v>0</v>
      </c>
      <c r="H200" s="8">
        <f>'6-A. Proc. Sub-Annex'!K81</f>
        <v>0</v>
      </c>
      <c r="I200" s="8">
        <f>'6-A. Proc. Sub-Annex'!L81</f>
        <v>0</v>
      </c>
      <c r="J200" s="8">
        <f>'6-A. Proc. Sub-Annex'!M81</f>
        <v>0</v>
      </c>
      <c r="K200" s="8">
        <f>'6-A. Proc. Sub-Annex'!N81</f>
        <v>0</v>
      </c>
      <c r="L200" s="8">
        <f>'6-A. Proc. Sub-Annex'!O81</f>
        <v>0</v>
      </c>
      <c r="M200" s="8">
        <f>'6-A. Proc. Sub-Annex'!P81</f>
        <v>0</v>
      </c>
      <c r="N200" s="8">
        <f>'6-A. Proc. Sub-Annex'!Q81</f>
        <v>0</v>
      </c>
      <c r="O200" s="8">
        <f>'6-A. Proc. Sub-Annex'!R81</f>
        <v>0</v>
      </c>
      <c r="P200" s="8">
        <f>'6-A. Proc. Sub-Annex'!S81</f>
        <v>0</v>
      </c>
    </row>
    <row r="201" spans="1:16" ht="51">
      <c r="A201" s="4" t="str">
        <f>'6-A. Proc. Sub-Annex'!B82</f>
        <v>6.1.1.16.2/ 6.1.2.2.5</v>
      </c>
      <c r="B201" s="4">
        <f>'6-A. Proc. Sub-Annex'!C82</f>
        <v>0</v>
      </c>
      <c r="C201" s="4" t="str">
        <f>'6-A. Proc. Sub-Annex'!D82</f>
        <v>Any other equipment (please specify)</v>
      </c>
      <c r="D201" s="8">
        <f>'6-A. Proc. Sub-Annex'!G82</f>
        <v>0</v>
      </c>
      <c r="E201" s="8">
        <f>'6-A. Proc. Sub-Annex'!H82</f>
        <v>0</v>
      </c>
      <c r="F201" s="8">
        <f>'6-A. Proc. Sub-Annex'!I82</f>
        <v>0</v>
      </c>
      <c r="G201" s="8">
        <f>'6-A. Proc. Sub-Annex'!J82</f>
        <v>0</v>
      </c>
      <c r="H201" s="8">
        <f>'6-A. Proc. Sub-Annex'!K82</f>
        <v>0</v>
      </c>
      <c r="I201" s="8">
        <f>'6-A. Proc. Sub-Annex'!L82</f>
        <v>0</v>
      </c>
      <c r="J201" s="8">
        <f>'6-A. Proc. Sub-Annex'!M82</f>
        <v>0</v>
      </c>
      <c r="K201" s="8">
        <f>'6-A. Proc. Sub-Annex'!N82</f>
        <v>0</v>
      </c>
      <c r="L201" s="8">
        <f>'6-A. Proc. Sub-Annex'!O82</f>
        <v>0</v>
      </c>
      <c r="M201" s="8">
        <f>'6-A. Proc. Sub-Annex'!P82</f>
        <v>0</v>
      </c>
      <c r="N201" s="8">
        <f>'6-A. Proc. Sub-Annex'!Q82</f>
        <v>0</v>
      </c>
      <c r="O201" s="8">
        <f>'6-A. Proc. Sub-Annex'!R82</f>
        <v>0</v>
      </c>
      <c r="P201" s="8">
        <f>'6-A. Proc. Sub-Annex'!S82</f>
        <v>0</v>
      </c>
    </row>
    <row r="202" spans="1:16" ht="25.5">
      <c r="A202" s="4" t="str">
        <f>'6-A. Proc. Sub-Annex'!B85</f>
        <v>6.1.2.3.1</v>
      </c>
      <c r="B202" s="4" t="str">
        <f>'6-A. Proc. Sub-Annex'!C85</f>
        <v>G.2.1</v>
      </c>
      <c r="C202" s="4" t="str">
        <f>'6-A. Proc. Sub-Annex'!D85</f>
        <v>MCR</v>
      </c>
      <c r="D202" s="8">
        <f>'6-A. Proc. Sub-Annex'!G85</f>
        <v>0</v>
      </c>
      <c r="E202" s="8">
        <f>'6-A. Proc. Sub-Annex'!H85</f>
        <v>0</v>
      </c>
      <c r="F202" s="8">
        <f>'6-A. Proc. Sub-Annex'!I85</f>
        <v>0</v>
      </c>
      <c r="G202" s="8">
        <f>'6-A. Proc. Sub-Annex'!J85</f>
        <v>0</v>
      </c>
      <c r="H202" s="8">
        <f>'6-A. Proc. Sub-Annex'!K85</f>
        <v>0</v>
      </c>
      <c r="I202" s="8">
        <f>'6-A. Proc. Sub-Annex'!L85</f>
        <v>1</v>
      </c>
      <c r="J202" s="8">
        <f>'6-A. Proc. Sub-Annex'!M85</f>
        <v>400</v>
      </c>
      <c r="K202" s="8">
        <f>'6-A. Proc. Sub-Annex'!N85</f>
        <v>4.0000000000000001E-3</v>
      </c>
      <c r="L202" s="8">
        <f>'6-A. Proc. Sub-Annex'!O85</f>
        <v>20760</v>
      </c>
      <c r="M202" s="8">
        <f>'6-A. Proc. Sub-Annex'!P85</f>
        <v>83.04</v>
      </c>
      <c r="N202" s="8" t="str">
        <f>'6-A. Proc. Sub-Annex'!Q85</f>
        <v>400/pair of MCR (twice in a year)</v>
      </c>
      <c r="O202" s="8">
        <f>'6-A. Proc. Sub-Annex'!R85</f>
        <v>0</v>
      </c>
      <c r="P202" s="8">
        <f>'6-A. Proc. Sub-Annex'!S85</f>
        <v>0</v>
      </c>
    </row>
    <row r="203" spans="1:16" ht="38.25">
      <c r="A203" s="4" t="str">
        <f>'6-A. Proc. Sub-Annex'!B86</f>
        <v>6.1.2.3.2</v>
      </c>
      <c r="B203" s="4" t="str">
        <f>'6-A. Proc. Sub-Annex'!C86</f>
        <v>G.2.2</v>
      </c>
      <c r="C203" s="4" t="str">
        <f>'6-A. Proc. Sub-Annex'!D86</f>
        <v>Aids/Appliance</v>
      </c>
      <c r="D203" s="8">
        <f>'6-A. Proc. Sub-Annex'!G86</f>
        <v>0</v>
      </c>
      <c r="E203" s="8">
        <f>'6-A. Proc. Sub-Annex'!H86</f>
        <v>0</v>
      </c>
      <c r="F203" s="8">
        <f>'6-A. Proc. Sub-Annex'!I86</f>
        <v>0</v>
      </c>
      <c r="G203" s="8">
        <f>'6-A. Proc. Sub-Annex'!J86</f>
        <v>0</v>
      </c>
      <c r="H203" s="8">
        <f>'6-A. Proc. Sub-Annex'!K86</f>
        <v>0</v>
      </c>
      <c r="I203" s="8">
        <f>'6-A. Proc. Sub-Annex'!L86</f>
        <v>1</v>
      </c>
      <c r="J203" s="8">
        <f>'6-A. Proc. Sub-Annex'!M86</f>
        <v>17000</v>
      </c>
      <c r="K203" s="8">
        <f>'6-A. Proc. Sub-Annex'!N86</f>
        <v>0.17</v>
      </c>
      <c r="L203" s="8">
        <f>'6-A. Proc. Sub-Annex'!O86</f>
        <v>38</v>
      </c>
      <c r="M203" s="8">
        <f>'6-A. Proc. Sub-Annex'!P86</f>
        <v>6.4600000000000009</v>
      </c>
      <c r="N203" s="8" t="str">
        <f>'6-A. Proc. Sub-Annex'!Q86</f>
        <v>Self care kit, Theel chair Splints and other aids &amp; appliances.</v>
      </c>
      <c r="O203" s="8">
        <f>'6-A. Proc. Sub-Annex'!R86</f>
        <v>0</v>
      </c>
      <c r="P203" s="8">
        <f>'6-A. Proc. Sub-Annex'!S86</f>
        <v>0</v>
      </c>
    </row>
    <row r="204" spans="1:16" ht="25.5">
      <c r="A204" s="4" t="str">
        <f>'6-A. Proc. Sub-Annex'!B87</f>
        <v>6.1.2.3.3</v>
      </c>
      <c r="B204" s="4">
        <f>'6-A. Proc. Sub-Annex'!C87</f>
        <v>0</v>
      </c>
      <c r="C204" s="4" t="str">
        <f>'6-A. Proc. Sub-Annex'!D87</f>
        <v>Any other equipment (please specify)</v>
      </c>
      <c r="D204" s="8">
        <f>'6-A. Proc. Sub-Annex'!G87</f>
        <v>0</v>
      </c>
      <c r="E204" s="8">
        <f>'6-A. Proc. Sub-Annex'!H87</f>
        <v>0</v>
      </c>
      <c r="F204" s="8">
        <f>'6-A. Proc. Sub-Annex'!I87</f>
        <v>0</v>
      </c>
      <c r="G204" s="8">
        <f>'6-A. Proc. Sub-Annex'!J87</f>
        <v>0</v>
      </c>
      <c r="H204" s="8">
        <f>'6-A. Proc. Sub-Annex'!K87</f>
        <v>0</v>
      </c>
      <c r="I204" s="8">
        <f>'6-A. Proc. Sub-Annex'!L87</f>
        <v>0</v>
      </c>
      <c r="J204" s="8">
        <f>'6-A. Proc. Sub-Annex'!M87</f>
        <v>0</v>
      </c>
      <c r="K204" s="8">
        <f>'6-A. Proc. Sub-Annex'!N87</f>
        <v>0</v>
      </c>
      <c r="L204" s="8">
        <f>'6-A. Proc. Sub-Annex'!O87</f>
        <v>0</v>
      </c>
      <c r="M204" s="8">
        <f>'6-A. Proc. Sub-Annex'!P87</f>
        <v>0</v>
      </c>
      <c r="N204" s="8">
        <f>'6-A. Proc. Sub-Annex'!Q87</f>
        <v>0</v>
      </c>
      <c r="O204" s="8">
        <f>'6-A. Proc. Sub-Annex'!R87</f>
        <v>0</v>
      </c>
      <c r="P204" s="8">
        <f>'6-A. Proc. Sub-Annex'!S87</f>
        <v>0</v>
      </c>
    </row>
    <row r="205" spans="1:16" ht="38.25">
      <c r="A205" s="4" t="str">
        <f>'6-A. Proc. Sub-Annex'!B107</f>
        <v>6.1.2.4.1</v>
      </c>
      <c r="B205" s="4" t="str">
        <f>'6-A. Proc. Sub-Annex'!C107</f>
        <v>K.2.1.1</v>
      </c>
      <c r="C205" s="4" t="str">
        <f>'6-A. Proc. Sub-Annex'!D107</f>
        <v>Non-recurring GIA: Furniture of Geriatrics Unit with 10 beds and OPD facilities at DH</v>
      </c>
      <c r="D205" s="8">
        <f>'6-A. Proc. Sub-Annex'!G107</f>
        <v>0</v>
      </c>
      <c r="E205" s="8">
        <f>'6-A. Proc. Sub-Annex'!H107</f>
        <v>0</v>
      </c>
      <c r="F205" s="8">
        <f>'6-A. Proc. Sub-Annex'!I107</f>
        <v>0</v>
      </c>
      <c r="G205" s="8">
        <f>'6-A. Proc. Sub-Annex'!J107</f>
        <v>0</v>
      </c>
      <c r="H205" s="8">
        <f>'6-A. Proc. Sub-Annex'!K107</f>
        <v>0</v>
      </c>
      <c r="I205" s="8">
        <f>'6-A. Proc. Sub-Annex'!L107</f>
        <v>0</v>
      </c>
      <c r="J205" s="8">
        <f>'6-A. Proc. Sub-Annex'!M107</f>
        <v>0</v>
      </c>
      <c r="K205" s="8">
        <f>'6-A. Proc. Sub-Annex'!N107</f>
        <v>0</v>
      </c>
      <c r="L205" s="8">
        <f>'6-A. Proc. Sub-Annex'!O107</f>
        <v>0</v>
      </c>
      <c r="M205" s="8">
        <f>'6-A. Proc. Sub-Annex'!P107</f>
        <v>0</v>
      </c>
      <c r="N205" s="8">
        <f>'6-A. Proc. Sub-Annex'!Q107</f>
        <v>0</v>
      </c>
      <c r="O205" s="8">
        <f>'6-A. Proc. Sub-Annex'!R107</f>
        <v>0</v>
      </c>
      <c r="P205" s="8">
        <f>'6-A. Proc. Sub-Annex'!S107</f>
        <v>0</v>
      </c>
    </row>
    <row r="206" spans="1:16" ht="25.5">
      <c r="A206" s="4" t="str">
        <f>'6-A. Proc. Sub-Annex'!B108</f>
        <v>6.1.2.4.2</v>
      </c>
      <c r="B206" s="4">
        <f>'6-A. Proc. Sub-Annex'!C108</f>
        <v>0</v>
      </c>
      <c r="C206" s="4" t="str">
        <f>'6-A. Proc. Sub-Annex'!D108</f>
        <v>Any other equipment (please specify)</v>
      </c>
      <c r="D206" s="8">
        <f>'6-A. Proc. Sub-Annex'!G108</f>
        <v>0</v>
      </c>
      <c r="E206" s="8">
        <f>'6-A. Proc. Sub-Annex'!H108</f>
        <v>0</v>
      </c>
      <c r="F206" s="8">
        <f>'6-A. Proc. Sub-Annex'!I108</f>
        <v>0</v>
      </c>
      <c r="G206" s="8">
        <f>'6-A. Proc. Sub-Annex'!J108</f>
        <v>0</v>
      </c>
      <c r="H206" s="8">
        <f>'6-A. Proc. Sub-Annex'!K108</f>
        <v>0</v>
      </c>
      <c r="I206" s="8">
        <f>'6-A. Proc. Sub-Annex'!L108</f>
        <v>0</v>
      </c>
      <c r="J206" s="8">
        <f>'6-A. Proc. Sub-Annex'!M108</f>
        <v>0</v>
      </c>
      <c r="K206" s="8">
        <f>'6-A. Proc. Sub-Annex'!N108</f>
        <v>0</v>
      </c>
      <c r="L206" s="8">
        <f>'6-A. Proc. Sub-Annex'!O108</f>
        <v>0</v>
      </c>
      <c r="M206" s="8">
        <f>'6-A. Proc. Sub-Annex'!P108</f>
        <v>0</v>
      </c>
      <c r="N206" s="8">
        <f>'6-A. Proc. Sub-Annex'!Q108</f>
        <v>0</v>
      </c>
      <c r="O206" s="8">
        <f>'6-A. Proc. Sub-Annex'!R108</f>
        <v>0</v>
      </c>
      <c r="P206" s="8">
        <f>'6-A. Proc. Sub-Annex'!S108</f>
        <v>0</v>
      </c>
    </row>
    <row r="207" spans="1:16">
      <c r="A207" s="4" t="str">
        <f>'6-A. Proc. Sub-Annex'!B59</f>
        <v>6.1.2.5</v>
      </c>
      <c r="B207" s="4">
        <f>'6-A. Proc. Sub-Annex'!C59</f>
        <v>0</v>
      </c>
      <c r="C207" s="4" t="str">
        <f>'6-A. Proc. Sub-Annex'!D59</f>
        <v>IT Equipment for HWC</v>
      </c>
      <c r="D207" s="8"/>
      <c r="E207" s="8"/>
      <c r="F207" s="8">
        <f>SUM(F208:F209)</f>
        <v>0</v>
      </c>
      <c r="G207" s="8">
        <f>SUM(G208:G209)</f>
        <v>0</v>
      </c>
      <c r="H207" s="8">
        <f>SUM(H208:H209)</f>
        <v>0</v>
      </c>
      <c r="I207" s="8"/>
      <c r="J207" s="8"/>
      <c r="K207" s="8"/>
      <c r="L207" s="8"/>
      <c r="M207" s="8">
        <f>SUM(M208:M209)</f>
        <v>439.34999999999997</v>
      </c>
      <c r="N207" s="8">
        <f>'6-A. Proc. Sub-Annex'!Q59</f>
        <v>0</v>
      </c>
      <c r="O207" s="8">
        <f>'6-A. Proc. Sub-Annex'!R59</f>
        <v>0</v>
      </c>
      <c r="P207" s="8">
        <f>SUM(P208:P209)</f>
        <v>0</v>
      </c>
    </row>
    <row r="208" spans="1:16" ht="153">
      <c r="A208" s="4" t="str">
        <f>'6-A. Proc. Sub-Annex'!B60</f>
        <v>6.1.2.5.1</v>
      </c>
      <c r="B208" s="4">
        <f>'6-A. Proc. Sub-Annex'!C60</f>
        <v>0</v>
      </c>
      <c r="C208" s="4" t="str">
        <f>'6-A. Proc. Sub-Annex'!D60</f>
        <v xml:space="preserve">IT equipment for HWCs (PHC and SHCS) </v>
      </c>
      <c r="D208" s="8">
        <f>'6-A. Proc. Sub-Annex'!G60</f>
        <v>0</v>
      </c>
      <c r="E208" s="8">
        <f>'6-A. Proc. Sub-Annex'!H60</f>
        <v>0</v>
      </c>
      <c r="F208" s="8">
        <f>'6-A. Proc. Sub-Annex'!I60</f>
        <v>0</v>
      </c>
      <c r="G208" s="8">
        <f>'6-A. Proc. Sub-Annex'!J60</f>
        <v>0</v>
      </c>
      <c r="H208" s="8">
        <f>'6-A. Proc. Sub-Annex'!K60</f>
        <v>0</v>
      </c>
      <c r="I208" s="8" t="str">
        <f>'6-A. Proc. Sub-Annex'!L60</f>
        <v>No of CHOs</v>
      </c>
      <c r="J208" s="8">
        <f>'6-A. Proc. Sub-Annex'!M60</f>
        <v>15000</v>
      </c>
      <c r="K208" s="8">
        <f>'6-A. Proc. Sub-Annex'!N60</f>
        <v>0.15</v>
      </c>
      <c r="L208" s="8">
        <f>'6-A. Proc. Sub-Annex'!O60</f>
        <v>2929</v>
      </c>
      <c r="M208" s="8">
        <f>'6-A. Proc. Sub-Annex'!P60</f>
        <v>439.34999999999997</v>
      </c>
      <c r="N208" s="8" t="str">
        <f>'6-A. Proc. Sub-Annex'!Q60</f>
        <v>Continued activity- 
Proposed cost of one android tablet for 50 percent of total expected CHOs i.e. 2929 (5857/2) @ Rs 15000/- per Tablet. 
Total amount is 439350000. 
5857 (1230 + 2014 + 1527 + 1086) CHO expected to be posted . Half of the Number is 2929.</v>
      </c>
      <c r="O208" s="8">
        <f>'6-A. Proc. Sub-Annex'!R60</f>
        <v>0</v>
      </c>
      <c r="P208" s="8">
        <f>'6-A. Proc. Sub-Annex'!S60</f>
        <v>0</v>
      </c>
    </row>
    <row r="209" spans="1:16" ht="25.5">
      <c r="A209" s="4" t="str">
        <f>'6-A. Proc. Sub-Annex'!B62</f>
        <v>6.1.2.5.2</v>
      </c>
      <c r="B209" s="4">
        <f>'6-A. Proc. Sub-Annex'!C62</f>
        <v>0</v>
      </c>
      <c r="C209" s="4" t="str">
        <f>'6-A. Proc. Sub-Annex'!D62</f>
        <v>Tablets; software for implementation of ANMOL</v>
      </c>
      <c r="D209" s="8">
        <f>'6-A. Proc. Sub-Annex'!G62</f>
        <v>0</v>
      </c>
      <c r="E209" s="8">
        <f>'6-A. Proc. Sub-Annex'!H62</f>
        <v>0</v>
      </c>
      <c r="F209" s="8">
        <f>'6-A. Proc. Sub-Annex'!I62</f>
        <v>0</v>
      </c>
      <c r="G209" s="8">
        <f>'6-A. Proc. Sub-Annex'!J62</f>
        <v>0</v>
      </c>
      <c r="H209" s="8">
        <f>'6-A. Proc. Sub-Annex'!K62</f>
        <v>0</v>
      </c>
      <c r="I209" s="8">
        <f>'6-A. Proc. Sub-Annex'!L62</f>
        <v>0</v>
      </c>
      <c r="J209" s="8">
        <f>'6-A. Proc. Sub-Annex'!M62</f>
        <v>0</v>
      </c>
      <c r="K209" s="8">
        <f>'6-A. Proc. Sub-Annex'!N62</f>
        <v>0</v>
      </c>
      <c r="L209" s="8">
        <f>'6-A. Proc. Sub-Annex'!O62</f>
        <v>0</v>
      </c>
      <c r="M209" s="8">
        <f>'6-A. Proc. Sub-Annex'!P62</f>
        <v>0</v>
      </c>
      <c r="N209" s="8">
        <f>'6-A. Proc. Sub-Annex'!Q62</f>
        <v>0</v>
      </c>
      <c r="O209" s="8">
        <f>'6-A. Proc. Sub-Annex'!R62</f>
        <v>0</v>
      </c>
      <c r="P209" s="8">
        <f>'6-A. Proc. Sub-Annex'!S62</f>
        <v>0</v>
      </c>
    </row>
    <row r="210" spans="1:16" ht="318.75">
      <c r="A210" s="4" t="str">
        <f>'6-A. Proc. Sub-Annex'!B118</f>
        <v>6.1.2.6.1</v>
      </c>
      <c r="B210" s="4" t="str">
        <f>'6-A. Proc. Sub-Annex'!C118</f>
        <v>B.18.2</v>
      </c>
      <c r="C210" s="4" t="str">
        <f>'6-A. Proc. Sub-Annex'!D118</f>
        <v>Procurement for Universal Screening of NCDs</v>
      </c>
      <c r="D210" s="8">
        <f>'6-A. Proc. Sub-Annex'!G118</f>
        <v>2408</v>
      </c>
      <c r="E210" s="8">
        <f>'6-A. Proc. Sub-Annex'!H118</f>
        <v>997</v>
      </c>
      <c r="F210" s="8">
        <f>'6-A. Proc. Sub-Annex'!I118</f>
        <v>361.2</v>
      </c>
      <c r="G210" s="8">
        <f>'6-A. Proc. Sub-Annex'!J118</f>
        <v>13.18</v>
      </c>
      <c r="H210" s="8">
        <f>'6-A. Proc. Sub-Annex'!K118</f>
        <v>4.6399999999999997</v>
      </c>
      <c r="I210" s="8" t="str">
        <f>'6-A. Proc. Sub-Annex'!L118</f>
        <v>Per HSC</v>
      </c>
      <c r="J210" s="8">
        <f>'6-A. Proc. Sub-Annex'!M118</f>
        <v>20000</v>
      </c>
      <c r="K210" s="8">
        <f>'6-A. Proc. Sub-Annex'!N118</f>
        <v>0.2</v>
      </c>
      <c r="L210" s="8">
        <f>'6-A. Proc. Sub-Annex'!O118</f>
        <v>2874</v>
      </c>
      <c r="M210" s="8">
        <f>'6-A. Proc. Sub-Annex'!P118</f>
        <v>574.80000000000007</v>
      </c>
      <c r="N210" s="8" t="str">
        <f>'6-A. Proc. Sub-Annex'!Q118</f>
        <v>Continued Activity
Purchase of NCD Screening Kit for 2874  Proposed  HWC HSCs                  1.Digital BP Machine,2874*2000=57.48  Lakhs                                    2.Glucometer, Gluco strip, Lancet,  9426212*11=1036.88 Lakhs                                                                                   3.Cotton, Measuring Tape, 2874*100= 2.87                      4.Weighing Machine 2874*600=17.24                     5.Stadiometer 2874*1600==45.98                                       6.Torch,  Gloves, Mouth Mirror, 2874*600=17.24            7.Spatula, Cusco's Speculam and Acetic Acid) etc2874 @ Rs 1200 =34.48                                                                          per NCD Screening Kit.20000*2478=574.80 lakhs</v>
      </c>
      <c r="O210" s="8">
        <f>'6-A. Proc. Sub-Annex'!R118</f>
        <v>0</v>
      </c>
      <c r="P210" s="8">
        <f>'6-A. Proc. Sub-Annex'!S118</f>
        <v>0</v>
      </c>
    </row>
    <row r="211" spans="1:16" ht="357">
      <c r="A211" s="4" t="str">
        <f>'6-A. Proc. Sub-Annex'!B63</f>
        <v>6.1.2.6.2</v>
      </c>
      <c r="B211" s="4">
        <f>'6-A. Proc. Sub-Annex'!C63</f>
        <v>0</v>
      </c>
      <c r="C211" s="4" t="str">
        <f>'6-A. Proc. Sub-Annex'!D63</f>
        <v>Any other (please specify)</v>
      </c>
      <c r="D211" s="8">
        <f>'6-A. Proc. Sub-Annex'!G63</f>
        <v>0</v>
      </c>
      <c r="E211" s="8">
        <f>'6-A. Proc. Sub-Annex'!H63</f>
        <v>0</v>
      </c>
      <c r="F211" s="8">
        <f>'6-A. Proc. Sub-Annex'!I63</f>
        <v>0</v>
      </c>
      <c r="G211" s="8">
        <f>'6-A. Proc. Sub-Annex'!J63</f>
        <v>0</v>
      </c>
      <c r="H211" s="8">
        <f>'6-A. Proc. Sub-Annex'!K63</f>
        <v>0</v>
      </c>
      <c r="I211" s="8">
        <f>'6-A. Proc. Sub-Annex'!L63</f>
        <v>1</v>
      </c>
      <c r="J211" s="8">
        <f>'6-A. Proc. Sub-Annex'!M63</f>
        <v>6000000</v>
      </c>
      <c r="K211" s="8">
        <f>'6-A. Proc. Sub-Annex'!N63</f>
        <v>60</v>
      </c>
      <c r="L211" s="8">
        <f>'6-A. Proc. Sub-Annex'!O63</f>
        <v>1</v>
      </c>
      <c r="M211" s="8">
        <f>'6-A. Proc. Sub-Annex'!P63</f>
        <v>60</v>
      </c>
      <c r="N211" s="8" t="str">
        <f>'6-A. Proc. Sub-Annex'!Q63</f>
        <v>Continue Activities: SHSB has implemented the Online Web-based application system i.e. online Financial Management Information &amp; reporting System for all health facilities across state. This will bring integrity of financial data, uniformity in reporting and transparency of financial data at every level of across state. for cost of 60 lakh for cost of renewal, upgradation, customization, training &amp; capacity building, establishing central helpdesk and other related activities of software in government health facilities, health department offices and other government facilities in the state working under National Health Mission (NHM). Detail as per attached justification note</v>
      </c>
      <c r="O211" s="8">
        <f>'6-A. Proc. Sub-Annex'!R63</f>
        <v>0</v>
      </c>
      <c r="P211" s="8">
        <f>'6-A. Proc. Sub-Annex'!S63</f>
        <v>0</v>
      </c>
    </row>
    <row r="212" spans="1:16">
      <c r="A212" s="32">
        <f>'6-A. Proc. Sub-Annex'!B277</f>
        <v>6.5</v>
      </c>
      <c r="B212" s="32">
        <f>'6-A. Proc. Sub-Annex'!C277</f>
        <v>0</v>
      </c>
      <c r="C212" s="32" t="str">
        <f>'6-A. Proc. Sub-Annex'!D277</f>
        <v>Procurement (Others)</v>
      </c>
      <c r="D212" s="39"/>
      <c r="E212" s="39"/>
      <c r="F212" s="39">
        <f>F213</f>
        <v>65</v>
      </c>
      <c r="G212" s="39">
        <f>G213</f>
        <v>0.32</v>
      </c>
      <c r="H212" s="39">
        <f>H213</f>
        <v>0</v>
      </c>
      <c r="I212" s="39"/>
      <c r="J212" s="39"/>
      <c r="K212" s="39"/>
      <c r="L212" s="39"/>
      <c r="M212" s="39">
        <f>M213</f>
        <v>184.32</v>
      </c>
      <c r="N212" s="39"/>
      <c r="O212" s="39"/>
      <c r="P212" s="39">
        <f>P213</f>
        <v>0</v>
      </c>
    </row>
    <row r="213" spans="1:16" ht="114.75">
      <c r="A213" s="4" t="str">
        <f>'6-A. Proc. Sub-Annex'!B278</f>
        <v>6.5.1</v>
      </c>
      <c r="B213" s="4" t="str">
        <f>'6-A. Proc. Sub-Annex'!C278</f>
        <v>H.16</v>
      </c>
      <c r="C213" s="4" t="str">
        <f>'6-A. Proc. Sub-Annex'!D278</f>
        <v>Replacement of Vehicles under NTEP</v>
      </c>
      <c r="D213" s="8">
        <f>'6-A. Proc. Sub-Annex'!G278</f>
        <v>0</v>
      </c>
      <c r="E213" s="8">
        <f>'6-A. Proc. Sub-Annex'!H278</f>
        <v>0</v>
      </c>
      <c r="F213" s="8">
        <f>'6-A. Proc. Sub-Annex'!I278</f>
        <v>65</v>
      </c>
      <c r="G213" s="8">
        <f>'6-A. Proc. Sub-Annex'!J278</f>
        <v>0.32</v>
      </c>
      <c r="H213" s="8">
        <f>'6-A. Proc. Sub-Annex'!K278</f>
        <v>0</v>
      </c>
      <c r="I213" s="8" t="str">
        <f>'6-A. Proc. Sub-Annex'!L278</f>
        <v>No. of Vehicles</v>
      </c>
      <c r="J213" s="8">
        <f>'6-A. Proc. Sub-Annex'!M278</f>
        <v>48000</v>
      </c>
      <c r="K213" s="8">
        <f>'6-A. Proc. Sub-Annex'!N278</f>
        <v>0.48</v>
      </c>
      <c r="L213" s="8">
        <f>'6-A. Proc. Sub-Annex'!O278</f>
        <v>384</v>
      </c>
      <c r="M213" s="8">
        <f>'6-A. Proc. Sub-Annex'!P278</f>
        <v>184.32</v>
      </c>
      <c r="N213" s="8" t="str">
        <f>'6-A. Proc. Sub-Annex'!Q278</f>
        <v>More then 15 Years old Vehciles - 90 and 294 new vehicles (64 STLS, 217 STS, 13 DPS-The budget is proposed as mobility support to the TB supervisors @INR 4000/month/supervisor for field visit.</v>
      </c>
      <c r="O213" s="8">
        <f>'6-A. Proc. Sub-Annex'!R278</f>
        <v>0</v>
      </c>
      <c r="P213" s="8">
        <f>'6-A. Proc. Sub-Annex'!S278</f>
        <v>0</v>
      </c>
    </row>
    <row r="214" spans="1:16">
      <c r="A214" s="31">
        <f>'7.Referral Transport Annex'!A7</f>
        <v>7</v>
      </c>
      <c r="B214" s="31">
        <f>'7.Referral Transport Annex'!B7</f>
        <v>0</v>
      </c>
      <c r="C214" s="31" t="str">
        <f>'7.Referral Transport Annex'!C7</f>
        <v>Referral Transport</v>
      </c>
      <c r="D214" s="38"/>
      <c r="E214" s="38"/>
      <c r="F214" s="38">
        <f>F215</f>
        <v>0</v>
      </c>
      <c r="G214" s="38">
        <f>G215</f>
        <v>0</v>
      </c>
      <c r="H214" s="38">
        <f>H215</f>
        <v>0</v>
      </c>
      <c r="I214" s="38"/>
      <c r="J214" s="38"/>
      <c r="K214" s="38"/>
      <c r="L214" s="38"/>
      <c r="M214" s="38">
        <f>M215</f>
        <v>0</v>
      </c>
      <c r="N214" s="38"/>
      <c r="O214" s="38"/>
      <c r="P214" s="38">
        <f>P215</f>
        <v>0</v>
      </c>
    </row>
    <row r="215" spans="1:16">
      <c r="A215" s="32">
        <f>'7.Referral Transport Annex'!A11</f>
        <v>7.4</v>
      </c>
      <c r="B215" s="32" t="str">
        <f>'7.Referral Transport Annex'!B11</f>
        <v>B12</v>
      </c>
      <c r="C215" s="32" t="str">
        <f>'7.Referral Transport Annex'!C11</f>
        <v>National Ambulance Service</v>
      </c>
      <c r="D215" s="39"/>
      <c r="E215" s="39"/>
      <c r="F215" s="39">
        <f>SUM(F216:F216)</f>
        <v>0</v>
      </c>
      <c r="G215" s="39">
        <f>SUM(G216:G216)</f>
        <v>0</v>
      </c>
      <c r="H215" s="39">
        <f>SUM(H216:H216)</f>
        <v>0</v>
      </c>
      <c r="I215" s="39"/>
      <c r="J215" s="39"/>
      <c r="K215" s="39"/>
      <c r="L215" s="39"/>
      <c r="M215" s="39">
        <f>SUM(M216:M216)</f>
        <v>0</v>
      </c>
      <c r="N215" s="39"/>
      <c r="O215" s="39"/>
      <c r="P215" s="39">
        <f>SUM(P216:P216)</f>
        <v>0</v>
      </c>
    </row>
    <row r="216" spans="1:16" ht="51">
      <c r="A216" s="4" t="str">
        <f>'7.Referral Transport Annex'!A21</f>
        <v>7.4.3</v>
      </c>
      <c r="B216" s="4">
        <f>'7.Referral Transport Annex'!B21</f>
        <v>0</v>
      </c>
      <c r="C216" s="4" t="str">
        <f>'7.Referral Transport Annex'!C21</f>
        <v>Support for replacement of equipments (for meeting obligations of existing contract- signed before FY 2020-21, till tenancy of the same)</v>
      </c>
      <c r="D216" s="10">
        <f>'7.Referral Transport Annex'!F21</f>
        <v>0</v>
      </c>
      <c r="E216" s="10">
        <f>'7.Referral Transport Annex'!G21</f>
        <v>0</v>
      </c>
      <c r="F216" s="10">
        <f>'7.Referral Transport Annex'!H21</f>
        <v>0</v>
      </c>
      <c r="G216" s="10">
        <f>'7.Referral Transport Annex'!I21</f>
        <v>0</v>
      </c>
      <c r="H216" s="10">
        <f>'7.Referral Transport Annex'!J21</f>
        <v>0</v>
      </c>
      <c r="I216" s="10">
        <f>'7.Referral Transport Annex'!K21</f>
        <v>0</v>
      </c>
      <c r="J216" s="10">
        <f>'7.Referral Transport Annex'!L21</f>
        <v>0</v>
      </c>
      <c r="K216" s="10">
        <f>'7.Referral Transport Annex'!M21</f>
        <v>0</v>
      </c>
      <c r="L216" s="10">
        <f>'7.Referral Transport Annex'!N21</f>
        <v>0</v>
      </c>
      <c r="M216" s="10">
        <f>'7.Referral Transport Annex'!O21</f>
        <v>0</v>
      </c>
      <c r="N216" s="10">
        <f>'7.Referral Transport Annex'!P21</f>
        <v>0</v>
      </c>
      <c r="O216" s="10">
        <f>'7.Referral Transport Annex'!Q21</f>
        <v>0</v>
      </c>
      <c r="P216" s="10">
        <f>'7.Referral Transport Annex'!R21</f>
        <v>0</v>
      </c>
    </row>
    <row r="217" spans="1:16" ht="63.75">
      <c r="A217" s="32">
        <f>'9-A.Training Sub-Annex'!B5</f>
        <v>9.1</v>
      </c>
      <c r="B217" s="32">
        <f>'9-A.Training Sub-Annex'!C5</f>
        <v>0</v>
      </c>
      <c r="C217" s="32" t="str">
        <f>'9-A.Training Sub-Annex'!D5</f>
        <v>Setting Up &amp; Strengthening of Skill Lab/ Other Training Centres or institutes including medical (DNB/CPS)/paramedical/nursing courses</v>
      </c>
      <c r="D217" s="39"/>
      <c r="E217" s="39"/>
      <c r="F217" s="39">
        <f>SUM(F218:F222)</f>
        <v>0</v>
      </c>
      <c r="G217" s="39">
        <f>SUM(G218:G222)</f>
        <v>0</v>
      </c>
      <c r="H217" s="39">
        <f>SUM(H218:H222)</f>
        <v>0</v>
      </c>
      <c r="I217" s="39"/>
      <c r="J217" s="39"/>
      <c r="K217" s="39"/>
      <c r="L217" s="39"/>
      <c r="M217" s="39">
        <f>SUM(M218:M222)</f>
        <v>450.86</v>
      </c>
      <c r="N217" s="39"/>
      <c r="O217" s="39"/>
      <c r="P217" s="39">
        <f>SUM(P218:P222)</f>
        <v>0</v>
      </c>
    </row>
    <row r="218" spans="1:16">
      <c r="A218" s="4" t="str">
        <f>'9-A.Training Sub-Annex'!B7</f>
        <v>9.1.1</v>
      </c>
      <c r="B218" s="4" t="str">
        <f>'9-A.Training Sub-Annex'!C7</f>
        <v>A.9.1.2.2</v>
      </c>
      <c r="C218" s="4" t="str">
        <f>'9-A.Training Sub-Annex'!D7</f>
        <v>Setting up of Skill Lab</v>
      </c>
      <c r="D218" s="8">
        <f>'9-A.Training Sub-Annex'!G7</f>
        <v>0</v>
      </c>
      <c r="E218" s="8">
        <f>'9-A.Training Sub-Annex'!H7</f>
        <v>0</v>
      </c>
      <c r="F218" s="8">
        <f>'9-A.Training Sub-Annex'!I7</f>
        <v>0</v>
      </c>
      <c r="G218" s="8">
        <f>'9-A.Training Sub-Annex'!J7</f>
        <v>0</v>
      </c>
      <c r="H218" s="8">
        <f>'9-A.Training Sub-Annex'!K7</f>
        <v>0</v>
      </c>
      <c r="I218" s="8">
        <f>'9-A.Training Sub-Annex'!L7</f>
        <v>0</v>
      </c>
      <c r="J218" s="8">
        <f>'9-A.Training Sub-Annex'!M7</f>
        <v>0</v>
      </c>
      <c r="K218" s="8">
        <f>'9-A.Training Sub-Annex'!N7</f>
        <v>0</v>
      </c>
      <c r="L218" s="8">
        <f>'9-A.Training Sub-Annex'!O7</f>
        <v>0</v>
      </c>
      <c r="M218" s="8">
        <f>'9-A.Training Sub-Annex'!P7</f>
        <v>0</v>
      </c>
      <c r="N218" s="8">
        <f>'9-A.Training Sub-Annex'!Q7</f>
        <v>0</v>
      </c>
      <c r="O218" s="8">
        <f>'9-A.Training Sub-Annex'!R7</f>
        <v>0</v>
      </c>
      <c r="P218" s="8">
        <f>'9-A.Training Sub-Annex'!S7</f>
        <v>0</v>
      </c>
    </row>
    <row r="219" spans="1:16">
      <c r="A219" s="4" t="str">
        <f>'9-A.Training Sub-Annex'!B8</f>
        <v>9.1.2</v>
      </c>
      <c r="B219" s="4" t="str">
        <f>'9-A.Training Sub-Annex'!C8</f>
        <v>A.9.3.1.1</v>
      </c>
      <c r="C219" s="4" t="str">
        <f>'9-A.Training Sub-Annex'!D8</f>
        <v>Setting up of SBA Training Centres</v>
      </c>
      <c r="D219" s="8">
        <f>'9-A.Training Sub-Annex'!G8</f>
        <v>0</v>
      </c>
      <c r="E219" s="8">
        <f>'9-A.Training Sub-Annex'!H8</f>
        <v>0</v>
      </c>
      <c r="F219" s="8">
        <f>'9-A.Training Sub-Annex'!I8</f>
        <v>0</v>
      </c>
      <c r="G219" s="8">
        <f>'9-A.Training Sub-Annex'!J8</f>
        <v>0</v>
      </c>
      <c r="H219" s="8">
        <f>'9-A.Training Sub-Annex'!K8</f>
        <v>0</v>
      </c>
      <c r="I219" s="8">
        <f>'9-A.Training Sub-Annex'!L8</f>
        <v>0</v>
      </c>
      <c r="J219" s="8">
        <f>'9-A.Training Sub-Annex'!M8</f>
        <v>0</v>
      </c>
      <c r="K219" s="8">
        <f>'9-A.Training Sub-Annex'!N8</f>
        <v>0</v>
      </c>
      <c r="L219" s="8">
        <f>'9-A.Training Sub-Annex'!O8</f>
        <v>0</v>
      </c>
      <c r="M219" s="8">
        <f>'9-A.Training Sub-Annex'!P8</f>
        <v>0</v>
      </c>
      <c r="N219" s="8">
        <f>'9-A.Training Sub-Annex'!Q8</f>
        <v>0</v>
      </c>
      <c r="O219" s="8">
        <f>'9-A.Training Sub-Annex'!R8</f>
        <v>0</v>
      </c>
      <c r="P219" s="8">
        <f>'9-A.Training Sub-Annex'!S8</f>
        <v>0</v>
      </c>
    </row>
    <row r="220" spans="1:16">
      <c r="A220" s="4" t="str">
        <f>'9-A.Training Sub-Annex'!B9</f>
        <v>9.1.3</v>
      </c>
      <c r="B220" s="4" t="str">
        <f>'9-A.Training Sub-Annex'!C9</f>
        <v>A.9.3.2.1</v>
      </c>
      <c r="C220" s="4" t="str">
        <f>'9-A.Training Sub-Annex'!D9</f>
        <v>Setting up of EmOC Training Centres</v>
      </c>
      <c r="D220" s="8">
        <f>'9-A.Training Sub-Annex'!G9</f>
        <v>0</v>
      </c>
      <c r="E220" s="8">
        <f>'9-A.Training Sub-Annex'!H9</f>
        <v>0</v>
      </c>
      <c r="F220" s="8">
        <f>'9-A.Training Sub-Annex'!I9</f>
        <v>0</v>
      </c>
      <c r="G220" s="8">
        <f>'9-A.Training Sub-Annex'!J9</f>
        <v>0</v>
      </c>
      <c r="H220" s="8">
        <f>'9-A.Training Sub-Annex'!K9</f>
        <v>0</v>
      </c>
      <c r="I220" s="8">
        <f>'9-A.Training Sub-Annex'!L9</f>
        <v>0</v>
      </c>
      <c r="J220" s="8">
        <f>'9-A.Training Sub-Annex'!M9</f>
        <v>0</v>
      </c>
      <c r="K220" s="8">
        <f>'9-A.Training Sub-Annex'!N9</f>
        <v>0</v>
      </c>
      <c r="L220" s="8">
        <f>'9-A.Training Sub-Annex'!O9</f>
        <v>0</v>
      </c>
      <c r="M220" s="8">
        <f>'9-A.Training Sub-Annex'!P9</f>
        <v>0</v>
      </c>
      <c r="N220" s="8">
        <f>'9-A.Training Sub-Annex'!Q9</f>
        <v>0</v>
      </c>
      <c r="O220" s="8">
        <f>'9-A.Training Sub-Annex'!R9</f>
        <v>0</v>
      </c>
      <c r="P220" s="8">
        <f>'9-A.Training Sub-Annex'!S9</f>
        <v>0</v>
      </c>
    </row>
    <row r="221" spans="1:16" ht="25.5">
      <c r="A221" s="4" t="str">
        <f>'9-A.Training Sub-Annex'!B10</f>
        <v>9.1.4</v>
      </c>
      <c r="B221" s="4" t="str">
        <f>'9-A.Training Sub-Annex'!C10</f>
        <v>A.9.3.3.1</v>
      </c>
      <c r="C221" s="4" t="str">
        <f>'9-A.Training Sub-Annex'!D10</f>
        <v>Setting up of Life saving Anaesthesia skills Training Centres</v>
      </c>
      <c r="D221" s="8">
        <f>'9-A.Training Sub-Annex'!G10</f>
        <v>0</v>
      </c>
      <c r="E221" s="8">
        <f>'9-A.Training Sub-Annex'!H10</f>
        <v>0</v>
      </c>
      <c r="F221" s="8">
        <f>'9-A.Training Sub-Annex'!I10</f>
        <v>0</v>
      </c>
      <c r="G221" s="8">
        <f>'9-A.Training Sub-Annex'!J10</f>
        <v>0</v>
      </c>
      <c r="H221" s="8">
        <f>'9-A.Training Sub-Annex'!K10</f>
        <v>0</v>
      </c>
      <c r="I221" s="8">
        <f>'9-A.Training Sub-Annex'!L10</f>
        <v>0</v>
      </c>
      <c r="J221" s="8">
        <f>'9-A.Training Sub-Annex'!M10</f>
        <v>0</v>
      </c>
      <c r="K221" s="8">
        <f>'9-A.Training Sub-Annex'!N10</f>
        <v>0</v>
      </c>
      <c r="L221" s="8">
        <f>'9-A.Training Sub-Annex'!O10</f>
        <v>0</v>
      </c>
      <c r="M221" s="8">
        <f>'9-A.Training Sub-Annex'!P10</f>
        <v>0</v>
      </c>
      <c r="N221" s="8">
        <f>'9-A.Training Sub-Annex'!Q10</f>
        <v>0</v>
      </c>
      <c r="O221" s="8">
        <f>'9-A.Training Sub-Annex'!R10</f>
        <v>0</v>
      </c>
      <c r="P221" s="8">
        <f>'9-A.Training Sub-Annex'!S10</f>
        <v>0</v>
      </c>
    </row>
    <row r="222" spans="1:16" ht="409.5">
      <c r="A222" s="4" t="str">
        <f>'9-A.Training Sub-Annex'!B11</f>
        <v>9.1.5</v>
      </c>
      <c r="B222" s="4" t="str">
        <f>'9-A.Training Sub-Annex'!C11</f>
        <v>A.9.10.1</v>
      </c>
      <c r="C222" s="4" t="str">
        <f>'9-A.Training Sub-Annex'!D11</f>
        <v>Strengthening of Existing Training Institutions/Nursing School (excluding infrastructure and HR)</v>
      </c>
      <c r="D222" s="8">
        <f>'9-A.Training Sub-Annex'!G11</f>
        <v>0</v>
      </c>
      <c r="E222" s="8">
        <f>'9-A.Training Sub-Annex'!H11</f>
        <v>0</v>
      </c>
      <c r="F222" s="8">
        <f>'9-A.Training Sub-Annex'!I11</f>
        <v>0</v>
      </c>
      <c r="G222" s="8">
        <f>'9-A.Training Sub-Annex'!J11</f>
        <v>0</v>
      </c>
      <c r="H222" s="8">
        <f>'9-A.Training Sub-Annex'!K11</f>
        <v>0</v>
      </c>
      <c r="I222" s="8" t="str">
        <f>'9-A.Training Sub-Annex'!L11</f>
        <v>No. of Nursing Institute</v>
      </c>
      <c r="J222" s="8">
        <f>'9-A.Training Sub-Annex'!M11</f>
        <v>45086000</v>
      </c>
      <c r="K222" s="8">
        <f>'9-A.Training Sub-Annex'!N11</f>
        <v>450.86</v>
      </c>
      <c r="L222" s="8">
        <f>'9-A.Training Sub-Annex'!O11</f>
        <v>1</v>
      </c>
      <c r="M222" s="8">
        <f>'9-A.Training Sub-Annex'!P11</f>
        <v>450.86</v>
      </c>
      <c r="N222" s="8" t="str">
        <f>'9-A.Training Sub-Annex'!Q11</f>
        <v xml:space="preserve">(1) Contingency and Consumables (Printer cartridge, toner, paper etc)  Rs.25000/-for one year at SMTI,College of Nursing, IGIMS,Patna .So total Rs.25000/-   (Twenty Five Thousand).                                  
 New Activity -
(2) Establishing Midwifery Led Care Unit (MLCU)  at SDH Danapur and GGS Hospital Patna as both facilities are the midwifery Training sites of SMTI CoN, IGIMS,Patna                                                        
(a) Procurement of Furnitures ,equipment &amp; instrument  for MLCU Rs.500000 (5 Lakhs) per facility ,Total for two MLCU is RS.10 lakhs  .                                                                              
(b) One time cost of procurement of Manequnies  &amp; fittings  for Skill Lab at MLCU is Rs.15 lakhs so total for two facility  is Rs.30 lakhs   
Grand Total- Rs. 25000+Rs.1000000+Rs.3000000=Rs. 4025000.
B.
Continued Activity
(1) ESTABLISHMENT OF VIRTUAL CLASSROOM TRAINING:  Bihar is the first state in India to experiment with the idea of setting of Virtual Classroom for strengthening 43 nursing institutions (Spokes)  and one State Nodal Center (Hub). As per the scope of work the agency will be responsible for Equipment procurement, Installation &amp; Integration, Commissioning of Services, Operation &amp; Maintenance, Human resources, Spares &amp; after Sales Service, Insurance, Delivery. The annual recurring cost of the above project is approx.. 2.1 Crore excluding GST. The tender floated is of Rs 2.1 Crore (Approx) as per the market survey. Thus State is proposing Rs. 2.5 Crore (Project Cost + GST) as annual operation &amp; maintenance cost.
Total amount = Rs. 2,50,00,000/-
(2) Fund proposed for CMC after completion of warranty period of equipment, mannequin and models of skills lab in  21 ANM and 4 GNM Schools according to their establishment year 
20 ANM Schools @ Rs. 6,13,908/year per School = (20 x 6,13,908) = 1,22,78,160/-
GNM Schools PMCH Patna and NMCH Patna @ Rs. 7,39,823/year per school = (2 x 7,39,823) = 14,79,646/-
ANM School Islampur @ Rs. 5,58,098/-
GNM School, ANMMCH Gaya and DMCH Darbhanga @ Rs. 6,72,566/year per school = (2 x 6,72,566) = 13,45,132/-  
Fund required for Consumable of Skills lab (do not covered under CMC) at GNM School, Bhagalpur &amp; Muzaffarpur, ANM School, Patna City and State Nodal Centre, college of Nursing, IGIMS @ Rs. 1,00,000/- annual.
Rs. 1,00,000 x 4 = Rs. 4,00,000/-
Total Fund Proposed for CMC (1,22,78,160 + 14,79,646 + 5,58,098 + 13,45,132 + 4,00,000) = Rs. 1,60,61,036/- 
Total fund proposed in above budget head=  2,50,00,000 + 1,60,61,036 = Rs. 4,10,61,036/-
</v>
      </c>
      <c r="O222" s="8">
        <f>'9-A.Training Sub-Annex'!R11</f>
        <v>0</v>
      </c>
      <c r="P222" s="8">
        <f>'9-A.Training Sub-Annex'!S11</f>
        <v>0</v>
      </c>
    </row>
    <row r="223" spans="1:16">
      <c r="A223" s="31">
        <f>'16.PM Annex'!A7</f>
        <v>16</v>
      </c>
      <c r="B223" s="31">
        <f>'16.PM Annex'!B7</f>
        <v>0</v>
      </c>
      <c r="C223" s="31" t="str">
        <f>'16.PM Annex'!C7</f>
        <v>Programme Management</v>
      </c>
      <c r="D223" s="38"/>
      <c r="E223" s="38"/>
      <c r="F223" s="38">
        <f t="shared" ref="F223:H224" si="0">F224</f>
        <v>0</v>
      </c>
      <c r="G223" s="38">
        <f t="shared" si="0"/>
        <v>0</v>
      </c>
      <c r="H223" s="38">
        <f t="shared" si="0"/>
        <v>0</v>
      </c>
      <c r="I223" s="38"/>
      <c r="J223" s="38"/>
      <c r="K223" s="38"/>
      <c r="L223" s="38"/>
      <c r="M223" s="38">
        <f>M224</f>
        <v>361.40000000000003</v>
      </c>
      <c r="N223" s="38"/>
      <c r="O223" s="38"/>
      <c r="P223" s="38">
        <f>P224</f>
        <v>0</v>
      </c>
    </row>
    <row r="224" spans="1:16">
      <c r="A224" s="32">
        <f>'16.PM Annex'!A17</f>
        <v>16.3</v>
      </c>
      <c r="B224" s="32">
        <f>'16.PM Annex'!B17</f>
        <v>0</v>
      </c>
      <c r="C224" s="32" t="str">
        <f>'16.PM Annex'!C17</f>
        <v>HMIS &amp; MCTS</v>
      </c>
      <c r="D224" s="39"/>
      <c r="E224" s="39"/>
      <c r="F224" s="39">
        <f t="shared" si="0"/>
        <v>0</v>
      </c>
      <c r="G224" s="39">
        <f t="shared" si="0"/>
        <v>0</v>
      </c>
      <c r="H224" s="39">
        <f t="shared" si="0"/>
        <v>0</v>
      </c>
      <c r="I224" s="39"/>
      <c r="J224" s="39"/>
      <c r="K224" s="39"/>
      <c r="L224" s="39"/>
      <c r="M224" s="39">
        <f>M225</f>
        <v>361.40000000000003</v>
      </c>
      <c r="N224" s="39"/>
      <c r="O224" s="39"/>
      <c r="P224" s="39">
        <f>P225</f>
        <v>0</v>
      </c>
    </row>
    <row r="225" spans="1:16" ht="409.5">
      <c r="A225" s="4" t="str">
        <f>'16.PM Annex'!A21</f>
        <v>16.3.4</v>
      </c>
      <c r="B225" s="4" t="str">
        <f>'16.PM Annex'!B21</f>
        <v>B15.3.2.3/ B15.3.2.4/ B15.3.2.7/ B15.3.2.8</v>
      </c>
      <c r="C225" s="4" t="str">
        <f>'16.PM Annex'!C21</f>
        <v>Procurement of Computer/Printer/UPS/ Laptop/ VSAT</v>
      </c>
      <c r="D225" s="8">
        <f>'16.PM Annex'!E21</f>
        <v>0</v>
      </c>
      <c r="E225" s="8">
        <f>'16.PM Annex'!F21</f>
        <v>0</v>
      </c>
      <c r="F225" s="8">
        <f>'16.PM Annex'!G21</f>
        <v>0</v>
      </c>
      <c r="G225" s="8">
        <f>'16.PM Annex'!H21</f>
        <v>0</v>
      </c>
      <c r="H225" s="8">
        <f>'16.PM Annex'!I21</f>
        <v>0</v>
      </c>
      <c r="I225" s="8">
        <f>'16.PM Annex'!J21</f>
        <v>556</v>
      </c>
      <c r="J225" s="8">
        <f>'16.PM Annex'!K21</f>
        <v>65000</v>
      </c>
      <c r="K225" s="8">
        <f>'16.PM Annex'!L21</f>
        <v>0.65</v>
      </c>
      <c r="L225" s="8">
        <f>'16.PM Annex'!M21</f>
        <v>556</v>
      </c>
      <c r="M225" s="8">
        <f>'16.PM Annex'!N21</f>
        <v>361.40000000000003</v>
      </c>
      <c r="N225" s="8" t="str">
        <f>'16.PM Annex'!O21</f>
        <v>Continue Activities:- 25% Approval has been given in FY 2020-21 for Purchese of 185 new Computers/ Laptop out of 742  for all accountants/DAMs/RAMs/BAMs/finance personnel at all level. however, still there is requirement of remaining 556 new Computers/ Laptop(new computer/Laptop verson. window genune, i5/i7 Processor computer with UPS 2 KVA &amp; 1 all in printer) for all accountants at all level i.e. Block, FRU etc..@ 65000/- Per Unit for 556 units i.e. 65000*556=361.40 Lakhs). SHSB has inmplemented the ERP Tally Online Web-based system. GoI will implemant N-FAMS(NHM-financial &amp; accounts management system) software for the FY 2021-21 for rendering transparency and efficiency in financial management on a real time basis vide letter no G.27034/258/2020-21/NHM-F dated 20.01.2021. therefore, needs to be replace all old computers. This will bring data security, integrity of financial data, uniformity in reporting and transparency of financial data at every level of State Health Society. All the above activities cannot be performed with the current old version computer systems available with Regions, Districts and Blocks.  Detail as per attached justification note</v>
      </c>
      <c r="O225" s="8">
        <f>'16.PM Annex'!P21</f>
        <v>0</v>
      </c>
      <c r="P225" s="8">
        <f>'16.PM Annex'!Q21</f>
        <v>0</v>
      </c>
    </row>
    <row r="226" spans="1:16" ht="25.5">
      <c r="A226" s="31">
        <f>'17.IT Initiatives_SD'!A7</f>
        <v>17</v>
      </c>
      <c r="B226" s="31">
        <f>'17.IT Initiatives_SD'!B7</f>
        <v>0</v>
      </c>
      <c r="C226" s="31" t="str">
        <f>'17.IT Initiatives_SD'!C7</f>
        <v>IT Initiatives for strengthening Service Delivery</v>
      </c>
      <c r="D226" s="38"/>
      <c r="E226" s="38"/>
      <c r="F226" s="38">
        <f>F227+F228+F231+F232+F233+F234+F235+F236</f>
        <v>505.71999999999997</v>
      </c>
      <c r="G226" s="38">
        <f>G227+G228+G231+G232+G233+G234+G235+G236</f>
        <v>151.01</v>
      </c>
      <c r="H226" s="38">
        <f>H227+H228+H231+H232+H233+H234+H235+H236</f>
        <v>0</v>
      </c>
      <c r="I226" s="38"/>
      <c r="J226" s="38"/>
      <c r="K226" s="38"/>
      <c r="L226" s="38"/>
      <c r="M226" s="38">
        <f>M227+M228+M231+M232+M233+M234+M235+M236</f>
        <v>33773.883970000003</v>
      </c>
      <c r="N226" s="38"/>
      <c r="O226" s="38"/>
      <c r="P226" s="38">
        <f>P227+P228+P231+P232+P233+P234+P235+P236</f>
        <v>0</v>
      </c>
    </row>
    <row r="227" spans="1:16" ht="38.25">
      <c r="A227" s="4">
        <f>'17.IT Initiatives_SD'!A8</f>
        <v>17.100000000000001</v>
      </c>
      <c r="B227" s="4" t="str">
        <f>'17.IT Initiatives_SD'!B8</f>
        <v>I.2.9</v>
      </c>
      <c r="C227" s="4" t="str">
        <f>'17.IT Initiatives_SD'!C8</f>
        <v>Fixed tele- ophthalmic network unit in Got. Set up/ internet based ophthalmic consultation unit)</v>
      </c>
      <c r="D227" s="8">
        <f>'17.IT Initiatives_SD'!F8</f>
        <v>0</v>
      </c>
      <c r="E227" s="8">
        <f>'17.IT Initiatives_SD'!G8</f>
        <v>0</v>
      </c>
      <c r="F227" s="8">
        <f>'17.IT Initiatives_SD'!H8</f>
        <v>0</v>
      </c>
      <c r="G227" s="8">
        <f>'17.IT Initiatives_SD'!I8</f>
        <v>0</v>
      </c>
      <c r="H227" s="8">
        <f>'17.IT Initiatives_SD'!J8</f>
        <v>0</v>
      </c>
      <c r="I227" s="8">
        <f>'17.IT Initiatives_SD'!K8</f>
        <v>0</v>
      </c>
      <c r="J227" s="8">
        <f>'17.IT Initiatives_SD'!L8</f>
        <v>0</v>
      </c>
      <c r="K227" s="8">
        <f>'17.IT Initiatives_SD'!M8</f>
        <v>0</v>
      </c>
      <c r="L227" s="8">
        <f>'17.IT Initiatives_SD'!N8</f>
        <v>0</v>
      </c>
      <c r="M227" s="8">
        <f>'17.IT Initiatives_SD'!O8</f>
        <v>0</v>
      </c>
      <c r="N227" s="8">
        <f>'17.IT Initiatives_SD'!P8</f>
        <v>0</v>
      </c>
      <c r="O227" s="8">
        <f>'17.IT Initiatives_SD'!Q8</f>
        <v>0</v>
      </c>
      <c r="P227" s="8">
        <f>'17.IT Initiatives_SD'!R8</f>
        <v>0</v>
      </c>
    </row>
    <row r="228" spans="1:16" ht="25.5">
      <c r="A228" s="4">
        <f>'17.IT Initiatives_SD'!A9</f>
        <v>17.2</v>
      </c>
      <c r="B228" s="4" t="str">
        <f>'17.IT Initiatives_SD'!B9</f>
        <v>B18.3</v>
      </c>
      <c r="C228" s="4" t="str">
        <f>'17.IT Initiatives_SD'!C9</f>
        <v>IT Initiatives under Ayushman Bharat H&amp;WC</v>
      </c>
      <c r="D228" s="8"/>
      <c r="E228" s="8"/>
      <c r="F228" s="8">
        <f>SUM(F229:F230)</f>
        <v>0</v>
      </c>
      <c r="G228" s="8">
        <f>SUM(G229:G230)</f>
        <v>0</v>
      </c>
      <c r="H228" s="8">
        <f>SUM(H229:H230)</f>
        <v>0</v>
      </c>
      <c r="I228" s="8"/>
      <c r="J228" s="8"/>
      <c r="K228" s="8"/>
      <c r="L228" s="8"/>
      <c r="M228" s="8">
        <f>SUM(M229:M230)</f>
        <v>1952.7430400000001</v>
      </c>
      <c r="N228" s="8"/>
      <c r="O228" s="8"/>
      <c r="P228" s="8">
        <f>SUM(P229:P230)</f>
        <v>0</v>
      </c>
    </row>
    <row r="229" spans="1:16" ht="409.5">
      <c r="A229" s="4" t="str">
        <f>'17.IT Initiatives_SD'!A10</f>
        <v>17.2.1</v>
      </c>
      <c r="B229" s="4">
        <f>'17.IT Initiatives_SD'!B10</f>
        <v>0</v>
      </c>
      <c r="C229" s="4" t="str">
        <f>'17.IT Initiatives_SD'!C10</f>
        <v>Telemedicine/ teleconsultation facility under Ayushman Bharat H&amp;WC</v>
      </c>
      <c r="D229" s="8">
        <f>'17.IT Initiatives_SD'!F10</f>
        <v>0</v>
      </c>
      <c r="E229" s="8">
        <f>'17.IT Initiatives_SD'!G10</f>
        <v>0</v>
      </c>
      <c r="F229" s="8">
        <f>'17.IT Initiatives_SD'!H10</f>
        <v>0</v>
      </c>
      <c r="G229" s="8">
        <f>'17.IT Initiatives_SD'!I10</f>
        <v>0</v>
      </c>
      <c r="H229" s="8">
        <f>'17.IT Initiatives_SD'!J10</f>
        <v>0</v>
      </c>
      <c r="I229" s="8" t="str">
        <f>'17.IT Initiatives_SD'!K10</f>
        <v>Hubs&amp; Spokes</v>
      </c>
      <c r="J229" s="8">
        <f>'17.IT Initiatives_SD'!L10</f>
        <v>195274304</v>
      </c>
      <c r="K229" s="8">
        <f>'17.IT Initiatives_SD'!M10</f>
        <v>1952.7430400000001</v>
      </c>
      <c r="L229" s="8">
        <f>'17.IT Initiatives_SD'!N10</f>
        <v>1</v>
      </c>
      <c r="M229" s="8">
        <f>'17.IT Initiatives_SD'!O10</f>
        <v>1952.7430400000001</v>
      </c>
      <c r="N229" s="8" t="str">
        <f>'17.IT Initiatives_SD'!P10</f>
        <v>Continiued activity                                                                                    
a) Costing for AIIMS Hub:                                                                             
Remuneration of 3 specialist doctors @ Rs.135994 per month per specialist - Total Cost for one month - Rs.4,07,982/-, 
Total cost for 12 months - Rs.48,95,784/- (AIIMS)
b) Costing for other 6 Medical college Hubs:
Continued Activity - 52 Telemedicine sessions by specialist Doctor per month per medical college @  Rs.2000 per session.
Total Monthly Cost of one Medical college Rs. 1,04,000/-. and for 12 months -   Rs.1248000/-  , Total Annual Cost for 6 Medical college - Rs.74,88,000/-
c) Internet Cost - BSNL lease line 8 mbps - Rs 96345 per HUB per Year . Total cost for 241 HUB is Rs- 23219145/-
d) Miscellaneous - Rs-5000/- per HUB per Year . For 241 HUB ( 7 Medical College , 158 PHC , 76 DH).  Total is Rs - 1205000/-
e) Internet Cost for 2750 Spokes ( 1050 APHC-HWC , 1700 HSC) @ 250 per month. For 12 months Total is Rs 8250000/-
f) Miscellaneous for 2750 Spokes ( 1050 APHC-HWC , 1700 HSC)@ 1000 per Spoke per year. Total is Rs-2750000/-
g) POS Printer @ Rs -5000/-, For 1700 spokes (HSC) units, Total is 8500000/-.
New Activity -
HUB - 375 PHC 
a) Desktop,UPS,All in one Printer ,Web Camera, HeadPhone with Mic @ 80000/- per HUB for 375 units is 30000000/-
b) Internet Cost - BSNL 8 mbps lease line @ Rs-96345/- per year per HUB. For 375 units is 36129375/-
c) Miscellanous for 375 units @ 5000 per unit per year. Total is 1875000/-
Spokes - 8578 (329 APHC , 8249 HSC)
a) POS Printer @ Rs -5000/-. For 8578 units Total is 42890000/-.
b) Miscellanous for 8578 units @ 1000 per unit per year. Total is 8578000/-.
c) Internet for 8578 units @ 250 per month. For 12 months ,Total is 25734000/-.
So total amount for all above activities being proposed is Rs - 195274304/-</v>
      </c>
      <c r="O229" s="8">
        <f>'17.IT Initiatives_SD'!Q10</f>
        <v>0</v>
      </c>
      <c r="P229" s="8">
        <f>'17.IT Initiatives_SD'!R10</f>
        <v>0</v>
      </c>
    </row>
    <row r="230" spans="1:16">
      <c r="A230" s="4" t="str">
        <f>'17.IT Initiatives_SD'!A11</f>
        <v>17.2.2</v>
      </c>
      <c r="B230" s="4">
        <f>'17.IT Initiatives_SD'!B11</f>
        <v>0</v>
      </c>
      <c r="C230" s="4" t="str">
        <f>'17.IT Initiatives_SD'!C11</f>
        <v>Other IT Initiatives (please specify)</v>
      </c>
      <c r="D230" s="8">
        <f>'17.IT Initiatives_SD'!F11</f>
        <v>0</v>
      </c>
      <c r="E230" s="8">
        <f>'17.IT Initiatives_SD'!G11</f>
        <v>0</v>
      </c>
      <c r="F230" s="8">
        <f>'17.IT Initiatives_SD'!H11</f>
        <v>0</v>
      </c>
      <c r="G230" s="8">
        <f>'17.IT Initiatives_SD'!I11</f>
        <v>0</v>
      </c>
      <c r="H230" s="8">
        <f>'17.IT Initiatives_SD'!J11</f>
        <v>0</v>
      </c>
      <c r="I230" s="8">
        <f>'17.IT Initiatives_SD'!K11</f>
        <v>0</v>
      </c>
      <c r="J230" s="8">
        <f>'17.IT Initiatives_SD'!L11</f>
        <v>0</v>
      </c>
      <c r="K230" s="8">
        <f>'17.IT Initiatives_SD'!M11</f>
        <v>0</v>
      </c>
      <c r="L230" s="8">
        <f>'17.IT Initiatives_SD'!N11</f>
        <v>0</v>
      </c>
      <c r="M230" s="8">
        <f>'17.IT Initiatives_SD'!O11</f>
        <v>0</v>
      </c>
      <c r="N230" s="8">
        <f>'17.IT Initiatives_SD'!P11</f>
        <v>0</v>
      </c>
      <c r="O230" s="8">
        <f>'17.IT Initiatives_SD'!Q11</f>
        <v>0</v>
      </c>
      <c r="P230" s="8">
        <f>'17.IT Initiatives_SD'!R11</f>
        <v>0</v>
      </c>
    </row>
    <row r="231" spans="1:16" ht="178.5">
      <c r="A231" s="4">
        <f>'17.IT Initiatives_SD'!A12</f>
        <v>17.3</v>
      </c>
      <c r="B231" s="4">
        <f>'17.IT Initiatives_SD'!B12</f>
        <v>0</v>
      </c>
      <c r="C231" s="4" t="str">
        <f>'17.IT Initiatives_SD'!C12</f>
        <v>Implementation of ANMOL (Excel Procurement)</v>
      </c>
      <c r="D231" s="8">
        <f>'17.IT Initiatives_SD'!F12</f>
        <v>17859</v>
      </c>
      <c r="E231" s="8">
        <f>'17.IT Initiatives_SD'!G12</f>
        <v>16599</v>
      </c>
      <c r="F231" s="8">
        <f>'17.IT Initiatives_SD'!H12</f>
        <v>429.33</v>
      </c>
      <c r="G231" s="8">
        <f>'17.IT Initiatives_SD'!I12</f>
        <v>124.82</v>
      </c>
      <c r="H231" s="8">
        <f>'17.IT Initiatives_SD'!J12</f>
        <v>0</v>
      </c>
      <c r="I231" s="8" t="str">
        <f>'17.IT Initiatives_SD'!K12</f>
        <v>Per ANM</v>
      </c>
      <c r="J231" s="8">
        <f>'17.IT Initiatives_SD'!L12</f>
        <v>4214724</v>
      </c>
      <c r="K231" s="8">
        <f>'17.IT Initiatives_SD'!M12</f>
        <v>42.147239999999996</v>
      </c>
      <c r="L231" s="8">
        <f>'17.IT Initiatives_SD'!N12</f>
        <v>12</v>
      </c>
      <c r="M231" s="8">
        <f>'17.IT Initiatives_SD'!O12</f>
        <v>505.76687999999996</v>
      </c>
      <c r="N231" s="8" t="str">
        <f>'17.IT Initiatives_SD'!P12</f>
        <v xml:space="preserve">Old Activity: Old Activity: For Implementation of ANMOL in all 38 districts, the fund is proposed for 4G CUG SIM with Internet Connectivity (2.5 GB Data per day) for 17859 ANMs @ Rs. 236/- (Including GST) per CUG SIM per Month for 12 Months. Note : All BSNL CUG SIMs of ANM have been upgraded in to 4G along with 2.5 GB data per day. </v>
      </c>
      <c r="O231" s="8">
        <f>'17.IT Initiatives_SD'!Q12</f>
        <v>0</v>
      </c>
      <c r="P231" s="8">
        <f>'17.IT Initiatives_SD'!R12</f>
        <v>0</v>
      </c>
    </row>
    <row r="232" spans="1:16" ht="102">
      <c r="A232" s="4">
        <f>'17.IT Initiatives_SD'!A13</f>
        <v>17.399999999999999</v>
      </c>
      <c r="B232" s="4" t="str">
        <f>'17.IT Initiatives_SD'!B13</f>
        <v>B14.2</v>
      </c>
      <c r="C232" s="4" t="str">
        <f>'17.IT Initiatives_SD'!C13</f>
        <v xml:space="preserve">E-rakt kosh- refer to strengthening of blood services guidelines &amp; Software for hemoglobinopathies &amp; Haemophilia </v>
      </c>
      <c r="D232" s="8">
        <f>'17.IT Initiatives_SD'!F13</f>
        <v>0</v>
      </c>
      <c r="E232" s="8">
        <f>'17.IT Initiatives_SD'!G13</f>
        <v>0</v>
      </c>
      <c r="F232" s="8">
        <f>'17.IT Initiatives_SD'!H13</f>
        <v>0</v>
      </c>
      <c r="G232" s="8">
        <f>'17.IT Initiatives_SD'!I13</f>
        <v>0</v>
      </c>
      <c r="H232" s="8">
        <f>'17.IT Initiatives_SD'!J13</f>
        <v>0</v>
      </c>
      <c r="I232" s="8">
        <f>'17.IT Initiatives_SD'!K13</f>
        <v>0</v>
      </c>
      <c r="J232" s="8">
        <f>'17.IT Initiatives_SD'!L13</f>
        <v>1246000</v>
      </c>
      <c r="K232" s="8">
        <f>'17.IT Initiatives_SD'!M13</f>
        <v>12.46</v>
      </c>
      <c r="L232" s="8">
        <f>'17.IT Initiatives_SD'!N13</f>
        <v>1</v>
      </c>
      <c r="M232" s="8">
        <f>'17.IT Initiatives_SD'!O13</f>
        <v>12.46</v>
      </c>
      <c r="N232" s="8" t="str">
        <f>'17.IT Initiatives_SD'!P13</f>
        <v>RS 8.46 lakh for monthly internet cost for e-rakhkosh @ 1500/month/bllood banks for 47 Blood banks 
Rs 4.lakh for installation of internet in10 new blood banks</v>
      </c>
      <c r="O232" s="8">
        <f>'17.IT Initiatives_SD'!Q13</f>
        <v>0</v>
      </c>
      <c r="P232" s="8">
        <f>'17.IT Initiatives_SD'!R13</f>
        <v>0</v>
      </c>
    </row>
    <row r="233" spans="1:16" ht="318.75">
      <c r="A233" s="4">
        <f>'17.IT Initiatives_SD'!A14</f>
        <v>17.5</v>
      </c>
      <c r="B233" s="4" t="str">
        <f>'17.IT Initiatives_SD'!B14</f>
        <v>B15.2.6</v>
      </c>
      <c r="C233" s="4" t="str">
        <f>'17.IT Initiatives_SD'!C14</f>
        <v>QAC Misc. (IT Based application  etc.)</v>
      </c>
      <c r="D233" s="8">
        <f>'17.IT Initiatives_SD'!F14</f>
        <v>0</v>
      </c>
      <c r="E233" s="8">
        <f>'17.IT Initiatives_SD'!G14</f>
        <v>0</v>
      </c>
      <c r="F233" s="8">
        <f>'17.IT Initiatives_SD'!H14</f>
        <v>0</v>
      </c>
      <c r="G233" s="8">
        <f>'17.IT Initiatives_SD'!I14</f>
        <v>0</v>
      </c>
      <c r="H233" s="8">
        <f>'17.IT Initiatives_SD'!J14</f>
        <v>0</v>
      </c>
      <c r="I233" s="8">
        <f>'17.IT Initiatives_SD'!K14</f>
        <v>0</v>
      </c>
      <c r="J233" s="8">
        <f>'17.IT Initiatives_SD'!L14</f>
        <v>2069977561</v>
      </c>
      <c r="K233" s="8">
        <f>'17.IT Initiatives_SD'!M14</f>
        <v>20699.775610000001</v>
      </c>
      <c r="L233" s="8">
        <f>'17.IT Initiatives_SD'!N14</f>
        <v>1</v>
      </c>
      <c r="M233" s="8">
        <f>'17.IT Initiatives_SD'!O14</f>
        <v>20699.775610000001</v>
      </c>
      <c r="N233" s="8" t="str">
        <f>'17.IT Initiatives_SD'!P14</f>
        <v xml:space="preserve">New Activity :
The state has identified that owing to multiple practical challenges, there is a need to establish an Integrated System at the state level, to keep close watch over the different service delivery challenges and improve the overall patient experience. Further, the focus is on Orchestration of the complete Health system, including Hospital Excellence, Patient Experience and FLW Service Excellence.
Therefore, the state has decided to undertake Digitization process across 38 Districts.
Details as annexed.
</v>
      </c>
      <c r="O233" s="8">
        <f>'17.IT Initiatives_SD'!Q14</f>
        <v>0</v>
      </c>
      <c r="P233" s="8">
        <f>'17.IT Initiatives_SD'!R14</f>
        <v>0</v>
      </c>
    </row>
    <row r="234" spans="1:16" ht="409.5">
      <c r="A234" s="4">
        <f>'17.IT Initiatives_SD'!A15</f>
        <v>17.600000000000001</v>
      </c>
      <c r="B234" s="4" t="str">
        <f>'17.IT Initiatives_SD'!B15</f>
        <v>B15.3.4.1</v>
      </c>
      <c r="C234" s="4" t="str">
        <f>'17.IT Initiatives_SD'!C15</f>
        <v xml:space="preserve">Implementation of Hospital Management System </v>
      </c>
      <c r="D234" s="8">
        <f>'17.IT Initiatives_SD'!F15</f>
        <v>1556</v>
      </c>
      <c r="E234" s="8">
        <f>'17.IT Initiatives_SD'!G15</f>
        <v>1445</v>
      </c>
      <c r="F234" s="8">
        <f>'17.IT Initiatives_SD'!H15</f>
        <v>0</v>
      </c>
      <c r="G234" s="8">
        <f>'17.IT Initiatives_SD'!I15</f>
        <v>0</v>
      </c>
      <c r="H234" s="8">
        <f>'17.IT Initiatives_SD'!J15</f>
        <v>0</v>
      </c>
      <c r="I234" s="8" t="str">
        <f>'17.IT Initiatives_SD'!K15</f>
        <v>Per Month</v>
      </c>
      <c r="J234" s="8">
        <f>'17.IT Initiatives_SD'!L15</f>
        <v>72932137</v>
      </c>
      <c r="K234" s="8">
        <f>'17.IT Initiatives_SD'!M15</f>
        <v>729.32137</v>
      </c>
      <c r="L234" s="8">
        <f>'17.IT Initiatives_SD'!N15</f>
        <v>12</v>
      </c>
      <c r="M234" s="8">
        <f>'17.IT Initiatives_SD'!O15</f>
        <v>8751.8564399999996</v>
      </c>
      <c r="N234" s="8" t="str">
        <f>'17.IT Initiatives_SD'!P15</f>
        <v xml:space="preserve">Old Activity: 
1. As per direction and D.O. No-M-11016/6/2020-NHM-1, Dated: 20.08.2020 of Joint Secretary, MOHFW, GoI Bihar State has requested C-DAC, Noida through Letter No. 4044, Dated: 08.09.2020 and NIC, Patna through letter No. 4043, Dated: 08.09.2020 to provide Techno-Financial Proposal for implementation, operationization and maintenance of Hospital Management System in District Hospitals, Sub- Divisional Hospitals, Referral Hospitals and Community Health Centres / Primary Health Centres of Bihar State. But, till date, no any proposal has been received from C-DAC and NIC till date. 
2. The state has upgraded the Sanjeevani System with the modules of appointment for doctors, pharmacy (linkage with DVDMS), Nurse Corner for pre-clinical assessment for capturing of vitals of patients, which is complaint with the necessary standards like ICD-10, HL7, SNOMEDCT etc. 
3. The above upgraded Sanjeevani System has been successfully piloted in two hospitals (GGS Hospital- Patna City and Phulwarisharif- CHC, Patna. 
4. Hence, the fund of Rs. 8751.85 lakh for roll-out of revised Sanjeevani System (revised e-HMS) at 681 health facilities (PHC/RH/CHC/SDH/DH). The detailed budget sheet enclosed as annexure – 17.6 
5. Details enclosed as Annexure  -  Remarks of FMR Code: 17.6. </v>
      </c>
      <c r="O234" s="8">
        <f>'17.IT Initiatives_SD'!Q15</f>
        <v>0</v>
      </c>
      <c r="P234" s="8">
        <f>'17.IT Initiatives_SD'!R15</f>
        <v>0</v>
      </c>
    </row>
    <row r="235" spans="1:16" ht="409.5">
      <c r="A235" s="4">
        <f>'17.IT Initiatives_SD'!A16</f>
        <v>17.7</v>
      </c>
      <c r="B235" s="4">
        <f>'17.IT Initiatives_SD'!B16</f>
        <v>0</v>
      </c>
      <c r="C235" s="4" t="str">
        <f>'17.IT Initiatives_SD'!C16</f>
        <v>Implementation of Human Resource Information System (HRIS)</v>
      </c>
      <c r="D235" s="8">
        <f>'17.IT Initiatives_SD'!F16</f>
        <v>12</v>
      </c>
      <c r="E235" s="8">
        <f>'17.IT Initiatives_SD'!G16</f>
        <v>9</v>
      </c>
      <c r="F235" s="8">
        <f>'17.IT Initiatives_SD'!H16</f>
        <v>76.39</v>
      </c>
      <c r="G235" s="8">
        <f>'17.IT Initiatives_SD'!I16</f>
        <v>26.19</v>
      </c>
      <c r="H235" s="8">
        <f>'17.IT Initiatives_SD'!J16</f>
        <v>0</v>
      </c>
      <c r="I235" s="8" t="str">
        <f>'17.IT Initiatives_SD'!K16</f>
        <v>Manav Sampada &amp; IT Cell</v>
      </c>
      <c r="J235" s="8">
        <f>'17.IT Initiatives_SD'!L16</f>
        <v>636600</v>
      </c>
      <c r="K235" s="8">
        <f>'17.IT Initiatives_SD'!M16</f>
        <v>6.3659999999999997</v>
      </c>
      <c r="L235" s="8">
        <f>'17.IT Initiatives_SD'!N16</f>
        <v>12</v>
      </c>
      <c r="M235" s="8">
        <f>'17.IT Initiatives_SD'!O16</f>
        <v>76.391999999999996</v>
      </c>
      <c r="N235" s="8" t="str">
        <f>'17.IT Initiatives_SD'!P16</f>
        <v xml:space="preserve">Old Activity: 
1. Implementation &amp; maintenance of e-HRMIS (Manav Sampada of NIC)- State has implemented Human Resource Information System (HRIS) &amp; it is being used for HR planning/rationalization. But, HRIS is not complete HR life cycle module, hence State has decided and implemented e-HRMS (Manav Sampada) of NIC). The HR records of all contractual employees under NHM have been entered in Manav Sampada System. The Pay-Roll module has also been developed and process of integration with Manv Sampada is going on. For this, NIC has requested to give financial support for deputing DBA and Senior developer through NICSI. Hence, Fund of Rs. 24 Lakh has been proposed for above HR through NICSI, Training and other miscellaneous expences.
Total fund proposed: 24 Lakh
2. Establishment of IT Cell in the office of State Health Society, Bihar - Presently approx 20 web portals of GoI/State are being used for data reporting, analysis and monitoring. But, it is very difficult to customized the applications and analyze the huge data warehouses and monitoring, due to lack of IT HR. Hence, State health Society, Bihar has established one IT Cell on outsourced basis through tender. The discovered unit cost per month is Rs. 4.36 lakh (including GST).
Hence, Total fund proposed for 12 months : 52.39 Lakh </v>
      </c>
      <c r="O235" s="8">
        <f>'17.IT Initiatives_SD'!Q16</f>
        <v>0</v>
      </c>
      <c r="P235" s="8">
        <f>'17.IT Initiatives_SD'!R16</f>
        <v>0</v>
      </c>
    </row>
    <row r="236" spans="1:16" ht="369.75">
      <c r="A236" s="4">
        <f>'17.IT Initiatives_SD'!A17</f>
        <v>17.8</v>
      </c>
      <c r="B236" s="4">
        <f>'17.IT Initiatives_SD'!B17</f>
        <v>0</v>
      </c>
      <c r="C236" s="4" t="str">
        <f>'17.IT Initiatives_SD'!C17</f>
        <v>Other IT Initiatives for Service Delivery (please specify)</v>
      </c>
      <c r="D236" s="8">
        <f>'17.IT Initiatives_SD'!F17</f>
        <v>0</v>
      </c>
      <c r="E236" s="8">
        <f>'17.IT Initiatives_SD'!G17</f>
        <v>0</v>
      </c>
      <c r="F236" s="8">
        <f>'17.IT Initiatives_SD'!H17</f>
        <v>0</v>
      </c>
      <c r="G236" s="8">
        <f>'17.IT Initiatives_SD'!I17</f>
        <v>0</v>
      </c>
      <c r="H236" s="8">
        <f>'17.IT Initiatives_SD'!J17</f>
        <v>0</v>
      </c>
      <c r="I236" s="8" t="str">
        <f>'17.IT Initiatives_SD'!K17</f>
        <v>Internet Lease line</v>
      </c>
      <c r="J236" s="8">
        <f>'17.IT Initiatives_SD'!L17</f>
        <v>14790750</v>
      </c>
      <c r="K236" s="8">
        <f>'17.IT Initiatives_SD'!M17</f>
        <v>147.9075</v>
      </c>
      <c r="L236" s="8">
        <f>'17.IT Initiatives_SD'!N17</f>
        <v>12</v>
      </c>
      <c r="M236" s="8">
        <f>'17.IT Initiatives_SD'!O17</f>
        <v>1774.8899999999999</v>
      </c>
      <c r="N236" s="8" t="str">
        <f>'17.IT Initiatives_SD'!P17</f>
        <v xml:space="preserve">New Activity: 
10 Mbps Internet Leaseline for 533 PHCs- The fund of Rs.1774.89 lakh has been proposed for 10 Mbps 1:1 dedicated internet leaseline at all 533 Block PHCs to provide better internet facility at PHC level for e-Sanjeevani (Telemedicine), Data Entry/Updation/Report generation/Analysis of Data of different applications as like HMIS/RCH Portal/NCD Application, COVID-19 Application, COVID-19 Vaccination Application, Entry/Updation/Report generation thorugh online Tally, PC &amp; PNDT Portal, FPLMIS, DVDMS, RBSK Portal, PFMS, ICHH-Bihar (Thalassemia, Hemophilia, Sicklecell, Disease) etc. Unit Cost Rs. 3,33,000/- per annum for providing 1:1 dedicated internet leaseline for 533 Block PHCs. </v>
      </c>
      <c r="O236" s="8">
        <f>'17.IT Initiatives_SD'!Q17</f>
        <v>0</v>
      </c>
      <c r="P236" s="8">
        <f>'17.IT Initiatives_SD'!R17</f>
        <v>0</v>
      </c>
    </row>
    <row r="237" spans="1:16">
      <c r="A237" s="33"/>
      <c r="B237" s="33"/>
      <c r="C237" s="33" t="str">
        <f>'NUHM-Non Metro Abst'!C7</f>
        <v>Non-Metro Sub Total</v>
      </c>
      <c r="D237" s="41"/>
      <c r="E237" s="41"/>
      <c r="F237" s="41">
        <f>F238+F252+F260</f>
        <v>0</v>
      </c>
      <c r="G237" s="41">
        <f>G238+G252+G260</f>
        <v>0</v>
      </c>
      <c r="H237" s="41">
        <f>H238+H252+H260</f>
        <v>0</v>
      </c>
      <c r="I237" s="41"/>
      <c r="J237" s="41"/>
      <c r="K237" s="41"/>
      <c r="L237" s="41"/>
      <c r="M237" s="41">
        <f>M238+M252+M260</f>
        <v>812.24967000000004</v>
      </c>
      <c r="N237" s="41"/>
      <c r="O237" s="41"/>
      <c r="P237" s="41">
        <f>P238+P252+P260</f>
        <v>0</v>
      </c>
    </row>
    <row r="238" spans="1:16">
      <c r="A238" s="31" t="str">
        <f>'NUHM-Non Metro Abst'!A77</f>
        <v>U.5</v>
      </c>
      <c r="B238" s="31">
        <f>'NUHM-Non Metro Abst'!B77</f>
        <v>0</v>
      </c>
      <c r="C238" s="31" t="str">
        <f>'NUHM-Non Metro Abst'!C77</f>
        <v>Infrastructure</v>
      </c>
      <c r="D238" s="38"/>
      <c r="E238" s="38"/>
      <c r="F238" s="38">
        <f>F239+F245+F249</f>
        <v>0</v>
      </c>
      <c r="G238" s="38">
        <f>G239+G245+G249</f>
        <v>0</v>
      </c>
      <c r="H238" s="38">
        <f>H239+H245+H249</f>
        <v>0</v>
      </c>
      <c r="I238" s="38"/>
      <c r="J238" s="38"/>
      <c r="K238" s="38"/>
      <c r="L238" s="38"/>
      <c r="M238" s="38">
        <f>M239+M245+M249</f>
        <v>10</v>
      </c>
      <c r="N238" s="38"/>
      <c r="O238" s="38"/>
      <c r="P238" s="38">
        <f>P239+P245+P249</f>
        <v>0</v>
      </c>
    </row>
    <row r="239" spans="1:16">
      <c r="A239" s="32" t="str">
        <f>'NUHM-Non Metro Abst'!A78</f>
        <v>U.5.1</v>
      </c>
      <c r="B239" s="32">
        <f>'NUHM-Non Metro Abst'!B78</f>
        <v>0</v>
      </c>
      <c r="C239" s="32" t="str">
        <f>'NUHM-Non Metro Abst'!C78</f>
        <v>Upgradation of existing facilities</v>
      </c>
      <c r="D239" s="39"/>
      <c r="E239" s="39"/>
      <c r="F239" s="39">
        <f>SUM(F240:F242)</f>
        <v>0</v>
      </c>
      <c r="G239" s="39">
        <f>SUM(G240:G242)</f>
        <v>0</v>
      </c>
      <c r="H239" s="39">
        <f>SUM(H240:H242)</f>
        <v>0</v>
      </c>
      <c r="I239" s="39"/>
      <c r="J239" s="39"/>
      <c r="K239" s="39"/>
      <c r="L239" s="39"/>
      <c r="M239" s="39">
        <f>SUM(M240:M242)</f>
        <v>0</v>
      </c>
      <c r="N239" s="39"/>
      <c r="O239" s="39"/>
      <c r="P239" s="39">
        <f>SUM(P240:P242)</f>
        <v>0</v>
      </c>
    </row>
    <row r="240" spans="1:16">
      <c r="A240" s="4" t="str">
        <f>'NUHM-Non Metro Abst'!A79</f>
        <v>U.5.1.1</v>
      </c>
      <c r="B240" s="4" t="str">
        <f>'NUHM-Non Metro Abst'!B79</f>
        <v>P.4.2.2.1</v>
      </c>
      <c r="C240" s="4" t="str">
        <f>'NUHM-Non Metro Abst'!C79</f>
        <v>UPHC</v>
      </c>
      <c r="D240" s="8">
        <f>'NUHM-Non Metro Abst'!G79</f>
        <v>0</v>
      </c>
      <c r="E240" s="8">
        <f>'NUHM-Non Metro Abst'!H79</f>
        <v>0</v>
      </c>
      <c r="F240" s="8">
        <f>'NUHM-Non Metro Abst'!I79</f>
        <v>0</v>
      </c>
      <c r="G240" s="8">
        <f>'NUHM-Non Metro Abst'!J79</f>
        <v>0</v>
      </c>
      <c r="H240" s="8">
        <f>'NUHM-Non Metro Abst'!K79</f>
        <v>0</v>
      </c>
      <c r="I240" s="8">
        <f>'NUHM-Non Metro Abst'!L79</f>
        <v>0</v>
      </c>
      <c r="J240" s="8">
        <f>'NUHM-Non Metro Abst'!M79</f>
        <v>0</v>
      </c>
      <c r="K240" s="8">
        <f>'NUHM-Non Metro Abst'!N79</f>
        <v>0</v>
      </c>
      <c r="L240" s="8">
        <f>'NUHM-Non Metro Abst'!O79</f>
        <v>0</v>
      </c>
      <c r="M240" s="8">
        <f>'NUHM-Non Metro Abst'!P79</f>
        <v>0</v>
      </c>
      <c r="N240" s="8">
        <f>'NUHM-Non Metro Abst'!Q79</f>
        <v>0</v>
      </c>
      <c r="O240" s="8">
        <f>'NUHM-Non Metro Abst'!R79</f>
        <v>0</v>
      </c>
      <c r="P240" s="8">
        <f>'NUHM-Non Metro Abst'!S79</f>
        <v>0</v>
      </c>
    </row>
    <row r="241" spans="1:16">
      <c r="A241" s="4" t="str">
        <f>'NUHM-Non Metro Abst'!A80</f>
        <v>U.5.1.2</v>
      </c>
      <c r="B241" s="4" t="str">
        <f>'NUHM-Non Metro Abst'!B80</f>
        <v>P.4.2.2.2</v>
      </c>
      <c r="C241" s="4" t="str">
        <f>'NUHM-Non Metro Abst'!C80</f>
        <v>UCHC</v>
      </c>
      <c r="D241" s="8">
        <f>'NUHM-Non Metro Abst'!G80</f>
        <v>0</v>
      </c>
      <c r="E241" s="8">
        <f>'NUHM-Non Metro Abst'!H80</f>
        <v>0</v>
      </c>
      <c r="F241" s="8">
        <f>'NUHM-Non Metro Abst'!I80</f>
        <v>0</v>
      </c>
      <c r="G241" s="8">
        <f>'NUHM-Non Metro Abst'!J80</f>
        <v>0</v>
      </c>
      <c r="H241" s="8">
        <f>'NUHM-Non Metro Abst'!K80</f>
        <v>0</v>
      </c>
      <c r="I241" s="8">
        <f>'NUHM-Non Metro Abst'!L80</f>
        <v>0</v>
      </c>
      <c r="J241" s="8">
        <f>'NUHM-Non Metro Abst'!M80</f>
        <v>0</v>
      </c>
      <c r="K241" s="8">
        <f>'NUHM-Non Metro Abst'!N80</f>
        <v>0</v>
      </c>
      <c r="L241" s="8">
        <f>'NUHM-Non Metro Abst'!O80</f>
        <v>0</v>
      </c>
      <c r="M241" s="8">
        <f>'NUHM-Non Metro Abst'!P80</f>
        <v>0</v>
      </c>
      <c r="N241" s="8">
        <f>'NUHM-Non Metro Abst'!Q80</f>
        <v>0</v>
      </c>
      <c r="O241" s="8">
        <f>'NUHM-Non Metro Abst'!R80</f>
        <v>0</v>
      </c>
      <c r="P241" s="8">
        <f>'NUHM-Non Metro Abst'!S80</f>
        <v>0</v>
      </c>
    </row>
    <row r="242" spans="1:16">
      <c r="A242" s="4" t="str">
        <f>'NUHM-Non Metro Abst'!A81</f>
        <v>U.5.1.3</v>
      </c>
      <c r="B242" s="4" t="str">
        <f>'NUHM-Non Metro Abst'!B81</f>
        <v>P.4.2.2.2</v>
      </c>
      <c r="C242" s="4" t="str">
        <f>'NUHM-Non Metro Abst'!C81</f>
        <v>Maternity Homes</v>
      </c>
      <c r="D242" s="8">
        <f>'NUHM-Non Metro Abst'!G81</f>
        <v>0</v>
      </c>
      <c r="E242" s="8">
        <f>'NUHM-Non Metro Abst'!H81</f>
        <v>0</v>
      </c>
      <c r="F242" s="8">
        <f>'NUHM-Non Metro Abst'!I81</f>
        <v>0</v>
      </c>
      <c r="G242" s="8">
        <f>'NUHM-Non Metro Abst'!J81</f>
        <v>0</v>
      </c>
      <c r="H242" s="8">
        <f>'NUHM-Non Metro Abst'!K81</f>
        <v>0</v>
      </c>
      <c r="I242" s="8">
        <f>'NUHM-Non Metro Abst'!L81</f>
        <v>0</v>
      </c>
      <c r="J242" s="8">
        <f>'NUHM-Non Metro Abst'!M81</f>
        <v>0</v>
      </c>
      <c r="K242" s="8">
        <f>'NUHM-Non Metro Abst'!N81</f>
        <v>0</v>
      </c>
      <c r="L242" s="8">
        <f>'NUHM-Non Metro Abst'!O81</f>
        <v>0</v>
      </c>
      <c r="M242" s="8">
        <f>'NUHM-Non Metro Abst'!P81</f>
        <v>0</v>
      </c>
      <c r="N242" s="8">
        <f>'NUHM-Non Metro Abst'!Q81</f>
        <v>0</v>
      </c>
      <c r="O242" s="8">
        <f>'NUHM-Non Metro Abst'!R81</f>
        <v>0</v>
      </c>
      <c r="P242" s="8">
        <f>'NUHM-Non Metro Abst'!S81</f>
        <v>0</v>
      </c>
    </row>
    <row r="243" spans="1:16" ht="331.5">
      <c r="A243" s="4" t="str">
        <f>'NUHM-Non Metro Abst'!A82</f>
        <v>U.5.1.4</v>
      </c>
      <c r="B243" s="4" t="str">
        <f>'NUHM-Non Metro Abst'!B82</f>
        <v>P.4.2.3.1</v>
      </c>
      <c r="C243" s="4" t="str">
        <f>'NUHM-Non Metro Abst'!C82</f>
        <v>Rent for UPHC</v>
      </c>
      <c r="D243" s="8">
        <f>'NUHM-Non Metro Abst'!G82</f>
        <v>0</v>
      </c>
      <c r="E243" s="8">
        <f>'NUHM-Non Metro Abst'!H82</f>
        <v>0</v>
      </c>
      <c r="F243" s="8">
        <f>'NUHM-Non Metro Abst'!I82</f>
        <v>0</v>
      </c>
      <c r="G243" s="8" t="str">
        <f>'NUHM-Non Metro Abst'!J82</f>
        <v>No. of UPHC</v>
      </c>
      <c r="H243" s="8">
        <f>'NUHM-Non Metro Abst'!K82</f>
        <v>185000</v>
      </c>
      <c r="I243" s="8">
        <f>'NUHM-Non Metro Abst'!L82</f>
        <v>1.85</v>
      </c>
      <c r="J243" s="8">
        <f>'NUHM-Non Metro Abst'!M82</f>
        <v>120</v>
      </c>
      <c r="K243" s="8">
        <f>'NUHM-Non Metro Abst'!N82</f>
        <v>222</v>
      </c>
      <c r="L243" s="8" t="str">
        <f>'NUHM-Non Metro Abst'!O82</f>
        <v>Continued Activity 
Proposed Rs. 20000 per month for 90 existing UPHC for 12 month and 30 new UPHC for 03 months.
Sub Total = 20000*90*12 months = Rs 21,600,000
Sub Total = 20000*30*1 month  = Rs 600,000
Total = Rs 21600000 + Rs 600,000 = Rs  22,200,000</v>
      </c>
      <c r="M243" s="8">
        <f>'NUHM-Non Metro Abst'!P82</f>
        <v>0</v>
      </c>
      <c r="N243" s="8">
        <f>'NUHM-Non Metro Abst'!Q82</f>
        <v>0</v>
      </c>
      <c r="O243" s="8">
        <f>'NUHM-Non Metro Abst'!R82</f>
        <v>0</v>
      </c>
      <c r="P243" s="8">
        <f>'NUHM-Non Metro Abst'!S82</f>
        <v>0</v>
      </c>
    </row>
    <row r="244" spans="1:16">
      <c r="A244" s="4" t="str">
        <f>'NUHM-Non Metro Abst'!A83</f>
        <v>U.5.1.5</v>
      </c>
      <c r="B244" s="4">
        <f>'NUHM-Non Metro Abst'!B83</f>
        <v>0</v>
      </c>
      <c r="C244" s="4" t="str">
        <f>'NUHM-Non Metro Abst'!C83</f>
        <v>Any other (please specify)</v>
      </c>
      <c r="D244" s="8">
        <f>'NUHM-Non Metro Abst'!G83</f>
        <v>0</v>
      </c>
      <c r="E244" s="8">
        <f>'NUHM-Non Metro Abst'!H83</f>
        <v>0</v>
      </c>
      <c r="F244" s="8">
        <f>'NUHM-Non Metro Abst'!I83</f>
        <v>0</v>
      </c>
      <c r="G244" s="8">
        <f>'NUHM-Non Metro Abst'!J83</f>
        <v>0</v>
      </c>
      <c r="H244" s="8">
        <f>'NUHM-Non Metro Abst'!K83</f>
        <v>0</v>
      </c>
      <c r="I244" s="8">
        <f>'NUHM-Non Metro Abst'!L83</f>
        <v>0</v>
      </c>
      <c r="J244" s="8">
        <f>'NUHM-Non Metro Abst'!M83</f>
        <v>0</v>
      </c>
      <c r="K244" s="8">
        <f>'NUHM-Non Metro Abst'!N83</f>
        <v>0</v>
      </c>
      <c r="L244" s="8">
        <f>'NUHM-Non Metro Abst'!O83</f>
        <v>0</v>
      </c>
      <c r="M244" s="8">
        <f>'NUHM-Non Metro Abst'!P83</f>
        <v>0</v>
      </c>
      <c r="N244" s="8">
        <f>'NUHM-Non Metro Abst'!Q83</f>
        <v>0</v>
      </c>
      <c r="O244" s="8">
        <f>'NUHM-Non Metro Abst'!R83</f>
        <v>0</v>
      </c>
      <c r="P244" s="8">
        <f>'NUHM-Non Metro Abst'!S83</f>
        <v>0</v>
      </c>
    </row>
    <row r="245" spans="1:16">
      <c r="A245" s="32" t="str">
        <f>'NUHM-Non Metro Abst'!A84</f>
        <v>U.5.2</v>
      </c>
      <c r="B245" s="32">
        <f>'NUHM-Non Metro Abst'!B84</f>
        <v>0</v>
      </c>
      <c r="C245" s="32" t="str">
        <f>'NUHM-Non Metro Abst'!C84</f>
        <v xml:space="preserve">New Constructions </v>
      </c>
      <c r="D245" s="39"/>
      <c r="E245" s="39"/>
      <c r="F245" s="39">
        <f>SUM(F246:F248)</f>
        <v>0</v>
      </c>
      <c r="G245" s="39">
        <f>SUM(G246:G248)</f>
        <v>0</v>
      </c>
      <c r="H245" s="39">
        <f>SUM(H246:H248)</f>
        <v>0</v>
      </c>
      <c r="I245" s="39"/>
      <c r="J245" s="39"/>
      <c r="K245" s="39"/>
      <c r="L245" s="39"/>
      <c r="M245" s="39">
        <f>SUM(M246:M248)</f>
        <v>0</v>
      </c>
      <c r="N245" s="39"/>
      <c r="O245" s="39"/>
      <c r="P245" s="39">
        <f>SUM(P246:P248)</f>
        <v>0</v>
      </c>
    </row>
    <row r="246" spans="1:16">
      <c r="A246" s="4" t="str">
        <f>'NUHM-Non Metro Abst'!A85</f>
        <v>U.5.2.1</v>
      </c>
      <c r="B246" s="4" t="str">
        <f>'NUHM-Non Metro Abst'!B85</f>
        <v>P.4.2.1.1</v>
      </c>
      <c r="C246" s="4" t="str">
        <f>'NUHM-Non Metro Abst'!C85</f>
        <v>UPHC</v>
      </c>
      <c r="D246" s="10">
        <f>'NUHM-Non Metro Abst'!E85</f>
        <v>0</v>
      </c>
      <c r="E246" s="10">
        <f>'NUHM-Non Metro Abst'!F85</f>
        <v>0</v>
      </c>
      <c r="F246" s="10">
        <f>'NUHM-Non Metro Abst'!G85</f>
        <v>0</v>
      </c>
      <c r="G246" s="10">
        <f>'NUHM-Non Metro Abst'!H85</f>
        <v>0</v>
      </c>
      <c r="H246" s="10">
        <f>'NUHM-Non Metro Abst'!I85</f>
        <v>0</v>
      </c>
      <c r="I246" s="10">
        <f>'NUHM-Non Metro Abst'!J85</f>
        <v>0</v>
      </c>
      <c r="J246" s="10">
        <f>'NUHM-Non Metro Abst'!K85</f>
        <v>0</v>
      </c>
      <c r="K246" s="9">
        <f>'NUHM-Non Metro Abst'!L85</f>
        <v>0</v>
      </c>
      <c r="L246" s="10">
        <f>'NUHM-Non Metro Abst'!M85</f>
        <v>0</v>
      </c>
      <c r="M246" s="9">
        <f>'NUHM-Non Metro Abst'!N85</f>
        <v>0</v>
      </c>
      <c r="N246" s="10">
        <f>'NUHM-Non Metro Abst'!O85</f>
        <v>0</v>
      </c>
      <c r="O246" s="10">
        <f>'NUHM-Non Metro Abst'!P85</f>
        <v>0</v>
      </c>
      <c r="P246" s="10">
        <f>'NUHM-Non Metro Abst'!Q85</f>
        <v>0</v>
      </c>
    </row>
    <row r="247" spans="1:16">
      <c r="A247" s="4" t="str">
        <f>'NUHM-Non Metro Abst'!A86</f>
        <v>U.5.2.2</v>
      </c>
      <c r="B247" s="4" t="str">
        <f>'NUHM-Non Metro Abst'!B86</f>
        <v>P.4.2.1.2</v>
      </c>
      <c r="C247" s="4" t="str">
        <f>'NUHM-Non Metro Abst'!C86</f>
        <v>UCHC</v>
      </c>
      <c r="D247" s="10">
        <f>'NUHM-Non Metro Abst'!E86</f>
        <v>0</v>
      </c>
      <c r="E247" s="10">
        <f>'NUHM-Non Metro Abst'!F86</f>
        <v>0</v>
      </c>
      <c r="F247" s="10">
        <f>'NUHM-Non Metro Abst'!G86</f>
        <v>0</v>
      </c>
      <c r="G247" s="10">
        <f>'NUHM-Non Metro Abst'!H86</f>
        <v>0</v>
      </c>
      <c r="H247" s="10">
        <f>'NUHM-Non Metro Abst'!I86</f>
        <v>0</v>
      </c>
      <c r="I247" s="10">
        <f>'NUHM-Non Metro Abst'!J86</f>
        <v>0</v>
      </c>
      <c r="J247" s="10">
        <f>'NUHM-Non Metro Abst'!K86</f>
        <v>0</v>
      </c>
      <c r="K247" s="9">
        <f>'NUHM-Non Metro Abst'!L86</f>
        <v>0</v>
      </c>
      <c r="L247" s="10">
        <f>'NUHM-Non Metro Abst'!M86</f>
        <v>0</v>
      </c>
      <c r="M247" s="9">
        <f>'NUHM-Non Metro Abst'!N86</f>
        <v>0</v>
      </c>
      <c r="N247" s="10">
        <f>'NUHM-Non Metro Abst'!O86</f>
        <v>0</v>
      </c>
      <c r="O247" s="10">
        <f>'NUHM-Non Metro Abst'!P86</f>
        <v>0</v>
      </c>
      <c r="P247" s="10">
        <f>'NUHM-Non Metro Abst'!Q86</f>
        <v>0</v>
      </c>
    </row>
    <row r="248" spans="1:16">
      <c r="A248" s="4" t="str">
        <f>'NUHM-Non Metro Abst'!A87</f>
        <v>U.5.2.3</v>
      </c>
      <c r="B248" s="4" t="str">
        <f>'NUHM-Non Metro Abst'!B87</f>
        <v>P.4.2.1.3</v>
      </c>
      <c r="C248" s="4" t="str">
        <f>'NUHM-Non Metro Abst'!C87</f>
        <v>Health Kiosk (for establishment)</v>
      </c>
      <c r="D248" s="10">
        <f>'NUHM-Non Metro Abst'!E87</f>
        <v>0</v>
      </c>
      <c r="E248" s="10">
        <f>'NUHM-Non Metro Abst'!F87</f>
        <v>0</v>
      </c>
      <c r="F248" s="10">
        <f>'NUHM-Non Metro Abst'!G87</f>
        <v>0</v>
      </c>
      <c r="G248" s="10">
        <f>'NUHM-Non Metro Abst'!H87</f>
        <v>0</v>
      </c>
      <c r="H248" s="10">
        <f>'NUHM-Non Metro Abst'!I87</f>
        <v>0</v>
      </c>
      <c r="I248" s="10">
        <f>'NUHM-Non Metro Abst'!J87</f>
        <v>0</v>
      </c>
      <c r="J248" s="10">
        <f>'NUHM-Non Metro Abst'!K87</f>
        <v>0</v>
      </c>
      <c r="K248" s="9">
        <f>'NUHM-Non Metro Abst'!L87</f>
        <v>0</v>
      </c>
      <c r="L248" s="10">
        <f>'NUHM-Non Metro Abst'!M87</f>
        <v>0</v>
      </c>
      <c r="M248" s="9">
        <f>'NUHM-Non Metro Abst'!N87</f>
        <v>0</v>
      </c>
      <c r="N248" s="10">
        <f>'NUHM-Non Metro Abst'!O87</f>
        <v>0</v>
      </c>
      <c r="O248" s="10">
        <f>'NUHM-Non Metro Abst'!P87</f>
        <v>0</v>
      </c>
      <c r="P248" s="10">
        <f>'NUHM-Non Metro Abst'!Q87</f>
        <v>0</v>
      </c>
    </row>
    <row r="249" spans="1:16">
      <c r="A249" s="32" t="str">
        <f>'NUHM-Non Metro Abst'!A88</f>
        <v>U.5.3</v>
      </c>
      <c r="B249" s="32">
        <f>'NUHM-Non Metro Abst'!B88</f>
        <v>0</v>
      </c>
      <c r="C249" s="32" t="str">
        <f>'NUHM-Non Metro Abst'!C88</f>
        <v>Other construction/ Civil works</v>
      </c>
      <c r="D249" s="39"/>
      <c r="E249" s="39"/>
      <c r="F249" s="39">
        <f>SUM(F250:F251)</f>
        <v>0</v>
      </c>
      <c r="G249" s="39">
        <f>SUM(G250:G251)</f>
        <v>0</v>
      </c>
      <c r="H249" s="39">
        <f>SUM(H250:H251)</f>
        <v>0</v>
      </c>
      <c r="I249" s="39"/>
      <c r="J249" s="39"/>
      <c r="K249" s="48"/>
      <c r="L249" s="39"/>
      <c r="M249" s="48">
        <f>SUM(M250:M251)</f>
        <v>10</v>
      </c>
      <c r="N249" s="39"/>
      <c r="O249" s="39"/>
      <c r="P249" s="39">
        <f>SUM(P250:P251)</f>
        <v>0</v>
      </c>
    </row>
    <row r="250" spans="1:16" ht="89.25">
      <c r="A250" s="4" t="str">
        <f>'NUHM-Non Metro Abst'!A89</f>
        <v>U.5.3.1</v>
      </c>
      <c r="B250" s="4">
        <f>'NUHM-Non Metro Abst'!B89</f>
        <v>0</v>
      </c>
      <c r="C250" s="4" t="str">
        <f>'NUHM-Non Metro Abst'!C89</f>
        <v>Infrastructure strengthening of UPHC to H&amp;WC</v>
      </c>
      <c r="D250" s="4">
        <f>'NUHM-Non Metro Abst'!E89</f>
        <v>0</v>
      </c>
      <c r="E250" s="4">
        <f>'NUHM-Non Metro Abst'!F89</f>
        <v>0</v>
      </c>
      <c r="F250" s="4">
        <f>'NUHM-Non Metro Abst'!G89</f>
        <v>0</v>
      </c>
      <c r="G250" s="4">
        <f>'NUHM-Non Metro Abst'!H89</f>
        <v>0</v>
      </c>
      <c r="H250" s="4">
        <f>'NUHM-Non Metro Abst'!I89</f>
        <v>0</v>
      </c>
      <c r="I250" s="4" t="str">
        <f>'NUHM-Non Metro Abst'!J89</f>
        <v>No.of UPHC</v>
      </c>
      <c r="J250" s="4">
        <f>'NUHM-Non Metro Abst'!K89</f>
        <v>100000</v>
      </c>
      <c r="K250" s="9">
        <f>'NUHM-Non Metro Abst'!L89</f>
        <v>1</v>
      </c>
      <c r="L250" s="4">
        <f>'NUHM-Non Metro Abst'!M89</f>
        <v>10</v>
      </c>
      <c r="M250" s="9">
        <f>'NUHM-Non Metro Abst'!N89</f>
        <v>10</v>
      </c>
      <c r="N250" s="4" t="str">
        <f>'NUHM-Non Metro Abst'!O89</f>
        <v>For the upgradation &amp; Strehenthening of UPHCs @ Rs 100000/UPHC-HWC as per HWC guideline for 10 UPHCs 
Total = Rs 100000*10=  Rs 1000000</v>
      </c>
      <c r="O250" s="8">
        <f>'NUHM-Non Metro Abst'!R89</f>
        <v>0</v>
      </c>
      <c r="P250" s="8">
        <f>'NUHM-Non Metro Abst'!S89</f>
        <v>0</v>
      </c>
    </row>
    <row r="251" spans="1:16">
      <c r="A251" s="4" t="str">
        <f>'NUHM-Non Metro Abst'!A90</f>
        <v>U.5.3.2</v>
      </c>
      <c r="B251" s="4">
        <f>'NUHM-Non Metro Abst'!B90</f>
        <v>0</v>
      </c>
      <c r="C251" s="4" t="str">
        <f>'NUHM-Non Metro Abst'!C90</f>
        <v>Any Other (please specify)</v>
      </c>
      <c r="D251" s="4">
        <f>'NUHM-Non Metro Abst'!E90</f>
        <v>0</v>
      </c>
      <c r="E251" s="4">
        <f>'NUHM-Non Metro Abst'!F90</f>
        <v>0</v>
      </c>
      <c r="F251" s="4">
        <f>'NUHM-Non Metro Abst'!G90</f>
        <v>0</v>
      </c>
      <c r="G251" s="4">
        <f>'NUHM-Non Metro Abst'!H90</f>
        <v>0</v>
      </c>
      <c r="H251" s="4">
        <f>'NUHM-Non Metro Abst'!I90</f>
        <v>0</v>
      </c>
      <c r="I251" s="4">
        <f>'NUHM-Non Metro Abst'!J90</f>
        <v>0</v>
      </c>
      <c r="J251" s="4">
        <f>'NUHM-Non Metro Abst'!K90</f>
        <v>0</v>
      </c>
      <c r="K251" s="9">
        <f>'NUHM-Non Metro Abst'!L90</f>
        <v>0</v>
      </c>
      <c r="L251" s="4">
        <f>'NUHM-Non Metro Abst'!M90</f>
        <v>0</v>
      </c>
      <c r="M251" s="9">
        <f>'NUHM-Non Metro Abst'!N90</f>
        <v>0</v>
      </c>
      <c r="N251" s="4">
        <f>'NUHM-Non Metro Abst'!O90</f>
        <v>0</v>
      </c>
      <c r="O251" s="8">
        <f>'NUHM-Non Metro Abst'!R90</f>
        <v>0</v>
      </c>
      <c r="P251" s="8">
        <f>'NUHM-Non Metro Abst'!S90</f>
        <v>0</v>
      </c>
    </row>
    <row r="252" spans="1:16">
      <c r="A252" s="31" t="str">
        <f>'NUHM-Non Metro Abst'!A91</f>
        <v>U.6</v>
      </c>
      <c r="B252" s="31">
        <f>'NUHM-Non Metro Abst'!B91</f>
        <v>0</v>
      </c>
      <c r="C252" s="31" t="str">
        <f>'NUHM-Non Metro Abst'!C91</f>
        <v>Procurement</v>
      </c>
      <c r="D252" s="38"/>
      <c r="E252" s="38"/>
      <c r="F252" s="38">
        <f>F253+F258</f>
        <v>0</v>
      </c>
      <c r="G252" s="38">
        <f>G253+G258</f>
        <v>0</v>
      </c>
      <c r="H252" s="38">
        <f>H253+H258</f>
        <v>0</v>
      </c>
      <c r="I252" s="38"/>
      <c r="J252" s="38"/>
      <c r="K252" s="38"/>
      <c r="L252" s="38"/>
      <c r="M252" s="38">
        <f>M253+M258</f>
        <v>802.24967000000004</v>
      </c>
      <c r="N252" s="38"/>
      <c r="O252" s="38"/>
      <c r="P252" s="38">
        <f>P253+P258</f>
        <v>0</v>
      </c>
    </row>
    <row r="253" spans="1:16">
      <c r="A253" s="34" t="str">
        <f>'NUHM-Non Metro Abst'!A92</f>
        <v>U.6.1</v>
      </c>
      <c r="B253" s="34">
        <f>'NUHM-Non Metro Abst'!B92</f>
        <v>0</v>
      </c>
      <c r="C253" s="34" t="str">
        <f>'NUHM-Non Metro Abst'!C92</f>
        <v>Procurement of Equipment</v>
      </c>
      <c r="D253" s="42">
        <f>SUM(D254:D257)</f>
        <v>0</v>
      </c>
      <c r="E253" s="42">
        <f t="shared" ref="E253:M253" si="1">SUM(E254:E257)</f>
        <v>0</v>
      </c>
      <c r="F253" s="42">
        <f t="shared" si="1"/>
        <v>0</v>
      </c>
      <c r="G253" s="42">
        <f t="shared" si="1"/>
        <v>0</v>
      </c>
      <c r="H253" s="42">
        <f t="shared" si="1"/>
        <v>0</v>
      </c>
      <c r="I253" s="42">
        <f t="shared" si="1"/>
        <v>0</v>
      </c>
      <c r="J253" s="42">
        <f t="shared" si="1"/>
        <v>600000</v>
      </c>
      <c r="K253" s="42">
        <f t="shared" si="1"/>
        <v>6</v>
      </c>
      <c r="L253" s="42">
        <f t="shared" si="1"/>
        <v>55</v>
      </c>
      <c r="M253" s="42">
        <f t="shared" si="1"/>
        <v>663.5</v>
      </c>
      <c r="N253" s="42">
        <f>'NUHM-Non Metro Abst'!Q92</f>
        <v>0</v>
      </c>
      <c r="O253" s="42">
        <f>'NUHM-Non Metro Abst'!R92</f>
        <v>0</v>
      </c>
      <c r="P253" s="42">
        <f>SUM(P254:P257)</f>
        <v>0</v>
      </c>
    </row>
    <row r="254" spans="1:16">
      <c r="A254" s="4" t="str">
        <f>'NUHM-Non Metro Abst'!A93</f>
        <v>U.6.1.1</v>
      </c>
      <c r="B254" s="4">
        <f>'NUHM-Non Metro Abst'!B93</f>
        <v>0</v>
      </c>
      <c r="C254" s="4" t="str">
        <f>'NUHM-Non Metro Abst'!C93</f>
        <v>Equipment for AB-HWCs</v>
      </c>
      <c r="D254" s="4">
        <f>'NUHM-Non Metro Abst'!E93</f>
        <v>0</v>
      </c>
      <c r="E254" s="4">
        <f>'NUHM-Non Metro Abst'!F93</f>
        <v>0</v>
      </c>
      <c r="F254" s="4">
        <f>'NUHM-Non Metro Abst'!G93</f>
        <v>0</v>
      </c>
      <c r="G254" s="4">
        <f>'NUHM-Non Metro Abst'!H93</f>
        <v>0</v>
      </c>
      <c r="H254" s="4">
        <f>'NUHM-Non Metro Abst'!I93</f>
        <v>0</v>
      </c>
      <c r="I254" s="4">
        <f>'NUHM-Non Metro Abst'!J104</f>
        <v>0</v>
      </c>
      <c r="J254" s="4">
        <f>'NUHM-Non Metro Abst'!K104</f>
        <v>0</v>
      </c>
      <c r="K254" s="4">
        <f>'NUHM-Non Metro Abst'!L104</f>
        <v>0</v>
      </c>
      <c r="L254" s="4">
        <f>'NUHM-Non Metro Abst'!M104</f>
        <v>0</v>
      </c>
      <c r="M254" s="4">
        <f>'NUHM-Non Metro Abst'!N104</f>
        <v>330</v>
      </c>
      <c r="N254" s="4">
        <f>'NUHM-Non Metro Abst'!O104</f>
        <v>0</v>
      </c>
      <c r="O254" s="4">
        <f>'NUHM-Non Metro Abst'!P104</f>
        <v>0</v>
      </c>
      <c r="P254" s="4">
        <f>'NUHM-Non Metro Abst'!Q104</f>
        <v>0</v>
      </c>
    </row>
    <row r="255" spans="1:16" ht="344.25">
      <c r="A255" s="4" t="str">
        <f>'NUHM-Non Metro Abst'!A94</f>
        <v>U.6.1.2</v>
      </c>
      <c r="B255" s="4" t="str">
        <f>'NUHM-Non Metro Abst'!B94</f>
        <v>P.4.4.2.1</v>
      </c>
      <c r="C255" s="4" t="str">
        <f>'NUHM-Non Metro Abst'!C94</f>
        <v>Equipment for UPHC</v>
      </c>
      <c r="D255" s="4">
        <f>'NUHM-Non Metro Abst'!E94</f>
        <v>0</v>
      </c>
      <c r="E255" s="4">
        <f>'NUHM-Non Metro Abst'!F94</f>
        <v>0</v>
      </c>
      <c r="F255" s="4">
        <f>'NUHM-Non Metro Abst'!G94</f>
        <v>0</v>
      </c>
      <c r="G255" s="4">
        <f>'NUHM-Non Metro Abst'!H94</f>
        <v>0</v>
      </c>
      <c r="H255" s="4">
        <f>'NUHM-Non Metro Abst'!I94</f>
        <v>0</v>
      </c>
      <c r="I255" s="4" t="str">
        <f>'NUHM-Non Metro Abst'!J105</f>
        <v>Per Unit</v>
      </c>
      <c r="J255" s="4">
        <f>'NUHM-Non Metro Abst'!K105</f>
        <v>600000</v>
      </c>
      <c r="K255" s="4">
        <f>'NUHM-Non Metro Abst'!L105</f>
        <v>6</v>
      </c>
      <c r="L255" s="4">
        <f>'NUHM-Non Metro Abst'!M105</f>
        <v>55</v>
      </c>
      <c r="M255" s="4">
        <f>'NUHM-Non Metro Abst'!N105</f>
        <v>330</v>
      </c>
      <c r="N255" s="4" t="str">
        <f>'NUHM-Non Metro Abst'!O105</f>
        <v>Continued Activity :
Rs. 6 lakh is the unit cost for Drugs &amp; consumables for each UPHC-HWC, so the total cost for existing 110 UPHCs-HWC is comes around Rs. 660 lakh (Total = Rs 6,00,000*110 UPHC-HWC= Rs. 6,60,00,000)
Total cost for 110 UPHC-HWC is = Rs. 6, 00,000x110 UPHC-HWC = Rs. 6, 60, 00,000/-. Proposed 50 percent of total cost Rs. 3, 30, 00,000/- for approval and the same will be used for procurement of drugs &amp; consumables for UPHC-HWCs.  Subsequently state will propose the balance amount i.e. 50% (Rs. 3, 30, 00,000/-) in supplementary PIP if required.</v>
      </c>
      <c r="O255" s="4">
        <f>'NUHM-Non Metro Abst'!P105</f>
        <v>0</v>
      </c>
      <c r="P255" s="4">
        <f>'NUHM-Non Metro Abst'!Q105</f>
        <v>0</v>
      </c>
    </row>
    <row r="256" spans="1:16">
      <c r="A256" s="4" t="str">
        <f>'NUHM-Non Metro Abst'!A95</f>
        <v>U.6.1.3</v>
      </c>
      <c r="B256" s="4" t="str">
        <f>'NUHM-Non Metro Abst'!B95</f>
        <v>P.4.4.2.2</v>
      </c>
      <c r="C256" s="4" t="str">
        <f>'NUHM-Non Metro Abst'!C95</f>
        <v>Equipment for UCHC</v>
      </c>
      <c r="D256" s="4">
        <f>'NUHM-Non Metro Abst'!E95</f>
        <v>0</v>
      </c>
      <c r="E256" s="4">
        <f>'NUHM-Non Metro Abst'!F95</f>
        <v>0</v>
      </c>
      <c r="F256" s="4">
        <f>'NUHM-Non Metro Abst'!G95</f>
        <v>0</v>
      </c>
      <c r="G256" s="4">
        <f>'NUHM-Non Metro Abst'!H95</f>
        <v>0</v>
      </c>
      <c r="H256" s="4">
        <f>'NUHM-Non Metro Abst'!I95</f>
        <v>0</v>
      </c>
      <c r="I256" s="4">
        <f>'NUHM-Non Metro Abst'!J106</f>
        <v>0</v>
      </c>
      <c r="J256" s="4">
        <f>'NUHM-Non Metro Abst'!K106</f>
        <v>0</v>
      </c>
      <c r="K256" s="4">
        <f>'NUHM-Non Metro Abst'!L106</f>
        <v>0</v>
      </c>
      <c r="L256" s="4">
        <f>'NUHM-Non Metro Abst'!M106</f>
        <v>0</v>
      </c>
      <c r="M256" s="4">
        <f>'NUHM-Non Metro Abst'!N106</f>
        <v>0</v>
      </c>
      <c r="N256" s="4">
        <f>'NUHM-Non Metro Abst'!O106</f>
        <v>0</v>
      </c>
      <c r="O256" s="4">
        <f>'NUHM-Non Metro Abst'!P106</f>
        <v>0</v>
      </c>
      <c r="P256" s="4">
        <f>'NUHM-Non Metro Abst'!Q106</f>
        <v>0</v>
      </c>
    </row>
    <row r="257" spans="1:16">
      <c r="A257" s="4" t="str">
        <f>'NUHM-Non Metro Abst'!A96</f>
        <v>U.6.1.4</v>
      </c>
      <c r="B257" s="4" t="str">
        <f>'NUHM-Non Metro Abst'!B96</f>
        <v>P.4.4.2.3</v>
      </c>
      <c r="C257" s="4" t="str">
        <f>'NUHM-Non Metro Abst'!C96</f>
        <v>Equipment for Maternity Homes</v>
      </c>
      <c r="D257" s="4">
        <f>'NUHM-Non Metro Abst'!E96</f>
        <v>0</v>
      </c>
      <c r="E257" s="4">
        <f>'NUHM-Non Metro Abst'!F96</f>
        <v>0</v>
      </c>
      <c r="F257" s="4">
        <f>'NUHM-Non Metro Abst'!G96</f>
        <v>0</v>
      </c>
      <c r="G257" s="4">
        <f>'NUHM-Non Metro Abst'!H96</f>
        <v>0</v>
      </c>
      <c r="H257" s="4">
        <f>'NUHM-Non Metro Abst'!I96</f>
        <v>0</v>
      </c>
      <c r="I257" s="4">
        <f>'NUHM-Non Metro Abst'!J108</f>
        <v>0</v>
      </c>
      <c r="J257" s="4">
        <f>'NUHM-Non Metro Abst'!K108</f>
        <v>0</v>
      </c>
      <c r="K257" s="4">
        <f>'NUHM-Non Metro Abst'!L108</f>
        <v>0</v>
      </c>
      <c r="L257" s="4">
        <f>'NUHM-Non Metro Abst'!M108</f>
        <v>0</v>
      </c>
      <c r="M257" s="4">
        <f>'NUHM-Non Metro Abst'!N108</f>
        <v>3.5</v>
      </c>
      <c r="N257" s="4">
        <f>'NUHM-Non Metro Abst'!O108</f>
        <v>0</v>
      </c>
      <c r="O257" s="4">
        <f>'NUHM-Non Metro Abst'!P108</f>
        <v>0</v>
      </c>
      <c r="P257" s="4">
        <f>'NUHM-Non Metro Abst'!Q108</f>
        <v>0</v>
      </c>
    </row>
    <row r="258" spans="1:16">
      <c r="A258" s="32" t="str">
        <f>'NUHM-Non Metro Abst'!A115</f>
        <v>U.6.3</v>
      </c>
      <c r="B258" s="32" t="str">
        <f>'NUHM-Non Metro Abst'!B115</f>
        <v>U.6.5</v>
      </c>
      <c r="C258" s="32" t="str">
        <f>'NUHM-Non Metro Abst'!C115</f>
        <v>Other Procurement</v>
      </c>
      <c r="D258" s="32">
        <f>'NUHM-Non Metro Abst'!E115</f>
        <v>0</v>
      </c>
      <c r="E258" s="32">
        <f>'NUHM-Non Metro Abst'!F115</f>
        <v>0</v>
      </c>
      <c r="F258" s="32">
        <f>'NUHM-Non Metro Abst'!G115</f>
        <v>0</v>
      </c>
      <c r="G258" s="32">
        <f>'NUHM-Non Metro Abst'!H115</f>
        <v>0</v>
      </c>
      <c r="H258" s="32">
        <f>'NUHM-Non Metro Abst'!I115</f>
        <v>0</v>
      </c>
      <c r="I258" s="32">
        <f>'NUHM-Non Metro Abst'!J115</f>
        <v>0</v>
      </c>
      <c r="J258" s="32">
        <f>'NUHM-Non Metro Abst'!K115</f>
        <v>0</v>
      </c>
      <c r="K258" s="32">
        <f>'NUHM-Non Metro Abst'!L115</f>
        <v>0</v>
      </c>
      <c r="L258" s="32">
        <f>'NUHM-Non Metro Abst'!M115</f>
        <v>0</v>
      </c>
      <c r="M258" s="32">
        <f>'NUHM-Non Metro Abst'!N115</f>
        <v>138.74967000000001</v>
      </c>
      <c r="N258" s="39">
        <f>'NUHM-Non Metro Abst'!Q115</f>
        <v>0</v>
      </c>
      <c r="O258" s="39">
        <f>'NUHM-Non Metro Abst'!R115</f>
        <v>0</v>
      </c>
      <c r="P258" s="39">
        <f>P259</f>
        <v>0</v>
      </c>
    </row>
    <row r="259" spans="1:16" ht="409.5">
      <c r="A259" s="4" t="str">
        <f>'NUHM-Non Metro Abst'!A116</f>
        <v>U.6.3.1</v>
      </c>
      <c r="B259" s="4" t="str">
        <f>'NUHM-Non Metro Abst'!B116</f>
        <v>U.6.5.1</v>
      </c>
      <c r="C259" s="4" t="str">
        <f>'NUHM-Non Metro Abst'!C116</f>
        <v>Tablets/ software for IT support of Ayushman Bharat H&amp;WC</v>
      </c>
      <c r="D259" s="8">
        <f>'NUHM-Non Metro Abst'!G116</f>
        <v>0</v>
      </c>
      <c r="E259" s="8">
        <f>'NUHM-Non Metro Abst'!H116</f>
        <v>0</v>
      </c>
      <c r="F259" s="8">
        <f>'NUHM-Non Metro Abst'!I116</f>
        <v>0</v>
      </c>
      <c r="G259" s="8" t="str">
        <f>'NUHM-Non Metro Abst'!J116</f>
        <v>Per ANM</v>
      </c>
      <c r="H259" s="8">
        <f>'NUHM-Non Metro Abst'!K116</f>
        <v>15635.8</v>
      </c>
      <c r="I259" s="8">
        <f>'NUHM-Non Metro Abst'!L116</f>
        <v>0.156358</v>
      </c>
      <c r="J259" s="8">
        <f>'NUHM-Non Metro Abst'!M116</f>
        <v>865</v>
      </c>
      <c r="K259" s="8">
        <f>'NUHM-Non Metro Abst'!N116</f>
        <v>135.24967000000001</v>
      </c>
      <c r="L259" s="8" t="str">
        <f>'NUHM-Non Metro Abst'!O116</f>
        <v>Continued Activity:
Tablet for conducting UPHC-HWC related activity for ANM for 865 ANMs @ Rs 15000/tablet 
Total=15000*865 = Rs 12975000
IT support @ 5000 per UPHC-HWC as per HWC guideline (Rs 5000*110= 550000)
Total = Rs 12975000+ Rs 550000 = Rs 13525000
(865 ANM post have been created by State Side for the Urban Areas for CPHC as per NUHM framework by notification number 936(12) date 15.10.2019). Entrance Exam already conducted, ANM would be on board soon. These ANM will provide outreach services as per UPHC-HWC requirements.</v>
      </c>
      <c r="M259" s="8">
        <f>'NUHM-Non Metro Abst'!P116</f>
        <v>0</v>
      </c>
      <c r="N259" s="12">
        <f>'NUHM-Non Metro Abst'!Q116</f>
        <v>0</v>
      </c>
      <c r="O259" s="8">
        <f>'NUHM-Non Metro Abst'!R116</f>
        <v>0</v>
      </c>
      <c r="P259" s="8">
        <f>'NUHM-Non Metro Abst'!S116</f>
        <v>0</v>
      </c>
    </row>
    <row r="260" spans="1:16" s="44" customFormat="1">
      <c r="A260" s="31" t="str">
        <f>'NUHM-Non Metro Abst'!A230</f>
        <v>U.16</v>
      </c>
      <c r="B260" s="31">
        <f>'NUHM-Non Metro Abst'!B230</f>
        <v>0</v>
      </c>
      <c r="C260" s="31" t="str">
        <f>'NUHM-Non Metro Abst'!C230</f>
        <v>Programme Management</v>
      </c>
      <c r="D260" s="38"/>
      <c r="E260" s="38"/>
      <c r="F260" s="38">
        <f t="shared" ref="F260:H262" si="2">F261</f>
        <v>0</v>
      </c>
      <c r="G260" s="38">
        <f t="shared" si="2"/>
        <v>0</v>
      </c>
      <c r="H260" s="38">
        <f t="shared" si="2"/>
        <v>0</v>
      </c>
      <c r="I260" s="38"/>
      <c r="J260" s="38"/>
      <c r="K260" s="38"/>
      <c r="L260" s="38"/>
      <c r="M260" s="38">
        <f>M261</f>
        <v>0</v>
      </c>
      <c r="N260" s="38"/>
      <c r="O260" s="38"/>
      <c r="P260" s="38">
        <f>P261</f>
        <v>0</v>
      </c>
    </row>
    <row r="261" spans="1:16">
      <c r="A261" s="32" t="str">
        <f>'NUHM-Non Metro Abst'!A231</f>
        <v>U.16.1</v>
      </c>
      <c r="B261" s="32">
        <f>'NUHM-Non Metro Abst'!B231</f>
        <v>0</v>
      </c>
      <c r="C261" s="32" t="str">
        <f>'NUHM-Non Metro Abst'!C231</f>
        <v>Programme Management Activities</v>
      </c>
      <c r="D261" s="39"/>
      <c r="E261" s="39"/>
      <c r="F261" s="39">
        <f t="shared" si="2"/>
        <v>0</v>
      </c>
      <c r="G261" s="39">
        <f t="shared" si="2"/>
        <v>0</v>
      </c>
      <c r="H261" s="39">
        <f t="shared" si="2"/>
        <v>0</v>
      </c>
      <c r="I261" s="39"/>
      <c r="J261" s="39"/>
      <c r="K261" s="39"/>
      <c r="L261" s="39"/>
      <c r="M261" s="39">
        <f>M262</f>
        <v>0</v>
      </c>
      <c r="N261" s="39"/>
      <c r="O261" s="39"/>
      <c r="P261" s="39">
        <f>P262</f>
        <v>0</v>
      </c>
    </row>
    <row r="262" spans="1:16" ht="25.5">
      <c r="A262" s="35" t="str">
        <f>'NUHM-Non Metro Abst'!A250</f>
        <v>U.16.1.5</v>
      </c>
      <c r="B262" s="35">
        <f>'NUHM-Non Metro Abst'!B250</f>
        <v>0</v>
      </c>
      <c r="C262" s="35" t="str">
        <f>'NUHM-Non Metro Abst'!C250</f>
        <v>Any Other Programme Management Cost</v>
      </c>
      <c r="D262" s="43"/>
      <c r="E262" s="43"/>
      <c r="F262" s="43">
        <f t="shared" si="2"/>
        <v>0</v>
      </c>
      <c r="G262" s="43">
        <f t="shared" si="2"/>
        <v>0</v>
      </c>
      <c r="H262" s="43">
        <f t="shared" si="2"/>
        <v>0</v>
      </c>
      <c r="I262" s="43"/>
      <c r="J262" s="43"/>
      <c r="K262" s="43"/>
      <c r="L262" s="43"/>
      <c r="M262" s="43">
        <f>M263</f>
        <v>0</v>
      </c>
      <c r="N262" s="43"/>
      <c r="O262" s="43"/>
      <c r="P262" s="43">
        <f>P263</f>
        <v>0</v>
      </c>
    </row>
    <row r="263" spans="1:16" ht="25.5">
      <c r="A263" s="4" t="str">
        <f>'NUHM-Non Metro Abst'!A252</f>
        <v>U.16.1.5.1.1</v>
      </c>
      <c r="B263" s="4" t="str">
        <f>'NUHM-Non Metro Abst'!B252</f>
        <v>P.8.3.1</v>
      </c>
      <c r="C263" s="4" t="str">
        <f>'NUHM-Non Metro Abst'!C252</f>
        <v>Hardware &amp; Connectivity</v>
      </c>
      <c r="D263" s="4">
        <f>'NUHM-Non Metro Abst'!E252</f>
        <v>0</v>
      </c>
      <c r="E263" s="4">
        <f>'NUHM-Non Metro Abst'!F252</f>
        <v>0</v>
      </c>
      <c r="F263" s="4">
        <f>'NUHM-Non Metro Abst'!G252</f>
        <v>0</v>
      </c>
      <c r="G263" s="4">
        <f>'NUHM-Non Metro Abst'!H252</f>
        <v>0</v>
      </c>
      <c r="H263" s="4">
        <f>'NUHM-Non Metro Abst'!I252</f>
        <v>0</v>
      </c>
      <c r="I263" s="4">
        <f>'NUHM-Non Metro Abst'!J252</f>
        <v>0</v>
      </c>
      <c r="J263" s="4">
        <f>'NUHM-Non Metro Abst'!K252</f>
        <v>0</v>
      </c>
      <c r="K263" s="4">
        <f>'NUHM-Non Metro Abst'!L252</f>
        <v>0</v>
      </c>
      <c r="L263" s="4">
        <f>'NUHM-Non Metro Abst'!M252</f>
        <v>0</v>
      </c>
      <c r="M263" s="4">
        <f>'NUHM-Non Metro Abst'!N252</f>
        <v>0</v>
      </c>
      <c r="N263" s="8">
        <f>'NUHM-Non Metro Abst'!Q252</f>
        <v>0</v>
      </c>
      <c r="O263" s="8">
        <f>'NUHM-Non Metro Abst'!R252</f>
        <v>0</v>
      </c>
      <c r="P263" s="8">
        <f>'NUHM-Non Metro Abst'!S252</f>
        <v>0</v>
      </c>
    </row>
    <row r="264" spans="1:16">
      <c r="A264" s="33"/>
      <c r="B264" s="33"/>
      <c r="C264" s="33" t="str">
        <f>'NUHM Metro Abst'!C7</f>
        <v>Non-Metro Sub Total</v>
      </c>
      <c r="D264" s="41"/>
      <c r="E264" s="41"/>
      <c r="F264" s="41">
        <f>F265+F280+F288</f>
        <v>0</v>
      </c>
      <c r="G264" s="41">
        <f>G265+G280+G288</f>
        <v>0</v>
      </c>
      <c r="H264" s="41">
        <f>H265+H280+H288</f>
        <v>0</v>
      </c>
      <c r="I264" s="41"/>
      <c r="J264" s="41"/>
      <c r="K264" s="41"/>
      <c r="L264" s="41"/>
      <c r="M264" s="41">
        <f>M265+M280+M288</f>
        <v>0</v>
      </c>
      <c r="N264" s="41"/>
      <c r="O264" s="41"/>
      <c r="P264" s="41">
        <f>P265+P280+P288</f>
        <v>0</v>
      </c>
    </row>
    <row r="265" spans="1:16">
      <c r="A265" s="31" t="str">
        <f>'NUHM Metro Abst'!A70</f>
        <v>U.4</v>
      </c>
      <c r="B265" s="31">
        <f>'NUHM Metro Abst'!B70</f>
        <v>0</v>
      </c>
      <c r="C265" s="31" t="str">
        <f>'NUHM Metro Abst'!C70</f>
        <v>Untied grants</v>
      </c>
      <c r="D265" s="38"/>
      <c r="E265" s="38"/>
      <c r="F265" s="38">
        <f>F266+F273+F277</f>
        <v>0</v>
      </c>
      <c r="G265" s="38">
        <f>G266+G273+G277</f>
        <v>0</v>
      </c>
      <c r="H265" s="38">
        <f>H266+H273+H277</f>
        <v>0</v>
      </c>
      <c r="I265" s="38"/>
      <c r="J265" s="38"/>
      <c r="K265" s="38"/>
      <c r="L265" s="38"/>
      <c r="M265" s="38">
        <f>M266+M273+M277</f>
        <v>0</v>
      </c>
      <c r="N265" s="38"/>
      <c r="O265" s="38"/>
      <c r="P265" s="38">
        <f>P266+P273+P277</f>
        <v>0</v>
      </c>
    </row>
    <row r="266" spans="1:16">
      <c r="A266" s="32" t="str">
        <f>'NUHM Metro Abst'!A71</f>
        <v>U.4.1.1</v>
      </c>
      <c r="B266" s="32" t="str">
        <f>'NUHM Metro Abst'!B71</f>
        <v>P.4.3.1</v>
      </c>
      <c r="C266" s="32" t="str">
        <f>'NUHM Metro Abst'!C71</f>
        <v xml:space="preserve">Untied grants to UPHCs </v>
      </c>
      <c r="D266" s="39"/>
      <c r="E266" s="39"/>
      <c r="F266" s="39">
        <f>SUM(F267:F270)</f>
        <v>0</v>
      </c>
      <c r="G266" s="39">
        <f>SUM(G267:G270)</f>
        <v>0</v>
      </c>
      <c r="H266" s="39">
        <f>SUM(H267:H270)</f>
        <v>0</v>
      </c>
      <c r="I266" s="39"/>
      <c r="J266" s="39"/>
      <c r="K266" s="39"/>
      <c r="L266" s="39"/>
      <c r="M266" s="39">
        <f>SUM(M267:M270)</f>
        <v>0</v>
      </c>
      <c r="N266" s="39"/>
      <c r="O266" s="39"/>
      <c r="P266" s="39">
        <f>SUM(P267:P270)</f>
        <v>0</v>
      </c>
    </row>
    <row r="267" spans="1:16" ht="25.5">
      <c r="A267" s="10" t="str">
        <f>'NUHM Metro Abst'!A72</f>
        <v>U.4.1.1.1</v>
      </c>
      <c r="B267" s="10" t="str">
        <f>'NUHM Metro Abst'!B72</f>
        <v>P.4.3.1.a</v>
      </c>
      <c r="C267" s="4" t="str">
        <f>'NUHM Metro Abst'!C72</f>
        <v>Government Building</v>
      </c>
      <c r="D267" s="10">
        <f>'NUHM Metro Abst'!E72</f>
        <v>0</v>
      </c>
      <c r="E267" s="10">
        <f>'NUHM Metro Abst'!F72</f>
        <v>0</v>
      </c>
      <c r="F267" s="10">
        <f>'NUHM Metro Abst'!G72</f>
        <v>0</v>
      </c>
      <c r="G267" s="10">
        <f>'NUHM Metro Abst'!H72</f>
        <v>0</v>
      </c>
      <c r="H267" s="10">
        <f>'NUHM Metro Abst'!I72</f>
        <v>0</v>
      </c>
      <c r="I267" s="10">
        <f>'NUHM Metro Abst'!J72</f>
        <v>0</v>
      </c>
      <c r="J267" s="10">
        <f>'NUHM Metro Abst'!K72</f>
        <v>0</v>
      </c>
      <c r="K267" s="10">
        <f>'NUHM Metro Abst'!L72</f>
        <v>0</v>
      </c>
      <c r="L267" s="10">
        <f>'NUHM Metro Abst'!M72</f>
        <v>0</v>
      </c>
      <c r="M267" s="10">
        <f>'NUHM Metro Abst'!N72</f>
        <v>0</v>
      </c>
      <c r="N267" s="8">
        <f>'NUHM Metro Abst'!Q72</f>
        <v>0</v>
      </c>
      <c r="O267" s="8">
        <f>'NUHM Metro Abst'!R72</f>
        <v>0</v>
      </c>
      <c r="P267" s="8">
        <f>'NUHM Metro Abst'!S72</f>
        <v>0</v>
      </c>
    </row>
    <row r="268" spans="1:16" ht="25.5">
      <c r="A268" s="10" t="str">
        <f>'NUHM Metro Abst'!A73</f>
        <v>U.4.1.1.2</v>
      </c>
      <c r="B268" s="10" t="str">
        <f>'NUHM Metro Abst'!B73</f>
        <v>P.4.3.1.b</v>
      </c>
      <c r="C268" s="4" t="str">
        <f>'NUHM Metro Abst'!C73</f>
        <v>Rented Building</v>
      </c>
      <c r="D268" s="10">
        <f>'NUHM Metro Abst'!E73</f>
        <v>0</v>
      </c>
      <c r="E268" s="10">
        <f>'NUHM Metro Abst'!F73</f>
        <v>0</v>
      </c>
      <c r="F268" s="10">
        <f>'NUHM Metro Abst'!G73</f>
        <v>0</v>
      </c>
      <c r="G268" s="10">
        <f>'NUHM Metro Abst'!H73</f>
        <v>0</v>
      </c>
      <c r="H268" s="10">
        <f>'NUHM Metro Abst'!I73</f>
        <v>0</v>
      </c>
      <c r="I268" s="10">
        <f>'NUHM Metro Abst'!J73</f>
        <v>0</v>
      </c>
      <c r="J268" s="10">
        <f>'NUHM Metro Abst'!K73</f>
        <v>0</v>
      </c>
      <c r="K268" s="10">
        <f>'NUHM Metro Abst'!L73</f>
        <v>0</v>
      </c>
      <c r="L268" s="10">
        <f>'NUHM Metro Abst'!M73</f>
        <v>0</v>
      </c>
      <c r="M268" s="10">
        <f>'NUHM Metro Abst'!N73</f>
        <v>0</v>
      </c>
      <c r="N268" s="8">
        <f>'NUHM Metro Abst'!Q73</f>
        <v>0</v>
      </c>
      <c r="O268" s="8">
        <f>'NUHM Metro Abst'!R73</f>
        <v>0</v>
      </c>
      <c r="P268" s="8">
        <f>'NUHM Metro Abst'!S73</f>
        <v>0</v>
      </c>
    </row>
    <row r="269" spans="1:16">
      <c r="A269" s="10" t="str">
        <f>'NUHM Metro Abst'!A74</f>
        <v>U.4.1.2</v>
      </c>
      <c r="B269" s="10" t="str">
        <f>'NUHM Metro Abst'!B74</f>
        <v>P.4.3.2</v>
      </c>
      <c r="C269" s="4" t="str">
        <f>'NUHM Metro Abst'!C74</f>
        <v>Untied grants to UCHCs</v>
      </c>
      <c r="D269" s="10">
        <f>'NUHM Metro Abst'!E74</f>
        <v>0</v>
      </c>
      <c r="E269" s="10">
        <f>'NUHM Metro Abst'!F74</f>
        <v>0</v>
      </c>
      <c r="F269" s="10">
        <f>'NUHM Metro Abst'!G74</f>
        <v>0</v>
      </c>
      <c r="G269" s="10">
        <f>'NUHM Metro Abst'!H74</f>
        <v>0</v>
      </c>
      <c r="H269" s="10">
        <f>'NUHM Metro Abst'!I74</f>
        <v>0</v>
      </c>
      <c r="I269" s="10">
        <f>'NUHM Metro Abst'!J74</f>
        <v>0</v>
      </c>
      <c r="J269" s="10">
        <f>'NUHM Metro Abst'!K74</f>
        <v>0</v>
      </c>
      <c r="K269" s="10">
        <f>'NUHM Metro Abst'!L74</f>
        <v>0</v>
      </c>
      <c r="L269" s="10">
        <f>'NUHM Metro Abst'!M74</f>
        <v>0</v>
      </c>
      <c r="M269" s="10">
        <f>'NUHM Metro Abst'!N74</f>
        <v>0</v>
      </c>
      <c r="N269" s="8">
        <f>'NUHM Metro Abst'!Q74</f>
        <v>0</v>
      </c>
      <c r="O269" s="8">
        <f>'NUHM Metro Abst'!R74</f>
        <v>0</v>
      </c>
      <c r="P269" s="8">
        <f>'NUHM Metro Abst'!S74</f>
        <v>0</v>
      </c>
    </row>
    <row r="270" spans="1:16">
      <c r="A270" s="10" t="str">
        <f>'NUHM Metro Abst'!A75</f>
        <v>U.4.1.3</v>
      </c>
      <c r="B270" s="10" t="str">
        <f>'NUHM Metro Abst'!B75</f>
        <v>P.4.3.3</v>
      </c>
      <c r="C270" s="4" t="str">
        <f>'NUHM Metro Abst'!C75</f>
        <v>Untied grants to Maternity Homes</v>
      </c>
      <c r="D270" s="10">
        <f>'NUHM Metro Abst'!E75</f>
        <v>0</v>
      </c>
      <c r="E270" s="10">
        <f>'NUHM Metro Abst'!F75</f>
        <v>0</v>
      </c>
      <c r="F270" s="10">
        <f>'NUHM Metro Abst'!G75</f>
        <v>0</v>
      </c>
      <c r="G270" s="10">
        <f>'NUHM Metro Abst'!H75</f>
        <v>0</v>
      </c>
      <c r="H270" s="10">
        <f>'NUHM Metro Abst'!I75</f>
        <v>0</v>
      </c>
      <c r="I270" s="10">
        <f>'NUHM Metro Abst'!J75</f>
        <v>0</v>
      </c>
      <c r="J270" s="10">
        <f>'NUHM Metro Abst'!K75</f>
        <v>0</v>
      </c>
      <c r="K270" s="10">
        <f>'NUHM Metro Abst'!L75</f>
        <v>0</v>
      </c>
      <c r="L270" s="10">
        <f>'NUHM Metro Abst'!M75</f>
        <v>0</v>
      </c>
      <c r="M270" s="10">
        <f>'NUHM Metro Abst'!N75</f>
        <v>0</v>
      </c>
      <c r="N270" s="8"/>
      <c r="O270" s="8"/>
      <c r="P270" s="8">
        <f>SUM(P271:P272)</f>
        <v>0</v>
      </c>
    </row>
    <row r="271" spans="1:16">
      <c r="A271" s="10" t="str">
        <f>'NUHM Metro Abst'!A76</f>
        <v>U.4.1.4</v>
      </c>
      <c r="B271" s="10" t="str">
        <f>'NUHM Metro Abst'!B76</f>
        <v>P.6.2.1</v>
      </c>
      <c r="C271" s="4" t="str">
        <f>'NUHM Metro Abst'!C76</f>
        <v>Untied grants to MAS</v>
      </c>
      <c r="D271" s="10">
        <f>'NUHM Metro Abst'!E76</f>
        <v>0</v>
      </c>
      <c r="E271" s="10">
        <f>'NUHM Metro Abst'!F76</f>
        <v>0</v>
      </c>
      <c r="F271" s="10">
        <f>'NUHM Metro Abst'!G76</f>
        <v>0</v>
      </c>
      <c r="G271" s="10">
        <f>'NUHM Metro Abst'!H76</f>
        <v>0</v>
      </c>
      <c r="H271" s="10">
        <f>'NUHM Metro Abst'!I76</f>
        <v>0</v>
      </c>
      <c r="I271" s="10">
        <f>'NUHM Metro Abst'!J76</f>
        <v>0</v>
      </c>
      <c r="J271" s="10">
        <f>'NUHM Metro Abst'!K76</f>
        <v>0</v>
      </c>
      <c r="K271" s="10">
        <f>'NUHM Metro Abst'!L76</f>
        <v>0</v>
      </c>
      <c r="L271" s="10">
        <f>'NUHM Metro Abst'!M76</f>
        <v>0</v>
      </c>
      <c r="M271" s="10">
        <f>'NUHM Metro Abst'!N76</f>
        <v>0</v>
      </c>
      <c r="N271" s="8">
        <f>'NUHM Metro Abst'!Q76</f>
        <v>0</v>
      </c>
      <c r="O271" s="8">
        <f>'NUHM Metro Abst'!R76</f>
        <v>0</v>
      </c>
      <c r="P271" s="8">
        <f>'NUHM Metro Abst'!S76</f>
        <v>0</v>
      </c>
    </row>
    <row r="272" spans="1:16">
      <c r="A272" s="10" t="str">
        <f>'NUHM Metro Abst'!A77</f>
        <v>U.5</v>
      </c>
      <c r="B272" s="10">
        <f>'NUHM Metro Abst'!B77</f>
        <v>0</v>
      </c>
      <c r="C272" s="4" t="str">
        <f>'NUHM Metro Abst'!C77</f>
        <v>Infrastructure</v>
      </c>
      <c r="D272" s="10">
        <f>'NUHM Metro Abst'!E77</f>
        <v>0</v>
      </c>
      <c r="E272" s="10">
        <f>'NUHM Metro Abst'!F77</f>
        <v>0</v>
      </c>
      <c r="F272" s="10">
        <f>'NUHM Metro Abst'!G77</f>
        <v>0</v>
      </c>
      <c r="G272" s="10">
        <f>'NUHM Metro Abst'!H77</f>
        <v>0</v>
      </c>
      <c r="H272" s="10">
        <f>'NUHM Metro Abst'!I77</f>
        <v>0</v>
      </c>
      <c r="I272" s="10">
        <f>'NUHM Metro Abst'!J77</f>
        <v>0</v>
      </c>
      <c r="J272" s="10">
        <f>'NUHM Metro Abst'!K77</f>
        <v>0</v>
      </c>
      <c r="K272" s="10">
        <f>'NUHM Metro Abst'!L77</f>
        <v>0</v>
      </c>
      <c r="L272" s="10">
        <f>'NUHM Metro Abst'!M77</f>
        <v>0</v>
      </c>
      <c r="M272" s="10">
        <f>'NUHM Metro Abst'!N77</f>
        <v>0</v>
      </c>
      <c r="N272" s="8">
        <f>'NUHM Metro Abst'!Q77</f>
        <v>0</v>
      </c>
      <c r="O272" s="8">
        <f>'NUHM Metro Abst'!R77</f>
        <v>0</v>
      </c>
      <c r="P272" s="8">
        <f>'NUHM Metro Abst'!S77</f>
        <v>0</v>
      </c>
    </row>
    <row r="273" spans="1:16">
      <c r="A273" s="32" t="str">
        <f>'NUHM Metro Abst'!A78</f>
        <v>U.5.1</v>
      </c>
      <c r="B273" s="32">
        <f>'NUHM Metro Abst'!B78</f>
        <v>0</v>
      </c>
      <c r="C273" s="32" t="str">
        <f>'NUHM Metro Abst'!C78</f>
        <v>Upgradation of existing facilities</v>
      </c>
      <c r="D273" s="39"/>
      <c r="E273" s="39"/>
      <c r="F273" s="39">
        <f>SUM(F274:F276)</f>
        <v>0</v>
      </c>
      <c r="G273" s="39">
        <f>SUM(G274:G276)</f>
        <v>0</v>
      </c>
      <c r="H273" s="39">
        <f>SUM(H274:H276)</f>
        <v>0</v>
      </c>
      <c r="I273" s="39"/>
      <c r="J273" s="39"/>
      <c r="K273" s="39"/>
      <c r="L273" s="39"/>
      <c r="M273" s="39">
        <f>SUM(M274:M276)</f>
        <v>0</v>
      </c>
      <c r="N273" s="39"/>
      <c r="O273" s="39"/>
      <c r="P273" s="39">
        <f>SUM(P274:P276)</f>
        <v>0</v>
      </c>
    </row>
    <row r="274" spans="1:16">
      <c r="A274" s="4" t="str">
        <f>'NUHM Metro Abst'!A79</f>
        <v>U.5.1.1</v>
      </c>
      <c r="B274" s="4" t="str">
        <f>'NUHM Metro Abst'!B79</f>
        <v>P.4.2.2.1</v>
      </c>
      <c r="C274" s="4" t="str">
        <f>'NUHM Metro Abst'!C79</f>
        <v>UPHC</v>
      </c>
      <c r="D274" s="4">
        <f>'NUHM Metro Abst'!E79</f>
        <v>0</v>
      </c>
      <c r="E274" s="4">
        <f>'NUHM Metro Abst'!F79</f>
        <v>0</v>
      </c>
      <c r="F274" s="4">
        <f>'NUHM Metro Abst'!G79</f>
        <v>0</v>
      </c>
      <c r="G274" s="4">
        <f>'NUHM Metro Abst'!H79</f>
        <v>0</v>
      </c>
      <c r="H274" s="4">
        <f>'NUHM Metro Abst'!I79</f>
        <v>0</v>
      </c>
      <c r="I274" s="4">
        <f>'NUHM Metro Abst'!J79</f>
        <v>0</v>
      </c>
      <c r="J274" s="4">
        <f>'NUHM Metro Abst'!K79</f>
        <v>0</v>
      </c>
      <c r="K274" s="4">
        <f>'NUHM Metro Abst'!L79</f>
        <v>0</v>
      </c>
      <c r="L274" s="4">
        <f>'NUHM Metro Abst'!M79</f>
        <v>0</v>
      </c>
      <c r="M274" s="4">
        <f>'NUHM Metro Abst'!N79</f>
        <v>0</v>
      </c>
      <c r="N274" s="4">
        <f>'NUHM Metro Abst'!O79</f>
        <v>0</v>
      </c>
      <c r="O274" s="4">
        <f>'NUHM Metro Abst'!P79</f>
        <v>0</v>
      </c>
      <c r="P274" s="4">
        <f>'NUHM Metro Abst'!Q79</f>
        <v>0</v>
      </c>
    </row>
    <row r="275" spans="1:16">
      <c r="A275" s="4" t="str">
        <f>'NUHM Metro Abst'!A80</f>
        <v>U.5.1.2</v>
      </c>
      <c r="B275" s="4" t="str">
        <f>'NUHM Metro Abst'!B80</f>
        <v>P.4.2.2.2</v>
      </c>
      <c r="C275" s="4" t="str">
        <f>'NUHM Metro Abst'!C80</f>
        <v>UCHC</v>
      </c>
      <c r="D275" s="4">
        <f>'NUHM Metro Abst'!E80</f>
        <v>0</v>
      </c>
      <c r="E275" s="4">
        <f>'NUHM Metro Abst'!F80</f>
        <v>0</v>
      </c>
      <c r="F275" s="4">
        <f>'NUHM Metro Abst'!G80</f>
        <v>0</v>
      </c>
      <c r="G275" s="4">
        <f>'NUHM Metro Abst'!H80</f>
        <v>0</v>
      </c>
      <c r="H275" s="4">
        <f>'NUHM Metro Abst'!I80</f>
        <v>0</v>
      </c>
      <c r="I275" s="4">
        <f>'NUHM Metro Abst'!J80</f>
        <v>0</v>
      </c>
      <c r="J275" s="4">
        <f>'NUHM Metro Abst'!K80</f>
        <v>0</v>
      </c>
      <c r="K275" s="4">
        <f>'NUHM Metro Abst'!L80</f>
        <v>0</v>
      </c>
      <c r="L275" s="4">
        <f>'NUHM Metro Abst'!M80</f>
        <v>0</v>
      </c>
      <c r="M275" s="4">
        <f>'NUHM Metro Abst'!N80</f>
        <v>0</v>
      </c>
      <c r="N275" s="4">
        <f>'NUHM Metro Abst'!O80</f>
        <v>0</v>
      </c>
      <c r="O275" s="4">
        <f>'NUHM Metro Abst'!P80</f>
        <v>0</v>
      </c>
      <c r="P275" s="4">
        <f>'NUHM Metro Abst'!Q80</f>
        <v>0</v>
      </c>
    </row>
    <row r="276" spans="1:16">
      <c r="A276" s="4" t="str">
        <f>'NUHM Metro Abst'!A81</f>
        <v>U.5.1.3</v>
      </c>
      <c r="B276" s="4" t="str">
        <f>'NUHM Metro Abst'!B81</f>
        <v>P.4.2.2.2</v>
      </c>
      <c r="C276" s="4" t="str">
        <f>'NUHM Metro Abst'!C81</f>
        <v>Maternity Homes</v>
      </c>
      <c r="D276" s="4">
        <f>'NUHM Metro Abst'!E81</f>
        <v>0</v>
      </c>
      <c r="E276" s="4">
        <f>'NUHM Metro Abst'!F81</f>
        <v>0</v>
      </c>
      <c r="F276" s="4">
        <f>'NUHM Metro Abst'!G81</f>
        <v>0</v>
      </c>
      <c r="G276" s="4">
        <f>'NUHM Metro Abst'!H81</f>
        <v>0</v>
      </c>
      <c r="H276" s="4">
        <f>'NUHM Metro Abst'!I81</f>
        <v>0</v>
      </c>
      <c r="I276" s="4">
        <f>'NUHM Metro Abst'!J81</f>
        <v>0</v>
      </c>
      <c r="J276" s="4">
        <f>'NUHM Metro Abst'!K81</f>
        <v>0</v>
      </c>
      <c r="K276" s="4">
        <f>'NUHM Metro Abst'!L81</f>
        <v>0</v>
      </c>
      <c r="L276" s="4">
        <f>'NUHM Metro Abst'!M81</f>
        <v>0</v>
      </c>
      <c r="M276" s="4">
        <f>'NUHM Metro Abst'!N81</f>
        <v>0</v>
      </c>
      <c r="N276" s="4">
        <f>'NUHM Metro Abst'!O81</f>
        <v>0</v>
      </c>
      <c r="O276" s="4">
        <f>'NUHM Metro Abst'!P81</f>
        <v>0</v>
      </c>
      <c r="P276" s="4">
        <f>'NUHM Metro Abst'!Q81</f>
        <v>0</v>
      </c>
    </row>
    <row r="277" spans="1:16">
      <c r="A277" s="32" t="str">
        <f>'NUHM Metro Abst'!A82</f>
        <v>U.5.1.4</v>
      </c>
      <c r="B277" s="32" t="str">
        <f>'NUHM Metro Abst'!B82</f>
        <v>P.4.2.3.1</v>
      </c>
      <c r="C277" s="32" t="str">
        <f>'NUHM Metro Abst'!C82</f>
        <v>Rent for UPHC</v>
      </c>
      <c r="D277" s="39"/>
      <c r="E277" s="39"/>
      <c r="F277" s="39">
        <f>SUM(F278:F279)</f>
        <v>0</v>
      </c>
      <c r="G277" s="39">
        <f>SUM(G278:G279)</f>
        <v>0</v>
      </c>
      <c r="H277" s="39">
        <f>SUM(H278:H279)</f>
        <v>0</v>
      </c>
      <c r="I277" s="39"/>
      <c r="J277" s="39"/>
      <c r="K277" s="39"/>
      <c r="L277" s="39"/>
      <c r="M277" s="39">
        <f>SUM(M278:M279)</f>
        <v>0</v>
      </c>
      <c r="N277" s="39"/>
      <c r="O277" s="39"/>
      <c r="P277" s="39">
        <f>SUM(P278:P279)</f>
        <v>0</v>
      </c>
    </row>
    <row r="278" spans="1:16">
      <c r="A278" s="4" t="str">
        <f>'NUHM Metro Abst'!A83</f>
        <v>U.5.1.5</v>
      </c>
      <c r="B278" s="4">
        <f>'NUHM Metro Abst'!B83</f>
        <v>0</v>
      </c>
      <c r="C278" s="4" t="str">
        <f>'NUHM Metro Abst'!C83</f>
        <v>Any other (please specify)</v>
      </c>
      <c r="D278" s="4">
        <f>'NUHM Metro Abst'!E83</f>
        <v>0</v>
      </c>
      <c r="E278" s="4">
        <f>'NUHM Metro Abst'!F83</f>
        <v>0</v>
      </c>
      <c r="F278" s="4">
        <f>'NUHM Metro Abst'!G83</f>
        <v>0</v>
      </c>
      <c r="G278" s="4">
        <f>'NUHM Metro Abst'!H83</f>
        <v>0</v>
      </c>
      <c r="H278" s="4">
        <f>'NUHM Metro Abst'!I83</f>
        <v>0</v>
      </c>
      <c r="I278" s="4">
        <f>'NUHM Metro Abst'!J83</f>
        <v>0</v>
      </c>
      <c r="J278" s="4">
        <f>'NUHM Metro Abst'!K83</f>
        <v>0</v>
      </c>
      <c r="K278" s="4">
        <f>'NUHM Metro Abst'!L83</f>
        <v>0</v>
      </c>
      <c r="L278" s="4">
        <f>'NUHM Metro Abst'!M83</f>
        <v>0</v>
      </c>
      <c r="M278" s="4">
        <f>'NUHM Metro Abst'!N83</f>
        <v>0</v>
      </c>
      <c r="N278" s="4">
        <f>'NUHM Metro Abst'!O83</f>
        <v>0</v>
      </c>
      <c r="O278" s="4">
        <f>'NUHM Metro Abst'!P83</f>
        <v>0</v>
      </c>
      <c r="P278" s="4">
        <f>'NUHM Metro Abst'!Q83</f>
        <v>0</v>
      </c>
    </row>
    <row r="279" spans="1:16">
      <c r="A279" s="4" t="str">
        <f>'NUHM Metro Abst'!A84</f>
        <v>U.5.2</v>
      </c>
      <c r="B279" s="4">
        <f>'NUHM Metro Abst'!B84</f>
        <v>0</v>
      </c>
      <c r="C279" s="4" t="str">
        <f>'NUHM Metro Abst'!C84</f>
        <v xml:space="preserve">New Constructions </v>
      </c>
      <c r="D279" s="4">
        <f>'NUHM Metro Abst'!E84</f>
        <v>0</v>
      </c>
      <c r="E279" s="4">
        <f>'NUHM Metro Abst'!F84</f>
        <v>0</v>
      </c>
      <c r="F279" s="4">
        <f>'NUHM Metro Abst'!G84</f>
        <v>0</v>
      </c>
      <c r="G279" s="4">
        <f>'NUHM Metro Abst'!H84</f>
        <v>0</v>
      </c>
      <c r="H279" s="4">
        <f>'NUHM Metro Abst'!I84</f>
        <v>0</v>
      </c>
      <c r="I279" s="4">
        <f>'NUHM Metro Abst'!J84</f>
        <v>0</v>
      </c>
      <c r="J279" s="4">
        <f>'NUHM Metro Abst'!K84</f>
        <v>0</v>
      </c>
      <c r="K279" s="4">
        <f>'NUHM Metro Abst'!L84</f>
        <v>0</v>
      </c>
      <c r="L279" s="4">
        <f>'NUHM Metro Abst'!M84</f>
        <v>0</v>
      </c>
      <c r="M279" s="4">
        <f>'NUHM Metro Abst'!N84</f>
        <v>0</v>
      </c>
      <c r="N279" s="4">
        <f>'NUHM Metro Abst'!O84</f>
        <v>0</v>
      </c>
      <c r="O279" s="4">
        <f>'NUHM Metro Abst'!P84</f>
        <v>0</v>
      </c>
      <c r="P279" s="4">
        <f>'NUHM Metro Abst'!Q84</f>
        <v>0</v>
      </c>
    </row>
    <row r="280" spans="1:16">
      <c r="A280" s="31" t="str">
        <f>'NUHM Metro Abst'!A85</f>
        <v>U.5.2.1</v>
      </c>
      <c r="B280" s="31" t="str">
        <f>'NUHM Metro Abst'!B85</f>
        <v>P.4.2.1.1</v>
      </c>
      <c r="C280" s="31" t="str">
        <f>'NUHM Metro Abst'!C85</f>
        <v>UPHC</v>
      </c>
      <c r="D280" s="38"/>
      <c r="E280" s="38"/>
      <c r="F280" s="38">
        <f>F281+F286</f>
        <v>0</v>
      </c>
      <c r="G280" s="38">
        <f>G281+G286</f>
        <v>0</v>
      </c>
      <c r="H280" s="38">
        <f>H281+H286</f>
        <v>0</v>
      </c>
      <c r="I280" s="38"/>
      <c r="J280" s="38"/>
      <c r="K280" s="38"/>
      <c r="L280" s="38"/>
      <c r="M280" s="38">
        <f>M281+M286</f>
        <v>0</v>
      </c>
      <c r="N280" s="38"/>
      <c r="O280" s="38"/>
      <c r="P280" s="38">
        <f>P281+P286</f>
        <v>0</v>
      </c>
    </row>
    <row r="281" spans="1:16">
      <c r="A281" s="32" t="str">
        <f>'NUHM Metro Abst'!A86</f>
        <v>U.5.2.2</v>
      </c>
      <c r="B281" s="32" t="str">
        <f>'NUHM Metro Abst'!B86</f>
        <v>P.4.2.1.2</v>
      </c>
      <c r="C281" s="32" t="str">
        <f>'NUHM Metro Abst'!C86</f>
        <v>UCHC</v>
      </c>
      <c r="D281" s="39"/>
      <c r="E281" s="39"/>
      <c r="F281" s="39">
        <f>SUM(F282:F285)</f>
        <v>0</v>
      </c>
      <c r="G281" s="39">
        <f>SUM(G282:G285)</f>
        <v>0</v>
      </c>
      <c r="H281" s="39">
        <f>SUM(H282:H285)</f>
        <v>0</v>
      </c>
      <c r="I281" s="39"/>
      <c r="J281" s="39"/>
      <c r="K281" s="39"/>
      <c r="L281" s="39"/>
      <c r="M281" s="39">
        <f>SUM(M282:M285)</f>
        <v>0</v>
      </c>
      <c r="N281" s="39"/>
      <c r="O281" s="39"/>
      <c r="P281" s="39">
        <f>SUM(P282:P285)</f>
        <v>0</v>
      </c>
    </row>
    <row r="282" spans="1:16">
      <c r="A282" s="46" t="str">
        <f>'NUHM Metro Abst'!A87</f>
        <v>U.5.2.3</v>
      </c>
      <c r="B282" s="46" t="str">
        <f>'NUHM Metro Abst'!B87</f>
        <v>P.4.2.1.3</v>
      </c>
      <c r="C282" s="46" t="str">
        <f>'NUHM Metro Abst'!C87</f>
        <v>Health Kiosk (for establishment)</v>
      </c>
      <c r="D282" s="46">
        <f>'NUHM Metro Abst'!E87</f>
        <v>0</v>
      </c>
      <c r="E282" s="46">
        <f>'NUHM Metro Abst'!F87</f>
        <v>0</v>
      </c>
      <c r="F282" s="46">
        <f>'NUHM Metro Abst'!G87</f>
        <v>0</v>
      </c>
      <c r="G282" s="46">
        <f>'NUHM Metro Abst'!H87</f>
        <v>0</v>
      </c>
      <c r="H282" s="46">
        <f>'NUHM Metro Abst'!I87</f>
        <v>0</v>
      </c>
      <c r="I282" s="46">
        <f>'NUHM Metro Abst'!J87</f>
        <v>0</v>
      </c>
      <c r="J282" s="46">
        <f>'NUHM Metro Abst'!K87</f>
        <v>0</v>
      </c>
      <c r="K282" s="46">
        <f>'NUHM Metro Abst'!L87</f>
        <v>0</v>
      </c>
      <c r="L282" s="46">
        <f>'NUHM Metro Abst'!M87</f>
        <v>0</v>
      </c>
      <c r="M282" s="46">
        <f>'NUHM Metro Abst'!N87</f>
        <v>0</v>
      </c>
      <c r="N282" s="46">
        <f>'NUHM Metro Abst'!O87</f>
        <v>0</v>
      </c>
      <c r="O282" s="46">
        <f>'NUHM Metro Abst'!P87</f>
        <v>0</v>
      </c>
      <c r="P282" s="46">
        <f>'NUHM Metro Abst'!Q87</f>
        <v>0</v>
      </c>
    </row>
    <row r="283" spans="1:16">
      <c r="A283" s="46" t="str">
        <f>'NUHM Metro Abst'!A88</f>
        <v>U.5.3</v>
      </c>
      <c r="B283" s="46">
        <f>'NUHM Metro Abst'!B88</f>
        <v>0</v>
      </c>
      <c r="C283" s="46" t="str">
        <f>'NUHM Metro Abst'!C88</f>
        <v>Other construction/ Civil works</v>
      </c>
      <c r="D283" s="46">
        <f>'NUHM Metro Abst'!E88</f>
        <v>0</v>
      </c>
      <c r="E283" s="46">
        <f>'NUHM Metro Abst'!F88</f>
        <v>0</v>
      </c>
      <c r="F283" s="46">
        <f>'NUHM Metro Abst'!G88</f>
        <v>0</v>
      </c>
      <c r="G283" s="46">
        <f>'NUHM Metro Abst'!H88</f>
        <v>0</v>
      </c>
      <c r="H283" s="46">
        <f>'NUHM Metro Abst'!I88</f>
        <v>0</v>
      </c>
      <c r="I283" s="46">
        <f>'NUHM Metro Abst'!J88</f>
        <v>0</v>
      </c>
      <c r="J283" s="46">
        <f>'NUHM Metro Abst'!K88</f>
        <v>0</v>
      </c>
      <c r="K283" s="46">
        <f>'NUHM Metro Abst'!L88</f>
        <v>0</v>
      </c>
      <c r="L283" s="46">
        <f>'NUHM Metro Abst'!M88</f>
        <v>0</v>
      </c>
      <c r="M283" s="46">
        <f>'NUHM Metro Abst'!N88</f>
        <v>0</v>
      </c>
      <c r="N283" s="46">
        <f>'NUHM Metro Abst'!O88</f>
        <v>0</v>
      </c>
      <c r="O283" s="46">
        <f>'NUHM Metro Abst'!P88</f>
        <v>0</v>
      </c>
      <c r="P283" s="46">
        <f>'NUHM Metro Abst'!Q88</f>
        <v>0</v>
      </c>
    </row>
    <row r="284" spans="1:16" ht="25.5">
      <c r="A284" s="46" t="str">
        <f>'NUHM Metro Abst'!A89</f>
        <v>U.5.3.1</v>
      </c>
      <c r="B284" s="46">
        <f>'NUHM Metro Abst'!B89</f>
        <v>0</v>
      </c>
      <c r="C284" s="46" t="str">
        <f>'NUHM Metro Abst'!C89</f>
        <v>Infrastructure strengthening of UPHC to H&amp;WC</v>
      </c>
      <c r="D284" s="46">
        <f>'NUHM Metro Abst'!E89</f>
        <v>0</v>
      </c>
      <c r="E284" s="46">
        <f>'NUHM Metro Abst'!F89</f>
        <v>0</v>
      </c>
      <c r="F284" s="46">
        <f>'NUHM Metro Abst'!G89</f>
        <v>0</v>
      </c>
      <c r="G284" s="46">
        <f>'NUHM Metro Abst'!H89</f>
        <v>0</v>
      </c>
      <c r="H284" s="46">
        <f>'NUHM Metro Abst'!I89</f>
        <v>0</v>
      </c>
      <c r="I284" s="46">
        <f>'NUHM Metro Abst'!J89</f>
        <v>0</v>
      </c>
      <c r="J284" s="46">
        <f>'NUHM Metro Abst'!K89</f>
        <v>0</v>
      </c>
      <c r="K284" s="46">
        <f>'NUHM Metro Abst'!L89</f>
        <v>0</v>
      </c>
      <c r="L284" s="46">
        <f>'NUHM Metro Abst'!M89</f>
        <v>0</v>
      </c>
      <c r="M284" s="46">
        <f>'NUHM Metro Abst'!N89</f>
        <v>0</v>
      </c>
      <c r="N284" s="46">
        <f>'NUHM Metro Abst'!O89</f>
        <v>0</v>
      </c>
      <c r="O284" s="46">
        <f>'NUHM Metro Abst'!P89</f>
        <v>0</v>
      </c>
      <c r="P284" s="46">
        <f>'NUHM Metro Abst'!Q89</f>
        <v>0</v>
      </c>
    </row>
    <row r="285" spans="1:16">
      <c r="A285" s="46" t="str">
        <f>'NUHM Metro Abst'!A90</f>
        <v>U.5.3.2</v>
      </c>
      <c r="B285" s="46">
        <f>'NUHM Metro Abst'!B90</f>
        <v>0</v>
      </c>
      <c r="C285" s="46" t="str">
        <f>'NUHM Metro Abst'!C90</f>
        <v>Any Other (please specify)</v>
      </c>
      <c r="D285" s="46">
        <f>'NUHM Metro Abst'!E90</f>
        <v>0</v>
      </c>
      <c r="E285" s="46">
        <f>'NUHM Metro Abst'!F90</f>
        <v>0</v>
      </c>
      <c r="F285" s="46">
        <f>'NUHM Metro Abst'!G90</f>
        <v>0</v>
      </c>
      <c r="G285" s="46">
        <f>'NUHM Metro Abst'!H90</f>
        <v>0</v>
      </c>
      <c r="H285" s="46">
        <f>'NUHM Metro Abst'!I90</f>
        <v>0</v>
      </c>
      <c r="I285" s="46">
        <f>'NUHM Metro Abst'!J90</f>
        <v>0</v>
      </c>
      <c r="J285" s="46">
        <f>'NUHM Metro Abst'!K90</f>
        <v>0</v>
      </c>
      <c r="K285" s="46">
        <f>'NUHM Metro Abst'!L90</f>
        <v>0</v>
      </c>
      <c r="L285" s="46">
        <f>'NUHM Metro Abst'!M90</f>
        <v>0</v>
      </c>
      <c r="M285" s="46">
        <f>'NUHM Metro Abst'!N90</f>
        <v>0</v>
      </c>
      <c r="N285" s="46">
        <f>'NUHM Metro Abst'!O90</f>
        <v>0</v>
      </c>
      <c r="O285" s="46">
        <f>'NUHM Metro Abst'!P90</f>
        <v>0</v>
      </c>
      <c r="P285" s="46">
        <f>'NUHM Metro Abst'!Q90</f>
        <v>0</v>
      </c>
    </row>
    <row r="286" spans="1:16" ht="25.5">
      <c r="A286" s="32" t="str">
        <f>'NUHM Metro Abst'!A110</f>
        <v>U.6.2.2.2</v>
      </c>
      <c r="B286" s="32" t="str">
        <f>'NUHM Metro Abst'!B110</f>
        <v>P.6.1.4</v>
      </c>
      <c r="C286" s="32" t="str">
        <f>'NUHM Metro Abst'!C110</f>
        <v>HBNC Kits and HBYC-ECD kit</v>
      </c>
      <c r="D286" s="39"/>
      <c r="E286" s="39"/>
      <c r="F286" s="39">
        <f>F287</f>
        <v>0</v>
      </c>
      <c r="G286" s="39">
        <f>G287</f>
        <v>0</v>
      </c>
      <c r="H286" s="39">
        <f>H287</f>
        <v>0</v>
      </c>
      <c r="I286" s="39"/>
      <c r="J286" s="39"/>
      <c r="K286" s="39"/>
      <c r="L286" s="39"/>
      <c r="M286" s="39">
        <f>M287</f>
        <v>0</v>
      </c>
      <c r="N286" s="39"/>
      <c r="O286" s="39"/>
      <c r="P286" s="39">
        <f>P287</f>
        <v>0</v>
      </c>
    </row>
    <row r="287" spans="1:16" ht="25.5">
      <c r="A287" s="4" t="str">
        <f>'NUHM Metro Abst'!A111</f>
        <v>U.6.2.3</v>
      </c>
      <c r="B287" s="4" t="str">
        <f>'NUHM Metro Abst'!B111</f>
        <v>P.4.4.1.4</v>
      </c>
      <c r="C287" s="4" t="str">
        <f>'NUHM Metro Abst'!C111</f>
        <v>Any other drugs &amp; supplies (please specify)</v>
      </c>
      <c r="D287" s="4">
        <f>'NUHM Metro Abst'!E111</f>
        <v>0</v>
      </c>
      <c r="E287" s="4">
        <f>'NUHM Metro Abst'!F111</f>
        <v>0</v>
      </c>
      <c r="F287" s="4">
        <f>'NUHM Metro Abst'!G111</f>
        <v>0</v>
      </c>
      <c r="G287" s="4">
        <f>'NUHM Metro Abst'!H111</f>
        <v>0</v>
      </c>
      <c r="H287" s="4">
        <f>'NUHM Metro Abst'!I111</f>
        <v>0</v>
      </c>
      <c r="I287" s="4">
        <f>'NUHM Metro Abst'!J111</f>
        <v>0</v>
      </c>
      <c r="J287" s="4">
        <f>'NUHM Metro Abst'!K111</f>
        <v>0</v>
      </c>
      <c r="K287" s="4">
        <f>'NUHM Metro Abst'!L111</f>
        <v>0</v>
      </c>
      <c r="L287" s="4">
        <f>'NUHM Metro Abst'!M111</f>
        <v>0</v>
      </c>
      <c r="M287" s="4">
        <f>'NUHM Metro Abst'!N111</f>
        <v>0</v>
      </c>
      <c r="N287" s="4">
        <f>'NUHM Metro Abst'!O111</f>
        <v>0</v>
      </c>
      <c r="O287" s="4">
        <f>'NUHM Metro Abst'!P111</f>
        <v>0</v>
      </c>
      <c r="P287" s="4">
        <f>'NUHM Metro Abst'!Q111</f>
        <v>0</v>
      </c>
    </row>
    <row r="288" spans="1:16" ht="25.5">
      <c r="A288" s="31" t="str">
        <f>'NUHM Metro Abst'!A236</f>
        <v>U.16.1.2.2.1</v>
      </c>
      <c r="B288" s="31">
        <f>'NUHM Metro Abst'!B236</f>
        <v>0</v>
      </c>
      <c r="C288" s="31" t="str">
        <f>'NUHM Metro Abst'!C236</f>
        <v>Review meetings</v>
      </c>
      <c r="D288" s="38"/>
      <c r="E288" s="38"/>
      <c r="F288" s="38">
        <f>F289</f>
        <v>0</v>
      </c>
      <c r="G288" s="38">
        <f>G289</f>
        <v>0</v>
      </c>
      <c r="H288" s="38">
        <f>H289</f>
        <v>0</v>
      </c>
      <c r="I288" s="38"/>
      <c r="J288" s="38"/>
      <c r="K288" s="38"/>
      <c r="L288" s="38"/>
      <c r="M288" s="38">
        <f>M289</f>
        <v>0</v>
      </c>
      <c r="N288" s="38"/>
      <c r="O288" s="38"/>
      <c r="P288" s="38">
        <f>P289</f>
        <v>0</v>
      </c>
    </row>
    <row r="289" spans="1:16">
      <c r="A289" s="47" t="str">
        <f>'NUHM Metro Abst'!A256</f>
        <v>U.16.3</v>
      </c>
      <c r="B289" s="46">
        <f>'NUHM Metro Abst'!B256</f>
        <v>0</v>
      </c>
      <c r="C289" s="46" t="str">
        <f>'NUHM Metro Abst'!C256</f>
        <v>HMIS &amp; MCTS</v>
      </c>
      <c r="D289" s="47">
        <f>'NUHM Metro Abst'!E256</f>
        <v>0</v>
      </c>
      <c r="E289" s="47">
        <f>'NUHM Metro Abst'!F256</f>
        <v>0</v>
      </c>
      <c r="F289" s="47">
        <f>'NUHM Metro Abst'!G256</f>
        <v>0</v>
      </c>
      <c r="G289" s="47">
        <f>'NUHM Metro Abst'!H256</f>
        <v>0</v>
      </c>
      <c r="H289" s="47">
        <f>'NUHM Metro Abst'!I256</f>
        <v>0</v>
      </c>
      <c r="I289" s="47">
        <f>'NUHM Metro Abst'!J256</f>
        <v>0</v>
      </c>
      <c r="J289" s="47">
        <f>'NUHM Metro Abst'!K256</f>
        <v>0</v>
      </c>
      <c r="K289" s="47">
        <f>'NUHM Metro Abst'!L256</f>
        <v>0</v>
      </c>
      <c r="L289" s="47">
        <f>'NUHM Metro Abst'!M256</f>
        <v>0</v>
      </c>
      <c r="M289" s="47">
        <f>'NUHM Metro Abst'!N256</f>
        <v>0</v>
      </c>
      <c r="N289" s="47">
        <f>'NUHM Metro Abst'!O256</f>
        <v>0</v>
      </c>
      <c r="O289" s="47" t="str">
        <f>'NUHM Metro Abst'!P256</f>
        <v>Not Applicable</v>
      </c>
      <c r="P289" s="47">
        <f>'NUHM Metro Abst'!Q256</f>
        <v>0</v>
      </c>
    </row>
    <row r="290" spans="1:16">
      <c r="A290" s="47" t="str">
        <f>'NUHM Metro Abst'!A257</f>
        <v>U.16.4</v>
      </c>
      <c r="B290" s="46">
        <f>'NUHM Metro Abst'!B257</f>
        <v>0</v>
      </c>
      <c r="C290" s="46" t="str">
        <f>'NUHM Metro Abst'!C257</f>
        <v>Human Resources</v>
      </c>
      <c r="D290" s="47">
        <f>'NUHM Metro Abst'!E257</f>
        <v>0</v>
      </c>
      <c r="E290" s="47">
        <f>'NUHM Metro Abst'!F257</f>
        <v>0</v>
      </c>
      <c r="F290" s="47">
        <f>'NUHM Metro Abst'!G257</f>
        <v>0</v>
      </c>
      <c r="G290" s="47">
        <f>'NUHM Metro Abst'!H257</f>
        <v>0</v>
      </c>
      <c r="H290" s="47">
        <f>'NUHM Metro Abst'!I257</f>
        <v>0</v>
      </c>
      <c r="I290" s="47">
        <f>'NUHM Metro Abst'!J257</f>
        <v>0</v>
      </c>
      <c r="J290" s="47">
        <f>'NUHM Metro Abst'!K257</f>
        <v>0</v>
      </c>
      <c r="K290" s="47">
        <f>'NUHM Metro Abst'!L257</f>
        <v>0</v>
      </c>
      <c r="L290" s="47">
        <f>'NUHM Metro Abst'!M257</f>
        <v>0</v>
      </c>
      <c r="M290" s="47">
        <f>'NUHM Metro Abst'!N257</f>
        <v>0</v>
      </c>
      <c r="N290" s="47">
        <f>'NUHM Metro Abst'!O257</f>
        <v>0</v>
      </c>
      <c r="O290" s="47">
        <f>'NUHM Metro Abst'!P257</f>
        <v>0</v>
      </c>
      <c r="P290" s="47">
        <f>'NUHM Metro Abst'!Q257</f>
        <v>0</v>
      </c>
    </row>
    <row r="291" spans="1:16" ht="25.5">
      <c r="A291" s="47" t="str">
        <f>'NUHM Metro Abst'!A258</f>
        <v>U.16.4.1</v>
      </c>
      <c r="B291" s="46" t="str">
        <f>'NUHM Metro Abst'!B258</f>
        <v>P.2.1</v>
      </c>
      <c r="C291" s="46" t="str">
        <f>'NUHM Metro Abst'!C258</f>
        <v>State PMU</v>
      </c>
      <c r="D291" s="47">
        <f>'NUHM Metro Abst'!E258</f>
        <v>0</v>
      </c>
      <c r="E291" s="47">
        <f>'NUHM Metro Abst'!F258</f>
        <v>0</v>
      </c>
      <c r="F291" s="47">
        <f>'NUHM Metro Abst'!G258</f>
        <v>0</v>
      </c>
      <c r="G291" s="47">
        <f>'NUHM Metro Abst'!H258</f>
        <v>0</v>
      </c>
      <c r="H291" s="47">
        <f>'NUHM Metro Abst'!I258</f>
        <v>0</v>
      </c>
      <c r="I291" s="47">
        <f>'NUHM Metro Abst'!J258</f>
        <v>0</v>
      </c>
      <c r="J291" s="47">
        <f>'NUHM Metro Abst'!K258</f>
        <v>0</v>
      </c>
      <c r="K291" s="47">
        <f>'NUHM Metro Abst'!L258</f>
        <v>0</v>
      </c>
      <c r="L291" s="47">
        <f>'NUHM Metro Abst'!M258</f>
        <v>0</v>
      </c>
      <c r="M291" s="47">
        <f>'NUHM Metro Abst'!N258</f>
        <v>0</v>
      </c>
      <c r="N291" s="47">
        <f>'NUHM Metro Abst'!O258</f>
        <v>0</v>
      </c>
      <c r="O291" s="47" t="str">
        <f>'NUHM Metro Abst'!P258</f>
        <v>Not Applicable</v>
      </c>
      <c r="P291" s="47">
        <f>'NUHM Metro Abst'!Q258</f>
        <v>0</v>
      </c>
    </row>
    <row r="292" spans="1:16">
      <c r="A292" s="6"/>
    </row>
    <row r="293" spans="1:16">
      <c r="A293" s="6"/>
    </row>
    <row r="294" spans="1:16">
      <c r="A294" s="6"/>
    </row>
    <row r="295" spans="1:16">
      <c r="A295" s="6"/>
    </row>
    <row r="296" spans="1:16">
      <c r="A296" s="6"/>
    </row>
    <row r="297" spans="1:16">
      <c r="A297" s="6"/>
    </row>
    <row r="298" spans="1:16">
      <c r="A298" s="6"/>
    </row>
    <row r="299" spans="1:16">
      <c r="A299" s="6"/>
    </row>
    <row r="300" spans="1:16">
      <c r="A300" s="6"/>
    </row>
    <row r="301" spans="1:16">
      <c r="A301" s="6"/>
    </row>
    <row r="302" spans="1:16">
      <c r="A302" s="6"/>
    </row>
    <row r="303" spans="1:16">
      <c r="A303" s="6"/>
    </row>
    <row r="304" spans="1:16">
      <c r="A304" s="6"/>
    </row>
    <row r="305" spans="1:1">
      <c r="A305" s="6"/>
    </row>
    <row r="306" spans="1:1">
      <c r="A306" s="6"/>
    </row>
    <row r="307" spans="1:1">
      <c r="A307" s="6"/>
    </row>
    <row r="308" spans="1:1">
      <c r="A308" s="6"/>
    </row>
    <row r="309" spans="1:1">
      <c r="A309" s="6"/>
    </row>
    <row r="310" spans="1:1">
      <c r="A310" s="6"/>
    </row>
    <row r="311" spans="1:1">
      <c r="A311" s="6"/>
    </row>
    <row r="312" spans="1:1">
      <c r="A312" s="6"/>
    </row>
    <row r="313" spans="1:1">
      <c r="A313" s="6"/>
    </row>
    <row r="314" spans="1:1">
      <c r="A314" s="6"/>
    </row>
    <row r="315" spans="1:1">
      <c r="A315" s="6"/>
    </row>
    <row r="316" spans="1:1">
      <c r="A316" s="6"/>
    </row>
    <row r="317" spans="1:1">
      <c r="A317" s="6"/>
    </row>
    <row r="318" spans="1:1">
      <c r="A318" s="6"/>
    </row>
    <row r="319" spans="1:1">
      <c r="A319" s="6"/>
    </row>
    <row r="320" spans="1:1">
      <c r="A320" s="6"/>
    </row>
    <row r="321" spans="1:1">
      <c r="A321" s="6"/>
    </row>
    <row r="322" spans="1:1">
      <c r="A322" s="6"/>
    </row>
    <row r="323" spans="1:1">
      <c r="A323" s="6"/>
    </row>
    <row r="324" spans="1:1">
      <c r="A324" s="6"/>
    </row>
    <row r="325" spans="1:1">
      <c r="A325" s="6"/>
    </row>
    <row r="326" spans="1:1">
      <c r="A326" s="6"/>
    </row>
    <row r="327" spans="1:1">
      <c r="A327" s="6"/>
    </row>
    <row r="328" spans="1:1">
      <c r="A328" s="6"/>
    </row>
    <row r="329" spans="1:1">
      <c r="A329" s="6"/>
    </row>
    <row r="330" spans="1:1">
      <c r="A330" s="6"/>
    </row>
    <row r="331" spans="1:1">
      <c r="A331" s="6"/>
    </row>
    <row r="332" spans="1:1">
      <c r="A332" s="6"/>
    </row>
    <row r="333" spans="1:1">
      <c r="A333" s="6"/>
    </row>
    <row r="334" spans="1:1">
      <c r="A334" s="6"/>
    </row>
    <row r="335" spans="1:1">
      <c r="A335" s="6"/>
    </row>
    <row r="336" spans="1:1">
      <c r="A336" s="6"/>
    </row>
    <row r="337" spans="1:1">
      <c r="A337" s="6"/>
    </row>
    <row r="338" spans="1:1">
      <c r="A338" s="6"/>
    </row>
    <row r="339" spans="1:1">
      <c r="A339" s="6"/>
    </row>
    <row r="340" spans="1:1">
      <c r="A340" s="6"/>
    </row>
    <row r="341" spans="1:1">
      <c r="A341" s="6"/>
    </row>
    <row r="342" spans="1:1">
      <c r="A342" s="6"/>
    </row>
    <row r="343" spans="1:1">
      <c r="A343" s="6"/>
    </row>
    <row r="344" spans="1:1">
      <c r="A344" s="6"/>
    </row>
    <row r="345" spans="1:1">
      <c r="A345" s="6"/>
    </row>
    <row r="346" spans="1:1">
      <c r="A346" s="6"/>
    </row>
    <row r="347" spans="1:1">
      <c r="A347" s="6"/>
    </row>
    <row r="348" spans="1:1">
      <c r="A348" s="6"/>
    </row>
    <row r="349" spans="1:1">
      <c r="A349" s="6"/>
    </row>
    <row r="350" spans="1:1">
      <c r="A350" s="6"/>
    </row>
    <row r="351" spans="1:1">
      <c r="A351" s="6"/>
    </row>
    <row r="352" spans="1:1">
      <c r="A352" s="6"/>
    </row>
    <row r="353" spans="1:1">
      <c r="A353" s="6"/>
    </row>
    <row r="354" spans="1:1">
      <c r="A354" s="6"/>
    </row>
    <row r="355" spans="1:1">
      <c r="A355" s="6"/>
    </row>
    <row r="356" spans="1:1">
      <c r="A356" s="6"/>
    </row>
    <row r="357" spans="1:1">
      <c r="A357" s="6"/>
    </row>
    <row r="358" spans="1:1">
      <c r="A358" s="6"/>
    </row>
    <row r="359" spans="1:1">
      <c r="A359" s="6"/>
    </row>
    <row r="360" spans="1:1">
      <c r="A360" s="6"/>
    </row>
    <row r="361" spans="1:1">
      <c r="A361" s="6"/>
    </row>
    <row r="362" spans="1:1">
      <c r="A362" s="6"/>
    </row>
    <row r="363" spans="1:1">
      <c r="A363" s="6"/>
    </row>
    <row r="364" spans="1:1">
      <c r="A364" s="6"/>
    </row>
    <row r="365" spans="1:1">
      <c r="A365" s="6"/>
    </row>
    <row r="366" spans="1:1">
      <c r="A366" s="6"/>
    </row>
    <row r="367" spans="1:1">
      <c r="A367" s="6"/>
    </row>
    <row r="368" spans="1:1">
      <c r="A368" s="6"/>
    </row>
    <row r="369" spans="1:1">
      <c r="A369" s="6"/>
    </row>
    <row r="370" spans="1:1">
      <c r="A370" s="6"/>
    </row>
    <row r="371" spans="1:1">
      <c r="A371" s="6"/>
    </row>
    <row r="372" spans="1:1">
      <c r="A372" s="6"/>
    </row>
    <row r="373" spans="1:1">
      <c r="A373" s="6"/>
    </row>
    <row r="374" spans="1:1">
      <c r="A374" s="6"/>
    </row>
    <row r="375" spans="1:1">
      <c r="A375" s="6"/>
    </row>
    <row r="376" spans="1:1">
      <c r="A376" s="6"/>
    </row>
    <row r="377" spans="1:1">
      <c r="A377" s="6"/>
    </row>
    <row r="378" spans="1:1">
      <c r="A378" s="6"/>
    </row>
    <row r="379" spans="1:1">
      <c r="A379" s="6"/>
    </row>
    <row r="380" spans="1:1">
      <c r="A380" s="6"/>
    </row>
    <row r="381" spans="1:1">
      <c r="A381" s="6"/>
    </row>
    <row r="382" spans="1:1">
      <c r="A382" s="6"/>
    </row>
    <row r="383" spans="1:1">
      <c r="A383" s="6"/>
    </row>
    <row r="384" spans="1:1">
      <c r="A384" s="6"/>
    </row>
    <row r="385" spans="1:1">
      <c r="A385" s="6"/>
    </row>
    <row r="386" spans="1:1">
      <c r="A386" s="6"/>
    </row>
    <row r="387" spans="1:1">
      <c r="A387" s="6"/>
    </row>
    <row r="388" spans="1:1">
      <c r="A388" s="6"/>
    </row>
    <row r="389" spans="1:1">
      <c r="A389" s="6"/>
    </row>
    <row r="390" spans="1:1">
      <c r="A390" s="6"/>
    </row>
    <row r="391" spans="1:1">
      <c r="A391" s="6"/>
    </row>
    <row r="392" spans="1:1">
      <c r="A392" s="6"/>
    </row>
    <row r="393" spans="1:1">
      <c r="A393" s="6"/>
    </row>
    <row r="394" spans="1:1">
      <c r="A394" s="6"/>
    </row>
    <row r="395" spans="1:1">
      <c r="A395" s="6"/>
    </row>
    <row r="396" spans="1:1">
      <c r="A396" s="6"/>
    </row>
    <row r="397" spans="1:1">
      <c r="A397" s="6"/>
    </row>
    <row r="398" spans="1:1">
      <c r="A398" s="6"/>
    </row>
    <row r="399" spans="1:1">
      <c r="A399" s="6"/>
    </row>
    <row r="400" spans="1:1">
      <c r="A400" s="6"/>
    </row>
    <row r="401" spans="1:1">
      <c r="A401" s="6"/>
    </row>
    <row r="402" spans="1:1">
      <c r="A402" s="6"/>
    </row>
    <row r="403" spans="1:1">
      <c r="A403" s="6"/>
    </row>
    <row r="404" spans="1:1">
      <c r="A404" s="6"/>
    </row>
    <row r="405" spans="1:1">
      <c r="A405" s="6"/>
    </row>
    <row r="406" spans="1:1">
      <c r="A406" s="6"/>
    </row>
    <row r="407" spans="1:1">
      <c r="A407" s="6"/>
    </row>
    <row r="408" spans="1:1">
      <c r="A408" s="6"/>
    </row>
    <row r="409" spans="1:1">
      <c r="A409" s="6"/>
    </row>
    <row r="410" spans="1:1">
      <c r="A410" s="6"/>
    </row>
    <row r="411" spans="1:1">
      <c r="A411" s="6"/>
    </row>
    <row r="412" spans="1:1">
      <c r="A412" s="6"/>
    </row>
    <row r="413" spans="1:1">
      <c r="A413" s="6"/>
    </row>
    <row r="414" spans="1:1">
      <c r="A414" s="6"/>
    </row>
    <row r="415" spans="1:1">
      <c r="A415" s="6"/>
    </row>
    <row r="416" spans="1:1">
      <c r="A416" s="6"/>
    </row>
    <row r="417" spans="1:1">
      <c r="A417" s="6"/>
    </row>
    <row r="418" spans="1:1">
      <c r="A418" s="6"/>
    </row>
    <row r="419" spans="1:1">
      <c r="A419" s="6"/>
    </row>
    <row r="420" spans="1:1">
      <c r="A420" s="6"/>
    </row>
    <row r="421" spans="1:1">
      <c r="A421" s="6"/>
    </row>
    <row r="422" spans="1:1">
      <c r="A422" s="6"/>
    </row>
    <row r="423" spans="1:1">
      <c r="A423" s="6"/>
    </row>
    <row r="424" spans="1:1">
      <c r="A424" s="6"/>
    </row>
    <row r="425" spans="1:1">
      <c r="A425" s="6"/>
    </row>
    <row r="426" spans="1:1">
      <c r="A426" s="6"/>
    </row>
    <row r="427" spans="1:1">
      <c r="A427" s="6"/>
    </row>
    <row r="428" spans="1:1">
      <c r="A428" s="6"/>
    </row>
    <row r="429" spans="1:1">
      <c r="A429" s="6"/>
    </row>
    <row r="430" spans="1:1">
      <c r="A430" s="6"/>
    </row>
    <row r="431" spans="1:1">
      <c r="A431" s="6"/>
    </row>
    <row r="432" spans="1:1">
      <c r="A432" s="6"/>
    </row>
    <row r="433" spans="1:1">
      <c r="A433" s="6"/>
    </row>
    <row r="434" spans="1:1">
      <c r="A434" s="6"/>
    </row>
    <row r="435" spans="1:1">
      <c r="A435" s="6"/>
    </row>
    <row r="436" spans="1:1">
      <c r="A436" s="6"/>
    </row>
    <row r="437" spans="1:1">
      <c r="A437" s="6"/>
    </row>
    <row r="438" spans="1:1">
      <c r="A438" s="6"/>
    </row>
    <row r="439" spans="1:1">
      <c r="A439" s="6"/>
    </row>
    <row r="440" spans="1:1">
      <c r="A440" s="6"/>
    </row>
    <row r="441" spans="1:1">
      <c r="A441" s="6"/>
    </row>
    <row r="442" spans="1:1">
      <c r="A442" s="6"/>
    </row>
    <row r="443" spans="1:1">
      <c r="A443" s="6"/>
    </row>
    <row r="444" spans="1:1">
      <c r="A444" s="6"/>
    </row>
    <row r="445" spans="1:1">
      <c r="A445" s="6"/>
    </row>
    <row r="446" spans="1:1">
      <c r="A446" s="6"/>
    </row>
    <row r="447" spans="1:1">
      <c r="A447" s="6"/>
    </row>
    <row r="448" spans="1:1">
      <c r="A448" s="6"/>
    </row>
    <row r="449" spans="1:1">
      <c r="A449" s="6"/>
    </row>
    <row r="450" spans="1:1">
      <c r="A450" s="6"/>
    </row>
    <row r="451" spans="1:1">
      <c r="A451" s="6"/>
    </row>
    <row r="452" spans="1:1">
      <c r="A452" s="6"/>
    </row>
    <row r="453" spans="1:1">
      <c r="A453" s="6"/>
    </row>
    <row r="454" spans="1:1">
      <c r="A454" s="6"/>
    </row>
    <row r="455" spans="1:1">
      <c r="A455" s="6"/>
    </row>
    <row r="456" spans="1:1">
      <c r="A456" s="6"/>
    </row>
    <row r="457" spans="1:1">
      <c r="A457" s="6"/>
    </row>
    <row r="458" spans="1:1">
      <c r="A458" s="6"/>
    </row>
    <row r="459" spans="1:1">
      <c r="A459" s="6"/>
    </row>
    <row r="460" spans="1:1">
      <c r="A460" s="6"/>
    </row>
    <row r="461" spans="1:1">
      <c r="A461" s="6"/>
    </row>
    <row r="462" spans="1:1">
      <c r="A462" s="6"/>
    </row>
    <row r="463" spans="1:1">
      <c r="A463" s="6"/>
    </row>
    <row r="464" spans="1:1">
      <c r="A464" s="6"/>
    </row>
    <row r="465" spans="1:1">
      <c r="A465" s="6"/>
    </row>
    <row r="466" spans="1:1">
      <c r="A466" s="6"/>
    </row>
    <row r="467" spans="1:1">
      <c r="A467" s="6"/>
    </row>
    <row r="468" spans="1:1">
      <c r="A468" s="6"/>
    </row>
    <row r="469" spans="1:1">
      <c r="A469" s="6"/>
    </row>
    <row r="470" spans="1:1">
      <c r="A470" s="6"/>
    </row>
    <row r="471" spans="1:1">
      <c r="A471" s="6"/>
    </row>
    <row r="472" spans="1:1">
      <c r="A472" s="6"/>
    </row>
  </sheetData>
  <sheetProtection sheet="1" formatCells="0" formatColumns="0" autoFilter="0"/>
  <autoFilter ref="A4:R291"/>
  <mergeCells count="7">
    <mergeCell ref="A1:P1"/>
    <mergeCell ref="D3:H3"/>
    <mergeCell ref="A3:A4"/>
    <mergeCell ref="B3:B4"/>
    <mergeCell ref="C3:C4"/>
    <mergeCell ref="I3:N3"/>
    <mergeCell ref="O3:P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Sheet1">
    <tabColor rgb="FF00B0F0"/>
  </sheetPr>
  <dimension ref="A1:M60"/>
  <sheetViews>
    <sheetView tabSelected="1" workbookViewId="0">
      <pane xSplit="3" ySplit="4" topLeftCell="J11" activePane="bottomRight" state="frozenSplit"/>
      <selection activeCell="Q172" sqref="A1:BE179"/>
      <selection pane="topRight" activeCell="Q172" sqref="A1:BE179"/>
      <selection pane="bottomLeft" activeCell="Q172" sqref="A1:BE179"/>
      <selection pane="bottomRight" activeCell="A52" sqref="A52:K59"/>
    </sheetView>
  </sheetViews>
  <sheetFormatPr defaultColWidth="9.140625" defaultRowHeight="11.25"/>
  <cols>
    <col min="1" max="1" width="9.140625" style="392" customWidth="1"/>
    <col min="2" max="2" width="10" style="397" customWidth="1"/>
    <col min="3" max="3" width="43.42578125" style="396" bestFit="1" customWidth="1"/>
    <col min="4" max="4" width="18.7109375" style="393" hidden="1" customWidth="1"/>
    <col min="5" max="5" width="17.140625" style="393" hidden="1" customWidth="1"/>
    <col min="6" max="9" width="19.85546875" style="393" hidden="1" customWidth="1"/>
    <col min="10" max="10" width="19.5703125" style="393" bestFit="1" customWidth="1"/>
    <col min="11" max="11" width="19.5703125" style="393" customWidth="1"/>
    <col min="12" max="12" width="19.42578125" style="396" hidden="1" customWidth="1"/>
    <col min="13" max="13" width="14.140625" style="396" hidden="1" customWidth="1"/>
    <col min="14" max="16384" width="9.140625" style="396"/>
  </cols>
  <sheetData>
    <row r="1" spans="1:13" s="391" customFormat="1" ht="12.75">
      <c r="A1" s="3552" t="str">
        <f>HYPERLINK("#Index!B1", "Index Pg")</f>
        <v>Index Pg</v>
      </c>
      <c r="B1" s="3553"/>
      <c r="C1" s="3554" t="str">
        <f>HYPERLINK("#'Budget Summary I'!A2", "Budget Summary I")</f>
        <v>Budget Summary I</v>
      </c>
      <c r="D1" s="3555"/>
      <c r="E1" s="3556"/>
      <c r="F1" s="3557"/>
      <c r="G1" s="3557"/>
      <c r="H1" s="3557"/>
      <c r="I1" s="3557"/>
      <c r="J1" s="3556"/>
      <c r="K1" s="3556"/>
      <c r="L1" s="3556"/>
      <c r="M1" s="3556"/>
    </row>
    <row r="2" spans="1:13" s="393" customFormat="1" ht="23.1" customHeight="1">
      <c r="A2" s="4269" t="s">
        <v>0</v>
      </c>
      <c r="B2" s="4269"/>
      <c r="C2" s="3562" t="s">
        <v>5801</v>
      </c>
      <c r="D2" s="4279"/>
      <c r="E2" s="4279"/>
      <c r="F2" s="4279"/>
      <c r="G2" s="4279"/>
      <c r="H2" s="4279"/>
      <c r="I2" s="4279"/>
      <c r="J2" s="4279"/>
      <c r="K2" s="4279"/>
      <c r="L2" s="4279"/>
      <c r="M2" s="4279"/>
    </row>
    <row r="3" spans="1:13" s="394" customFormat="1" ht="22.7" customHeight="1">
      <c r="A3" s="4274" t="s">
        <v>3308</v>
      </c>
      <c r="B3" s="4275"/>
      <c r="C3" s="4270" t="s">
        <v>1</v>
      </c>
      <c r="D3" s="4273" t="s">
        <v>4624</v>
      </c>
      <c r="E3" s="4273"/>
      <c r="F3" s="4273"/>
      <c r="G3" s="4273"/>
      <c r="H3" s="4273"/>
      <c r="I3" s="4273"/>
      <c r="J3" s="4273" t="s">
        <v>4627</v>
      </c>
      <c r="K3" s="4273"/>
      <c r="L3" s="4273" t="s">
        <v>4628</v>
      </c>
      <c r="M3" s="4273"/>
    </row>
    <row r="4" spans="1:13" s="395" customFormat="1" ht="66">
      <c r="A4" s="4276"/>
      <c r="B4" s="4277"/>
      <c r="C4" s="4270"/>
      <c r="D4" s="3563" t="s">
        <v>4625</v>
      </c>
      <c r="E4" s="3564" t="s">
        <v>4626</v>
      </c>
      <c r="F4" s="3564" t="s">
        <v>2</v>
      </c>
      <c r="G4" s="3563" t="s">
        <v>4625</v>
      </c>
      <c r="H4" s="3564" t="s">
        <v>4626</v>
      </c>
      <c r="I4" s="3564" t="s">
        <v>2</v>
      </c>
      <c r="J4" s="4267" t="s">
        <v>3</v>
      </c>
      <c r="K4" s="4268"/>
      <c r="L4" s="4267" t="s">
        <v>3</v>
      </c>
      <c r="M4" s="4268"/>
    </row>
    <row r="5" spans="1:13" s="395" customFormat="1" ht="16.5">
      <c r="A5" s="4278"/>
      <c r="B5" s="4277"/>
      <c r="C5" s="3565"/>
      <c r="D5" s="4273" t="s">
        <v>3295</v>
      </c>
      <c r="E5" s="4273"/>
      <c r="F5" s="4273"/>
      <c r="G5" s="4273" t="s">
        <v>3296</v>
      </c>
      <c r="H5" s="4273"/>
      <c r="I5" s="4273"/>
      <c r="J5" s="3563" t="s">
        <v>3295</v>
      </c>
      <c r="K5" s="3563" t="s">
        <v>3296</v>
      </c>
      <c r="L5" s="3563" t="s">
        <v>3295</v>
      </c>
      <c r="M5" s="3563" t="s">
        <v>3296</v>
      </c>
    </row>
    <row r="6" spans="1:13" s="395" customFormat="1" ht="21.95" customHeight="1">
      <c r="A6" s="3566">
        <f>'1.SD Facility Based Annex'!A7</f>
        <v>1</v>
      </c>
      <c r="B6" s="3567" t="str">
        <f>'NUHM Summary'!A8</f>
        <v>U.1</v>
      </c>
      <c r="C6" s="3568" t="str">
        <f>'1.SD Facility Based Annex'!C7</f>
        <v>Service Delivery - Facility Based</v>
      </c>
      <c r="D6" s="3569"/>
      <c r="E6" s="3570"/>
      <c r="F6" s="3570"/>
      <c r="G6" s="3570"/>
      <c r="H6" s="3570"/>
      <c r="I6" s="3570"/>
      <c r="J6" s="3570">
        <f>'1.SD Facility Based Annex'!O7</f>
        <v>60487.0766516</v>
      </c>
      <c r="K6" s="3570">
        <f>'NUHM Summary'!I8</f>
        <v>315.44</v>
      </c>
      <c r="L6" s="3570">
        <f>'1.SD Facility Based Annex'!R7</f>
        <v>0</v>
      </c>
      <c r="M6" s="3570">
        <f>'NUHM Summary'!J8</f>
        <v>0</v>
      </c>
    </row>
    <row r="7" spans="1:13" s="395" customFormat="1" ht="21.95" customHeight="1">
      <c r="A7" s="3571">
        <f>'1.SD Facility Based Annex'!A8</f>
        <v>1.1000000000000001</v>
      </c>
      <c r="B7" s="1322" t="str">
        <f>'NUHM Summary'!A9</f>
        <v>U.1.1</v>
      </c>
      <c r="C7" s="3572" t="str">
        <f>'1.SD Facility Based Annex'!C8</f>
        <v>Service Delivery</v>
      </c>
      <c r="D7" s="3573"/>
      <c r="E7" s="3574"/>
      <c r="F7" s="3574"/>
      <c r="G7" s="3574"/>
      <c r="H7" s="3574"/>
      <c r="I7" s="3574"/>
      <c r="J7" s="3575">
        <f>'1.SD Facility Based Annex'!O8</f>
        <v>14301.186026599999</v>
      </c>
      <c r="K7" s="3576">
        <f>'NUHM Summary'!I9</f>
        <v>67.5</v>
      </c>
      <c r="L7" s="3575">
        <f>'1.SD Facility Based Annex'!R8</f>
        <v>0</v>
      </c>
      <c r="M7" s="3576">
        <f>'NUHM Summary'!J9</f>
        <v>0</v>
      </c>
    </row>
    <row r="8" spans="1:13" s="395" customFormat="1" ht="21.95" customHeight="1">
      <c r="A8" s="3571">
        <f>'1.SD Facility Based Annex'!A59</f>
        <v>1.2</v>
      </c>
      <c r="B8" s="1322" t="str">
        <f>'NUHM Summary'!A30</f>
        <v>U.1.2</v>
      </c>
      <c r="C8" s="3572" t="str">
        <f>'1.SD Facility Based Annex'!C59</f>
        <v>Beneficiary Compensation/ Allowances</v>
      </c>
      <c r="D8" s="3573"/>
      <c r="E8" s="3574"/>
      <c r="F8" s="3574"/>
      <c r="G8" s="3574"/>
      <c r="H8" s="3574"/>
      <c r="I8" s="3574"/>
      <c r="J8" s="3575">
        <f>'1.SD Facility Based Annex'!O59</f>
        <v>43615.954024999999</v>
      </c>
      <c r="K8" s="3576">
        <f>'NUHM Summary'!I30</f>
        <v>16.940000000000001</v>
      </c>
      <c r="L8" s="3575">
        <f>'1.SD Facility Based Annex'!R59</f>
        <v>0</v>
      </c>
      <c r="M8" s="3576">
        <f>'NUHM Summary'!J30</f>
        <v>0</v>
      </c>
    </row>
    <row r="9" spans="1:13" s="395" customFormat="1" ht="21.95" customHeight="1">
      <c r="A9" s="3571">
        <f>'1.SD Facility Based Annex'!A82</f>
        <v>1.3</v>
      </c>
      <c r="B9" s="1322" t="str">
        <f>'NUHM Summary'!A33</f>
        <v>U.1.3</v>
      </c>
      <c r="C9" s="3572" t="str">
        <f>'1.SD Facility Based Annex'!C82</f>
        <v>Operating Expenses</v>
      </c>
      <c r="D9" s="3573"/>
      <c r="E9" s="3574"/>
      <c r="F9" s="3574"/>
      <c r="G9" s="3574"/>
      <c r="H9" s="3574"/>
      <c r="I9" s="3574"/>
      <c r="J9" s="3575">
        <f>'1.SD Facility Based Annex'!O82</f>
        <v>2569.9365999999995</v>
      </c>
      <c r="K9" s="3576">
        <f>'NUHM Summary'!I33</f>
        <v>231</v>
      </c>
      <c r="L9" s="3575">
        <f>'1.SD Facility Based Annex'!R82</f>
        <v>0</v>
      </c>
      <c r="M9" s="3576">
        <f>'NUHM Summary'!J33</f>
        <v>0</v>
      </c>
    </row>
    <row r="10" spans="1:13" s="395" customFormat="1" ht="21.95" customHeight="1">
      <c r="A10" s="3566">
        <f>'2.SD Community Based Annex'!A7</f>
        <v>2</v>
      </c>
      <c r="B10" s="3577" t="str">
        <f>'NUHM Summary'!A38</f>
        <v>U.2</v>
      </c>
      <c r="C10" s="3568" t="str">
        <f>'2.SD Community Based Annex'!C7</f>
        <v>Service Delivery - Community Based</v>
      </c>
      <c r="D10" s="3569"/>
      <c r="E10" s="3570"/>
      <c r="F10" s="3570"/>
      <c r="G10" s="3570"/>
      <c r="H10" s="3570"/>
      <c r="I10" s="3570"/>
      <c r="J10" s="3570">
        <f>'2.SD Community Based Annex'!O7</f>
        <v>10479.038322100001</v>
      </c>
      <c r="K10" s="3570">
        <f>'NUHM Summary'!I38</f>
        <v>261</v>
      </c>
      <c r="L10" s="3570">
        <f>'2.SD Community Based Annex'!R7</f>
        <v>0</v>
      </c>
      <c r="M10" s="3570">
        <f>'NUHM Summary'!J38</f>
        <v>0</v>
      </c>
    </row>
    <row r="11" spans="1:13" s="395" customFormat="1" ht="21.95" customHeight="1">
      <c r="A11" s="3571">
        <f>'2.SD Community Based Annex'!A8</f>
        <v>2.1</v>
      </c>
      <c r="B11" s="1322" t="str">
        <f>'NUHM Summary'!A39</f>
        <v>U.2.1</v>
      </c>
      <c r="C11" s="3572" t="str">
        <f>'2.SD Community Based Annex'!C8</f>
        <v>Mobile Units</v>
      </c>
      <c r="D11" s="3573"/>
      <c r="E11" s="3574"/>
      <c r="F11" s="3574"/>
      <c r="G11" s="3574"/>
      <c r="H11" s="3574"/>
      <c r="I11" s="3574"/>
      <c r="J11" s="3575">
        <f>'2.SD Community Based Annex'!O8</f>
        <v>144</v>
      </c>
      <c r="K11" s="3576">
        <f>'NUHM Summary'!I39</f>
        <v>0</v>
      </c>
      <c r="L11" s="3575">
        <f>'2.SD Community Based Annex'!R8</f>
        <v>0</v>
      </c>
      <c r="M11" s="3576">
        <f>'NUHM Summary'!J39</f>
        <v>0</v>
      </c>
    </row>
    <row r="12" spans="1:13" s="395" customFormat="1" ht="21.95" customHeight="1">
      <c r="A12" s="3571">
        <f>'2.SD Community Based Annex'!A19</f>
        <v>2.2000000000000002</v>
      </c>
      <c r="B12" s="1322" t="str">
        <f>'NUHM Summary'!A42</f>
        <v>U.2.2</v>
      </c>
      <c r="C12" s="3572" t="str">
        <f>'2.SD Community Based Annex'!C19</f>
        <v>Recurring/ Operational cost</v>
      </c>
      <c r="D12" s="3573"/>
      <c r="E12" s="3574"/>
      <c r="F12" s="3574"/>
      <c r="G12" s="3574"/>
      <c r="H12" s="3574"/>
      <c r="I12" s="3574"/>
      <c r="J12" s="3575">
        <f>'2.SD Community Based Annex'!O19</f>
        <v>8970.7375221000002</v>
      </c>
      <c r="K12" s="3576">
        <f>'NUHM Summary'!I42</f>
        <v>30</v>
      </c>
      <c r="L12" s="3575">
        <f>'2.SD Community Based Annex'!R19</f>
        <v>0</v>
      </c>
      <c r="M12" s="3576">
        <f>'NUHM Summary'!J42</f>
        <v>0</v>
      </c>
    </row>
    <row r="13" spans="1:13" s="395" customFormat="1" ht="21.95" customHeight="1">
      <c r="A13" s="3571">
        <f>'2.SD Community Based Annex'!A31</f>
        <v>2.2999999999999998</v>
      </c>
      <c r="B13" s="1322" t="str">
        <f>'NUHM Summary'!A45</f>
        <v>U.2.3</v>
      </c>
      <c r="C13" s="3572" t="str">
        <f>'2.SD Community Based Annex'!C31</f>
        <v xml:space="preserve">Outreach activities </v>
      </c>
      <c r="D13" s="3573"/>
      <c r="E13" s="3574"/>
      <c r="F13" s="3574"/>
      <c r="G13" s="3574"/>
      <c r="H13" s="3574"/>
      <c r="I13" s="3574"/>
      <c r="J13" s="3575">
        <f>'2.SD Community Based Annex'!O31</f>
        <v>1364.3008</v>
      </c>
      <c r="K13" s="3576">
        <f>'NUHM Summary'!I45</f>
        <v>231</v>
      </c>
      <c r="L13" s="3575">
        <f>'2.SD Community Based Annex'!R31</f>
        <v>0</v>
      </c>
      <c r="M13" s="3576">
        <f>'NUHM Summary'!J45</f>
        <v>0</v>
      </c>
    </row>
    <row r="14" spans="1:13" s="395" customFormat="1" ht="21.95" customHeight="1">
      <c r="A14" s="3566">
        <f>'3.Community Intervention Annexn'!A7</f>
        <v>3</v>
      </c>
      <c r="B14" s="3577" t="str">
        <f>'NUHM Summary'!A51</f>
        <v>U.3</v>
      </c>
      <c r="C14" s="3578" t="str">
        <f>'3.Community Intervention Annexn'!C7</f>
        <v>Community Interventions</v>
      </c>
      <c r="D14" s="3569"/>
      <c r="E14" s="3570"/>
      <c r="F14" s="3570"/>
      <c r="G14" s="3570"/>
      <c r="H14" s="3570"/>
      <c r="I14" s="3570"/>
      <c r="J14" s="3570">
        <f>'3.Community Intervention Annexn'!O7</f>
        <v>72191.713420200016</v>
      </c>
      <c r="K14" s="3570">
        <f>'NUHM Summary'!I51</f>
        <v>296.34596900000003</v>
      </c>
      <c r="L14" s="3570">
        <f>'3.Community Intervention Annexn'!R7</f>
        <v>0</v>
      </c>
      <c r="M14" s="3570">
        <f>'NUHM Summary'!J51</f>
        <v>0</v>
      </c>
    </row>
    <row r="15" spans="1:13" s="395" customFormat="1" ht="21.95" customHeight="1">
      <c r="A15" s="3571">
        <f>'3.Community Intervention Annexn'!A8</f>
        <v>3.1</v>
      </c>
      <c r="B15" s="1322" t="str">
        <f>'NUHM Summary'!A52</f>
        <v>U.3.1</v>
      </c>
      <c r="C15" s="3579" t="str">
        <f>'3.Community Intervention Annexn'!C8</f>
        <v>ASHA Activities</v>
      </c>
      <c r="D15" s="3573"/>
      <c r="E15" s="3574"/>
      <c r="F15" s="3574"/>
      <c r="G15" s="3574"/>
      <c r="H15" s="3574"/>
      <c r="I15" s="3574"/>
      <c r="J15" s="3575">
        <f>'3.Community Intervention Annexn'!O8</f>
        <v>66092.890540000008</v>
      </c>
      <c r="K15" s="3576">
        <f>'NUHM Summary'!I52</f>
        <v>270.79597000000001</v>
      </c>
      <c r="L15" s="3575">
        <f>'3.Community Intervention Annexn'!R8</f>
        <v>0</v>
      </c>
      <c r="M15" s="3576">
        <f>'NUHM Summary'!J52</f>
        <v>0</v>
      </c>
    </row>
    <row r="16" spans="1:13" s="395" customFormat="1" ht="21.95" customHeight="1">
      <c r="A16" s="3571">
        <f>'3.Community Intervention Annexn'!A33</f>
        <v>3.2</v>
      </c>
      <c r="B16" s="1322" t="str">
        <f>'NUHM Summary'!A64</f>
        <v>U.3.2</v>
      </c>
      <c r="C16" s="3579" t="str">
        <f>'3.Community Intervention Annexn'!C33</f>
        <v>Other Community Interventions</v>
      </c>
      <c r="D16" s="3573"/>
      <c r="E16" s="3574"/>
      <c r="F16" s="3574"/>
      <c r="G16" s="3574"/>
      <c r="H16" s="3574"/>
      <c r="I16" s="3574"/>
      <c r="J16" s="3575">
        <f>'3.Community Intervention Annexn'!O33</f>
        <v>6089.3228802000012</v>
      </c>
      <c r="K16" s="3576">
        <f>'NUHM Summary'!I64</f>
        <v>25.549999000000003</v>
      </c>
      <c r="L16" s="3575">
        <f>'3.Community Intervention Annexn'!R33</f>
        <v>0</v>
      </c>
      <c r="M16" s="3576">
        <f>'NUHM Summary'!J64</f>
        <v>0</v>
      </c>
    </row>
    <row r="17" spans="1:13" s="395" customFormat="1" ht="21.95" customHeight="1">
      <c r="A17" s="3571">
        <f>'3.Community Intervention Annexn'!A49</f>
        <v>3.3</v>
      </c>
      <c r="B17" s="1322" t="str">
        <f>'NUHM Summary'!A69</f>
        <v>U.3.3</v>
      </c>
      <c r="C17" s="3579" t="s">
        <v>5588</v>
      </c>
      <c r="D17" s="3573"/>
      <c r="E17" s="3574"/>
      <c r="F17" s="3574"/>
      <c r="G17" s="3574"/>
      <c r="H17" s="3574"/>
      <c r="I17" s="3574"/>
      <c r="J17" s="3575">
        <f>'3.Community Intervention Annexn'!O49</f>
        <v>9.5</v>
      </c>
      <c r="K17" s="3576">
        <f>'NUHM Summary'!I69</f>
        <v>20.499999000000003</v>
      </c>
      <c r="L17" s="3575">
        <f>'3.Community Intervention Annexn'!R49</f>
        <v>0</v>
      </c>
      <c r="M17" s="3576">
        <f>'NUHM Summary'!J69</f>
        <v>0</v>
      </c>
    </row>
    <row r="18" spans="1:13" s="395" customFormat="1" ht="21.95" customHeight="1">
      <c r="A18" s="3580">
        <f>'4.Untied grants Annex'!A7</f>
        <v>4</v>
      </c>
      <c r="B18" s="3577" t="str">
        <f>'NUHM Summary'!A70</f>
        <v>U.4</v>
      </c>
      <c r="C18" s="3568" t="str">
        <f>'4.Untied grants Annex'!C7</f>
        <v>Untied Fund</v>
      </c>
      <c r="D18" s="3581"/>
      <c r="E18" s="3581"/>
      <c r="F18" s="3581"/>
      <c r="G18" s="3581"/>
      <c r="H18" s="3581"/>
      <c r="I18" s="3581"/>
      <c r="J18" s="3569">
        <f>'4.Untied grants Annex'!O7</f>
        <v>7413.8649999999998</v>
      </c>
      <c r="K18" s="3570">
        <f>'NUHM Summary'!I70</f>
        <v>162.15</v>
      </c>
      <c r="L18" s="3569">
        <f>'4.Untied grants Annex'!R7</f>
        <v>0</v>
      </c>
      <c r="M18" s="3570">
        <f>'NUHM Summary'!J70</f>
        <v>0</v>
      </c>
    </row>
    <row r="19" spans="1:13" s="395" customFormat="1" ht="21.95" customHeight="1">
      <c r="A19" s="3580">
        <f>'5.Infrastructure Annex'!A7</f>
        <v>5</v>
      </c>
      <c r="B19" s="3577" t="str">
        <f>'NUHM Summary'!A77</f>
        <v>U.5</v>
      </c>
      <c r="C19" s="3568" t="str">
        <f>'5.Infrastructure Annex'!C7</f>
        <v>Infrastructure</v>
      </c>
      <c r="D19" s="3569"/>
      <c r="E19" s="3570"/>
      <c r="F19" s="3570"/>
      <c r="G19" s="3570"/>
      <c r="H19" s="3570"/>
      <c r="I19" s="3570"/>
      <c r="J19" s="3570">
        <f>'5.Infrastructure Annex'!O7</f>
        <v>71308.335629999987</v>
      </c>
      <c r="K19" s="3570">
        <f>'NUHM Summary'!I77</f>
        <v>232</v>
      </c>
      <c r="L19" s="3570">
        <f>'5.Infrastructure Annex'!R7</f>
        <v>0</v>
      </c>
      <c r="M19" s="3570">
        <f>'NUHM Summary'!J77</f>
        <v>0</v>
      </c>
    </row>
    <row r="20" spans="1:13" s="395" customFormat="1" ht="29.25" customHeight="1">
      <c r="A20" s="3582">
        <f>'5.Infrastructure Annex'!A8</f>
        <v>5.0999999999999996</v>
      </c>
      <c r="B20" s="1322" t="str">
        <f>'NUHM Summary'!A78</f>
        <v>U.5.1</v>
      </c>
      <c r="C20" s="3583" t="str">
        <f>'5.Infrastructure Annex'!C8</f>
        <v>Upgradation of existing facilities as per IPHS norms including staff quarters</v>
      </c>
      <c r="D20" s="3573"/>
      <c r="E20" s="3574"/>
      <c r="F20" s="3574"/>
      <c r="G20" s="3574"/>
      <c r="H20" s="3574"/>
      <c r="I20" s="3574"/>
      <c r="J20" s="3575">
        <f>'5.Infrastructure Annex'!O8</f>
        <v>59996.204879999998</v>
      </c>
      <c r="K20" s="3584">
        <f>'NUHM Summary'!I78</f>
        <v>222</v>
      </c>
      <c r="L20" s="3575">
        <f>'5.Infrastructure Annex'!R8</f>
        <v>0</v>
      </c>
      <c r="M20" s="3584">
        <f>'NUHM Summary'!J78</f>
        <v>0</v>
      </c>
    </row>
    <row r="21" spans="1:13" s="395" customFormat="1" ht="21.95" customHeight="1">
      <c r="A21" s="3582">
        <f>'5.Infrastructure Annex'!A55</f>
        <v>5.2</v>
      </c>
      <c r="B21" s="1322" t="str">
        <f>'NUHM Summary'!A84</f>
        <v>U.5.2</v>
      </c>
      <c r="C21" s="3583" t="str">
        <f>'5.Infrastructure Annex'!C55</f>
        <v xml:space="preserve">New Constructions </v>
      </c>
      <c r="D21" s="3573"/>
      <c r="E21" s="3574"/>
      <c r="F21" s="3574"/>
      <c r="G21" s="3574"/>
      <c r="H21" s="3574"/>
      <c r="I21" s="3574"/>
      <c r="J21" s="3575">
        <f>'5.Infrastructure Annex'!O55</f>
        <v>10880.45075</v>
      </c>
      <c r="K21" s="3584">
        <f>'NUHM Summary'!I84</f>
        <v>0</v>
      </c>
      <c r="L21" s="3575">
        <f>'5.Infrastructure Annex'!R55</f>
        <v>0</v>
      </c>
      <c r="M21" s="3584">
        <f>'NUHM Summary'!J84</f>
        <v>0</v>
      </c>
    </row>
    <row r="22" spans="1:13" s="395" customFormat="1" ht="30.75" customHeight="1">
      <c r="A22" s="3582">
        <f>'5.Infrastructure Annex'!A82</f>
        <v>5.3</v>
      </c>
      <c r="B22" s="1322" t="str">
        <f>'NUHM Summary'!A88</f>
        <v>U.5.3</v>
      </c>
      <c r="C22" s="3583" t="str">
        <f>'5.Infrastructure Annex'!C82</f>
        <v>Other construction/ Civil works except IPHS Infrastructure</v>
      </c>
      <c r="D22" s="3573"/>
      <c r="E22" s="3574"/>
      <c r="F22" s="3574"/>
      <c r="G22" s="3574"/>
      <c r="H22" s="3574"/>
      <c r="I22" s="3574"/>
      <c r="J22" s="3575">
        <f>'5.Infrastructure Annex'!O82</f>
        <v>431.68</v>
      </c>
      <c r="K22" s="3584">
        <f>'NUHM Summary'!I88</f>
        <v>10</v>
      </c>
      <c r="L22" s="3575">
        <f>'5.Infrastructure Annex'!R82</f>
        <v>0</v>
      </c>
      <c r="M22" s="3584">
        <f>'NUHM Summary'!J88</f>
        <v>0</v>
      </c>
    </row>
    <row r="23" spans="1:13" s="395" customFormat="1" ht="21.95" customHeight="1">
      <c r="A23" s="3580">
        <f>'6.Procurement Annex'!A7</f>
        <v>6</v>
      </c>
      <c r="B23" s="3577" t="str">
        <f>'NUHM Summary'!A91</f>
        <v>U.6</v>
      </c>
      <c r="C23" s="3585" t="str">
        <f>'6.Procurement Annex'!C7</f>
        <v>Procurement</v>
      </c>
      <c r="D23" s="3569"/>
      <c r="E23" s="3570"/>
      <c r="F23" s="3570"/>
      <c r="G23" s="3570"/>
      <c r="H23" s="3570"/>
      <c r="I23" s="3570"/>
      <c r="J23" s="3570">
        <f>'6.Procurement Annex'!O7</f>
        <v>48033.7473914</v>
      </c>
      <c r="K23" s="3570">
        <f>'NUHM Summary'!I91</f>
        <v>558.26967000000002</v>
      </c>
      <c r="L23" s="3570">
        <f>'6.Procurement Annex'!R7</f>
        <v>0</v>
      </c>
      <c r="M23" s="3570">
        <f>'NUHM Summary'!J91</f>
        <v>0</v>
      </c>
    </row>
    <row r="24" spans="1:13" s="395" customFormat="1" ht="21.95" customHeight="1">
      <c r="A24" s="3582">
        <f>'6.Procurement Annex'!A8</f>
        <v>6.1</v>
      </c>
      <c r="B24" s="1322" t="str">
        <f>'NUHM Summary'!A92</f>
        <v>U.6.1</v>
      </c>
      <c r="C24" s="3583" t="str">
        <f>'6.Procurement Annex'!C8</f>
        <v>Procurement of Equipment</v>
      </c>
      <c r="D24" s="3573"/>
      <c r="E24" s="3574"/>
      <c r="F24" s="3574"/>
      <c r="G24" s="3574"/>
      <c r="H24" s="3574"/>
      <c r="I24" s="3574"/>
      <c r="J24" s="3575">
        <f>'6.Procurement Annex'!O8</f>
        <v>15142.120104</v>
      </c>
      <c r="K24" s="3584">
        <f>'NUHM Summary'!I92</f>
        <v>62.26</v>
      </c>
      <c r="L24" s="3575">
        <f>'6.Procurement Annex'!R8</f>
        <v>0</v>
      </c>
      <c r="M24" s="3584">
        <f>'NUHM Summary'!J92</f>
        <v>0</v>
      </c>
    </row>
    <row r="25" spans="1:13" s="395" customFormat="1" ht="21.95" customHeight="1">
      <c r="A25" s="3582">
        <f>'6.Procurement Annex'!A54</f>
        <v>6.2</v>
      </c>
      <c r="B25" s="1322" t="str">
        <f>'NUHM Summary'!A103</f>
        <v>U.6.2</v>
      </c>
      <c r="C25" s="3583" t="str">
        <f>'6.Procurement Annex'!C54</f>
        <v>Procurement of Drugs and Supplies</v>
      </c>
      <c r="D25" s="3573"/>
      <c r="E25" s="3574"/>
      <c r="F25" s="3574"/>
      <c r="G25" s="3574"/>
      <c r="H25" s="3574"/>
      <c r="I25" s="3574"/>
      <c r="J25" s="3575">
        <f>'6.Procurement Annex'!O54</f>
        <v>32602.907287399998</v>
      </c>
      <c r="K25" s="3584">
        <f>'NUHM Summary'!I103</f>
        <v>357.26</v>
      </c>
      <c r="L25" s="3575">
        <f>'6.Procurement Annex'!R54</f>
        <v>0</v>
      </c>
      <c r="M25" s="3584">
        <f>'NUHM Summary'!J103</f>
        <v>0</v>
      </c>
    </row>
    <row r="26" spans="1:13" s="395" customFormat="1" ht="21.95" customHeight="1">
      <c r="A26" s="3582">
        <f>'6.Procurement Annex'!A86</f>
        <v>6.3</v>
      </c>
      <c r="B26" s="1322" t="str">
        <f>'NUHM Summary'!A115</f>
        <v>U.6.3</v>
      </c>
      <c r="C26" s="3583" t="str">
        <f>'6.Procurement Annex'!C86</f>
        <v>Other Procurement</v>
      </c>
      <c r="D26" s="3573"/>
      <c r="E26" s="3574"/>
      <c r="F26" s="3574"/>
      <c r="G26" s="3574"/>
      <c r="H26" s="3574"/>
      <c r="I26" s="3574"/>
      <c r="J26" s="3575">
        <f>'6.Procurement Annex'!O86</f>
        <v>288.72000000000003</v>
      </c>
      <c r="K26" s="3584">
        <f>'NUHM Summary'!I115</f>
        <v>138.74967000000001</v>
      </c>
      <c r="L26" s="3575">
        <f>'6.Procurement Annex'!R86</f>
        <v>0</v>
      </c>
      <c r="M26" s="3584">
        <f>'NUHM Summary'!J115</f>
        <v>0</v>
      </c>
    </row>
    <row r="27" spans="1:13" ht="21.95" customHeight="1">
      <c r="A27" s="3580">
        <f>+'7.Referral Transport Annex'!A7</f>
        <v>7</v>
      </c>
      <c r="B27" s="3577" t="str">
        <f>'NUHM Summary'!A118</f>
        <v>U.7</v>
      </c>
      <c r="C27" s="3568" t="str">
        <f>+'7.Referral Transport Annex'!C7</f>
        <v>Referral Transport</v>
      </c>
      <c r="D27" s="3586"/>
      <c r="E27" s="3586"/>
      <c r="F27" s="3586"/>
      <c r="G27" s="3586"/>
      <c r="H27" s="3586"/>
      <c r="I27" s="3586"/>
      <c r="J27" s="3570">
        <f>'7.Referral Transport Annex'!O7</f>
        <v>27573.3</v>
      </c>
      <c r="K27" s="3569">
        <f>'NUHM Summary'!I118</f>
        <v>0</v>
      </c>
      <c r="L27" s="3570">
        <f>+'7.Referral Transport Annex'!R7</f>
        <v>0</v>
      </c>
      <c r="M27" s="3569">
        <f>'NUHM Summary'!J118</f>
        <v>0</v>
      </c>
    </row>
    <row r="28" spans="1:13" s="395" customFormat="1" ht="21.95" customHeight="1">
      <c r="A28" s="3580">
        <f>'8.Human Resources (SD) Annex'!A7</f>
        <v>8</v>
      </c>
      <c r="B28" s="3577" t="str">
        <f>'NUHM Summary'!A120</f>
        <v>U.8</v>
      </c>
      <c r="C28" s="3585" t="str">
        <f>'8.Human Resources (SD) Annex'!C7</f>
        <v>Human Resources</v>
      </c>
      <c r="D28" s="3569"/>
      <c r="E28" s="3570"/>
      <c r="F28" s="3570"/>
      <c r="G28" s="3570"/>
      <c r="H28" s="3570"/>
      <c r="I28" s="3570"/>
      <c r="J28" s="3570">
        <f>'8.Human Resources (SD) Annex'!P7</f>
        <v>99331.498920000027</v>
      </c>
      <c r="K28" s="3569">
        <f>'NUHM Summary'!I120</f>
        <v>2973.8878680000003</v>
      </c>
      <c r="L28" s="3570">
        <f>+'8.Human Resources (SD) Annex'!S7</f>
        <v>0</v>
      </c>
      <c r="M28" s="3569">
        <f>'NUHM Summary'!J120</f>
        <v>0</v>
      </c>
    </row>
    <row r="29" spans="1:13" s="395" customFormat="1" ht="21.95" customHeight="1">
      <c r="A29" s="3571">
        <f>+'8.Human Resources (SD) Annex'!A8</f>
        <v>8.1</v>
      </c>
      <c r="B29" s="1322" t="str">
        <f>'NUHM Summary'!A121</f>
        <v>U.8.1</v>
      </c>
      <c r="C29" s="3572" t="str">
        <f>+'8.Human Resources (SD) Annex'!C8</f>
        <v>Human Resources</v>
      </c>
      <c r="D29" s="3573"/>
      <c r="E29" s="3574"/>
      <c r="F29" s="3574"/>
      <c r="G29" s="3574"/>
      <c r="H29" s="3574"/>
      <c r="I29" s="3574"/>
      <c r="J29" s="3575">
        <f>'8.Human Resources (SD) Annex'!P8</f>
        <v>84026.000000000015</v>
      </c>
      <c r="K29" s="3576">
        <f>'NUHM Summary'!I121</f>
        <v>2939.1957940000002</v>
      </c>
      <c r="L29" s="3575">
        <f>+'8.Human Resources (SD) Annex'!S8</f>
        <v>0</v>
      </c>
      <c r="M29" s="3576">
        <f>'NUHM Summary'!J121</f>
        <v>0</v>
      </c>
    </row>
    <row r="30" spans="1:13" ht="21.95" customHeight="1">
      <c r="A30" s="3571">
        <f>+'8.Human Resources (SD) Annex'!A161</f>
        <v>8.1999999999999993</v>
      </c>
      <c r="B30" s="1322" t="str">
        <f>'NUHM Summary'!A169</f>
        <v>U.8.2</v>
      </c>
      <c r="C30" s="3572" t="str">
        <f>+'8.Human Resources (SD) Annex'!C161</f>
        <v xml:space="preserve">Annual increment for all the existing SD positions </v>
      </c>
      <c r="D30" s="2363"/>
      <c r="E30" s="2363"/>
      <c r="F30" s="2363"/>
      <c r="G30" s="2363"/>
      <c r="H30" s="2363"/>
      <c r="I30" s="2363"/>
      <c r="J30" s="3575">
        <f>'8.Human Resources (SD) Annex'!P161</f>
        <v>3460.8784999999998</v>
      </c>
      <c r="K30" s="3576">
        <f>'NUHM Summary'!I169</f>
        <v>1.2220800000000001</v>
      </c>
      <c r="L30" s="3575">
        <f>+'8.Human Resources (SD) Annex'!S161</f>
        <v>0</v>
      </c>
      <c r="M30" s="3576">
        <f>'NUHM Summary'!J169</f>
        <v>0</v>
      </c>
    </row>
    <row r="31" spans="1:13" ht="30.75" customHeight="1">
      <c r="A31" s="3571">
        <f>+'8.Human Resources (SD) Annex'!A162</f>
        <v>8.3000000000000007</v>
      </c>
      <c r="B31" s="1322" t="str">
        <f>'NUHM Summary'!A170</f>
        <v>U.8.3</v>
      </c>
      <c r="C31" s="3572" t="str">
        <f>+'8.Human Resources (SD) Annex'!C162</f>
        <v>EPF (Employer's contribution) @ 13.36% for salaries &lt;= Rs.15,000 pm</v>
      </c>
      <c r="D31" s="2363"/>
      <c r="E31" s="2363"/>
      <c r="F31" s="2363"/>
      <c r="G31" s="2363"/>
      <c r="H31" s="2363"/>
      <c r="I31" s="2363"/>
      <c r="J31" s="3575">
        <f>'8.Human Resources (SD) Annex'!P162</f>
        <v>7500</v>
      </c>
      <c r="K31" s="3576">
        <f>'NUHM Summary'!I170</f>
        <v>0</v>
      </c>
      <c r="L31" s="3575">
        <f>+'8.Human Resources (SD) Annex'!S162</f>
        <v>0</v>
      </c>
      <c r="M31" s="3576">
        <f>'NUHM Summary'!J170</f>
        <v>0</v>
      </c>
    </row>
    <row r="32" spans="1:13" s="395" customFormat="1" ht="21.95" customHeight="1">
      <c r="A32" s="3571">
        <f>+'8.Human Resources (SD) Annex'!A163</f>
        <v>8.4</v>
      </c>
      <c r="B32" s="1322">
        <f>'NUHM Summary'!N171</f>
        <v>0</v>
      </c>
      <c r="C32" s="3572" t="str">
        <f>+'8.Human Resources (SD) Annex'!C163</f>
        <v>Incentives and Allowances</v>
      </c>
      <c r="D32" s="3573"/>
      <c r="E32" s="3574"/>
      <c r="F32" s="3574"/>
      <c r="G32" s="3574"/>
      <c r="H32" s="3574"/>
      <c r="I32" s="3574"/>
      <c r="J32" s="3575">
        <f>'8.Human Resources (SD) Annex'!P163</f>
        <v>4344.6204200000002</v>
      </c>
      <c r="K32" s="3576">
        <f>'NUHM Summary'!J171</f>
        <v>0</v>
      </c>
      <c r="L32" s="3575">
        <f>+'8.Human Resources (SD) Annex'!S163</f>
        <v>0</v>
      </c>
      <c r="M32" s="3576">
        <f>'NUHM Summary'!K171</f>
        <v>0</v>
      </c>
    </row>
    <row r="33" spans="1:13" ht="21.95" customHeight="1">
      <c r="A33" s="3566">
        <f>'9.Training Annex'!A7</f>
        <v>9</v>
      </c>
      <c r="B33" s="3577" t="str">
        <f>'NUHM Summary'!A174</f>
        <v>U.9</v>
      </c>
      <c r="C33" s="3578" t="str">
        <f>'9.Training Annex'!C7</f>
        <v>Training and Capacity Building</v>
      </c>
      <c r="D33" s="3586"/>
      <c r="E33" s="3586"/>
      <c r="F33" s="3586"/>
      <c r="G33" s="3586"/>
      <c r="H33" s="3586"/>
      <c r="I33" s="3586"/>
      <c r="J33" s="3570">
        <f>'9.Training Annex'!O7</f>
        <v>12931.217954799999</v>
      </c>
      <c r="K33" s="3569">
        <f>'NUHM Summary'!I174</f>
        <v>82.124996600000003</v>
      </c>
      <c r="L33" s="3587">
        <f>'9.Training Annex'!R7</f>
        <v>0</v>
      </c>
      <c r="M33" s="3569">
        <f>'NUHM Summary'!J174</f>
        <v>0</v>
      </c>
    </row>
    <row r="34" spans="1:13" ht="33" customHeight="1">
      <c r="A34" s="3571">
        <f>'9.Training Annex'!A8</f>
        <v>9.1</v>
      </c>
      <c r="B34" s="1322" t="str">
        <f>'NUHM Summary'!A175</f>
        <v>U.9.1</v>
      </c>
      <c r="C34" s="3579" t="str">
        <f>'9.Training Annex'!C8</f>
        <v>Setting Up &amp; Strengthening of Skill Lab/ Other Training Centres or institutes including medical (DNB/CPS)/paramedical/nursing courses</v>
      </c>
      <c r="D34" s="2363"/>
      <c r="E34" s="2363"/>
      <c r="F34" s="2363"/>
      <c r="G34" s="2363"/>
      <c r="H34" s="2363"/>
      <c r="I34" s="2363"/>
      <c r="J34" s="3588">
        <f>'9.Training Annex'!O8</f>
        <v>1884.0524998000001</v>
      </c>
      <c r="K34" s="3576">
        <f>'NUHM Summary'!I175</f>
        <v>0</v>
      </c>
      <c r="L34" s="3588">
        <f>'9.Training Annex'!R8</f>
        <v>0</v>
      </c>
      <c r="M34" s="3576">
        <f>'NUHM Summary'!J175</f>
        <v>0</v>
      </c>
    </row>
    <row r="35" spans="1:13" ht="31.5" customHeight="1">
      <c r="A35" s="3571">
        <f>'9.Training Annex'!A19</f>
        <v>9.1999999999999993</v>
      </c>
      <c r="B35" s="1322" t="str">
        <f>'NUHM Summary'!A178</f>
        <v>U.9.2</v>
      </c>
      <c r="C35" s="3579" t="str">
        <f>'9.Training Annex'!C19</f>
        <v>Conducting Trainings including medical (DNB/CPS)/paramedical/nursing courses</v>
      </c>
      <c r="D35" s="2363"/>
      <c r="E35" s="2363"/>
      <c r="F35" s="2363"/>
      <c r="G35" s="2363"/>
      <c r="H35" s="2363"/>
      <c r="I35" s="2363"/>
      <c r="J35" s="3588">
        <f>'9.Training Annex'!O19</f>
        <v>11047.165454999998</v>
      </c>
      <c r="K35" s="3576">
        <f>'NUHM Summary'!I178</f>
        <v>82.124996600000003</v>
      </c>
      <c r="L35" s="3588">
        <f>'9.Training Annex'!R19</f>
        <v>0</v>
      </c>
      <c r="M35" s="3576">
        <f>'NUHM Summary'!J178</f>
        <v>0</v>
      </c>
    </row>
    <row r="36" spans="1:13" ht="30.75" customHeight="1">
      <c r="A36" s="3589">
        <f>+'10.Review Research &amp; Surveillen'!A7</f>
        <v>10</v>
      </c>
      <c r="B36" s="3590" t="str">
        <f>'NUHM Summary'!A195</f>
        <v>U.10</v>
      </c>
      <c r="C36" s="3568" t="str">
        <f>+'10.Review Research &amp; Surveillen'!C7</f>
        <v>Reviews, Research, Surveys and Surveillance</v>
      </c>
      <c r="D36" s="3586"/>
      <c r="E36" s="3586"/>
      <c r="F36" s="3586"/>
      <c r="G36" s="3586"/>
      <c r="H36" s="3586"/>
      <c r="I36" s="3586"/>
      <c r="J36" s="3570">
        <f>'10.Review Research &amp; Surveillen'!O7</f>
        <v>628.00415975300007</v>
      </c>
      <c r="K36" s="3591">
        <f>'NUHM Summary'!I195</f>
        <v>0</v>
      </c>
      <c r="L36" s="3570">
        <f>+'10.Review Research &amp; Surveillen'!R7</f>
        <v>0</v>
      </c>
      <c r="M36" s="3591">
        <f>'NUHM Summary'!J195</f>
        <v>0</v>
      </c>
    </row>
    <row r="37" spans="1:13" ht="21.95" customHeight="1">
      <c r="A37" s="3571">
        <f>+'10.Review Research &amp; Surveillen'!A8</f>
        <v>10.1</v>
      </c>
      <c r="B37" s="1322" t="str">
        <f>'NUHM Summary'!A196</f>
        <v>U.10.1</v>
      </c>
      <c r="C37" s="3572" t="str">
        <f>+'10.Review Research &amp; Surveillen'!C8</f>
        <v>Reviews</v>
      </c>
      <c r="D37" s="2363"/>
      <c r="E37" s="2363"/>
      <c r="F37" s="2363"/>
      <c r="G37" s="2363"/>
      <c r="H37" s="2363"/>
      <c r="I37" s="2363"/>
      <c r="J37" s="3575">
        <f>'10.Review Research &amp; Surveillen'!O8</f>
        <v>111.81</v>
      </c>
      <c r="K37" s="3576">
        <f>'NUHM Summary'!I196</f>
        <v>0</v>
      </c>
      <c r="L37" s="3575">
        <f>+'10.Review Research &amp; Surveillen'!R8</f>
        <v>0</v>
      </c>
      <c r="M37" s="3576">
        <f>'NUHM Summary'!J196</f>
        <v>0</v>
      </c>
    </row>
    <row r="38" spans="1:13" ht="21.95" customHeight="1">
      <c r="A38" s="3571">
        <f>+'10.Review Research &amp; Surveillen'!A12</f>
        <v>10.199999999999999</v>
      </c>
      <c r="B38" s="1322" t="str">
        <f>'NUHM Summary'!A199</f>
        <v>U.10.2</v>
      </c>
      <c r="C38" s="3572" t="str">
        <f>+'10.Review Research &amp; Surveillen'!C12</f>
        <v>Research &amp; Surveys</v>
      </c>
      <c r="D38" s="2363"/>
      <c r="E38" s="2363"/>
      <c r="F38" s="2363"/>
      <c r="G38" s="2363"/>
      <c r="H38" s="2363"/>
      <c r="I38" s="2363"/>
      <c r="J38" s="3575">
        <f>'10.Review Research &amp; Surveillen'!O12</f>
        <v>66.3</v>
      </c>
      <c r="K38" s="3576">
        <f>'NUHM Summary'!I199</f>
        <v>0</v>
      </c>
      <c r="L38" s="3575">
        <f>+'10.Review Research &amp; Surveillen'!R12</f>
        <v>0</v>
      </c>
      <c r="M38" s="3576">
        <f>'NUHM Summary'!J199</f>
        <v>0</v>
      </c>
    </row>
    <row r="39" spans="1:13" ht="21.95" customHeight="1">
      <c r="A39" s="3571">
        <f>+'10.Review Research &amp; Surveillen'!A34</f>
        <v>10.3</v>
      </c>
      <c r="B39" s="1322" t="str">
        <f>'NUHM Summary'!A202</f>
        <v>U.10.3</v>
      </c>
      <c r="C39" s="3572" t="str">
        <f>+'10.Review Research &amp; Surveillen'!C34</f>
        <v>Surveillance</v>
      </c>
      <c r="D39" s="2363"/>
      <c r="E39" s="2363"/>
      <c r="F39" s="2363"/>
      <c r="G39" s="2363"/>
      <c r="H39" s="2363"/>
      <c r="I39" s="2363"/>
      <c r="J39" s="3575">
        <f>'10.Review Research &amp; Surveillen'!O34</f>
        <v>252.035999753</v>
      </c>
      <c r="K39" s="3576">
        <f>'NUHM Summary'!I202</f>
        <v>0</v>
      </c>
      <c r="L39" s="3575">
        <f>+'10.Review Research &amp; Surveillen'!R34</f>
        <v>0</v>
      </c>
      <c r="M39" s="3576">
        <f>'NUHM Summary'!J202</f>
        <v>0</v>
      </c>
    </row>
    <row r="40" spans="1:13" ht="21.95" customHeight="1">
      <c r="A40" s="3571">
        <f>+'10.Review Research &amp; Surveillen'!A47</f>
        <v>10.4</v>
      </c>
      <c r="B40" s="1322" t="str">
        <f>'NUHM Summary'!A203</f>
        <v>U.10.4</v>
      </c>
      <c r="C40" s="3572" t="str">
        <f>+'10.Review Research &amp; Surveillen'!C47</f>
        <v xml:space="preserve">Other Recurring cost </v>
      </c>
      <c r="D40" s="2363"/>
      <c r="E40" s="2363"/>
      <c r="F40" s="2363"/>
      <c r="G40" s="2363"/>
      <c r="H40" s="2363"/>
      <c r="I40" s="2363"/>
      <c r="J40" s="3575">
        <f>'10.Review Research &amp; Surveillen'!O47</f>
        <v>47.858199999999997</v>
      </c>
      <c r="K40" s="3576">
        <f>'NUHM Summary'!I203</f>
        <v>0</v>
      </c>
      <c r="L40" s="3575">
        <f>+'10.Review Research &amp; Surveillen'!R47</f>
        <v>0</v>
      </c>
      <c r="M40" s="3576">
        <f>'NUHM Summary'!J203</f>
        <v>0</v>
      </c>
    </row>
    <row r="41" spans="1:13" ht="21.95" customHeight="1">
      <c r="A41" s="3571">
        <f>'10.Review Research &amp; Surveillen'!A55</f>
        <v>10.5</v>
      </c>
      <c r="B41" s="1322"/>
      <c r="C41" s="3592" t="str">
        <f>'10.Review Research &amp; Surveillen'!C55</f>
        <v>Sub-national Disease Free Certification</v>
      </c>
      <c r="D41" s="2363"/>
      <c r="E41" s="2363"/>
      <c r="F41" s="2363"/>
      <c r="G41" s="2363"/>
      <c r="H41" s="2363"/>
      <c r="I41" s="2363"/>
      <c r="J41" s="3575">
        <f>'10.Review Research &amp; Surveillen'!O55</f>
        <v>149.99995999999999</v>
      </c>
      <c r="K41" s="3575">
        <v>0</v>
      </c>
      <c r="L41" s="3575">
        <f>'10.Review Research &amp; Surveillen'!R55</f>
        <v>0</v>
      </c>
      <c r="M41" s="3576">
        <v>0</v>
      </c>
    </row>
    <row r="42" spans="1:13" ht="21.95" customHeight="1">
      <c r="A42" s="3580">
        <f>'11.IEC-BCC Annex'!A7</f>
        <v>11</v>
      </c>
      <c r="B42" s="3577" t="str">
        <f>'NUHM Summary'!A204</f>
        <v>U.11</v>
      </c>
      <c r="C42" s="3585" t="str">
        <f>'11.IEC-BCC Annex'!C7</f>
        <v>IEC/BCC</v>
      </c>
      <c r="D42" s="3586"/>
      <c r="E42" s="3586"/>
      <c r="F42" s="3586"/>
      <c r="G42" s="3586"/>
      <c r="H42" s="3586"/>
      <c r="I42" s="3586"/>
      <c r="J42" s="3570">
        <f>'11.IEC-BCC Annex'!O7</f>
        <v>2594.622751478908</v>
      </c>
      <c r="K42" s="3570">
        <f>'NUHM Summary'!I204</f>
        <v>38.5</v>
      </c>
      <c r="L42" s="3570">
        <f>'11.IEC-BCC Annex'!R7</f>
        <v>0</v>
      </c>
      <c r="M42" s="3570">
        <f>'NUHM Summary'!J204</f>
        <v>0</v>
      </c>
    </row>
    <row r="43" spans="1:13" ht="21.95" customHeight="1">
      <c r="A43" s="3580">
        <f>'12.Printing Annex'!A7</f>
        <v>12</v>
      </c>
      <c r="B43" s="3577" t="str">
        <f>'NUHM Summary'!A207</f>
        <v>U.12</v>
      </c>
      <c r="C43" s="3585" t="str">
        <f>'12.Printing Annex'!C7</f>
        <v>Printing</v>
      </c>
      <c r="D43" s="3586"/>
      <c r="E43" s="3586"/>
      <c r="F43" s="3586"/>
      <c r="G43" s="3586"/>
      <c r="H43" s="3586"/>
      <c r="I43" s="3586"/>
      <c r="J43" s="3569">
        <f>'12.Printing Annex'!O7</f>
        <v>3705.2656358850368</v>
      </c>
      <c r="K43" s="3570">
        <f>'NUHM Summary'!I207</f>
        <v>53.5</v>
      </c>
      <c r="L43" s="3569">
        <f>'12.Printing Annex'!R7</f>
        <v>0</v>
      </c>
      <c r="M43" s="3570">
        <f>'NUHM Summary'!J207</f>
        <v>0</v>
      </c>
    </row>
    <row r="44" spans="1:13" ht="21.95" customHeight="1">
      <c r="A44" s="3580">
        <f>+'13.Quality Assurance Annex'!A7</f>
        <v>13</v>
      </c>
      <c r="B44" s="3577" t="str">
        <f>'NUHM Summary'!A210</f>
        <v>U.13</v>
      </c>
      <c r="C44" s="3593" t="str">
        <f>+'13.Quality Assurance Annex'!C7</f>
        <v>Quality Assurance</v>
      </c>
      <c r="D44" s="3586"/>
      <c r="E44" s="3586"/>
      <c r="F44" s="3586"/>
      <c r="G44" s="3586"/>
      <c r="H44" s="3586"/>
      <c r="I44" s="3586"/>
      <c r="J44" s="3570">
        <f>'13.Quality Assurance Annex'!O7</f>
        <v>2241.01566</v>
      </c>
      <c r="K44" s="3569">
        <f>'NUHM Summary'!I210</f>
        <v>38.679994600000001</v>
      </c>
      <c r="L44" s="3570">
        <f>+'13.Quality Assurance Annex'!R7</f>
        <v>0</v>
      </c>
      <c r="M44" s="3569">
        <f>'NUHM Summary'!J210</f>
        <v>0</v>
      </c>
    </row>
    <row r="45" spans="1:13" ht="21.95" customHeight="1">
      <c r="A45" s="3571">
        <f>+'13.Quality Assurance Annex'!A8</f>
        <v>13.1</v>
      </c>
      <c r="B45" s="1322" t="str">
        <f>'NUHM Summary'!A211</f>
        <v>U.13.1</v>
      </c>
      <c r="C45" s="3572" t="str">
        <f>+'13.Quality Assurance Annex'!C8</f>
        <v>Quality Assurance</v>
      </c>
      <c r="D45" s="2363"/>
      <c r="E45" s="2363"/>
      <c r="F45" s="2363"/>
      <c r="G45" s="2363"/>
      <c r="H45" s="2363"/>
      <c r="I45" s="2363"/>
      <c r="J45" s="3575">
        <f>'13.Quality Assurance Annex'!O8</f>
        <v>233.5575</v>
      </c>
      <c r="K45" s="3576">
        <f>'NUHM Summary'!I211</f>
        <v>8.1299969999999995</v>
      </c>
      <c r="L45" s="3575">
        <f>+'13.Quality Assurance Annex'!R8</f>
        <v>0</v>
      </c>
      <c r="M45" s="3576">
        <f>'NUHM Summary'!J211</f>
        <v>0</v>
      </c>
    </row>
    <row r="46" spans="1:13" ht="21.95" customHeight="1">
      <c r="A46" s="3571">
        <f>+'13.Quality Assurance Annex'!A21</f>
        <v>13.2</v>
      </c>
      <c r="B46" s="1322" t="str">
        <f>'NUHM Summary'!A216</f>
        <v>U.13.2</v>
      </c>
      <c r="C46" s="3572" t="str">
        <f>+'13.Quality Assurance Annex'!C21</f>
        <v>Kayakalp</v>
      </c>
      <c r="D46" s="2363"/>
      <c r="E46" s="2363"/>
      <c r="F46" s="2363"/>
      <c r="G46" s="2363"/>
      <c r="H46" s="2363"/>
      <c r="I46" s="2363"/>
      <c r="J46" s="3575">
        <f>'13.Quality Assurance Annex'!O21</f>
        <v>1233.81</v>
      </c>
      <c r="K46" s="3576">
        <f>'NUHM Summary'!I216</f>
        <v>30.549997600000005</v>
      </c>
      <c r="L46" s="3575">
        <f>+'13.Quality Assurance Annex'!R21</f>
        <v>0</v>
      </c>
      <c r="M46" s="3576">
        <f>'NUHM Summary'!J216</f>
        <v>0</v>
      </c>
    </row>
    <row r="47" spans="1:13" ht="21.95" customHeight="1">
      <c r="A47" s="3571">
        <f>+'13.Quality Assurance Annex'!A32</f>
        <v>13.3</v>
      </c>
      <c r="B47" s="1322" t="str">
        <f>'NUHM Summary'!A222</f>
        <v>U.13.3</v>
      </c>
      <c r="C47" s="3572" t="str">
        <f>+'13.Quality Assurance Annex'!C32</f>
        <v>Any other activity (please specify)</v>
      </c>
      <c r="D47" s="2363"/>
      <c r="E47" s="2363"/>
      <c r="F47" s="2363"/>
      <c r="G47" s="2363"/>
      <c r="H47" s="2363"/>
      <c r="I47" s="2363"/>
      <c r="J47" s="3575">
        <f>'13.Quality Assurance Annex'!O32</f>
        <v>773.64816000000008</v>
      </c>
      <c r="K47" s="3576">
        <f>'NUHM Summary'!I222</f>
        <v>0</v>
      </c>
      <c r="L47" s="3575">
        <f>+'13.Quality Assurance Annex'!R32</f>
        <v>0</v>
      </c>
      <c r="M47" s="3576">
        <f>'NUHM Summary'!J222</f>
        <v>0</v>
      </c>
    </row>
    <row r="48" spans="1:13" ht="21.95" customHeight="1">
      <c r="A48" s="3580">
        <f>+'14.Drug warehouse &amp;Logistic Anx'!A7</f>
        <v>14</v>
      </c>
      <c r="B48" s="3577" t="str">
        <f>'NUHM Summary'!A223</f>
        <v>U.14</v>
      </c>
      <c r="C48" s="3568" t="str">
        <f>+'14.Drug warehouse &amp;Logistic Anx'!C7</f>
        <v>Drug Warehousing and Logistics</v>
      </c>
      <c r="D48" s="3586"/>
      <c r="E48" s="3586"/>
      <c r="F48" s="3586"/>
      <c r="G48" s="3586"/>
      <c r="H48" s="3586"/>
      <c r="I48" s="3586"/>
      <c r="J48" s="3570">
        <f>'14.Drug warehouse &amp;Logistic Anx'!O7</f>
        <v>4862.9865710200002</v>
      </c>
      <c r="K48" s="3569">
        <f>'NUHM Summary'!I223</f>
        <v>6.6</v>
      </c>
      <c r="L48" s="3570">
        <f>+'14.Drug warehouse &amp;Logistic Anx'!R7</f>
        <v>0</v>
      </c>
      <c r="M48" s="3569">
        <f>'NUHM Summary'!J223</f>
        <v>0</v>
      </c>
    </row>
    <row r="49" spans="1:13" ht="21.95" customHeight="1">
      <c r="A49" s="3582">
        <f>+'14.Drug warehouse &amp;Logistic Anx'!A8</f>
        <v>14.1</v>
      </c>
      <c r="B49" s="1322" t="str">
        <f>'NUHM Summary'!A224</f>
        <v>U.14.1</v>
      </c>
      <c r="C49" s="3594" t="str">
        <f>+'14.Drug warehouse &amp;Logistic Anx'!C8</f>
        <v xml:space="preserve">Drug Ware Housing </v>
      </c>
      <c r="D49" s="2363"/>
      <c r="E49" s="2363"/>
      <c r="F49" s="2363"/>
      <c r="G49" s="2363"/>
      <c r="H49" s="2363"/>
      <c r="I49" s="2363"/>
      <c r="J49" s="3575">
        <f>'14.Drug warehouse &amp;Logistic Anx'!O8</f>
        <v>0</v>
      </c>
      <c r="K49" s="3584">
        <f>'NUHM Summary'!I224</f>
        <v>0</v>
      </c>
      <c r="L49" s="3575">
        <f>+'14.Drug warehouse &amp;Logistic Anx'!R8</f>
        <v>0</v>
      </c>
      <c r="M49" s="3584">
        <f>'NUHM Summary'!J224</f>
        <v>0</v>
      </c>
    </row>
    <row r="50" spans="1:13" ht="21.95" customHeight="1">
      <c r="A50" s="3582">
        <f>+'14.Drug warehouse &amp;Logistic Anx'!A16</f>
        <v>14.2</v>
      </c>
      <c r="B50" s="1322" t="str">
        <f>'NUHM Summary'!A225</f>
        <v>U.14.2</v>
      </c>
      <c r="C50" s="3594" t="str">
        <f>+'14.Drug warehouse &amp;Logistic Anx'!C16</f>
        <v>Logistics and supply chain</v>
      </c>
      <c r="D50" s="2363"/>
      <c r="E50" s="2363"/>
      <c r="F50" s="2363"/>
      <c r="G50" s="2363"/>
      <c r="H50" s="2363"/>
      <c r="I50" s="2363"/>
      <c r="J50" s="3575">
        <f>'14.Drug warehouse &amp;Logistic Anx'!O16</f>
        <v>4862.9865710200002</v>
      </c>
      <c r="K50" s="3584">
        <f>'NUHM Summary'!I225</f>
        <v>6.6</v>
      </c>
      <c r="L50" s="3575">
        <f>+'14.Drug warehouse &amp;Logistic Anx'!R16</f>
        <v>0</v>
      </c>
      <c r="M50" s="3584">
        <f>'NUHM Summary'!J225</f>
        <v>0</v>
      </c>
    </row>
    <row r="51" spans="1:13" ht="21.95" customHeight="1">
      <c r="A51" s="3580">
        <f>'15.PPP Annex'!A7</f>
        <v>15</v>
      </c>
      <c r="B51" s="3577" t="str">
        <f>'NUHM Summary'!A227</f>
        <v>U.15</v>
      </c>
      <c r="C51" s="3568" t="str">
        <f>'15.PPP Annex'!C7</f>
        <v>PPP</v>
      </c>
      <c r="D51" s="3586"/>
      <c r="E51" s="3586"/>
      <c r="F51" s="3586"/>
      <c r="G51" s="3586"/>
      <c r="H51" s="3586"/>
      <c r="I51" s="3586"/>
      <c r="J51" s="3570">
        <f>'15.PPP Annex'!O7</f>
        <v>9461.0301780000009</v>
      </c>
      <c r="K51" s="3569">
        <f>'NUHM Summary'!I227</f>
        <v>0</v>
      </c>
      <c r="L51" s="3570">
        <f>'15.PPP Annex'!R7</f>
        <v>0</v>
      </c>
      <c r="M51" s="3569">
        <f>'NUHM Summary'!J227</f>
        <v>0</v>
      </c>
    </row>
    <row r="52" spans="1:13" ht="21.95" customHeight="1">
      <c r="A52" s="3580">
        <f>'16.PM Annex'!A7</f>
        <v>16</v>
      </c>
      <c r="B52" s="3577" t="str">
        <f>'NUHM Summary'!A230</f>
        <v>U.16</v>
      </c>
      <c r="C52" s="3568" t="str">
        <f>'16.PM Annex'!C7</f>
        <v>Programme Management</v>
      </c>
      <c r="D52" s="3586"/>
      <c r="E52" s="3586"/>
      <c r="F52" s="3586"/>
      <c r="G52" s="3586"/>
      <c r="H52" s="3586"/>
      <c r="I52" s="3586"/>
      <c r="J52" s="3570">
        <f>'16.PM Annex'!N7</f>
        <v>33912.039045590005</v>
      </c>
      <c r="K52" s="3569">
        <f>'NUHM Summary'!I230</f>
        <v>389.140376</v>
      </c>
      <c r="L52" s="3570">
        <f>'16.PM Annex'!Q7</f>
        <v>0</v>
      </c>
      <c r="M52" s="3569">
        <f>'NUHM Summary'!J230</f>
        <v>0</v>
      </c>
    </row>
    <row r="53" spans="1:13" ht="21.95" customHeight="1">
      <c r="A53" s="3582">
        <f>'16.PM Annex'!A8</f>
        <v>16.100000000000001</v>
      </c>
      <c r="B53" s="1322" t="str">
        <f>'NUHM Summary'!A231</f>
        <v>U.16.1</v>
      </c>
      <c r="C53" s="3583" t="str">
        <f>'16.PM Annex'!C8</f>
        <v>Programme Management Activities (as per PM sub annex)</v>
      </c>
      <c r="D53" s="2363"/>
      <c r="E53" s="2363"/>
      <c r="F53" s="2363"/>
      <c r="G53" s="2363"/>
      <c r="H53" s="2363"/>
      <c r="I53" s="2363"/>
      <c r="J53" s="3595">
        <f>'16.PM Annex'!N8</f>
        <v>7128.2703155899999</v>
      </c>
      <c r="K53" s="3584">
        <f>'NUHM Summary'!I231</f>
        <v>132.92989</v>
      </c>
      <c r="L53" s="3595">
        <f>'16.PM Annex'!Q8</f>
        <v>0</v>
      </c>
      <c r="M53" s="3584">
        <f>'NUHM Summary'!J231</f>
        <v>0</v>
      </c>
    </row>
    <row r="54" spans="1:13" ht="21.95" customHeight="1">
      <c r="A54" s="3582">
        <f>'16.PM Annex'!A13</f>
        <v>16.2</v>
      </c>
      <c r="B54" s="1322" t="str">
        <f>'NUHM Summary'!A255</f>
        <v>U.16.2</v>
      </c>
      <c r="C54" s="3583" t="str">
        <f>'16.PM Annex'!C13</f>
        <v>PC&amp;PNDT Activities</v>
      </c>
      <c r="D54" s="2363"/>
      <c r="E54" s="2363"/>
      <c r="F54" s="2363"/>
      <c r="G54" s="2363"/>
      <c r="H54" s="2363"/>
      <c r="I54" s="2363"/>
      <c r="J54" s="3595">
        <f>'16.PM Annex'!N13</f>
        <v>877.4</v>
      </c>
      <c r="K54" s="3584">
        <f>'NUHM Summary'!I255</f>
        <v>0</v>
      </c>
      <c r="L54" s="3595">
        <f>'16.PM Annex'!Q13</f>
        <v>0</v>
      </c>
      <c r="M54" s="3584">
        <f>'NUHM Summary'!J255</f>
        <v>0</v>
      </c>
    </row>
    <row r="55" spans="1:13" ht="21.95" customHeight="1">
      <c r="A55" s="3582">
        <f>'16.PM Annex'!A17</f>
        <v>16.3</v>
      </c>
      <c r="B55" s="1322" t="str">
        <f>'NUHM Summary'!A256</f>
        <v>U.16.3</v>
      </c>
      <c r="C55" s="3583" t="str">
        <f>'16.PM Annex'!C17</f>
        <v>HMIS &amp; MCTS</v>
      </c>
      <c r="D55" s="2363"/>
      <c r="E55" s="2363"/>
      <c r="F55" s="2363"/>
      <c r="G55" s="2363"/>
      <c r="H55" s="2363"/>
      <c r="I55" s="2363"/>
      <c r="J55" s="3595">
        <f>'16.PM Annex'!N17</f>
        <v>3029.9084000000003</v>
      </c>
      <c r="K55" s="3584">
        <f>'NUHM Summary'!I256</f>
        <v>0</v>
      </c>
      <c r="L55" s="3595">
        <f>'16.PM Annex'!Q17</f>
        <v>0</v>
      </c>
      <c r="M55" s="3584">
        <f>'NUHM Summary'!J256</f>
        <v>0</v>
      </c>
    </row>
    <row r="56" spans="1:13" ht="21.95" customHeight="1">
      <c r="A56" s="3582">
        <f>'16.PM Annex'!A23</f>
        <v>16.399999999999999</v>
      </c>
      <c r="B56" s="1322" t="str">
        <f>'NUHM Summary'!A257</f>
        <v>U.16.4</v>
      </c>
      <c r="C56" s="3583" t="str">
        <f>'16.PM Annex'!C23</f>
        <v>Human Resource</v>
      </c>
      <c r="D56" s="2363"/>
      <c r="E56" s="2363"/>
      <c r="F56" s="2363"/>
      <c r="G56" s="2363"/>
      <c r="H56" s="2363"/>
      <c r="I56" s="2363"/>
      <c r="J56" s="3595">
        <f>'16.PM Annex'!N23</f>
        <v>22876.460330000002</v>
      </c>
      <c r="K56" s="3584">
        <f>'NUHM Summary'!I257</f>
        <v>256.210486</v>
      </c>
      <c r="L56" s="3595">
        <f>'16.PM Annex'!Q23</f>
        <v>0</v>
      </c>
      <c r="M56" s="3584">
        <f>'NUHM Summary'!J257</f>
        <v>0</v>
      </c>
    </row>
    <row r="57" spans="1:13" ht="21.95" customHeight="1">
      <c r="A57" s="3580">
        <f>'17.IT Initiatives_SD'!A7</f>
        <v>17</v>
      </c>
      <c r="B57" s="3577" t="str">
        <f>'NUHM Summary'!A270</f>
        <v>U.17</v>
      </c>
      <c r="C57" s="3585" t="str">
        <f>'17.IT Initiatives_SD'!C7</f>
        <v>IT Initiatives for strengthening Service Delivery</v>
      </c>
      <c r="D57" s="3581"/>
      <c r="E57" s="3581"/>
      <c r="F57" s="3581"/>
      <c r="G57" s="3581"/>
      <c r="H57" s="3581"/>
      <c r="I57" s="3581"/>
      <c r="J57" s="3569">
        <f>'17.IT Initiatives_SD'!O7</f>
        <v>33773.883969999995</v>
      </c>
      <c r="K57" s="3569">
        <f>'NUHM Summary'!I270</f>
        <v>0</v>
      </c>
      <c r="L57" s="3569">
        <f>'17.IT Initiatives_SD'!R7</f>
        <v>0</v>
      </c>
      <c r="M57" s="3569">
        <f>'NUHM Summary'!J270</f>
        <v>0</v>
      </c>
    </row>
    <row r="58" spans="1:13" ht="21.95" customHeight="1">
      <c r="A58" s="3580">
        <f>'18.Innovation'!A7</f>
        <v>18</v>
      </c>
      <c r="B58" s="3577" t="str">
        <f>'NUHM Summary'!A273</f>
        <v>U.18</v>
      </c>
      <c r="C58" s="3585" t="str">
        <f>'18.Innovation'!C7</f>
        <v>Innovations (if any)</v>
      </c>
      <c r="D58" s="3581"/>
      <c r="E58" s="3581"/>
      <c r="F58" s="3581"/>
      <c r="G58" s="3581"/>
      <c r="H58" s="3581"/>
      <c r="I58" s="3581"/>
      <c r="J58" s="3569">
        <f>'18.Innovation'!O7</f>
        <v>4160.0963979999997</v>
      </c>
      <c r="K58" s="3569">
        <f>'NUHM Summary'!I273</f>
        <v>29.8</v>
      </c>
      <c r="L58" s="3569">
        <f>'18.Innovation'!R7</f>
        <v>0</v>
      </c>
      <c r="M58" s="3569">
        <f>'NUHM Summary'!J273</f>
        <v>0</v>
      </c>
    </row>
    <row r="59" spans="1:13" ht="21.95" customHeight="1">
      <c r="A59" s="4271" t="s">
        <v>40</v>
      </c>
      <c r="B59" s="4272"/>
      <c r="C59" s="4271"/>
      <c r="D59" s="3573">
        <f t="shared" ref="D59:M59" si="0">D6+D10+D14+D19+D23+D27+D28+D33+D36+D42+D43+D44+D48+D51+D52+D57+D58+D18</f>
        <v>0</v>
      </c>
      <c r="E59" s="3573">
        <f t="shared" si="0"/>
        <v>0</v>
      </c>
      <c r="F59" s="3573">
        <f t="shared" si="0"/>
        <v>0</v>
      </c>
      <c r="G59" s="3573">
        <f t="shared" si="0"/>
        <v>0</v>
      </c>
      <c r="H59" s="3573">
        <f t="shared" si="0"/>
        <v>0</v>
      </c>
      <c r="I59" s="3573">
        <f t="shared" si="0"/>
        <v>0</v>
      </c>
      <c r="J59" s="3573">
        <f t="shared" si="0"/>
        <v>505088.73765982687</v>
      </c>
      <c r="K59" s="3573">
        <f t="shared" si="0"/>
        <v>5437.4388742000001</v>
      </c>
      <c r="L59" s="3573">
        <f t="shared" si="0"/>
        <v>0</v>
      </c>
      <c r="M59" s="3573">
        <f t="shared" si="0"/>
        <v>0</v>
      </c>
    </row>
    <row r="60" spans="1:13">
      <c r="J60" s="396"/>
      <c r="K60" s="396"/>
    </row>
  </sheetData>
  <sheetProtection sheet="1" formatCells="0" formatColumns="0" formatRows="0" autoFilter="0"/>
  <autoFilter ref="A4:M59"/>
  <mergeCells count="12">
    <mergeCell ref="J4:K4"/>
    <mergeCell ref="L4:M4"/>
    <mergeCell ref="A2:B2"/>
    <mergeCell ref="C3:C4"/>
    <mergeCell ref="A59:C59"/>
    <mergeCell ref="D3:I3"/>
    <mergeCell ref="J3:K3"/>
    <mergeCell ref="A3:B5"/>
    <mergeCell ref="D2:M2"/>
    <mergeCell ref="L3:M3"/>
    <mergeCell ref="D5:F5"/>
    <mergeCell ref="G5:I5"/>
  </mergeCells>
  <printOptions horizontalCentered="1"/>
  <pageMargins left="1.03" right="0.43" top="0.23" bottom="0.16" header="0.17" footer="0.16"/>
  <pageSetup paperSize="5" scale="71" orientation="portrait" r:id="rId1"/>
</worksheet>
</file>

<file path=xl/worksheets/sheet8.xml><?xml version="1.0" encoding="utf-8"?>
<worksheet xmlns="http://schemas.openxmlformats.org/spreadsheetml/2006/main" xmlns:r="http://schemas.openxmlformats.org/officeDocument/2006/relationships">
  <sheetPr codeName="Sheet17">
    <tabColor rgb="FF00B0F0"/>
  </sheetPr>
  <dimension ref="A1:N274"/>
  <sheetViews>
    <sheetView zoomScale="70" zoomScaleNormal="70" workbookViewId="0">
      <pane xSplit="4" ySplit="7" topLeftCell="E68" activePane="bottomRight" state="frozen"/>
      <selection activeCell="Q172" sqref="A1:BE179"/>
      <selection pane="topRight" activeCell="Q172" sqref="A1:BE179"/>
      <selection pane="bottomLeft" activeCell="Q172" sqref="A1:BE179"/>
      <selection pane="bottomRight" activeCell="Q172" sqref="A1:BE179"/>
    </sheetView>
  </sheetViews>
  <sheetFormatPr defaultColWidth="8.7109375" defaultRowHeight="15"/>
  <cols>
    <col min="1" max="1" width="12.42578125" style="398" customWidth="1"/>
    <col min="2" max="2" width="20.42578125" style="398" customWidth="1"/>
    <col min="3" max="3" width="51.85546875" style="398" customWidth="1"/>
    <col min="4" max="4" width="14.140625" style="398" bestFit="1" customWidth="1"/>
    <col min="5" max="5" width="16.140625" style="398" customWidth="1"/>
    <col min="6" max="6" width="13.42578125" style="398" bestFit="1" customWidth="1"/>
    <col min="7" max="7" width="16.140625" style="398" customWidth="1"/>
    <col min="8" max="8" width="18" style="398" customWidth="1"/>
    <col min="9" max="9" width="18.5703125" style="452" customWidth="1"/>
    <col min="10" max="10" width="17.42578125" style="453" customWidth="1"/>
    <col min="11" max="16384" width="8.7109375" style="398"/>
  </cols>
  <sheetData>
    <row r="1" spans="1:14" ht="12.95" customHeight="1">
      <c r="A1" s="4280" t="s">
        <v>3121</v>
      </c>
      <c r="B1" s="4280"/>
      <c r="C1" s="4280"/>
      <c r="D1" s="4280"/>
      <c r="E1" s="4280"/>
      <c r="F1" s="4280"/>
      <c r="G1" s="4280"/>
      <c r="H1" s="4280"/>
      <c r="I1" s="4280"/>
      <c r="J1" s="4280"/>
    </row>
    <row r="2" spans="1:14" s="400" customFormat="1">
      <c r="A2" s="4281" t="str">
        <f>HYPERLINK("#Index!A4", "Index Pg")</f>
        <v>Index Pg</v>
      </c>
      <c r="B2" s="399"/>
      <c r="D2" s="401"/>
      <c r="E2" s="402" t="s">
        <v>5349</v>
      </c>
      <c r="F2" s="402" t="s">
        <v>5350</v>
      </c>
      <c r="G2" s="402" t="s">
        <v>5351</v>
      </c>
      <c r="H2" s="402" t="s">
        <v>5352</v>
      </c>
      <c r="I2" s="402" t="s">
        <v>5353</v>
      </c>
      <c r="J2" s="402" t="s">
        <v>5354</v>
      </c>
      <c r="K2" s="402" t="s">
        <v>5355</v>
      </c>
      <c r="L2" s="402" t="s">
        <v>5356</v>
      </c>
      <c r="M2" s="402" t="s">
        <v>5357</v>
      </c>
      <c r="N2" s="402" t="s">
        <v>5358</v>
      </c>
    </row>
    <row r="3" spans="1:14" s="400" customFormat="1">
      <c r="A3" s="4282"/>
      <c r="B3" s="403" t="str">
        <f>HYPERLINK("#'Budget Summary I'!A1:AL1", "Budget Summary I")</f>
        <v>Budget Summary I</v>
      </c>
      <c r="C3" s="404" t="s">
        <v>4599</v>
      </c>
      <c r="D3" s="405">
        <f>J7</f>
        <v>0</v>
      </c>
      <c r="E3" s="406">
        <f>'NUHM-Non Metro Abst'!E3+'NUHM Metro Abst'!E3</f>
        <v>0</v>
      </c>
      <c r="F3" s="406">
        <f>'NUHM-Non Metro Abst'!F3+'NUHM Metro Abst'!F3</f>
        <v>0</v>
      </c>
      <c r="G3" s="406">
        <f>'NUHM-Non Metro Abst'!G3+'NUHM Metro Abst'!G3</f>
        <v>0</v>
      </c>
      <c r="H3" s="406">
        <f>'NUHM-Non Metro Abst'!H3+'NUHM Metro Abst'!H3</f>
        <v>0</v>
      </c>
      <c r="I3" s="406">
        <f>'NUHM-Non Metro Abst'!I3+'NUHM Metro Abst'!I3</f>
        <v>0</v>
      </c>
      <c r="J3" s="406">
        <f>'NUHM-Non Metro Abst'!J3+'NUHM Metro Abst'!J3</f>
        <v>0</v>
      </c>
      <c r="K3" s="406">
        <f>'NUHM-Non Metro Abst'!K3+'NUHM Metro Abst'!K3</f>
        <v>0</v>
      </c>
      <c r="L3" s="406">
        <f>'NUHM-Non Metro Abst'!L3+'NUHM Metro Abst'!L3</f>
        <v>0</v>
      </c>
      <c r="M3" s="406">
        <f>'NUHM-Non Metro Abst'!M3+'NUHM Metro Abst'!M3</f>
        <v>0</v>
      </c>
      <c r="N3" s="406">
        <f>'NUHM-Non Metro Abst'!N3+'NUHM Metro Abst'!N3</f>
        <v>0</v>
      </c>
    </row>
    <row r="4" spans="1:14" s="400" customFormat="1">
      <c r="A4" s="4283"/>
      <c r="B4" s="403" t="str">
        <f>HYPERLINK("#'Budget Summary II'!A3:B5", "Budget Summary II")</f>
        <v>Budget Summary II</v>
      </c>
      <c r="C4" s="404" t="s">
        <v>4600</v>
      </c>
      <c r="D4" s="405">
        <f>I7</f>
        <v>5437.438874200001</v>
      </c>
      <c r="E4" s="406">
        <f>'NUHM-Non Metro Abst'!E4+'NUHM Metro Abst'!E4</f>
        <v>13.200000000000001</v>
      </c>
      <c r="F4" s="406">
        <f>'NUHM-Non Metro Abst'!F4+'NUHM Metro Abst'!F4</f>
        <v>10</v>
      </c>
      <c r="G4" s="406">
        <f>'NUHM-Non Metro Abst'!G4+'NUHM Metro Abst'!G4</f>
        <v>544.00967000000003</v>
      </c>
      <c r="H4" s="406">
        <f>'NUHM-Non Metro Abst'!H4+'NUHM Metro Abst'!H4</f>
        <v>30</v>
      </c>
      <c r="I4" s="406">
        <f>'NUHM-Non Metro Abst'!I4+'NUHM Metro Abst'!I4</f>
        <v>23.375</v>
      </c>
      <c r="J4" s="406">
        <f>'NUHM-Non Metro Abst'!J4+'NUHM Metro Abst'!J4</f>
        <v>27.5</v>
      </c>
      <c r="K4" s="406">
        <f>'NUHM-Non Metro Abst'!K4+'NUHM Metro Abst'!K4</f>
        <v>27.5</v>
      </c>
      <c r="L4" s="406">
        <f>'NUHM-Non Metro Abst'!L4+'NUHM Metro Abst'!L4</f>
        <v>0</v>
      </c>
      <c r="M4" s="406">
        <f>'NUHM-Non Metro Abst'!M4+'NUHM Metro Abst'!M4</f>
        <v>10</v>
      </c>
      <c r="N4" s="406">
        <f>'NUHM-Non Metro Abst'!N4+'NUHM Metro Abst'!N4</f>
        <v>0</v>
      </c>
    </row>
    <row r="5" spans="1:14" s="408" customFormat="1" ht="12.75" customHeight="1">
      <c r="A5" s="4284" t="s">
        <v>53</v>
      </c>
      <c r="B5" s="4284" t="s">
        <v>54</v>
      </c>
      <c r="C5" s="4284" t="s">
        <v>55</v>
      </c>
      <c r="D5" s="4284" t="s">
        <v>4663</v>
      </c>
      <c r="E5" s="4286" t="str">
        <f>HYPERLINK("#'NUHM-Non Metro Abst'!A5:A6", "For Non Metro cities")</f>
        <v>For Non Metro cities</v>
      </c>
      <c r="F5" s="4287"/>
      <c r="G5" s="4286" t="str">
        <f>HYPERLINK("#'NUHM Metro Abst'!A5:A6", "For Metro cities")</f>
        <v>For Metro cities</v>
      </c>
      <c r="H5" s="4287"/>
      <c r="I5" s="4288" t="s">
        <v>3292</v>
      </c>
      <c r="J5" s="4288" t="s">
        <v>3293</v>
      </c>
      <c r="K5" s="407"/>
      <c r="L5" s="407"/>
    </row>
    <row r="6" spans="1:14" s="407" customFormat="1" ht="51">
      <c r="A6" s="4285"/>
      <c r="B6" s="4285"/>
      <c r="C6" s="4285"/>
      <c r="D6" s="4285"/>
      <c r="E6" s="409" t="s">
        <v>3294</v>
      </c>
      <c r="F6" s="409" t="s">
        <v>3293</v>
      </c>
      <c r="G6" s="409" t="s">
        <v>3294</v>
      </c>
      <c r="H6" s="409" t="s">
        <v>3293</v>
      </c>
      <c r="I6" s="4289"/>
      <c r="J6" s="4289"/>
    </row>
    <row r="7" spans="1:14" s="411" customFormat="1">
      <c r="A7" s="141"/>
      <c r="B7" s="141"/>
      <c r="C7" s="141" t="s">
        <v>4709</v>
      </c>
      <c r="D7" s="141"/>
      <c r="E7" s="410">
        <f>'NUHM-Non Metro Abst'!N7</f>
        <v>5437.438874200001</v>
      </c>
      <c r="F7" s="410">
        <f>'NUHM-Non Metro Abst'!Q7</f>
        <v>0</v>
      </c>
      <c r="G7" s="410">
        <f>'NUHM Metro Abst'!N7</f>
        <v>0</v>
      </c>
      <c r="H7" s="410">
        <f>'NUHM Metro Abst'!Q7</f>
        <v>0</v>
      </c>
      <c r="I7" s="148">
        <f>E7+G7</f>
        <v>5437.438874200001</v>
      </c>
      <c r="J7" s="410">
        <f>F7+H7</f>
        <v>0</v>
      </c>
    </row>
    <row r="8" spans="1:14">
      <c r="A8" s="141" t="s">
        <v>3122</v>
      </c>
      <c r="B8" s="141"/>
      <c r="C8" s="141" t="s">
        <v>4</v>
      </c>
      <c r="D8" s="141"/>
      <c r="E8" s="410">
        <f>'NUHM-Non Metro Abst'!N8</f>
        <v>315.44</v>
      </c>
      <c r="F8" s="410">
        <f>'NUHM-Non Metro Abst'!Q8</f>
        <v>0</v>
      </c>
      <c r="G8" s="410">
        <f>'NUHM Metro Abst'!N8</f>
        <v>0</v>
      </c>
      <c r="H8" s="410">
        <f>'NUHM Metro Abst'!Q8</f>
        <v>0</v>
      </c>
      <c r="I8" s="148">
        <f t="shared" ref="I8:I77" si="0">E8+G8</f>
        <v>315.44</v>
      </c>
      <c r="J8" s="410">
        <f t="shared" ref="J8:J77" si="1">F8+H8</f>
        <v>0</v>
      </c>
    </row>
    <row r="9" spans="1:14">
      <c r="A9" s="412" t="s">
        <v>3123</v>
      </c>
      <c r="B9" s="412"/>
      <c r="C9" s="412" t="s">
        <v>5</v>
      </c>
      <c r="D9" s="412"/>
      <c r="E9" s="413">
        <f>'NUHM-Non Metro Abst'!N9</f>
        <v>67.5</v>
      </c>
      <c r="F9" s="413">
        <f>'NUHM-Non Metro Abst'!Q9</f>
        <v>0</v>
      </c>
      <c r="G9" s="413">
        <f>'NUHM Metro Abst'!N9</f>
        <v>0</v>
      </c>
      <c r="H9" s="413">
        <f>'NUHM Metro Abst'!Q9</f>
        <v>0</v>
      </c>
      <c r="I9" s="149">
        <f t="shared" si="0"/>
        <v>67.5</v>
      </c>
      <c r="J9" s="413">
        <f t="shared" si="1"/>
        <v>0</v>
      </c>
    </row>
    <row r="10" spans="1:14">
      <c r="A10" s="1250" t="s">
        <v>3124</v>
      </c>
      <c r="B10" s="414" t="s">
        <v>2937</v>
      </c>
      <c r="C10" s="414" t="s">
        <v>2938</v>
      </c>
      <c r="D10" s="414"/>
      <c r="E10" s="328">
        <f>'NUHM-Non Metro Abst'!N10</f>
        <v>50</v>
      </c>
      <c r="F10" s="328">
        <f>'NUHM-Non Metro Abst'!Q10</f>
        <v>0</v>
      </c>
      <c r="G10" s="328">
        <f>'NUHM Metro Abst'!N10</f>
        <v>0</v>
      </c>
      <c r="H10" s="328">
        <f>'NUHM Metro Abst'!Q10</f>
        <v>0</v>
      </c>
      <c r="I10" s="201">
        <f t="shared" si="0"/>
        <v>50</v>
      </c>
      <c r="J10" s="328">
        <f t="shared" si="1"/>
        <v>0</v>
      </c>
    </row>
    <row r="11" spans="1:14">
      <c r="A11" s="1250" t="s">
        <v>4805</v>
      </c>
      <c r="B11" s="414"/>
      <c r="C11" s="415" t="s">
        <v>5572</v>
      </c>
      <c r="D11" s="414" t="s">
        <v>293</v>
      </c>
      <c r="E11" s="328">
        <f>'NUHM-Non Metro Abst'!N11</f>
        <v>0</v>
      </c>
      <c r="F11" s="328">
        <f>'NUHM-Non Metro Abst'!Q11</f>
        <v>0</v>
      </c>
      <c r="G11" s="328">
        <f>'NUHM Metro Abst'!N11</f>
        <v>0</v>
      </c>
      <c r="H11" s="328">
        <f>'NUHM Metro Abst'!Q11</f>
        <v>0</v>
      </c>
      <c r="I11" s="201">
        <f t="shared" ref="I11:I29" si="2">E11+G11</f>
        <v>0</v>
      </c>
      <c r="J11" s="328">
        <f t="shared" ref="J11:J29" si="3">F11+H11</f>
        <v>0</v>
      </c>
    </row>
    <row r="12" spans="1:14">
      <c r="A12" s="1250" t="s">
        <v>4806</v>
      </c>
      <c r="B12" s="414"/>
      <c r="C12" s="415" t="s">
        <v>5278</v>
      </c>
      <c r="D12" s="414" t="s">
        <v>114</v>
      </c>
      <c r="E12" s="328">
        <f>'NUHM-Non Metro Abst'!N12</f>
        <v>0</v>
      </c>
      <c r="F12" s="328">
        <f>'NUHM-Non Metro Abst'!Q12</f>
        <v>0</v>
      </c>
      <c r="G12" s="328">
        <f>'NUHM Metro Abst'!N12</f>
        <v>0</v>
      </c>
      <c r="H12" s="328">
        <f>'NUHM Metro Abst'!Q12</f>
        <v>0</v>
      </c>
      <c r="I12" s="201">
        <f t="shared" si="2"/>
        <v>0</v>
      </c>
      <c r="J12" s="328">
        <f t="shared" si="3"/>
        <v>0</v>
      </c>
    </row>
    <row r="13" spans="1:14">
      <c r="A13" s="1250" t="s">
        <v>4807</v>
      </c>
      <c r="B13" s="414"/>
      <c r="C13" s="415" t="s">
        <v>5280</v>
      </c>
      <c r="D13" s="414" t="s">
        <v>146</v>
      </c>
      <c r="E13" s="328">
        <f>'NUHM-Non Metro Abst'!N13</f>
        <v>50</v>
      </c>
      <c r="F13" s="328">
        <f>'NUHM-Non Metro Abst'!Q13</f>
        <v>0</v>
      </c>
      <c r="G13" s="328">
        <f>'NUHM Metro Abst'!N13</f>
        <v>0</v>
      </c>
      <c r="H13" s="328">
        <f>'NUHM Metro Abst'!Q13</f>
        <v>0</v>
      </c>
      <c r="I13" s="201">
        <f t="shared" si="2"/>
        <v>50</v>
      </c>
      <c r="J13" s="328">
        <f t="shared" si="3"/>
        <v>0</v>
      </c>
    </row>
    <row r="14" spans="1:14">
      <c r="A14" s="1250" t="s">
        <v>4808</v>
      </c>
      <c r="B14" s="414"/>
      <c r="C14" s="415" t="s">
        <v>5279</v>
      </c>
      <c r="D14" s="414" t="s">
        <v>3986</v>
      </c>
      <c r="E14" s="328">
        <f>'NUHM-Non Metro Abst'!N14</f>
        <v>0</v>
      </c>
      <c r="F14" s="328">
        <f>'NUHM-Non Metro Abst'!Q14</f>
        <v>0</v>
      </c>
      <c r="G14" s="328">
        <f>'NUHM Metro Abst'!N14</f>
        <v>0</v>
      </c>
      <c r="H14" s="328">
        <f>'NUHM Metro Abst'!Q14</f>
        <v>0</v>
      </c>
      <c r="I14" s="201">
        <f t="shared" si="2"/>
        <v>0</v>
      </c>
      <c r="J14" s="328">
        <f t="shared" si="3"/>
        <v>0</v>
      </c>
    </row>
    <row r="15" spans="1:14">
      <c r="A15" s="1250" t="s">
        <v>5584</v>
      </c>
      <c r="B15" s="414"/>
      <c r="C15" s="415" t="s">
        <v>5283</v>
      </c>
      <c r="D15" s="414" t="s">
        <v>3316</v>
      </c>
      <c r="E15" s="328">
        <f>'NUHM-Non Metro Abst'!N15</f>
        <v>0</v>
      </c>
      <c r="F15" s="328">
        <f>'NUHM-Non Metro Abst'!Q15</f>
        <v>0</v>
      </c>
      <c r="G15" s="328">
        <f>'NUHM Metro Abst'!N15</f>
        <v>0</v>
      </c>
      <c r="H15" s="328">
        <f>'NUHM Metro Abst'!Q15</f>
        <v>0</v>
      </c>
      <c r="I15" s="201">
        <f t="shared" si="2"/>
        <v>0</v>
      </c>
      <c r="J15" s="328">
        <f t="shared" si="3"/>
        <v>0</v>
      </c>
    </row>
    <row r="16" spans="1:14">
      <c r="A16" s="1250" t="s">
        <v>5585</v>
      </c>
      <c r="B16" s="414"/>
      <c r="C16" s="415" t="s">
        <v>5281</v>
      </c>
      <c r="D16" s="414" t="s">
        <v>3986</v>
      </c>
      <c r="E16" s="328">
        <f>'NUHM-Non Metro Abst'!N16</f>
        <v>0</v>
      </c>
      <c r="F16" s="328">
        <f>'NUHM-Non Metro Abst'!Q16</f>
        <v>0</v>
      </c>
      <c r="G16" s="328">
        <f>'NUHM Metro Abst'!N16</f>
        <v>0</v>
      </c>
      <c r="H16" s="328">
        <f>'NUHM Metro Abst'!Q16</f>
        <v>0</v>
      </c>
      <c r="I16" s="201">
        <f t="shared" si="2"/>
        <v>0</v>
      </c>
      <c r="J16" s="328">
        <f t="shared" si="3"/>
        <v>0</v>
      </c>
    </row>
    <row r="17" spans="1:10">
      <c r="A17" s="1250" t="s">
        <v>5586</v>
      </c>
      <c r="B17" s="414"/>
      <c r="C17" s="415" t="s">
        <v>5573</v>
      </c>
      <c r="D17" s="414" t="s">
        <v>4544</v>
      </c>
      <c r="E17" s="328">
        <f>'NUHM-Non Metro Abst'!N17</f>
        <v>0</v>
      </c>
      <c r="F17" s="328">
        <f>'NUHM-Non Metro Abst'!Q17</f>
        <v>0</v>
      </c>
      <c r="G17" s="328">
        <f>'NUHM Metro Abst'!N17</f>
        <v>0</v>
      </c>
      <c r="H17" s="328">
        <f>'NUHM Metro Abst'!Q17</f>
        <v>0</v>
      </c>
      <c r="I17" s="201">
        <f t="shared" si="2"/>
        <v>0</v>
      </c>
      <c r="J17" s="328">
        <f t="shared" si="3"/>
        <v>0</v>
      </c>
    </row>
    <row r="18" spans="1:10" ht="30">
      <c r="A18" s="1250" t="s">
        <v>3125</v>
      </c>
      <c r="B18" s="414"/>
      <c r="C18" s="414" t="s">
        <v>2939</v>
      </c>
      <c r="D18" s="414"/>
      <c r="E18" s="328">
        <f>'NUHM-Non Metro Abst'!N18</f>
        <v>17.5</v>
      </c>
      <c r="F18" s="328">
        <f>'NUHM-Non Metro Abst'!Q18</f>
        <v>0</v>
      </c>
      <c r="G18" s="328">
        <f>'NUHM Metro Abst'!N18</f>
        <v>0</v>
      </c>
      <c r="H18" s="328">
        <f>'NUHM Metro Abst'!Q18</f>
        <v>0</v>
      </c>
      <c r="I18" s="201">
        <f t="shared" si="2"/>
        <v>17.5</v>
      </c>
      <c r="J18" s="328">
        <f t="shared" si="3"/>
        <v>0</v>
      </c>
    </row>
    <row r="19" spans="1:10">
      <c r="A19" s="1250" t="s">
        <v>5288</v>
      </c>
      <c r="B19" s="414"/>
      <c r="C19" s="414" t="s">
        <v>5574</v>
      </c>
      <c r="D19" s="414" t="s">
        <v>86</v>
      </c>
      <c r="E19" s="328">
        <f>'NUHM-Non Metro Abst'!N19</f>
        <v>17.5</v>
      </c>
      <c r="F19" s="328">
        <f>'NUHM-Non Metro Abst'!Q19</f>
        <v>0</v>
      </c>
      <c r="G19" s="328">
        <f>'NUHM Metro Abst'!N19</f>
        <v>0</v>
      </c>
      <c r="H19" s="328">
        <f>'NUHM Metro Abst'!Q19</f>
        <v>0</v>
      </c>
      <c r="I19" s="201">
        <f t="shared" si="2"/>
        <v>17.5</v>
      </c>
      <c r="J19" s="328">
        <f t="shared" si="3"/>
        <v>0</v>
      </c>
    </row>
    <row r="20" spans="1:10">
      <c r="A20" s="1250" t="s">
        <v>5289</v>
      </c>
      <c r="B20" s="414"/>
      <c r="C20" s="414" t="s">
        <v>5284</v>
      </c>
      <c r="D20" s="414" t="s">
        <v>150</v>
      </c>
      <c r="E20" s="328">
        <f>'NUHM-Non Metro Abst'!N20</f>
        <v>0</v>
      </c>
      <c r="F20" s="328">
        <f>'NUHM-Non Metro Abst'!Q20</f>
        <v>0</v>
      </c>
      <c r="G20" s="328">
        <f>'NUHM Metro Abst'!N20</f>
        <v>0</v>
      </c>
      <c r="H20" s="328">
        <f>'NUHM Metro Abst'!Q20</f>
        <v>0</v>
      </c>
      <c r="I20" s="201">
        <f t="shared" si="2"/>
        <v>0</v>
      </c>
      <c r="J20" s="328">
        <f t="shared" si="3"/>
        <v>0</v>
      </c>
    </row>
    <row r="21" spans="1:10">
      <c r="A21" s="1250" t="s">
        <v>5290</v>
      </c>
      <c r="B21" s="414"/>
      <c r="C21" s="414" t="s">
        <v>5286</v>
      </c>
      <c r="D21" s="414" t="s">
        <v>399</v>
      </c>
      <c r="E21" s="328">
        <f>'NUHM-Non Metro Abst'!N21</f>
        <v>0</v>
      </c>
      <c r="F21" s="328">
        <f>'NUHM-Non Metro Abst'!Q21</f>
        <v>0</v>
      </c>
      <c r="G21" s="328">
        <f>'NUHM Metro Abst'!N21</f>
        <v>0</v>
      </c>
      <c r="H21" s="328">
        <f>'NUHM Metro Abst'!Q21</f>
        <v>0</v>
      </c>
      <c r="I21" s="201">
        <f t="shared" si="2"/>
        <v>0</v>
      </c>
      <c r="J21" s="328">
        <f t="shared" si="3"/>
        <v>0</v>
      </c>
    </row>
    <row r="22" spans="1:10">
      <c r="A22" s="1250" t="s">
        <v>5291</v>
      </c>
      <c r="B22" s="414"/>
      <c r="C22" s="414" t="s">
        <v>5285</v>
      </c>
      <c r="D22" s="414" t="s">
        <v>152</v>
      </c>
      <c r="E22" s="328">
        <f>'NUHM-Non Metro Abst'!N22</f>
        <v>0</v>
      </c>
      <c r="F22" s="328">
        <f>'NUHM-Non Metro Abst'!Q22</f>
        <v>0</v>
      </c>
      <c r="G22" s="328">
        <f>'NUHM Metro Abst'!N22</f>
        <v>0</v>
      </c>
      <c r="H22" s="328">
        <f>'NUHM Metro Abst'!Q22</f>
        <v>0</v>
      </c>
      <c r="I22" s="201">
        <f t="shared" si="2"/>
        <v>0</v>
      </c>
      <c r="J22" s="328">
        <f t="shared" si="3"/>
        <v>0</v>
      </c>
    </row>
    <row r="23" spans="1:10">
      <c r="A23" s="1250" t="s">
        <v>5292</v>
      </c>
      <c r="B23" s="414"/>
      <c r="C23" s="414" t="s">
        <v>5287</v>
      </c>
      <c r="D23" s="414" t="s">
        <v>415</v>
      </c>
      <c r="E23" s="328">
        <f>'NUHM-Non Metro Abst'!N23</f>
        <v>0</v>
      </c>
      <c r="F23" s="328">
        <f>'NUHM-Non Metro Abst'!Q23</f>
        <v>0</v>
      </c>
      <c r="G23" s="328">
        <f>'NUHM Metro Abst'!N23</f>
        <v>0</v>
      </c>
      <c r="H23" s="328">
        <f>'NUHM Metro Abst'!Q23</f>
        <v>0</v>
      </c>
      <c r="I23" s="201">
        <f t="shared" si="2"/>
        <v>0</v>
      </c>
      <c r="J23" s="328">
        <f t="shared" si="3"/>
        <v>0</v>
      </c>
    </row>
    <row r="24" spans="1:10">
      <c r="A24" s="1250" t="s">
        <v>5293</v>
      </c>
      <c r="B24" s="414"/>
      <c r="C24" s="414" t="s">
        <v>5575</v>
      </c>
      <c r="D24" s="414" t="s">
        <v>4915</v>
      </c>
      <c r="E24" s="328">
        <f>'NUHM-Non Metro Abst'!N24</f>
        <v>0</v>
      </c>
      <c r="F24" s="328">
        <f>'NUHM-Non Metro Abst'!Q24</f>
        <v>0</v>
      </c>
      <c r="G24" s="328">
        <f>'NUHM Metro Abst'!N24</f>
        <v>0</v>
      </c>
      <c r="H24" s="328">
        <f>'NUHM Metro Abst'!Q24</f>
        <v>0</v>
      </c>
      <c r="I24" s="201">
        <f t="shared" si="2"/>
        <v>0</v>
      </c>
      <c r="J24" s="328">
        <f t="shared" si="3"/>
        <v>0</v>
      </c>
    </row>
    <row r="25" spans="1:10">
      <c r="A25" s="1250" t="s">
        <v>5294</v>
      </c>
      <c r="B25" s="414"/>
      <c r="C25" s="414" t="s">
        <v>5576</v>
      </c>
      <c r="D25" s="414" t="s">
        <v>4124</v>
      </c>
      <c r="E25" s="328">
        <f>'NUHM-Non Metro Abst'!N25</f>
        <v>0</v>
      </c>
      <c r="F25" s="328">
        <f>'NUHM-Non Metro Abst'!Q25</f>
        <v>0</v>
      </c>
      <c r="G25" s="328">
        <f>'NUHM Metro Abst'!N25</f>
        <v>0</v>
      </c>
      <c r="H25" s="328">
        <f>'NUHM Metro Abst'!Q25</f>
        <v>0</v>
      </c>
      <c r="I25" s="201">
        <f t="shared" si="2"/>
        <v>0</v>
      </c>
      <c r="J25" s="328">
        <f t="shared" si="3"/>
        <v>0</v>
      </c>
    </row>
    <row r="26" spans="1:10">
      <c r="A26" s="1250" t="s">
        <v>5580</v>
      </c>
      <c r="B26" s="414"/>
      <c r="C26" s="414" t="s">
        <v>5577</v>
      </c>
      <c r="D26" s="414" t="s">
        <v>1020</v>
      </c>
      <c r="E26" s="328">
        <f>'NUHM-Non Metro Abst'!N26</f>
        <v>0</v>
      </c>
      <c r="F26" s="328">
        <f>'NUHM-Non Metro Abst'!Q26</f>
        <v>0</v>
      </c>
      <c r="G26" s="328">
        <f>'NUHM Metro Abst'!N26</f>
        <v>0</v>
      </c>
      <c r="H26" s="328">
        <f>'NUHM Metro Abst'!Q26</f>
        <v>0</v>
      </c>
      <c r="I26" s="201">
        <f t="shared" si="2"/>
        <v>0</v>
      </c>
      <c r="J26" s="328">
        <f t="shared" si="3"/>
        <v>0</v>
      </c>
    </row>
    <row r="27" spans="1:10">
      <c r="A27" s="1250" t="s">
        <v>5581</v>
      </c>
      <c r="B27" s="414"/>
      <c r="C27" s="414" t="s">
        <v>5578</v>
      </c>
      <c r="D27" s="414" t="s">
        <v>1034</v>
      </c>
      <c r="E27" s="328">
        <f>'NUHM-Non Metro Abst'!N27</f>
        <v>0</v>
      </c>
      <c r="F27" s="328">
        <f>'NUHM-Non Metro Abst'!Q27</f>
        <v>0</v>
      </c>
      <c r="G27" s="328">
        <f>'NUHM Metro Abst'!N27</f>
        <v>0</v>
      </c>
      <c r="H27" s="328">
        <f>'NUHM Metro Abst'!Q27</f>
        <v>0</v>
      </c>
      <c r="I27" s="201">
        <f t="shared" si="2"/>
        <v>0</v>
      </c>
      <c r="J27" s="328">
        <f t="shared" si="3"/>
        <v>0</v>
      </c>
    </row>
    <row r="28" spans="1:10">
      <c r="A28" s="1250" t="s">
        <v>5582</v>
      </c>
      <c r="B28" s="414"/>
      <c r="C28" s="414" t="s">
        <v>5579</v>
      </c>
      <c r="D28" s="414" t="s">
        <v>312</v>
      </c>
      <c r="E28" s="328">
        <f>'NUHM-Non Metro Abst'!N28</f>
        <v>0</v>
      </c>
      <c r="F28" s="328">
        <f>'NUHM-Non Metro Abst'!Q28</f>
        <v>0</v>
      </c>
      <c r="G28" s="328">
        <f>'NUHM Metro Abst'!N28</f>
        <v>0</v>
      </c>
      <c r="H28" s="328">
        <f>'NUHM Metro Abst'!Q28</f>
        <v>0</v>
      </c>
      <c r="I28" s="201">
        <f t="shared" si="2"/>
        <v>0</v>
      </c>
      <c r="J28" s="328">
        <f t="shared" si="3"/>
        <v>0</v>
      </c>
    </row>
    <row r="29" spans="1:10">
      <c r="A29" s="1250" t="s">
        <v>5583</v>
      </c>
      <c r="B29" s="414"/>
      <c r="C29" s="414" t="s">
        <v>5282</v>
      </c>
      <c r="D29" s="414" t="s">
        <v>314</v>
      </c>
      <c r="E29" s="328">
        <f>'NUHM-Non Metro Abst'!N29</f>
        <v>0</v>
      </c>
      <c r="F29" s="328">
        <f>'NUHM-Non Metro Abst'!Q29</f>
        <v>0</v>
      </c>
      <c r="G29" s="328">
        <f>'NUHM Metro Abst'!N29</f>
        <v>0</v>
      </c>
      <c r="H29" s="328">
        <f>'NUHM Metro Abst'!Q29</f>
        <v>0</v>
      </c>
      <c r="I29" s="201">
        <f t="shared" si="2"/>
        <v>0</v>
      </c>
      <c r="J29" s="328">
        <f t="shared" si="3"/>
        <v>0</v>
      </c>
    </row>
    <row r="30" spans="1:10">
      <c r="A30" s="416" t="s">
        <v>3126</v>
      </c>
      <c r="B30" s="417"/>
      <c r="C30" s="418" t="s">
        <v>42</v>
      </c>
      <c r="D30" s="418"/>
      <c r="E30" s="413">
        <f>'NUHM-Non Metro Abst'!N30</f>
        <v>16.940000000000001</v>
      </c>
      <c r="F30" s="413">
        <f>'NUHM-Non Metro Abst'!Q30</f>
        <v>0</v>
      </c>
      <c r="G30" s="413">
        <f>'NUHM Metro Abst'!N30</f>
        <v>0</v>
      </c>
      <c r="H30" s="413">
        <f>'NUHM Metro Abst'!Q30</f>
        <v>0</v>
      </c>
      <c r="I30" s="149">
        <f t="shared" si="0"/>
        <v>16.940000000000001</v>
      </c>
      <c r="J30" s="413">
        <f t="shared" si="1"/>
        <v>0</v>
      </c>
    </row>
    <row r="31" spans="1:10">
      <c r="A31" s="243" t="s">
        <v>3127</v>
      </c>
      <c r="B31" s="419"/>
      <c r="C31" s="235" t="s">
        <v>2940</v>
      </c>
      <c r="D31" s="235" t="s">
        <v>118</v>
      </c>
      <c r="E31" s="328">
        <f>'NUHM-Non Metro Abst'!N31</f>
        <v>0</v>
      </c>
      <c r="F31" s="328">
        <f>'NUHM-Non Metro Abst'!Q31</f>
        <v>0</v>
      </c>
      <c r="G31" s="328">
        <f>'NUHM Metro Abst'!N31</f>
        <v>0</v>
      </c>
      <c r="H31" s="328">
        <f>'NUHM Metro Abst'!Q31</f>
        <v>0</v>
      </c>
      <c r="I31" s="201">
        <f t="shared" si="0"/>
        <v>0</v>
      </c>
      <c r="J31" s="328">
        <f t="shared" si="1"/>
        <v>0</v>
      </c>
    </row>
    <row r="32" spans="1:10">
      <c r="A32" s="243" t="s">
        <v>3128</v>
      </c>
      <c r="B32" s="419"/>
      <c r="C32" s="235" t="s">
        <v>2941</v>
      </c>
      <c r="D32" s="235" t="s">
        <v>91</v>
      </c>
      <c r="E32" s="328">
        <f>'NUHM-Non Metro Abst'!N32</f>
        <v>16.940000000000001</v>
      </c>
      <c r="F32" s="328">
        <f>'NUHM-Non Metro Abst'!Q32</f>
        <v>0</v>
      </c>
      <c r="G32" s="328">
        <f>'NUHM Metro Abst'!N32</f>
        <v>0</v>
      </c>
      <c r="H32" s="328">
        <f>'NUHM Metro Abst'!Q32</f>
        <v>0</v>
      </c>
      <c r="I32" s="201">
        <f t="shared" si="0"/>
        <v>16.940000000000001</v>
      </c>
      <c r="J32" s="328">
        <f t="shared" si="1"/>
        <v>0</v>
      </c>
    </row>
    <row r="33" spans="1:10">
      <c r="A33" s="412" t="s">
        <v>3129</v>
      </c>
      <c r="B33" s="412"/>
      <c r="C33" s="412" t="s">
        <v>45</v>
      </c>
      <c r="D33" s="412"/>
      <c r="E33" s="413">
        <f>'NUHM-Non Metro Abst'!N33</f>
        <v>231</v>
      </c>
      <c r="F33" s="413">
        <f>'NUHM-Non Metro Abst'!Q33</f>
        <v>0</v>
      </c>
      <c r="G33" s="413">
        <f>'NUHM Metro Abst'!N33</f>
        <v>0</v>
      </c>
      <c r="H33" s="413">
        <f>'NUHM Metro Abst'!Q33</f>
        <v>0</v>
      </c>
      <c r="I33" s="149">
        <f t="shared" si="0"/>
        <v>231</v>
      </c>
      <c r="J33" s="413">
        <f t="shared" si="1"/>
        <v>0</v>
      </c>
    </row>
    <row r="34" spans="1:10">
      <c r="A34" s="1250" t="s">
        <v>3130</v>
      </c>
      <c r="B34" s="1250" t="s">
        <v>2942</v>
      </c>
      <c r="C34" s="1250" t="s">
        <v>2943</v>
      </c>
      <c r="D34" s="1250" t="s">
        <v>5341</v>
      </c>
      <c r="E34" s="328">
        <f>'NUHM-Non Metro Abst'!N34</f>
        <v>231</v>
      </c>
      <c r="F34" s="328">
        <f>'NUHM-Non Metro Abst'!Q34</f>
        <v>0</v>
      </c>
      <c r="G34" s="328">
        <f>'NUHM Metro Abst'!N34</f>
        <v>0</v>
      </c>
      <c r="H34" s="328">
        <f>'NUHM Metro Abst'!Q34</f>
        <v>0</v>
      </c>
      <c r="I34" s="201">
        <f t="shared" si="0"/>
        <v>231</v>
      </c>
      <c r="J34" s="328">
        <f t="shared" si="1"/>
        <v>0</v>
      </c>
    </row>
    <row r="35" spans="1:10" ht="30">
      <c r="A35" s="1250" t="s">
        <v>3131</v>
      </c>
      <c r="B35" s="1250" t="s">
        <v>2944</v>
      </c>
      <c r="C35" s="1250" t="s">
        <v>2945</v>
      </c>
      <c r="D35" s="1250" t="s">
        <v>5341</v>
      </c>
      <c r="E35" s="328">
        <f>'NUHM-Non Metro Abst'!N35</f>
        <v>0</v>
      </c>
      <c r="F35" s="328">
        <f>'NUHM-Non Metro Abst'!Q35</f>
        <v>0</v>
      </c>
      <c r="G35" s="328">
        <f>'NUHM Metro Abst'!N35</f>
        <v>0</v>
      </c>
      <c r="H35" s="328">
        <f>'NUHM Metro Abst'!Q35</f>
        <v>0</v>
      </c>
      <c r="I35" s="201">
        <f t="shared" si="0"/>
        <v>0</v>
      </c>
      <c r="J35" s="328">
        <f t="shared" si="1"/>
        <v>0</v>
      </c>
    </row>
    <row r="36" spans="1:10">
      <c r="A36" s="1250" t="s">
        <v>3132</v>
      </c>
      <c r="B36" s="1250" t="s">
        <v>2946</v>
      </c>
      <c r="C36" s="1250" t="s">
        <v>2947</v>
      </c>
      <c r="D36" s="1250" t="s">
        <v>5341</v>
      </c>
      <c r="E36" s="328">
        <f>'NUHM-Non Metro Abst'!N36</f>
        <v>0</v>
      </c>
      <c r="F36" s="328">
        <f>'NUHM-Non Metro Abst'!Q36</f>
        <v>0</v>
      </c>
      <c r="G36" s="328">
        <f>'NUHM Metro Abst'!N36</f>
        <v>0</v>
      </c>
      <c r="H36" s="328">
        <f>'NUHM Metro Abst'!Q36</f>
        <v>0</v>
      </c>
      <c r="I36" s="201">
        <f t="shared" si="0"/>
        <v>0</v>
      </c>
      <c r="J36" s="328">
        <f t="shared" si="1"/>
        <v>0</v>
      </c>
    </row>
    <row r="37" spans="1:10">
      <c r="A37" s="1250" t="s">
        <v>3133</v>
      </c>
      <c r="B37" s="1249"/>
      <c r="C37" s="414" t="s">
        <v>307</v>
      </c>
      <c r="D37" s="1250" t="s">
        <v>5341</v>
      </c>
      <c r="E37" s="328">
        <f>'NUHM-Non Metro Abst'!N37</f>
        <v>0</v>
      </c>
      <c r="F37" s="328">
        <f>'NUHM-Non Metro Abst'!Q37</f>
        <v>0</v>
      </c>
      <c r="G37" s="328">
        <f>'NUHM Metro Abst'!N37</f>
        <v>0</v>
      </c>
      <c r="H37" s="328">
        <f>'NUHM Metro Abst'!Q37</f>
        <v>0</v>
      </c>
      <c r="I37" s="201">
        <f t="shared" si="0"/>
        <v>0</v>
      </c>
      <c r="J37" s="328">
        <f t="shared" si="1"/>
        <v>0</v>
      </c>
    </row>
    <row r="38" spans="1:10">
      <c r="A38" s="141" t="s">
        <v>3134</v>
      </c>
      <c r="B38" s="141"/>
      <c r="C38" s="141" t="s">
        <v>6</v>
      </c>
      <c r="D38" s="141"/>
      <c r="E38" s="410">
        <f>'NUHM-Non Metro Abst'!N38</f>
        <v>261</v>
      </c>
      <c r="F38" s="410">
        <f>'NUHM-Non Metro Abst'!Q38</f>
        <v>0</v>
      </c>
      <c r="G38" s="410">
        <f>'NUHM Metro Abst'!N38</f>
        <v>0</v>
      </c>
      <c r="H38" s="410">
        <f>'NUHM Metro Abst'!Q38</f>
        <v>0</v>
      </c>
      <c r="I38" s="148">
        <f t="shared" si="0"/>
        <v>261</v>
      </c>
      <c r="J38" s="410">
        <f t="shared" si="1"/>
        <v>0</v>
      </c>
    </row>
    <row r="39" spans="1:10">
      <c r="A39" s="412" t="s">
        <v>3135</v>
      </c>
      <c r="B39" s="412"/>
      <c r="C39" s="412" t="s">
        <v>7</v>
      </c>
      <c r="D39" s="412"/>
      <c r="E39" s="413">
        <f>'NUHM-Non Metro Abst'!N39</f>
        <v>0</v>
      </c>
      <c r="F39" s="413">
        <f>'NUHM-Non Metro Abst'!Q39</f>
        <v>0</v>
      </c>
      <c r="G39" s="413">
        <f>'NUHM Metro Abst'!N39</f>
        <v>0</v>
      </c>
      <c r="H39" s="413">
        <f>'NUHM Metro Abst'!Q39</f>
        <v>0</v>
      </c>
      <c r="I39" s="149">
        <f t="shared" si="0"/>
        <v>0</v>
      </c>
      <c r="J39" s="413">
        <f t="shared" si="1"/>
        <v>0</v>
      </c>
    </row>
    <row r="40" spans="1:10" ht="30">
      <c r="A40" s="1250" t="s">
        <v>3136</v>
      </c>
      <c r="B40" s="1250" t="s">
        <v>2948</v>
      </c>
      <c r="C40" s="1250" t="s">
        <v>2949</v>
      </c>
      <c r="D40" s="1250" t="s">
        <v>5341</v>
      </c>
      <c r="E40" s="328">
        <f>'NUHM-Non Metro Abst'!N40</f>
        <v>0</v>
      </c>
      <c r="F40" s="328">
        <f>'NUHM-Non Metro Abst'!Q40</f>
        <v>0</v>
      </c>
      <c r="G40" s="328">
        <f>'NUHM Metro Abst'!N40</f>
        <v>0</v>
      </c>
      <c r="H40" s="328">
        <f>'NUHM Metro Abst'!Q40</f>
        <v>0</v>
      </c>
      <c r="I40" s="201">
        <f t="shared" si="0"/>
        <v>0</v>
      </c>
      <c r="J40" s="328">
        <f t="shared" si="1"/>
        <v>0</v>
      </c>
    </row>
    <row r="41" spans="1:10">
      <c r="A41" s="1250" t="s">
        <v>3137</v>
      </c>
      <c r="B41" s="1249"/>
      <c r="C41" s="414" t="s">
        <v>307</v>
      </c>
      <c r="D41" s="1250" t="s">
        <v>5341</v>
      </c>
      <c r="E41" s="328">
        <f>'NUHM-Non Metro Abst'!N41</f>
        <v>0</v>
      </c>
      <c r="F41" s="328">
        <f>'NUHM-Non Metro Abst'!Q41</f>
        <v>0</v>
      </c>
      <c r="G41" s="328">
        <f>'NUHM Metro Abst'!N41</f>
        <v>0</v>
      </c>
      <c r="H41" s="328">
        <f>'NUHM Metro Abst'!Q41</f>
        <v>0</v>
      </c>
      <c r="I41" s="201">
        <f t="shared" si="0"/>
        <v>0</v>
      </c>
      <c r="J41" s="328">
        <f t="shared" si="1"/>
        <v>0</v>
      </c>
    </row>
    <row r="42" spans="1:10">
      <c r="A42" s="412" t="s">
        <v>3138</v>
      </c>
      <c r="B42" s="412"/>
      <c r="C42" s="412" t="s">
        <v>8</v>
      </c>
      <c r="D42" s="412"/>
      <c r="E42" s="413">
        <f>'NUHM-Non Metro Abst'!N42</f>
        <v>30</v>
      </c>
      <c r="F42" s="413">
        <f>'NUHM-Non Metro Abst'!Q42</f>
        <v>0</v>
      </c>
      <c r="G42" s="413">
        <f>'NUHM Metro Abst'!N42</f>
        <v>0</v>
      </c>
      <c r="H42" s="413">
        <f>'NUHM Metro Abst'!Q42</f>
        <v>0</v>
      </c>
      <c r="I42" s="149">
        <f t="shared" si="0"/>
        <v>30</v>
      </c>
      <c r="J42" s="413">
        <f t="shared" si="1"/>
        <v>0</v>
      </c>
    </row>
    <row r="43" spans="1:10">
      <c r="A43" s="1250" t="s">
        <v>3139</v>
      </c>
      <c r="B43" s="1250" t="s">
        <v>2950</v>
      </c>
      <c r="C43" s="1250" t="s">
        <v>2951</v>
      </c>
      <c r="D43" s="1250" t="s">
        <v>5341</v>
      </c>
      <c r="E43" s="328">
        <f>'NUHM-Non Metro Abst'!N43</f>
        <v>30</v>
      </c>
      <c r="F43" s="328">
        <f>'NUHM-Non Metro Abst'!Q43</f>
        <v>0</v>
      </c>
      <c r="G43" s="328">
        <f>'NUHM Metro Abst'!N43</f>
        <v>0</v>
      </c>
      <c r="H43" s="328">
        <f>'NUHM Metro Abst'!Q43</f>
        <v>0</v>
      </c>
      <c r="I43" s="201">
        <f t="shared" si="0"/>
        <v>30</v>
      </c>
      <c r="J43" s="328">
        <f t="shared" si="1"/>
        <v>0</v>
      </c>
    </row>
    <row r="44" spans="1:10">
      <c r="A44" s="1250" t="s">
        <v>3140</v>
      </c>
      <c r="B44" s="1250"/>
      <c r="C44" s="1250" t="s">
        <v>307</v>
      </c>
      <c r="D44" s="1250" t="s">
        <v>5341</v>
      </c>
      <c r="E44" s="328">
        <f>'NUHM-Non Metro Abst'!N44</f>
        <v>0</v>
      </c>
      <c r="F44" s="328">
        <f>'NUHM-Non Metro Abst'!Q44</f>
        <v>0</v>
      </c>
      <c r="G44" s="328">
        <f>'NUHM Metro Abst'!N44</f>
        <v>0</v>
      </c>
      <c r="H44" s="328">
        <f>'NUHM Metro Abst'!Q44</f>
        <v>0</v>
      </c>
      <c r="I44" s="201">
        <f t="shared" si="0"/>
        <v>0</v>
      </c>
      <c r="J44" s="328">
        <f t="shared" si="1"/>
        <v>0</v>
      </c>
    </row>
    <row r="45" spans="1:10">
      <c r="A45" s="412" t="s">
        <v>3141</v>
      </c>
      <c r="B45" s="412"/>
      <c r="C45" s="412" t="s">
        <v>9</v>
      </c>
      <c r="D45" s="412"/>
      <c r="E45" s="413">
        <f>'NUHM-Non Metro Abst'!N45</f>
        <v>231</v>
      </c>
      <c r="F45" s="413">
        <f>'NUHM-Non Metro Abst'!Q45</f>
        <v>0</v>
      </c>
      <c r="G45" s="413">
        <f>'NUHM Metro Abst'!N45</f>
        <v>0</v>
      </c>
      <c r="H45" s="413">
        <f>'NUHM Metro Abst'!Q45</f>
        <v>0</v>
      </c>
      <c r="I45" s="149">
        <f t="shared" si="0"/>
        <v>231</v>
      </c>
      <c r="J45" s="413">
        <f t="shared" si="1"/>
        <v>0</v>
      </c>
    </row>
    <row r="46" spans="1:10">
      <c r="A46" s="1250" t="s">
        <v>3142</v>
      </c>
      <c r="B46" s="1250" t="s">
        <v>2952</v>
      </c>
      <c r="C46" s="1250" t="s">
        <v>2953</v>
      </c>
      <c r="D46" s="1250" t="s">
        <v>5341</v>
      </c>
      <c r="E46" s="328">
        <f>'NUHM-Non Metro Abst'!N46</f>
        <v>60</v>
      </c>
      <c r="F46" s="328">
        <f>'NUHM-Non Metro Abst'!Q46</f>
        <v>0</v>
      </c>
      <c r="G46" s="328">
        <f>'NUHM Metro Abst'!N46</f>
        <v>0</v>
      </c>
      <c r="H46" s="328">
        <f>'NUHM Metro Abst'!Q46</f>
        <v>0</v>
      </c>
      <c r="I46" s="201">
        <f t="shared" si="0"/>
        <v>60</v>
      </c>
      <c r="J46" s="328">
        <f t="shared" si="1"/>
        <v>0</v>
      </c>
    </row>
    <row r="47" spans="1:10" ht="45">
      <c r="A47" s="1250" t="s">
        <v>3143</v>
      </c>
      <c r="B47" s="1250" t="s">
        <v>2954</v>
      </c>
      <c r="C47" s="1250" t="s">
        <v>5295</v>
      </c>
      <c r="D47" s="1250" t="s">
        <v>5341</v>
      </c>
      <c r="E47" s="328">
        <f>'NUHM-Non Metro Abst'!N47</f>
        <v>151.20000000000002</v>
      </c>
      <c r="F47" s="328">
        <f>'NUHM-Non Metro Abst'!Q47</f>
        <v>0</v>
      </c>
      <c r="G47" s="328">
        <f>'NUHM Metro Abst'!N47</f>
        <v>0</v>
      </c>
      <c r="H47" s="328">
        <f>'NUHM Metro Abst'!Q47</f>
        <v>0</v>
      </c>
      <c r="I47" s="201">
        <f t="shared" si="0"/>
        <v>151.20000000000002</v>
      </c>
      <c r="J47" s="328">
        <f t="shared" si="1"/>
        <v>0</v>
      </c>
    </row>
    <row r="48" spans="1:10" s="400" customFormat="1" ht="30">
      <c r="A48" s="91" t="s">
        <v>3144</v>
      </c>
      <c r="B48" s="91" t="s">
        <v>3078</v>
      </c>
      <c r="C48" s="91" t="s">
        <v>3079</v>
      </c>
      <c r="D48" s="1250" t="s">
        <v>5341</v>
      </c>
      <c r="E48" s="328">
        <f>'NUHM-Non Metro Abst'!N48</f>
        <v>0</v>
      </c>
      <c r="F48" s="328">
        <f>'NUHM-Non Metro Abst'!Q48</f>
        <v>0</v>
      </c>
      <c r="G48" s="328">
        <f>'NUHM Metro Abst'!N48</f>
        <v>0</v>
      </c>
      <c r="H48" s="328">
        <f>'NUHM Metro Abst'!Q48</f>
        <v>0</v>
      </c>
      <c r="I48" s="201">
        <f t="shared" si="0"/>
        <v>0</v>
      </c>
      <c r="J48" s="328">
        <f t="shared" si="1"/>
        <v>0</v>
      </c>
    </row>
    <row r="49" spans="1:10" s="400" customFormat="1">
      <c r="A49" s="91" t="s">
        <v>4556</v>
      </c>
      <c r="B49" s="91"/>
      <c r="C49" s="91" t="s">
        <v>4561</v>
      </c>
      <c r="D49" s="91" t="s">
        <v>5342</v>
      </c>
      <c r="E49" s="328">
        <f>'NUHM-Non Metro Abst'!N49</f>
        <v>13.200000000000001</v>
      </c>
      <c r="F49" s="328">
        <f>'NUHM-Non Metro Abst'!Q49</f>
        <v>0</v>
      </c>
      <c r="G49" s="328">
        <f>'NUHM Metro Abst'!N49</f>
        <v>0</v>
      </c>
      <c r="H49" s="328">
        <f>'NUHM Metro Abst'!Q49</f>
        <v>0</v>
      </c>
      <c r="I49" s="201">
        <f t="shared" si="0"/>
        <v>13.200000000000001</v>
      </c>
      <c r="J49" s="328">
        <f t="shared" si="1"/>
        <v>0</v>
      </c>
    </row>
    <row r="50" spans="1:10">
      <c r="A50" s="398" t="s">
        <v>4560</v>
      </c>
      <c r="B50" s="1249"/>
      <c r="C50" s="414" t="s">
        <v>307</v>
      </c>
      <c r="D50" s="414"/>
      <c r="E50" s="328">
        <f>'NUHM-Non Metro Abst'!N50</f>
        <v>6.6</v>
      </c>
      <c r="F50" s="328">
        <f>'NUHM-Non Metro Abst'!Q50</f>
        <v>0</v>
      </c>
      <c r="G50" s="328">
        <f>'NUHM Metro Abst'!N50</f>
        <v>0</v>
      </c>
      <c r="H50" s="328">
        <f>'NUHM Metro Abst'!Q50</f>
        <v>0</v>
      </c>
      <c r="I50" s="201">
        <f t="shared" si="0"/>
        <v>6.6</v>
      </c>
      <c r="J50" s="328">
        <f t="shared" si="1"/>
        <v>0</v>
      </c>
    </row>
    <row r="51" spans="1:10">
      <c r="A51" s="141" t="s">
        <v>3145</v>
      </c>
      <c r="B51" s="141"/>
      <c r="C51" s="141" t="s">
        <v>10</v>
      </c>
      <c r="D51" s="141"/>
      <c r="E51" s="410">
        <f>'NUHM-Non Metro Abst'!N51</f>
        <v>296.34596900000003</v>
      </c>
      <c r="F51" s="410">
        <f>'NUHM-Non Metro Abst'!Q51</f>
        <v>0</v>
      </c>
      <c r="G51" s="410">
        <f>'NUHM Metro Abst'!N51</f>
        <v>0</v>
      </c>
      <c r="H51" s="410">
        <f>'NUHM Metro Abst'!Q51</f>
        <v>0</v>
      </c>
      <c r="I51" s="148">
        <f t="shared" si="0"/>
        <v>296.34596900000003</v>
      </c>
      <c r="J51" s="410">
        <f t="shared" si="1"/>
        <v>0</v>
      </c>
    </row>
    <row r="52" spans="1:10">
      <c r="A52" s="412" t="s">
        <v>3146</v>
      </c>
      <c r="B52" s="412"/>
      <c r="C52" s="412" t="s">
        <v>11</v>
      </c>
      <c r="D52" s="412"/>
      <c r="E52" s="413">
        <f>'NUHM-Non Metro Abst'!N52</f>
        <v>270.79597000000001</v>
      </c>
      <c r="F52" s="413">
        <f>'NUHM-Non Metro Abst'!Q52</f>
        <v>0</v>
      </c>
      <c r="G52" s="413">
        <f>'NUHM Metro Abst'!N52</f>
        <v>0</v>
      </c>
      <c r="H52" s="413">
        <f>'NUHM Metro Abst'!Q52</f>
        <v>0</v>
      </c>
      <c r="I52" s="149">
        <f t="shared" si="0"/>
        <v>270.79597000000001</v>
      </c>
      <c r="J52" s="413">
        <f t="shared" si="1"/>
        <v>0</v>
      </c>
    </row>
    <row r="53" spans="1:10">
      <c r="A53" s="420" t="s">
        <v>3147</v>
      </c>
      <c r="B53" s="420" t="s">
        <v>2955</v>
      </c>
      <c r="C53" s="420" t="s">
        <v>2956</v>
      </c>
      <c r="D53" s="420"/>
      <c r="E53" s="421">
        <f>'NUHM-Non Metro Abst'!N53</f>
        <v>220.75996999999998</v>
      </c>
      <c r="F53" s="421">
        <f>'NUHM-Non Metro Abst'!Q53</f>
        <v>0</v>
      </c>
      <c r="G53" s="421">
        <f>'NUHM Metro Abst'!N53</f>
        <v>0</v>
      </c>
      <c r="H53" s="421">
        <f>'NUHM Metro Abst'!Q53</f>
        <v>0</v>
      </c>
      <c r="I53" s="153">
        <f t="shared" si="0"/>
        <v>220.75996999999998</v>
      </c>
      <c r="J53" s="421">
        <f t="shared" si="1"/>
        <v>0</v>
      </c>
    </row>
    <row r="54" spans="1:10">
      <c r="A54" s="1250" t="s">
        <v>3148</v>
      </c>
      <c r="B54" s="1250" t="s">
        <v>2957</v>
      </c>
      <c r="C54" s="1250" t="s">
        <v>2958</v>
      </c>
      <c r="D54" s="1250" t="s">
        <v>5343</v>
      </c>
      <c r="E54" s="328">
        <f>'NUHM-Non Metro Abst'!N54</f>
        <v>168</v>
      </c>
      <c r="F54" s="328">
        <f>'NUHM-Non Metro Abst'!Q54</f>
        <v>0</v>
      </c>
      <c r="G54" s="328">
        <f>'NUHM Metro Abst'!N54</f>
        <v>0</v>
      </c>
      <c r="H54" s="328">
        <f>'NUHM Metro Abst'!Q54</f>
        <v>0</v>
      </c>
      <c r="I54" s="201">
        <f t="shared" si="0"/>
        <v>168</v>
      </c>
      <c r="J54" s="328">
        <f t="shared" si="1"/>
        <v>0</v>
      </c>
    </row>
    <row r="55" spans="1:10" ht="30">
      <c r="A55" s="1250" t="s">
        <v>3149</v>
      </c>
      <c r="B55" s="1250"/>
      <c r="C55" s="1250" t="s">
        <v>3884</v>
      </c>
      <c r="D55" s="1250" t="s">
        <v>5343</v>
      </c>
      <c r="E55" s="328">
        <f>'NUHM-Non Metro Abst'!N55</f>
        <v>28.29</v>
      </c>
      <c r="F55" s="328">
        <f>'NUHM-Non Metro Abst'!Q55</f>
        <v>0</v>
      </c>
      <c r="G55" s="328">
        <f>'NUHM Metro Abst'!N55</f>
        <v>0</v>
      </c>
      <c r="H55" s="328">
        <f>'NUHM Metro Abst'!Q55</f>
        <v>0</v>
      </c>
      <c r="I55" s="201">
        <f t="shared" si="0"/>
        <v>28.29</v>
      </c>
      <c r="J55" s="328">
        <f t="shared" si="1"/>
        <v>0</v>
      </c>
    </row>
    <row r="56" spans="1:10">
      <c r="A56" s="1250" t="s">
        <v>3150</v>
      </c>
      <c r="B56" s="1250" t="s">
        <v>2959</v>
      </c>
      <c r="C56" s="1250" t="s">
        <v>2960</v>
      </c>
      <c r="D56" s="1250" t="s">
        <v>5343</v>
      </c>
      <c r="E56" s="328">
        <f>'NUHM-Non Metro Abst'!N56</f>
        <v>24.46997</v>
      </c>
      <c r="F56" s="328">
        <f>'NUHM-Non Metro Abst'!Q56</f>
        <v>0</v>
      </c>
      <c r="G56" s="328">
        <f>'NUHM Metro Abst'!N56</f>
        <v>0</v>
      </c>
      <c r="H56" s="328">
        <f>'NUHM Metro Abst'!Q56</f>
        <v>0</v>
      </c>
      <c r="I56" s="201">
        <f t="shared" si="0"/>
        <v>24.46997</v>
      </c>
      <c r="J56" s="328">
        <f t="shared" si="1"/>
        <v>0</v>
      </c>
    </row>
    <row r="57" spans="1:10">
      <c r="A57" s="420" t="s">
        <v>3151</v>
      </c>
      <c r="B57" s="420" t="s">
        <v>2961</v>
      </c>
      <c r="C57" s="420" t="s">
        <v>2962</v>
      </c>
      <c r="D57" s="420"/>
      <c r="E57" s="421">
        <f>'NUHM-Non Metro Abst'!N57</f>
        <v>30.240000000000002</v>
      </c>
      <c r="F57" s="421">
        <f>'NUHM-Non Metro Abst'!Q57</f>
        <v>0</v>
      </c>
      <c r="G57" s="421">
        <f>'NUHM Metro Abst'!N57</f>
        <v>0</v>
      </c>
      <c r="H57" s="421">
        <f>'NUHM Metro Abst'!Q57</f>
        <v>0</v>
      </c>
      <c r="I57" s="153">
        <f t="shared" si="0"/>
        <v>30.240000000000002</v>
      </c>
      <c r="J57" s="421">
        <f t="shared" si="1"/>
        <v>0</v>
      </c>
    </row>
    <row r="58" spans="1:10" s="400" customFormat="1">
      <c r="A58" s="422" t="s">
        <v>4782</v>
      </c>
      <c r="B58" s="422"/>
      <c r="C58" s="157" t="s">
        <v>5296</v>
      </c>
      <c r="D58" s="1250" t="s">
        <v>5343</v>
      </c>
      <c r="E58" s="328">
        <f>'NUHM-Non Metro Abst'!N58</f>
        <v>30.240000000000002</v>
      </c>
      <c r="F58" s="328">
        <f>'NUHM-Non Metro Abst'!Q58</f>
        <v>0</v>
      </c>
      <c r="G58" s="328">
        <f>'NUHM Metro Abst'!N58</f>
        <v>0</v>
      </c>
      <c r="H58" s="328">
        <f>'NUHM Metro Abst'!Q58</f>
        <v>0</v>
      </c>
      <c r="I58" s="201">
        <f t="shared" si="0"/>
        <v>30.240000000000002</v>
      </c>
      <c r="J58" s="328">
        <f t="shared" si="1"/>
        <v>0</v>
      </c>
    </row>
    <row r="59" spans="1:10" s="400" customFormat="1">
      <c r="A59" s="422" t="s">
        <v>4783</v>
      </c>
      <c r="B59" s="422"/>
      <c r="C59" s="157" t="s">
        <v>3319</v>
      </c>
      <c r="D59" s="1250" t="s">
        <v>5343</v>
      </c>
      <c r="E59" s="328">
        <f>'NUHM-Non Metro Abst'!N59</f>
        <v>0</v>
      </c>
      <c r="F59" s="328">
        <f>'NUHM-Non Metro Abst'!Q59</f>
        <v>0</v>
      </c>
      <c r="G59" s="328">
        <f>'NUHM Metro Abst'!N59</f>
        <v>0</v>
      </c>
      <c r="H59" s="328">
        <f>'NUHM Metro Abst'!Q59</f>
        <v>0</v>
      </c>
      <c r="I59" s="201">
        <f t="shared" si="0"/>
        <v>0</v>
      </c>
      <c r="J59" s="328">
        <f t="shared" si="1"/>
        <v>0</v>
      </c>
    </row>
    <row r="60" spans="1:10">
      <c r="A60" s="420" t="s">
        <v>3152</v>
      </c>
      <c r="B60" s="420"/>
      <c r="C60" s="420" t="s">
        <v>4836</v>
      </c>
      <c r="D60" s="420"/>
      <c r="E60" s="421">
        <f>'NUHM-Non Metro Abst'!N60</f>
        <v>19.795999999999999</v>
      </c>
      <c r="F60" s="421">
        <f>'NUHM-Non Metro Abst'!Q60</f>
        <v>0</v>
      </c>
      <c r="G60" s="421">
        <f>'NUHM Metro Abst'!N60</f>
        <v>0</v>
      </c>
      <c r="H60" s="421">
        <f>'NUHM Metro Abst'!Q60</f>
        <v>0</v>
      </c>
      <c r="I60" s="153">
        <f t="shared" si="0"/>
        <v>19.795999999999999</v>
      </c>
      <c r="J60" s="421">
        <f t="shared" si="1"/>
        <v>0</v>
      </c>
    </row>
    <row r="61" spans="1:10">
      <c r="A61" s="155" t="s">
        <v>3153</v>
      </c>
      <c r="B61" s="423" t="s">
        <v>2963</v>
      </c>
      <c r="C61" s="423" t="s">
        <v>4837</v>
      </c>
      <c r="D61" s="1250" t="s">
        <v>5343</v>
      </c>
      <c r="E61" s="328">
        <f>'NUHM-Non Metro Abst'!N61</f>
        <v>19.795999999999999</v>
      </c>
      <c r="F61" s="328">
        <f>'NUHM-Non Metro Abst'!Q61</f>
        <v>0</v>
      </c>
      <c r="G61" s="328">
        <f>'NUHM Metro Abst'!N61</f>
        <v>0</v>
      </c>
      <c r="H61" s="328">
        <f>'NUHM Metro Abst'!Q61</f>
        <v>0</v>
      </c>
      <c r="I61" s="201">
        <f t="shared" si="0"/>
        <v>19.795999999999999</v>
      </c>
      <c r="J61" s="328">
        <f t="shared" si="1"/>
        <v>0</v>
      </c>
    </row>
    <row r="62" spans="1:10">
      <c r="A62" s="155" t="s">
        <v>5297</v>
      </c>
      <c r="B62" s="423"/>
      <c r="C62" s="423" t="s">
        <v>367</v>
      </c>
      <c r="D62" s="1250" t="s">
        <v>5343</v>
      </c>
      <c r="E62" s="328">
        <f>'NUHM-Non Metro Abst'!N62</f>
        <v>0</v>
      </c>
      <c r="F62" s="328">
        <f>'NUHM-Non Metro Abst'!Q62</f>
        <v>0</v>
      </c>
      <c r="G62" s="328">
        <f>'NUHM Metro Abst'!N62</f>
        <v>0</v>
      </c>
      <c r="H62" s="328">
        <f>'NUHM Metro Abst'!Q62</f>
        <v>0</v>
      </c>
      <c r="I62" s="201">
        <f t="shared" si="0"/>
        <v>0</v>
      </c>
      <c r="J62" s="328">
        <f t="shared" si="1"/>
        <v>0</v>
      </c>
    </row>
    <row r="63" spans="1:10">
      <c r="A63" s="155" t="s">
        <v>5298</v>
      </c>
      <c r="B63" s="423"/>
      <c r="C63" s="423" t="s">
        <v>4514</v>
      </c>
      <c r="D63" s="1250" t="s">
        <v>5343</v>
      </c>
      <c r="E63" s="328">
        <f>'NUHM-Non Metro Abst'!N63</f>
        <v>0</v>
      </c>
      <c r="F63" s="328">
        <f>'NUHM-Non Metro Abst'!Q63</f>
        <v>0</v>
      </c>
      <c r="G63" s="328">
        <f>'NUHM Metro Abst'!N63</f>
        <v>0</v>
      </c>
      <c r="H63" s="328">
        <f>'NUHM Metro Abst'!Q63</f>
        <v>0</v>
      </c>
      <c r="I63" s="201">
        <f t="shared" si="0"/>
        <v>0</v>
      </c>
      <c r="J63" s="328">
        <f t="shared" si="1"/>
        <v>0</v>
      </c>
    </row>
    <row r="64" spans="1:10">
      <c r="A64" s="412" t="s">
        <v>3154</v>
      </c>
      <c r="B64" s="412"/>
      <c r="C64" s="412" t="s">
        <v>12</v>
      </c>
      <c r="D64" s="412"/>
      <c r="E64" s="413">
        <f>'NUHM-Non Metro Abst'!N64</f>
        <v>25.549999000000003</v>
      </c>
      <c r="F64" s="413">
        <f>'NUHM-Non Metro Abst'!Q64</f>
        <v>0</v>
      </c>
      <c r="G64" s="413">
        <f>'NUHM Metro Abst'!N64</f>
        <v>0</v>
      </c>
      <c r="H64" s="413">
        <f>'NUHM Metro Abst'!Q64</f>
        <v>0</v>
      </c>
      <c r="I64" s="149">
        <f t="shared" si="0"/>
        <v>25.549999000000003</v>
      </c>
      <c r="J64" s="413">
        <f t="shared" si="1"/>
        <v>0</v>
      </c>
    </row>
    <row r="65" spans="1:10">
      <c r="A65" s="420" t="s">
        <v>3155</v>
      </c>
      <c r="B65" s="420" t="s">
        <v>2964</v>
      </c>
      <c r="C65" s="420" t="s">
        <v>2965</v>
      </c>
      <c r="D65" s="420"/>
      <c r="E65" s="421">
        <f>'NUHM-Non Metro Abst'!N65</f>
        <v>25.549999000000003</v>
      </c>
      <c r="F65" s="421">
        <f>'NUHM-Non Metro Abst'!Q65</f>
        <v>0</v>
      </c>
      <c r="G65" s="421">
        <f>'NUHM Metro Abst'!N65</f>
        <v>0</v>
      </c>
      <c r="H65" s="421">
        <f>'NUHM Metro Abst'!Q65</f>
        <v>0</v>
      </c>
      <c r="I65" s="153">
        <f t="shared" si="0"/>
        <v>25.549999000000003</v>
      </c>
      <c r="J65" s="421">
        <f t="shared" si="1"/>
        <v>0</v>
      </c>
    </row>
    <row r="66" spans="1:10">
      <c r="A66" s="1250" t="s">
        <v>3156</v>
      </c>
      <c r="B66" s="1250" t="s">
        <v>2966</v>
      </c>
      <c r="C66" s="1250" t="s">
        <v>2967</v>
      </c>
      <c r="D66" s="1250" t="s">
        <v>5343</v>
      </c>
      <c r="E66" s="328">
        <f>'NUHM-Non Metro Abst'!N66</f>
        <v>5.0500000000000007</v>
      </c>
      <c r="F66" s="328">
        <f>'NUHM-Non Metro Abst'!Q66</f>
        <v>0</v>
      </c>
      <c r="G66" s="328">
        <f>'NUHM Metro Abst'!N66</f>
        <v>0</v>
      </c>
      <c r="H66" s="328">
        <f>'NUHM Metro Abst'!Q66</f>
        <v>0</v>
      </c>
      <c r="I66" s="201">
        <f t="shared" si="0"/>
        <v>5.0500000000000007</v>
      </c>
      <c r="J66" s="328">
        <f t="shared" si="1"/>
        <v>0</v>
      </c>
    </row>
    <row r="67" spans="1:10" ht="30">
      <c r="A67" s="1250" t="s">
        <v>3157</v>
      </c>
      <c r="B67" s="1250" t="s">
        <v>2968</v>
      </c>
      <c r="C67" s="1250" t="s">
        <v>2969</v>
      </c>
      <c r="D67" s="1250" t="s">
        <v>5343</v>
      </c>
      <c r="E67" s="328">
        <f>'NUHM-Non Metro Abst'!N67</f>
        <v>0</v>
      </c>
      <c r="F67" s="328">
        <f>'NUHM-Non Metro Abst'!Q67</f>
        <v>0</v>
      </c>
      <c r="G67" s="328">
        <f>'NUHM Metro Abst'!N67</f>
        <v>0</v>
      </c>
      <c r="H67" s="328">
        <f>'NUHM Metro Abst'!Q67</f>
        <v>0</v>
      </c>
      <c r="I67" s="201">
        <f t="shared" si="0"/>
        <v>0</v>
      </c>
      <c r="J67" s="328">
        <f t="shared" si="1"/>
        <v>0</v>
      </c>
    </row>
    <row r="68" spans="1:10">
      <c r="A68" s="1250" t="s">
        <v>4008</v>
      </c>
      <c r="B68" s="1250"/>
      <c r="C68" s="424" t="s">
        <v>606</v>
      </c>
      <c r="D68" s="1250" t="s">
        <v>5343</v>
      </c>
      <c r="E68" s="328">
        <f>'NUHM-Non Metro Abst'!N68</f>
        <v>0</v>
      </c>
      <c r="F68" s="328">
        <f>'NUHM-Non Metro Abst'!Q68</f>
        <v>0</v>
      </c>
      <c r="G68" s="328">
        <f>'NUHM Metro Abst'!N68</f>
        <v>0</v>
      </c>
      <c r="H68" s="328">
        <f>'NUHM Metro Abst'!Q68</f>
        <v>0</v>
      </c>
      <c r="I68" s="201">
        <f t="shared" si="0"/>
        <v>0</v>
      </c>
      <c r="J68" s="328">
        <f t="shared" si="1"/>
        <v>0</v>
      </c>
    </row>
    <row r="69" spans="1:10">
      <c r="A69" s="243" t="s">
        <v>3158</v>
      </c>
      <c r="B69" s="419"/>
      <c r="C69" s="425" t="s">
        <v>5587</v>
      </c>
      <c r="D69" s="1250" t="s">
        <v>5343</v>
      </c>
      <c r="E69" s="328">
        <f>'NUHM-Non Metro Abst'!N69</f>
        <v>20.499999000000003</v>
      </c>
      <c r="F69" s="328">
        <f>'NUHM-Non Metro Abst'!Q69</f>
        <v>0</v>
      </c>
      <c r="G69" s="328">
        <f>'NUHM Metro Abst'!N69</f>
        <v>0</v>
      </c>
      <c r="H69" s="328">
        <f>'NUHM Metro Abst'!Q69</f>
        <v>0</v>
      </c>
      <c r="I69" s="201">
        <f t="shared" si="0"/>
        <v>20.499999000000003</v>
      </c>
      <c r="J69" s="328">
        <f t="shared" si="1"/>
        <v>0</v>
      </c>
    </row>
    <row r="70" spans="1:10">
      <c r="A70" s="141" t="s">
        <v>3159</v>
      </c>
      <c r="B70" s="141"/>
      <c r="C70" s="141" t="s">
        <v>2971</v>
      </c>
      <c r="D70" s="141"/>
      <c r="E70" s="410">
        <f>'NUHM-Non Metro Abst'!N70</f>
        <v>162.15</v>
      </c>
      <c r="F70" s="410">
        <f>'NUHM-Non Metro Abst'!Q70</f>
        <v>0</v>
      </c>
      <c r="G70" s="410">
        <f>'NUHM Metro Abst'!N70</f>
        <v>0</v>
      </c>
      <c r="H70" s="410">
        <f>'NUHM Metro Abst'!Q70</f>
        <v>0</v>
      </c>
      <c r="I70" s="148">
        <f t="shared" si="0"/>
        <v>162.15</v>
      </c>
      <c r="J70" s="410">
        <f t="shared" si="1"/>
        <v>0</v>
      </c>
    </row>
    <row r="71" spans="1:10">
      <c r="A71" s="412" t="s">
        <v>3160</v>
      </c>
      <c r="B71" s="412" t="s">
        <v>2972</v>
      </c>
      <c r="C71" s="412" t="s">
        <v>2973</v>
      </c>
      <c r="D71" s="412"/>
      <c r="E71" s="413">
        <f>'NUHM-Non Metro Abst'!N71</f>
        <v>120</v>
      </c>
      <c r="F71" s="413">
        <f>'NUHM-Non Metro Abst'!Q71</f>
        <v>0</v>
      </c>
      <c r="G71" s="413">
        <f>'NUHM Metro Abst'!N71</f>
        <v>0</v>
      </c>
      <c r="H71" s="413">
        <f>'NUHM Metro Abst'!Q71</f>
        <v>0</v>
      </c>
      <c r="I71" s="149">
        <f t="shared" si="0"/>
        <v>120</v>
      </c>
      <c r="J71" s="413">
        <f t="shared" si="1"/>
        <v>0</v>
      </c>
    </row>
    <row r="72" spans="1:10">
      <c r="A72" s="426" t="s">
        <v>3161</v>
      </c>
      <c r="B72" s="1250" t="s">
        <v>2974</v>
      </c>
      <c r="C72" s="1250" t="s">
        <v>2975</v>
      </c>
      <c r="D72" s="1250" t="s">
        <v>5341</v>
      </c>
      <c r="E72" s="328">
        <f>'NUHM-Non Metro Abst'!N72</f>
        <v>30</v>
      </c>
      <c r="F72" s="328">
        <f>'NUHM-Non Metro Abst'!Q72</f>
        <v>0</v>
      </c>
      <c r="G72" s="328">
        <f>'NUHM Metro Abst'!N72</f>
        <v>0</v>
      </c>
      <c r="H72" s="328">
        <f>'NUHM Metro Abst'!Q72</f>
        <v>0</v>
      </c>
      <c r="I72" s="201">
        <f t="shared" si="0"/>
        <v>30</v>
      </c>
      <c r="J72" s="328">
        <f t="shared" si="1"/>
        <v>0</v>
      </c>
    </row>
    <row r="73" spans="1:10">
      <c r="A73" s="426" t="s">
        <v>3162</v>
      </c>
      <c r="B73" s="1250" t="s">
        <v>2976</v>
      </c>
      <c r="C73" s="1250" t="s">
        <v>2977</v>
      </c>
      <c r="D73" s="1250" t="s">
        <v>5341</v>
      </c>
      <c r="E73" s="328">
        <f>'NUHM-Non Metro Abst'!N73</f>
        <v>90</v>
      </c>
      <c r="F73" s="328">
        <f>'NUHM-Non Metro Abst'!Q73</f>
        <v>0</v>
      </c>
      <c r="G73" s="328">
        <f>'NUHM Metro Abst'!N73</f>
        <v>0</v>
      </c>
      <c r="H73" s="328">
        <f>'NUHM Metro Abst'!Q73</f>
        <v>0</v>
      </c>
      <c r="I73" s="201">
        <f t="shared" si="0"/>
        <v>90</v>
      </c>
      <c r="J73" s="328">
        <f t="shared" si="1"/>
        <v>0</v>
      </c>
    </row>
    <row r="74" spans="1:10">
      <c r="A74" s="412" t="s">
        <v>3163</v>
      </c>
      <c r="B74" s="412" t="s">
        <v>2978</v>
      </c>
      <c r="C74" s="412" t="s">
        <v>2979</v>
      </c>
      <c r="D74" s="1250" t="s">
        <v>5341</v>
      </c>
      <c r="E74" s="413">
        <f>'NUHM-Non Metro Abst'!N74</f>
        <v>0</v>
      </c>
      <c r="F74" s="413">
        <f>'NUHM-Non Metro Abst'!Q74</f>
        <v>0</v>
      </c>
      <c r="G74" s="413">
        <f>'NUHM Metro Abst'!N74</f>
        <v>0</v>
      </c>
      <c r="H74" s="413">
        <f>'NUHM Metro Abst'!Q74</f>
        <v>0</v>
      </c>
      <c r="I74" s="149">
        <f t="shared" si="0"/>
        <v>0</v>
      </c>
      <c r="J74" s="413">
        <f t="shared" si="1"/>
        <v>0</v>
      </c>
    </row>
    <row r="75" spans="1:10">
      <c r="A75" s="412" t="s">
        <v>3164</v>
      </c>
      <c r="B75" s="412" t="s">
        <v>2980</v>
      </c>
      <c r="C75" s="412" t="s">
        <v>2981</v>
      </c>
      <c r="D75" s="1250" t="s">
        <v>5341</v>
      </c>
      <c r="E75" s="413">
        <f>'NUHM-Non Metro Abst'!N75</f>
        <v>0</v>
      </c>
      <c r="F75" s="413">
        <f>'NUHM-Non Metro Abst'!Q75</f>
        <v>0</v>
      </c>
      <c r="G75" s="413">
        <f>'NUHM Metro Abst'!N75</f>
        <v>0</v>
      </c>
      <c r="H75" s="413">
        <f>'NUHM Metro Abst'!Q75</f>
        <v>0</v>
      </c>
      <c r="I75" s="149">
        <f t="shared" si="0"/>
        <v>0</v>
      </c>
      <c r="J75" s="413">
        <f t="shared" si="1"/>
        <v>0</v>
      </c>
    </row>
    <row r="76" spans="1:10">
      <c r="A76" s="412" t="s">
        <v>3165</v>
      </c>
      <c r="B76" s="412" t="s">
        <v>2982</v>
      </c>
      <c r="C76" s="412" t="s">
        <v>2983</v>
      </c>
      <c r="D76" s="424" t="s">
        <v>5343</v>
      </c>
      <c r="E76" s="413">
        <f>'NUHM-Non Metro Abst'!N76</f>
        <v>42.150000000000006</v>
      </c>
      <c r="F76" s="413">
        <f>'NUHM-Non Metro Abst'!Q76</f>
        <v>0</v>
      </c>
      <c r="G76" s="413">
        <f>'NUHM Metro Abst'!N76</f>
        <v>0</v>
      </c>
      <c r="H76" s="413">
        <f>'NUHM Metro Abst'!Q76</f>
        <v>0</v>
      </c>
      <c r="I76" s="149">
        <f t="shared" si="0"/>
        <v>42.150000000000006</v>
      </c>
      <c r="J76" s="413">
        <f t="shared" si="1"/>
        <v>0</v>
      </c>
    </row>
    <row r="77" spans="1:10">
      <c r="A77" s="141" t="s">
        <v>3166</v>
      </c>
      <c r="B77" s="141"/>
      <c r="C77" s="141" t="s">
        <v>14</v>
      </c>
      <c r="D77" s="141"/>
      <c r="E77" s="410">
        <f>'NUHM-Non Metro Abst'!N77</f>
        <v>232</v>
      </c>
      <c r="F77" s="410">
        <f>'NUHM-Non Metro Abst'!Q77</f>
        <v>0</v>
      </c>
      <c r="G77" s="410">
        <f>'NUHM Metro Abst'!N77</f>
        <v>0</v>
      </c>
      <c r="H77" s="410">
        <f>'NUHM Metro Abst'!Q77</f>
        <v>0</v>
      </c>
      <c r="I77" s="148">
        <f t="shared" si="0"/>
        <v>232</v>
      </c>
      <c r="J77" s="410">
        <f t="shared" si="1"/>
        <v>0</v>
      </c>
    </row>
    <row r="78" spans="1:10">
      <c r="A78" s="412" t="s">
        <v>3167</v>
      </c>
      <c r="B78" s="412"/>
      <c r="C78" s="412" t="s">
        <v>15</v>
      </c>
      <c r="D78" s="412"/>
      <c r="E78" s="413">
        <f>'NUHM-Non Metro Abst'!N78</f>
        <v>222</v>
      </c>
      <c r="F78" s="413">
        <f>'NUHM-Non Metro Abst'!Q78</f>
        <v>0</v>
      </c>
      <c r="G78" s="413">
        <f>'NUHM Metro Abst'!N78</f>
        <v>0</v>
      </c>
      <c r="H78" s="413">
        <f>'NUHM Metro Abst'!Q78</f>
        <v>0</v>
      </c>
      <c r="I78" s="149">
        <f t="shared" ref="I78:I141" si="4">E78+G78</f>
        <v>222</v>
      </c>
      <c r="J78" s="413">
        <f t="shared" ref="J78:J141" si="5">F78+H78</f>
        <v>0</v>
      </c>
    </row>
    <row r="79" spans="1:10">
      <c r="A79" s="1250" t="s">
        <v>3168</v>
      </c>
      <c r="B79" s="1249" t="s">
        <v>2984</v>
      </c>
      <c r="C79" s="414" t="s">
        <v>2985</v>
      </c>
      <c r="D79" s="1250" t="s">
        <v>5341</v>
      </c>
      <c r="E79" s="328">
        <f>'NUHM-Non Metro Abst'!N79</f>
        <v>0</v>
      </c>
      <c r="F79" s="328">
        <f>'NUHM-Non Metro Abst'!Q79</f>
        <v>0</v>
      </c>
      <c r="G79" s="328">
        <f>'NUHM Metro Abst'!N79</f>
        <v>0</v>
      </c>
      <c r="H79" s="328">
        <f>'NUHM Metro Abst'!Q79</f>
        <v>0</v>
      </c>
      <c r="I79" s="201">
        <f t="shared" si="4"/>
        <v>0</v>
      </c>
      <c r="J79" s="328">
        <f t="shared" si="5"/>
        <v>0</v>
      </c>
    </row>
    <row r="80" spans="1:10">
      <c r="A80" s="1250" t="s">
        <v>3169</v>
      </c>
      <c r="B80" s="1249" t="s">
        <v>2986</v>
      </c>
      <c r="C80" s="414" t="s">
        <v>2987</v>
      </c>
      <c r="D80" s="1250" t="s">
        <v>5341</v>
      </c>
      <c r="E80" s="328">
        <f>'NUHM-Non Metro Abst'!N80</f>
        <v>0</v>
      </c>
      <c r="F80" s="328">
        <f>'NUHM-Non Metro Abst'!Q80</f>
        <v>0</v>
      </c>
      <c r="G80" s="328">
        <f>'NUHM Metro Abst'!N80</f>
        <v>0</v>
      </c>
      <c r="H80" s="328">
        <f>'NUHM Metro Abst'!Q80</f>
        <v>0</v>
      </c>
      <c r="I80" s="201">
        <f t="shared" si="4"/>
        <v>0</v>
      </c>
      <c r="J80" s="328">
        <f t="shared" si="5"/>
        <v>0</v>
      </c>
    </row>
    <row r="81" spans="1:10">
      <c r="A81" s="1250" t="s">
        <v>3170</v>
      </c>
      <c r="B81" s="1249" t="s">
        <v>2986</v>
      </c>
      <c r="C81" s="414" t="s">
        <v>2988</v>
      </c>
      <c r="D81" s="1250" t="s">
        <v>5341</v>
      </c>
      <c r="E81" s="328">
        <f>'NUHM-Non Metro Abst'!N81</f>
        <v>0</v>
      </c>
      <c r="F81" s="328">
        <f>'NUHM-Non Metro Abst'!Q81</f>
        <v>0</v>
      </c>
      <c r="G81" s="328">
        <f>'NUHM Metro Abst'!N81</f>
        <v>0</v>
      </c>
      <c r="H81" s="328">
        <f>'NUHM Metro Abst'!Q81</f>
        <v>0</v>
      </c>
      <c r="I81" s="201">
        <f t="shared" si="4"/>
        <v>0</v>
      </c>
      <c r="J81" s="328">
        <f t="shared" si="5"/>
        <v>0</v>
      </c>
    </row>
    <row r="82" spans="1:10">
      <c r="A82" s="1250" t="s">
        <v>3171</v>
      </c>
      <c r="B82" s="1250" t="s">
        <v>2989</v>
      </c>
      <c r="C82" s="1250" t="s">
        <v>2990</v>
      </c>
      <c r="D82" s="1250" t="s">
        <v>5341</v>
      </c>
      <c r="E82" s="328">
        <f>'NUHM-Non Metro Abst'!N82</f>
        <v>222</v>
      </c>
      <c r="F82" s="328">
        <f>'NUHM-Non Metro Abst'!Q82</f>
        <v>0</v>
      </c>
      <c r="G82" s="328">
        <f>'NUHM Metro Abst'!N82</f>
        <v>0</v>
      </c>
      <c r="H82" s="328">
        <f>'NUHM Metro Abst'!Q82</f>
        <v>0</v>
      </c>
      <c r="I82" s="201">
        <f t="shared" si="4"/>
        <v>222</v>
      </c>
      <c r="J82" s="328">
        <f t="shared" si="5"/>
        <v>0</v>
      </c>
    </row>
    <row r="83" spans="1:10">
      <c r="A83" s="1250" t="s">
        <v>5300</v>
      </c>
      <c r="B83" s="1250"/>
      <c r="C83" s="1250" t="s">
        <v>1310</v>
      </c>
      <c r="D83" s="1250" t="s">
        <v>5341</v>
      </c>
      <c r="E83" s="328">
        <f>'NUHM-Non Metro Abst'!N83</f>
        <v>0</v>
      </c>
      <c r="F83" s="328">
        <f>'NUHM-Non Metro Abst'!Q83</f>
        <v>0</v>
      </c>
      <c r="G83" s="328">
        <f>'NUHM Metro Abst'!N83</f>
        <v>0</v>
      </c>
      <c r="H83" s="328">
        <f>'NUHM Metro Abst'!Q83</f>
        <v>0</v>
      </c>
      <c r="I83" s="201">
        <f t="shared" si="4"/>
        <v>0</v>
      </c>
      <c r="J83" s="328">
        <f t="shared" si="5"/>
        <v>0</v>
      </c>
    </row>
    <row r="84" spans="1:10">
      <c r="A84" s="412" t="s">
        <v>3172</v>
      </c>
      <c r="B84" s="412"/>
      <c r="C84" s="412" t="s">
        <v>16</v>
      </c>
      <c r="D84" s="412"/>
      <c r="E84" s="413">
        <f>'NUHM-Non Metro Abst'!N84</f>
        <v>0</v>
      </c>
      <c r="F84" s="413">
        <f>'NUHM-Non Metro Abst'!Q84</f>
        <v>0</v>
      </c>
      <c r="G84" s="413">
        <f>'NUHM Metro Abst'!N84</f>
        <v>0</v>
      </c>
      <c r="H84" s="413">
        <f>'NUHM Metro Abst'!Q84</f>
        <v>0</v>
      </c>
      <c r="I84" s="149">
        <f t="shared" si="4"/>
        <v>0</v>
      </c>
      <c r="J84" s="413">
        <f t="shared" si="5"/>
        <v>0</v>
      </c>
    </row>
    <row r="85" spans="1:10">
      <c r="A85" s="1250" t="s">
        <v>3173</v>
      </c>
      <c r="B85" s="1250" t="s">
        <v>2991</v>
      </c>
      <c r="C85" s="1250" t="s">
        <v>2985</v>
      </c>
      <c r="D85" s="1250" t="s">
        <v>5341</v>
      </c>
      <c r="E85" s="328">
        <f>'NUHM-Non Metro Abst'!N85</f>
        <v>0</v>
      </c>
      <c r="F85" s="328">
        <f>'NUHM-Non Metro Abst'!Q85</f>
        <v>0</v>
      </c>
      <c r="G85" s="328">
        <f>'NUHM Metro Abst'!N85</f>
        <v>0</v>
      </c>
      <c r="H85" s="328">
        <f>'NUHM Metro Abst'!Q85</f>
        <v>0</v>
      </c>
      <c r="I85" s="201">
        <f t="shared" si="4"/>
        <v>0</v>
      </c>
      <c r="J85" s="328">
        <f t="shared" si="5"/>
        <v>0</v>
      </c>
    </row>
    <row r="86" spans="1:10">
      <c r="A86" s="1250" t="s">
        <v>3174</v>
      </c>
      <c r="B86" s="1250" t="s">
        <v>2992</v>
      </c>
      <c r="C86" s="1250" t="s">
        <v>2987</v>
      </c>
      <c r="D86" s="1250" t="s">
        <v>5341</v>
      </c>
      <c r="E86" s="328">
        <f>'NUHM-Non Metro Abst'!N86</f>
        <v>0</v>
      </c>
      <c r="F86" s="328">
        <f>'NUHM-Non Metro Abst'!Q86</f>
        <v>0</v>
      </c>
      <c r="G86" s="328">
        <f>'NUHM Metro Abst'!N86</f>
        <v>0</v>
      </c>
      <c r="H86" s="328">
        <f>'NUHM Metro Abst'!Q86</f>
        <v>0</v>
      </c>
      <c r="I86" s="201">
        <f t="shared" si="4"/>
        <v>0</v>
      </c>
      <c r="J86" s="328">
        <f t="shared" si="5"/>
        <v>0</v>
      </c>
    </row>
    <row r="87" spans="1:10">
      <c r="A87" s="1250" t="s">
        <v>3175</v>
      </c>
      <c r="B87" s="1250" t="s">
        <v>2993</v>
      </c>
      <c r="C87" s="1250" t="s">
        <v>2994</v>
      </c>
      <c r="D87" s="1250" t="s">
        <v>5341</v>
      </c>
      <c r="E87" s="328">
        <f>'NUHM-Non Metro Abst'!N87</f>
        <v>0</v>
      </c>
      <c r="F87" s="328">
        <f>'NUHM-Non Metro Abst'!Q87</f>
        <v>0</v>
      </c>
      <c r="G87" s="328">
        <f>'NUHM Metro Abst'!N87</f>
        <v>0</v>
      </c>
      <c r="H87" s="328">
        <f>'NUHM Metro Abst'!Q87</f>
        <v>0</v>
      </c>
      <c r="I87" s="201">
        <f t="shared" si="4"/>
        <v>0</v>
      </c>
      <c r="J87" s="328">
        <f t="shared" si="5"/>
        <v>0</v>
      </c>
    </row>
    <row r="88" spans="1:10">
      <c r="A88" s="412" t="s">
        <v>3176</v>
      </c>
      <c r="B88" s="412"/>
      <c r="C88" s="412" t="s">
        <v>17</v>
      </c>
      <c r="D88" s="412"/>
      <c r="E88" s="413">
        <f>'NUHM-Non Metro Abst'!N88</f>
        <v>10</v>
      </c>
      <c r="F88" s="413">
        <f>'NUHM-Non Metro Abst'!Q88</f>
        <v>0</v>
      </c>
      <c r="G88" s="413">
        <f>'NUHM Metro Abst'!N88</f>
        <v>0</v>
      </c>
      <c r="H88" s="413">
        <f>'NUHM Metro Abst'!Q88</f>
        <v>0</v>
      </c>
      <c r="I88" s="149">
        <f t="shared" si="4"/>
        <v>10</v>
      </c>
      <c r="J88" s="413">
        <f t="shared" si="5"/>
        <v>0</v>
      </c>
    </row>
    <row r="89" spans="1:10">
      <c r="A89" s="1250" t="s">
        <v>3177</v>
      </c>
      <c r="B89" s="1249"/>
      <c r="C89" s="414" t="s">
        <v>3922</v>
      </c>
      <c r="D89" s="1250" t="s">
        <v>5342</v>
      </c>
      <c r="E89" s="328">
        <f>'NUHM-Non Metro Abst'!N89</f>
        <v>10</v>
      </c>
      <c r="F89" s="328">
        <f>'NUHM-Non Metro Abst'!Q89</f>
        <v>0</v>
      </c>
      <c r="G89" s="328">
        <f>'NUHM Metro Abst'!N89</f>
        <v>0</v>
      </c>
      <c r="H89" s="328">
        <f>'NUHM Metro Abst'!Q89</f>
        <v>0</v>
      </c>
      <c r="I89" s="201">
        <f t="shared" si="4"/>
        <v>10</v>
      </c>
      <c r="J89" s="328">
        <f t="shared" si="5"/>
        <v>0</v>
      </c>
    </row>
    <row r="90" spans="1:10">
      <c r="A90" s="1250" t="s">
        <v>4009</v>
      </c>
      <c r="B90" s="427"/>
      <c r="C90" s="414" t="s">
        <v>3869</v>
      </c>
      <c r="D90" s="1250" t="s">
        <v>5341</v>
      </c>
      <c r="E90" s="328">
        <f>'NUHM-Non Metro Abst'!N90</f>
        <v>0</v>
      </c>
      <c r="F90" s="328">
        <f>'NUHM-Non Metro Abst'!Q90</f>
        <v>0</v>
      </c>
      <c r="G90" s="328">
        <f>'NUHM Metro Abst'!N90</f>
        <v>0</v>
      </c>
      <c r="H90" s="328">
        <f>'NUHM Metro Abst'!Q90</f>
        <v>0</v>
      </c>
      <c r="I90" s="201">
        <f t="shared" si="4"/>
        <v>0</v>
      </c>
      <c r="J90" s="328">
        <f t="shared" si="5"/>
        <v>0</v>
      </c>
    </row>
    <row r="91" spans="1:10">
      <c r="A91" s="141" t="s">
        <v>3178</v>
      </c>
      <c r="B91" s="141"/>
      <c r="C91" s="141" t="s">
        <v>18</v>
      </c>
      <c r="D91" s="141"/>
      <c r="E91" s="410">
        <f>'NUHM-Non Metro Abst'!N91</f>
        <v>558.26967000000002</v>
      </c>
      <c r="F91" s="410">
        <f>'NUHM-Non Metro Abst'!Q91</f>
        <v>0</v>
      </c>
      <c r="G91" s="410">
        <f>'NUHM Metro Abst'!N91</f>
        <v>0</v>
      </c>
      <c r="H91" s="410">
        <f>'NUHM Metro Abst'!Q91</f>
        <v>0</v>
      </c>
      <c r="I91" s="148">
        <f t="shared" si="4"/>
        <v>558.26967000000002</v>
      </c>
      <c r="J91" s="410">
        <f t="shared" si="5"/>
        <v>0</v>
      </c>
    </row>
    <row r="92" spans="1:10">
      <c r="A92" s="412" t="s">
        <v>3179</v>
      </c>
      <c r="B92" s="412"/>
      <c r="C92" s="412" t="s">
        <v>1585</v>
      </c>
      <c r="D92" s="412"/>
      <c r="E92" s="413">
        <f>'NUHM-Non Metro Abst'!N92</f>
        <v>62.26</v>
      </c>
      <c r="F92" s="413">
        <f>'NUHM-Non Metro Abst'!Q92</f>
        <v>0</v>
      </c>
      <c r="G92" s="413">
        <f>'NUHM Metro Abst'!N92</f>
        <v>0</v>
      </c>
      <c r="H92" s="413">
        <f>'NUHM Metro Abst'!Q92</f>
        <v>0</v>
      </c>
      <c r="I92" s="149">
        <f t="shared" si="4"/>
        <v>62.26</v>
      </c>
      <c r="J92" s="413">
        <f t="shared" si="5"/>
        <v>0</v>
      </c>
    </row>
    <row r="93" spans="1:10" s="400" customFormat="1">
      <c r="A93" s="91" t="s">
        <v>3180</v>
      </c>
      <c r="B93" s="79"/>
      <c r="C93" s="424" t="s">
        <v>4558</v>
      </c>
      <c r="D93" s="1250" t="s">
        <v>5342</v>
      </c>
      <c r="E93" s="328">
        <f>'NUHM-Non Metro Abst'!N93</f>
        <v>0</v>
      </c>
      <c r="F93" s="328">
        <f>'NUHM-Non Metro Abst'!Q93</f>
        <v>0</v>
      </c>
      <c r="G93" s="328">
        <f>'NUHM Metro Abst'!N93</f>
        <v>0</v>
      </c>
      <c r="H93" s="328">
        <f>'NUHM Metro Abst'!Q93</f>
        <v>0</v>
      </c>
      <c r="I93" s="201">
        <f t="shared" si="4"/>
        <v>0</v>
      </c>
      <c r="J93" s="328">
        <f t="shared" si="5"/>
        <v>0</v>
      </c>
    </row>
    <row r="94" spans="1:10">
      <c r="A94" s="1250" t="s">
        <v>3181</v>
      </c>
      <c r="B94" s="1250" t="s">
        <v>2995</v>
      </c>
      <c r="C94" s="1250" t="s">
        <v>2996</v>
      </c>
      <c r="D94" s="1250" t="s">
        <v>5344</v>
      </c>
      <c r="E94" s="328">
        <f>'NUHM-Non Metro Abst'!N94</f>
        <v>0</v>
      </c>
      <c r="F94" s="328">
        <f>'NUHM-Non Metro Abst'!Q94</f>
        <v>0</v>
      </c>
      <c r="G94" s="328">
        <f>'NUHM Metro Abst'!N94</f>
        <v>0</v>
      </c>
      <c r="H94" s="328">
        <f>'NUHM Metro Abst'!Q94</f>
        <v>0</v>
      </c>
      <c r="I94" s="201">
        <f t="shared" si="4"/>
        <v>0</v>
      </c>
      <c r="J94" s="328">
        <f t="shared" si="5"/>
        <v>0</v>
      </c>
    </row>
    <row r="95" spans="1:10">
      <c r="A95" s="1250" t="s">
        <v>3182</v>
      </c>
      <c r="B95" s="1250" t="s">
        <v>2997</v>
      </c>
      <c r="C95" s="1250" t="s">
        <v>2998</v>
      </c>
      <c r="D95" s="1250" t="s">
        <v>5344</v>
      </c>
      <c r="E95" s="328">
        <f>'NUHM-Non Metro Abst'!N95</f>
        <v>0</v>
      </c>
      <c r="F95" s="328">
        <f>'NUHM-Non Metro Abst'!Q95</f>
        <v>0</v>
      </c>
      <c r="G95" s="328">
        <f>'NUHM Metro Abst'!N95</f>
        <v>0</v>
      </c>
      <c r="H95" s="328">
        <f>'NUHM Metro Abst'!Q95</f>
        <v>0</v>
      </c>
      <c r="I95" s="201">
        <f t="shared" si="4"/>
        <v>0</v>
      </c>
      <c r="J95" s="328">
        <f t="shared" si="5"/>
        <v>0</v>
      </c>
    </row>
    <row r="96" spans="1:10">
      <c r="A96" s="1250" t="s">
        <v>3307</v>
      </c>
      <c r="B96" s="1250" t="s">
        <v>2999</v>
      </c>
      <c r="C96" s="1250" t="s">
        <v>3000</v>
      </c>
      <c r="D96" s="1250" t="s">
        <v>5344</v>
      </c>
      <c r="E96" s="328">
        <f>'NUHM-Non Metro Abst'!N96</f>
        <v>0</v>
      </c>
      <c r="F96" s="328">
        <f>'NUHM-Non Metro Abst'!Q96</f>
        <v>0</v>
      </c>
      <c r="G96" s="328">
        <f>'NUHM Metro Abst'!N96</f>
        <v>0</v>
      </c>
      <c r="H96" s="328">
        <f>'NUHM Metro Abst'!Q96</f>
        <v>0</v>
      </c>
      <c r="I96" s="201">
        <f t="shared" si="4"/>
        <v>0</v>
      </c>
      <c r="J96" s="328">
        <f t="shared" si="5"/>
        <v>0</v>
      </c>
    </row>
    <row r="97" spans="1:10">
      <c r="A97" s="1250" t="s">
        <v>4557</v>
      </c>
      <c r="B97" s="1250"/>
      <c r="C97" s="1250" t="s">
        <v>5302</v>
      </c>
      <c r="D97" s="1250" t="s">
        <v>5344</v>
      </c>
      <c r="E97" s="328">
        <f>'NUHM-Non Metro Abst'!N97</f>
        <v>0</v>
      </c>
      <c r="F97" s="328">
        <f>'NUHM-Non Metro Abst'!Q97</f>
        <v>0</v>
      </c>
      <c r="G97" s="328">
        <f>'NUHM Metro Abst'!N97</f>
        <v>0</v>
      </c>
      <c r="H97" s="328">
        <f>'NUHM Metro Abst'!Q97</f>
        <v>0</v>
      </c>
      <c r="I97" s="201">
        <f t="shared" si="4"/>
        <v>0</v>
      </c>
      <c r="J97" s="328">
        <f t="shared" si="5"/>
        <v>0</v>
      </c>
    </row>
    <row r="98" spans="1:10">
      <c r="A98" s="1250" t="s">
        <v>5301</v>
      </c>
      <c r="B98" s="1250"/>
      <c r="C98" s="1250" t="s">
        <v>1310</v>
      </c>
      <c r="D98" s="1250" t="s">
        <v>5344</v>
      </c>
      <c r="E98" s="328">
        <f>'NUHM-Non Metro Abst'!N98</f>
        <v>7.2600000000000007</v>
      </c>
      <c r="F98" s="328">
        <f>'NUHM-Non Metro Abst'!Q98</f>
        <v>0</v>
      </c>
      <c r="G98" s="328">
        <f>'NUHM Metro Abst'!N98</f>
        <v>0</v>
      </c>
      <c r="H98" s="328">
        <f>'NUHM Metro Abst'!Q98</f>
        <v>0</v>
      </c>
      <c r="I98" s="201">
        <f t="shared" si="4"/>
        <v>7.2600000000000007</v>
      </c>
      <c r="J98" s="328">
        <f t="shared" si="5"/>
        <v>0</v>
      </c>
    </row>
    <row r="99" spans="1:10" s="428" customFormat="1">
      <c r="A99" s="79" t="s">
        <v>5305</v>
      </c>
      <c r="B99" s="79" t="s">
        <v>3191</v>
      </c>
      <c r="C99" s="79" t="s">
        <v>4949</v>
      </c>
      <c r="D99" s="79"/>
      <c r="E99" s="328">
        <f>'NUHM-Non Metro Abst'!N99</f>
        <v>55</v>
      </c>
      <c r="F99" s="328">
        <f>'NUHM-Non Metro Abst'!Q99</f>
        <v>0</v>
      </c>
      <c r="G99" s="328">
        <f>'NUHM Metro Abst'!N99</f>
        <v>0</v>
      </c>
      <c r="H99" s="328">
        <f>'NUHM Metro Abst'!Q99</f>
        <v>0</v>
      </c>
      <c r="I99" s="201">
        <f t="shared" si="4"/>
        <v>55</v>
      </c>
      <c r="J99" s="328">
        <f t="shared" si="5"/>
        <v>0</v>
      </c>
    </row>
    <row r="100" spans="1:10" ht="30">
      <c r="A100" s="1250" t="s">
        <v>5306</v>
      </c>
      <c r="B100" s="1250" t="s">
        <v>4577</v>
      </c>
      <c r="C100" s="91" t="s">
        <v>4575</v>
      </c>
      <c r="D100" s="91" t="s">
        <v>5342</v>
      </c>
      <c r="E100" s="328">
        <f>'NUHM-Non Metro Abst'!N100</f>
        <v>55</v>
      </c>
      <c r="F100" s="328">
        <f>'NUHM-Non Metro Abst'!Q100</f>
        <v>0</v>
      </c>
      <c r="G100" s="328">
        <f>'NUHM Metro Abst'!N100</f>
        <v>0</v>
      </c>
      <c r="H100" s="328">
        <f>'NUHM Metro Abst'!Q100</f>
        <v>0</v>
      </c>
      <c r="I100" s="201">
        <f t="shared" si="4"/>
        <v>55</v>
      </c>
      <c r="J100" s="328">
        <f t="shared" si="5"/>
        <v>0</v>
      </c>
    </row>
    <row r="101" spans="1:10" ht="30">
      <c r="A101" s="1250" t="s">
        <v>5307</v>
      </c>
      <c r="B101" s="1250" t="s">
        <v>4578</v>
      </c>
      <c r="C101" s="91" t="s">
        <v>4576</v>
      </c>
      <c r="D101" s="91" t="s">
        <v>5341</v>
      </c>
      <c r="E101" s="328">
        <f>'NUHM-Non Metro Abst'!N101</f>
        <v>0</v>
      </c>
      <c r="F101" s="328">
        <f>'NUHM-Non Metro Abst'!Q101</f>
        <v>0</v>
      </c>
      <c r="G101" s="328">
        <f>'NUHM Metro Abst'!N101</f>
        <v>0</v>
      </c>
      <c r="H101" s="328">
        <f>'NUHM Metro Abst'!Q101</f>
        <v>0</v>
      </c>
      <c r="I101" s="201">
        <f t="shared" si="4"/>
        <v>0</v>
      </c>
      <c r="J101" s="328">
        <f t="shared" si="5"/>
        <v>0</v>
      </c>
    </row>
    <row r="102" spans="1:10">
      <c r="A102" s="1250" t="s">
        <v>5308</v>
      </c>
      <c r="B102" s="1250" t="s">
        <v>4579</v>
      </c>
      <c r="C102" s="91" t="s">
        <v>2970</v>
      </c>
      <c r="D102" s="91" t="s">
        <v>5341</v>
      </c>
      <c r="E102" s="328">
        <f>'NUHM-Non Metro Abst'!N102</f>
        <v>0</v>
      </c>
      <c r="F102" s="328">
        <f>'NUHM-Non Metro Abst'!Q102</f>
        <v>0</v>
      </c>
      <c r="G102" s="328">
        <f>'NUHM Metro Abst'!N102</f>
        <v>0</v>
      </c>
      <c r="H102" s="328">
        <f>'NUHM Metro Abst'!Q102</f>
        <v>0</v>
      </c>
      <c r="I102" s="201">
        <f t="shared" si="4"/>
        <v>0</v>
      </c>
      <c r="J102" s="328">
        <f t="shared" si="5"/>
        <v>0</v>
      </c>
    </row>
    <row r="103" spans="1:10">
      <c r="A103" s="412" t="s">
        <v>3183</v>
      </c>
      <c r="B103" s="412"/>
      <c r="C103" s="412" t="s">
        <v>4562</v>
      </c>
      <c r="D103" s="412"/>
      <c r="E103" s="413">
        <f>'NUHM-Non Metro Abst'!N103</f>
        <v>357.26</v>
      </c>
      <c r="F103" s="413">
        <f>'NUHM-Non Metro Abst'!Q103</f>
        <v>0</v>
      </c>
      <c r="G103" s="413">
        <f>'NUHM Metro Abst'!N103</f>
        <v>0</v>
      </c>
      <c r="H103" s="413">
        <f>'NUHM Metro Abst'!Q103</f>
        <v>0</v>
      </c>
      <c r="I103" s="149">
        <f t="shared" si="4"/>
        <v>357.26</v>
      </c>
      <c r="J103" s="413">
        <f t="shared" si="5"/>
        <v>0</v>
      </c>
    </row>
    <row r="104" spans="1:10" s="430" customFormat="1">
      <c r="A104" s="429" t="s">
        <v>3184</v>
      </c>
      <c r="B104" s="429"/>
      <c r="C104" s="429" t="s">
        <v>4559</v>
      </c>
      <c r="D104" s="429"/>
      <c r="E104" s="328">
        <f>'NUHM-Non Metro Abst'!N104</f>
        <v>330</v>
      </c>
      <c r="F104" s="328">
        <f>'NUHM-Non Metro Abst'!Q104</f>
        <v>0</v>
      </c>
      <c r="G104" s="328">
        <f>'NUHM Metro Abst'!N104</f>
        <v>0</v>
      </c>
      <c r="H104" s="328">
        <f>'NUHM Metro Abst'!Q104</f>
        <v>0</v>
      </c>
      <c r="I104" s="201">
        <f t="shared" si="4"/>
        <v>330</v>
      </c>
      <c r="J104" s="328">
        <f t="shared" si="5"/>
        <v>0</v>
      </c>
    </row>
    <row r="105" spans="1:10" s="400" customFormat="1">
      <c r="A105" s="91" t="s">
        <v>4567</v>
      </c>
      <c r="B105" s="91" t="s">
        <v>3001</v>
      </c>
      <c r="C105" s="91" t="s">
        <v>4572</v>
      </c>
      <c r="D105" s="91" t="s">
        <v>5342</v>
      </c>
      <c r="E105" s="328">
        <f>'NUHM-Non Metro Abst'!N105</f>
        <v>330</v>
      </c>
      <c r="F105" s="328">
        <f>'NUHM-Non Metro Abst'!Q105</f>
        <v>0</v>
      </c>
      <c r="G105" s="328">
        <f>'NUHM Metro Abst'!N105</f>
        <v>0</v>
      </c>
      <c r="H105" s="328">
        <f>'NUHM Metro Abst'!Q105</f>
        <v>0</v>
      </c>
      <c r="I105" s="201">
        <f t="shared" si="4"/>
        <v>330</v>
      </c>
      <c r="J105" s="328">
        <f t="shared" si="5"/>
        <v>0</v>
      </c>
    </row>
    <row r="106" spans="1:10" s="400" customFormat="1" ht="30">
      <c r="A106" s="91" t="s">
        <v>4568</v>
      </c>
      <c r="B106" s="91" t="s">
        <v>4565</v>
      </c>
      <c r="C106" s="91" t="s">
        <v>4566</v>
      </c>
      <c r="D106" s="91" t="s">
        <v>5342</v>
      </c>
      <c r="E106" s="328">
        <f>'NUHM-Non Metro Abst'!N106</f>
        <v>0</v>
      </c>
      <c r="F106" s="328">
        <f>'NUHM-Non Metro Abst'!Q106</f>
        <v>0</v>
      </c>
      <c r="G106" s="328">
        <f>'NUHM Metro Abst'!N106</f>
        <v>0</v>
      </c>
      <c r="H106" s="328">
        <f>'NUHM Metro Abst'!Q106</f>
        <v>0</v>
      </c>
      <c r="I106" s="201">
        <f t="shared" si="4"/>
        <v>0</v>
      </c>
      <c r="J106" s="328">
        <f t="shared" si="5"/>
        <v>0</v>
      </c>
    </row>
    <row r="107" spans="1:10" s="400" customFormat="1">
      <c r="A107" s="91" t="s">
        <v>5303</v>
      </c>
      <c r="B107" s="91"/>
      <c r="C107" s="91" t="s">
        <v>3869</v>
      </c>
      <c r="D107" s="91" t="s">
        <v>5341</v>
      </c>
      <c r="E107" s="328">
        <f>'NUHM-Non Metro Abst'!N107</f>
        <v>0</v>
      </c>
      <c r="F107" s="328">
        <f>'NUHM-Non Metro Abst'!Q107</f>
        <v>0</v>
      </c>
      <c r="G107" s="328">
        <f>'NUHM Metro Abst'!N107</f>
        <v>0</v>
      </c>
      <c r="H107" s="328">
        <f>'NUHM Metro Abst'!Q107</f>
        <v>0</v>
      </c>
      <c r="I107" s="201">
        <f t="shared" si="4"/>
        <v>0</v>
      </c>
      <c r="J107" s="328">
        <f t="shared" si="5"/>
        <v>0</v>
      </c>
    </row>
    <row r="108" spans="1:10" s="428" customFormat="1">
      <c r="A108" s="431" t="s">
        <v>3185</v>
      </c>
      <c r="B108" s="431"/>
      <c r="C108" s="432" t="s">
        <v>1790</v>
      </c>
      <c r="D108" s="432"/>
      <c r="E108" s="433">
        <f>'NUHM-Non Metro Abst'!N108</f>
        <v>3.5</v>
      </c>
      <c r="F108" s="433">
        <f>'NUHM-Non Metro Abst'!Q108</f>
        <v>0</v>
      </c>
      <c r="G108" s="433">
        <f>'NUHM Metro Abst'!N108</f>
        <v>0</v>
      </c>
      <c r="H108" s="433">
        <f>'NUHM Metro Abst'!Q108</f>
        <v>0</v>
      </c>
      <c r="I108" s="434">
        <f t="shared" si="4"/>
        <v>3.5</v>
      </c>
      <c r="J108" s="433">
        <f t="shared" si="5"/>
        <v>0</v>
      </c>
    </row>
    <row r="109" spans="1:10">
      <c r="A109" s="1250" t="s">
        <v>4569</v>
      </c>
      <c r="B109" s="1250" t="s">
        <v>3002</v>
      </c>
      <c r="C109" s="1250" t="s">
        <v>3003</v>
      </c>
      <c r="D109" s="1250" t="s">
        <v>5343</v>
      </c>
      <c r="E109" s="328">
        <f>'NUHM-Non Metro Abst'!N109</f>
        <v>3.5</v>
      </c>
      <c r="F109" s="328">
        <f>'NUHM-Non Metro Abst'!Q109</f>
        <v>0</v>
      </c>
      <c r="G109" s="328">
        <f>'NUHM Metro Abst'!N109</f>
        <v>0</v>
      </c>
      <c r="H109" s="328">
        <f>'NUHM Metro Abst'!Q109</f>
        <v>0</v>
      </c>
      <c r="I109" s="201">
        <f t="shared" si="4"/>
        <v>3.5</v>
      </c>
      <c r="J109" s="328">
        <f t="shared" si="5"/>
        <v>0</v>
      </c>
    </row>
    <row r="110" spans="1:10">
      <c r="A110" s="1250" t="s">
        <v>4570</v>
      </c>
      <c r="B110" s="1250" t="s">
        <v>3004</v>
      </c>
      <c r="C110" s="1250" t="s">
        <v>5304</v>
      </c>
      <c r="D110" s="1250" t="s">
        <v>5343</v>
      </c>
      <c r="E110" s="328">
        <f>'NUHM-Non Metro Abst'!N110</f>
        <v>0</v>
      </c>
      <c r="F110" s="328">
        <f>'NUHM-Non Metro Abst'!Q110</f>
        <v>0</v>
      </c>
      <c r="G110" s="328">
        <f>'NUHM Metro Abst'!N110</f>
        <v>0</v>
      </c>
      <c r="H110" s="328">
        <f>'NUHM Metro Abst'!Q110</f>
        <v>0</v>
      </c>
      <c r="I110" s="201">
        <f t="shared" si="4"/>
        <v>0</v>
      </c>
      <c r="J110" s="328">
        <f t="shared" si="5"/>
        <v>0</v>
      </c>
    </row>
    <row r="111" spans="1:10" s="428" customFormat="1">
      <c r="A111" s="429" t="s">
        <v>3186</v>
      </c>
      <c r="B111" s="435" t="s">
        <v>3005</v>
      </c>
      <c r="C111" s="435" t="s">
        <v>1877</v>
      </c>
      <c r="D111" s="435" t="s">
        <v>5341</v>
      </c>
      <c r="E111" s="328">
        <f>'NUHM-Non Metro Abst'!N111</f>
        <v>0</v>
      </c>
      <c r="F111" s="328">
        <f>'NUHM-Non Metro Abst'!Q111</f>
        <v>0</v>
      </c>
      <c r="G111" s="328">
        <f>'NUHM Metro Abst'!N111</f>
        <v>0</v>
      </c>
      <c r="H111" s="328">
        <f>'NUHM Metro Abst'!Q111</f>
        <v>0</v>
      </c>
      <c r="I111" s="201">
        <f t="shared" si="4"/>
        <v>0</v>
      </c>
      <c r="J111" s="328">
        <f t="shared" si="5"/>
        <v>0</v>
      </c>
    </row>
    <row r="112" spans="1:10" s="400" customFormat="1">
      <c r="A112" s="436" t="s">
        <v>3187</v>
      </c>
      <c r="B112" s="437"/>
      <c r="C112" s="438" t="s">
        <v>4573</v>
      </c>
      <c r="D112" s="438"/>
      <c r="E112" s="433">
        <f>'NUHM-Non Metro Abst'!N112</f>
        <v>23.76</v>
      </c>
      <c r="F112" s="433">
        <f>'NUHM-Non Metro Abst'!Q112</f>
        <v>0</v>
      </c>
      <c r="G112" s="433">
        <f>'NUHM Metro Abst'!N112</f>
        <v>0</v>
      </c>
      <c r="H112" s="433">
        <f>'NUHM Metro Abst'!Q112</f>
        <v>0</v>
      </c>
      <c r="I112" s="434">
        <f t="shared" si="4"/>
        <v>23.76</v>
      </c>
      <c r="J112" s="433">
        <f t="shared" si="5"/>
        <v>0</v>
      </c>
    </row>
    <row r="113" spans="1:10" s="400" customFormat="1" ht="30">
      <c r="A113" s="429" t="s">
        <v>3188</v>
      </c>
      <c r="B113" s="91"/>
      <c r="C113" s="91" t="s">
        <v>4571</v>
      </c>
      <c r="D113" s="91" t="s">
        <v>5342</v>
      </c>
      <c r="E113" s="328">
        <f>'NUHM-Non Metro Abst'!N113</f>
        <v>22</v>
      </c>
      <c r="F113" s="328">
        <f>'NUHM-Non Metro Abst'!Q113</f>
        <v>0</v>
      </c>
      <c r="G113" s="328">
        <f>'NUHM Metro Abst'!N113</f>
        <v>0</v>
      </c>
      <c r="H113" s="328">
        <f>'NUHM Metro Abst'!Q113</f>
        <v>0</v>
      </c>
      <c r="I113" s="201">
        <f t="shared" si="4"/>
        <v>22</v>
      </c>
      <c r="J113" s="328">
        <f t="shared" si="5"/>
        <v>0</v>
      </c>
    </row>
    <row r="114" spans="1:10" s="400" customFormat="1" ht="30">
      <c r="A114" s="429" t="s">
        <v>3189</v>
      </c>
      <c r="B114" s="91"/>
      <c r="C114" s="91" t="s">
        <v>4574</v>
      </c>
      <c r="D114" s="91" t="s">
        <v>5342</v>
      </c>
      <c r="E114" s="328">
        <f>'NUHM-Non Metro Abst'!N114</f>
        <v>1.76</v>
      </c>
      <c r="F114" s="328">
        <f>'NUHM-Non Metro Abst'!Q114</f>
        <v>0</v>
      </c>
      <c r="G114" s="328">
        <f>'NUHM Metro Abst'!N114</f>
        <v>0</v>
      </c>
      <c r="H114" s="328">
        <f>'NUHM Metro Abst'!Q114</f>
        <v>0</v>
      </c>
      <c r="I114" s="201">
        <f t="shared" si="4"/>
        <v>1.76</v>
      </c>
      <c r="J114" s="328">
        <f t="shared" si="5"/>
        <v>0</v>
      </c>
    </row>
    <row r="115" spans="1:10" s="439" customFormat="1">
      <c r="A115" s="412" t="s">
        <v>3190</v>
      </c>
      <c r="B115" s="412" t="s">
        <v>3297</v>
      </c>
      <c r="C115" s="412" t="s">
        <v>4929</v>
      </c>
      <c r="D115" s="412"/>
      <c r="E115" s="413">
        <f>'NUHM-Non Metro Abst'!N115</f>
        <v>138.74967000000001</v>
      </c>
      <c r="F115" s="413">
        <f>'NUHM-Non Metro Abst'!Q115</f>
        <v>0</v>
      </c>
      <c r="G115" s="413">
        <f>'NUHM Metro Abst'!N115</f>
        <v>0</v>
      </c>
      <c r="H115" s="413">
        <f>'NUHM Metro Abst'!Q115</f>
        <v>0</v>
      </c>
      <c r="I115" s="149">
        <f t="shared" si="4"/>
        <v>138.74967000000001</v>
      </c>
      <c r="J115" s="413">
        <f t="shared" si="5"/>
        <v>0</v>
      </c>
    </row>
    <row r="116" spans="1:10" s="440" customFormat="1" ht="30">
      <c r="A116" s="243" t="s">
        <v>4596</v>
      </c>
      <c r="B116" s="419" t="s">
        <v>3923</v>
      </c>
      <c r="C116" s="235" t="s">
        <v>3925</v>
      </c>
      <c r="D116" s="235" t="s">
        <v>5340</v>
      </c>
      <c r="E116" s="328">
        <f>'NUHM-Non Metro Abst'!N116</f>
        <v>135.24967000000001</v>
      </c>
      <c r="F116" s="328">
        <f>'NUHM-Non Metro Abst'!Q116</f>
        <v>0</v>
      </c>
      <c r="G116" s="328">
        <f>'NUHM Metro Abst'!N116</f>
        <v>0</v>
      </c>
      <c r="H116" s="328">
        <f>'NUHM Metro Abst'!Q116</f>
        <v>0</v>
      </c>
      <c r="I116" s="201">
        <f t="shared" si="4"/>
        <v>135.24967000000001</v>
      </c>
      <c r="J116" s="328">
        <f t="shared" si="5"/>
        <v>0</v>
      </c>
    </row>
    <row r="117" spans="1:10" s="440" customFormat="1">
      <c r="A117" s="243" t="s">
        <v>5309</v>
      </c>
      <c r="B117" s="419" t="s">
        <v>3924</v>
      </c>
      <c r="C117" s="1250" t="s">
        <v>1310</v>
      </c>
      <c r="D117" s="1250" t="s">
        <v>3296</v>
      </c>
      <c r="E117" s="328">
        <f>'NUHM-Non Metro Abst'!N117</f>
        <v>3.5</v>
      </c>
      <c r="F117" s="328">
        <f>'NUHM-Non Metro Abst'!Q117</f>
        <v>0</v>
      </c>
      <c r="G117" s="328">
        <f>'NUHM Metro Abst'!N117</f>
        <v>0</v>
      </c>
      <c r="H117" s="328">
        <f>'NUHM Metro Abst'!Q117</f>
        <v>0</v>
      </c>
      <c r="I117" s="201">
        <f t="shared" si="4"/>
        <v>3.5</v>
      </c>
      <c r="J117" s="328">
        <f t="shared" si="5"/>
        <v>0</v>
      </c>
    </row>
    <row r="118" spans="1:10">
      <c r="A118" s="141" t="s">
        <v>3192</v>
      </c>
      <c r="B118" s="141"/>
      <c r="C118" s="141" t="s">
        <v>20</v>
      </c>
      <c r="D118" s="141"/>
      <c r="E118" s="410">
        <f>'NUHM-Non Metro Abst'!N118</f>
        <v>0</v>
      </c>
      <c r="F118" s="410">
        <f>'NUHM-Non Metro Abst'!Q118</f>
        <v>0</v>
      </c>
      <c r="G118" s="410">
        <f>'NUHM Metro Abst'!N118</f>
        <v>0</v>
      </c>
      <c r="H118" s="410">
        <f>'NUHM Metro Abst'!Q118</f>
        <v>0</v>
      </c>
      <c r="I118" s="148">
        <f t="shared" si="4"/>
        <v>0</v>
      </c>
      <c r="J118" s="410">
        <f t="shared" si="5"/>
        <v>0</v>
      </c>
    </row>
    <row r="119" spans="1:10">
      <c r="A119" s="1250" t="s">
        <v>3193</v>
      </c>
      <c r="B119" s="1250"/>
      <c r="C119" s="1250" t="s">
        <v>4446</v>
      </c>
      <c r="D119" s="1250" t="s">
        <v>5341</v>
      </c>
      <c r="E119" s="328">
        <f>'NUHM-Non Metro Abst'!N119</f>
        <v>0</v>
      </c>
      <c r="F119" s="328">
        <f>'NUHM-Non Metro Abst'!Q119</f>
        <v>0</v>
      </c>
      <c r="G119" s="328">
        <f>'NUHM Metro Abst'!N119</f>
        <v>0</v>
      </c>
      <c r="H119" s="328">
        <f>'NUHM Metro Abst'!Q119</f>
        <v>0</v>
      </c>
      <c r="I119" s="201">
        <f t="shared" si="4"/>
        <v>0</v>
      </c>
      <c r="J119" s="328">
        <f t="shared" si="5"/>
        <v>0</v>
      </c>
    </row>
    <row r="120" spans="1:10">
      <c r="A120" s="141" t="s">
        <v>3194</v>
      </c>
      <c r="B120" s="141"/>
      <c r="C120" s="141" t="s">
        <v>21</v>
      </c>
      <c r="D120" s="141"/>
      <c r="E120" s="410">
        <f>'NUHM-Non Metro Abst'!N120</f>
        <v>2973.8878680000003</v>
      </c>
      <c r="F120" s="410">
        <f>'NUHM-Non Metro Abst'!Q120</f>
        <v>0</v>
      </c>
      <c r="G120" s="410">
        <f>'NUHM Metro Abst'!N120</f>
        <v>0</v>
      </c>
      <c r="H120" s="410">
        <f>'NUHM Metro Abst'!Q120</f>
        <v>0</v>
      </c>
      <c r="I120" s="148">
        <f t="shared" si="4"/>
        <v>2973.8878680000003</v>
      </c>
      <c r="J120" s="410">
        <f t="shared" si="5"/>
        <v>0</v>
      </c>
    </row>
    <row r="121" spans="1:10">
      <c r="A121" s="412" t="s">
        <v>3195</v>
      </c>
      <c r="B121" s="412"/>
      <c r="C121" s="412" t="s">
        <v>41</v>
      </c>
      <c r="D121" s="412"/>
      <c r="E121" s="413">
        <f>'NUHM-Non Metro Abst'!N121</f>
        <v>2939.1957940000002</v>
      </c>
      <c r="F121" s="413">
        <f>'NUHM-Non Metro Abst'!Q121</f>
        <v>0</v>
      </c>
      <c r="G121" s="413">
        <f>'NUHM Metro Abst'!N121</f>
        <v>0</v>
      </c>
      <c r="H121" s="413">
        <f>'NUHM Metro Abst'!Q121</f>
        <v>0</v>
      </c>
      <c r="I121" s="149">
        <f t="shared" si="4"/>
        <v>2939.1957940000002</v>
      </c>
      <c r="J121" s="413">
        <f t="shared" si="5"/>
        <v>0</v>
      </c>
    </row>
    <row r="122" spans="1:10">
      <c r="A122" s="420" t="s">
        <v>3196</v>
      </c>
      <c r="B122" s="420" t="s">
        <v>3007</v>
      </c>
      <c r="C122" s="420" t="s">
        <v>3008</v>
      </c>
      <c r="D122" s="420"/>
      <c r="E122" s="421">
        <f>'NUHM-Non Metro Abst'!N122</f>
        <v>690</v>
      </c>
      <c r="F122" s="421">
        <f>'NUHM-Non Metro Abst'!Q122</f>
        <v>0</v>
      </c>
      <c r="G122" s="421">
        <f>'NUHM Metro Abst'!N122</f>
        <v>0</v>
      </c>
      <c r="H122" s="421">
        <f>'NUHM Metro Abst'!Q122</f>
        <v>0</v>
      </c>
      <c r="I122" s="153">
        <f t="shared" si="4"/>
        <v>690</v>
      </c>
      <c r="J122" s="421">
        <f t="shared" si="5"/>
        <v>0</v>
      </c>
    </row>
    <row r="123" spans="1:10">
      <c r="A123" s="1250" t="s">
        <v>3197</v>
      </c>
      <c r="B123" s="1250" t="s">
        <v>3009</v>
      </c>
      <c r="C123" s="1250" t="s">
        <v>2985</v>
      </c>
      <c r="D123" s="1250" t="s">
        <v>5345</v>
      </c>
      <c r="E123" s="328">
        <f>'NUHM-Non Metro Abst'!N123</f>
        <v>690</v>
      </c>
      <c r="F123" s="328">
        <f>'NUHM-Non Metro Abst'!Q123</f>
        <v>0</v>
      </c>
      <c r="G123" s="328">
        <f>'NUHM Metro Abst'!N123</f>
        <v>0</v>
      </c>
      <c r="H123" s="328">
        <f>'NUHM Metro Abst'!Q123</f>
        <v>0</v>
      </c>
      <c r="I123" s="201">
        <f t="shared" si="4"/>
        <v>690</v>
      </c>
      <c r="J123" s="328">
        <f t="shared" si="5"/>
        <v>0</v>
      </c>
    </row>
    <row r="124" spans="1:10">
      <c r="A124" s="1250" t="s">
        <v>3198</v>
      </c>
      <c r="B124" s="1250" t="s">
        <v>3010</v>
      </c>
      <c r="C124" s="1250" t="s">
        <v>2987</v>
      </c>
      <c r="D124" s="1250" t="s">
        <v>5345</v>
      </c>
      <c r="E124" s="328">
        <f>'NUHM-Non Metro Abst'!N124</f>
        <v>0</v>
      </c>
      <c r="F124" s="328">
        <f>'NUHM-Non Metro Abst'!Q124</f>
        <v>0</v>
      </c>
      <c r="G124" s="328">
        <f>'NUHM Metro Abst'!N124</f>
        <v>0</v>
      </c>
      <c r="H124" s="328">
        <f>'NUHM Metro Abst'!Q124</f>
        <v>0</v>
      </c>
      <c r="I124" s="201">
        <f t="shared" si="4"/>
        <v>0</v>
      </c>
      <c r="J124" s="328">
        <f t="shared" si="5"/>
        <v>0</v>
      </c>
    </row>
    <row r="125" spans="1:10">
      <c r="A125" s="1250" t="s">
        <v>3199</v>
      </c>
      <c r="B125" s="1250" t="s">
        <v>3011</v>
      </c>
      <c r="C125" s="1250" t="s">
        <v>2988</v>
      </c>
      <c r="D125" s="1250" t="s">
        <v>5345</v>
      </c>
      <c r="E125" s="328">
        <f>'NUHM-Non Metro Abst'!N125</f>
        <v>0</v>
      </c>
      <c r="F125" s="328">
        <f>'NUHM-Non Metro Abst'!Q125</f>
        <v>0</v>
      </c>
      <c r="G125" s="328">
        <f>'NUHM Metro Abst'!N125</f>
        <v>0</v>
      </c>
      <c r="H125" s="328">
        <f>'NUHM Metro Abst'!Q125</f>
        <v>0</v>
      </c>
      <c r="I125" s="201">
        <f t="shared" si="4"/>
        <v>0</v>
      </c>
      <c r="J125" s="328">
        <f t="shared" si="5"/>
        <v>0</v>
      </c>
    </row>
    <row r="126" spans="1:10">
      <c r="A126" s="420" t="s">
        <v>3200</v>
      </c>
      <c r="B126" s="420" t="s">
        <v>3012</v>
      </c>
      <c r="C126" s="420" t="s">
        <v>3013</v>
      </c>
      <c r="D126" s="420"/>
      <c r="E126" s="421">
        <f>'NUHM-Non Metro Abst'!N126</f>
        <v>428.84927399999998</v>
      </c>
      <c r="F126" s="421">
        <f>'NUHM-Non Metro Abst'!Q126</f>
        <v>0</v>
      </c>
      <c r="G126" s="421">
        <f>'NUHM Metro Abst'!N126</f>
        <v>0</v>
      </c>
      <c r="H126" s="421">
        <f>'NUHM Metro Abst'!Q126</f>
        <v>0</v>
      </c>
      <c r="I126" s="153">
        <f t="shared" si="4"/>
        <v>428.84927399999998</v>
      </c>
      <c r="J126" s="421">
        <f t="shared" si="5"/>
        <v>0</v>
      </c>
    </row>
    <row r="127" spans="1:10">
      <c r="A127" s="1250" t="s">
        <v>3201</v>
      </c>
      <c r="B127" s="1250" t="s">
        <v>3014</v>
      </c>
      <c r="C127" s="1250" t="s">
        <v>2985</v>
      </c>
      <c r="D127" s="1250" t="s">
        <v>5345</v>
      </c>
      <c r="E127" s="328">
        <f>'NUHM-Non Metro Abst'!N127</f>
        <v>428.84927399999998</v>
      </c>
      <c r="F127" s="328">
        <f>'NUHM-Non Metro Abst'!Q127</f>
        <v>0</v>
      </c>
      <c r="G127" s="328">
        <f>'NUHM Metro Abst'!N127</f>
        <v>0</v>
      </c>
      <c r="H127" s="328">
        <f>'NUHM Metro Abst'!Q127</f>
        <v>0</v>
      </c>
      <c r="I127" s="201">
        <f t="shared" si="4"/>
        <v>428.84927399999998</v>
      </c>
      <c r="J127" s="328">
        <f t="shared" si="5"/>
        <v>0</v>
      </c>
    </row>
    <row r="128" spans="1:10">
      <c r="A128" s="1250" t="s">
        <v>3202</v>
      </c>
      <c r="B128" s="1250" t="s">
        <v>3015</v>
      </c>
      <c r="C128" s="1250" t="s">
        <v>2987</v>
      </c>
      <c r="D128" s="1250" t="s">
        <v>5345</v>
      </c>
      <c r="E128" s="328">
        <f>'NUHM-Non Metro Abst'!N128</f>
        <v>0</v>
      </c>
      <c r="F128" s="328">
        <f>'NUHM-Non Metro Abst'!Q128</f>
        <v>0</v>
      </c>
      <c r="G128" s="328">
        <f>'NUHM Metro Abst'!N128</f>
        <v>0</v>
      </c>
      <c r="H128" s="328">
        <f>'NUHM Metro Abst'!Q128</f>
        <v>0</v>
      </c>
      <c r="I128" s="201">
        <f t="shared" si="4"/>
        <v>0</v>
      </c>
      <c r="J128" s="328">
        <f t="shared" si="5"/>
        <v>0</v>
      </c>
    </row>
    <row r="129" spans="1:10">
      <c r="A129" s="1250" t="s">
        <v>3203</v>
      </c>
      <c r="B129" s="1250" t="s">
        <v>3016</v>
      </c>
      <c r="C129" s="1250" t="s">
        <v>2988</v>
      </c>
      <c r="D129" s="1250" t="s">
        <v>5345</v>
      </c>
      <c r="E129" s="328">
        <f>'NUHM-Non Metro Abst'!N129</f>
        <v>0</v>
      </c>
      <c r="F129" s="328">
        <f>'NUHM-Non Metro Abst'!Q129</f>
        <v>0</v>
      </c>
      <c r="G129" s="328">
        <f>'NUHM Metro Abst'!N129</f>
        <v>0</v>
      </c>
      <c r="H129" s="328">
        <f>'NUHM Metro Abst'!Q129</f>
        <v>0</v>
      </c>
      <c r="I129" s="201">
        <f t="shared" si="4"/>
        <v>0</v>
      </c>
      <c r="J129" s="328">
        <f t="shared" si="5"/>
        <v>0</v>
      </c>
    </row>
    <row r="130" spans="1:10">
      <c r="A130" s="420" t="s">
        <v>3204</v>
      </c>
      <c r="B130" s="420" t="s">
        <v>3017</v>
      </c>
      <c r="C130" s="420" t="s">
        <v>3018</v>
      </c>
      <c r="D130" s="420"/>
      <c r="E130" s="421">
        <f>'NUHM-Non Metro Abst'!N130</f>
        <v>181.92860000000002</v>
      </c>
      <c r="F130" s="421">
        <f>'NUHM-Non Metro Abst'!Q130</f>
        <v>0</v>
      </c>
      <c r="G130" s="421">
        <f>'NUHM Metro Abst'!N130</f>
        <v>0</v>
      </c>
      <c r="H130" s="421">
        <f>'NUHM Metro Abst'!Q130</f>
        <v>0</v>
      </c>
      <c r="I130" s="153">
        <f t="shared" si="4"/>
        <v>181.92860000000002</v>
      </c>
      <c r="J130" s="421">
        <f t="shared" si="5"/>
        <v>0</v>
      </c>
    </row>
    <row r="131" spans="1:10">
      <c r="A131" s="1250" t="s">
        <v>3205</v>
      </c>
      <c r="B131" s="1250" t="s">
        <v>3019</v>
      </c>
      <c r="C131" s="1250" t="s">
        <v>2985</v>
      </c>
      <c r="D131" s="1250" t="s">
        <v>5345</v>
      </c>
      <c r="E131" s="328">
        <f>'NUHM-Non Metro Abst'!N131</f>
        <v>181.92860000000002</v>
      </c>
      <c r="F131" s="328">
        <f>'NUHM-Non Metro Abst'!Q131</f>
        <v>0</v>
      </c>
      <c r="G131" s="328">
        <f>'NUHM Metro Abst'!N131</f>
        <v>0</v>
      </c>
      <c r="H131" s="328">
        <f>'NUHM Metro Abst'!Q131</f>
        <v>0</v>
      </c>
      <c r="I131" s="201">
        <f t="shared" si="4"/>
        <v>181.92860000000002</v>
      </c>
      <c r="J131" s="328">
        <f t="shared" si="5"/>
        <v>0</v>
      </c>
    </row>
    <row r="132" spans="1:10">
      <c r="A132" s="1250" t="s">
        <v>3206</v>
      </c>
      <c r="B132" s="1250" t="s">
        <v>3020</v>
      </c>
      <c r="C132" s="1250" t="s">
        <v>2987</v>
      </c>
      <c r="D132" s="1250" t="s">
        <v>5345</v>
      </c>
      <c r="E132" s="328">
        <f>'NUHM-Non Metro Abst'!N132</f>
        <v>0</v>
      </c>
      <c r="F132" s="328">
        <f>'NUHM-Non Metro Abst'!Q132</f>
        <v>0</v>
      </c>
      <c r="G132" s="328">
        <f>'NUHM Metro Abst'!N132</f>
        <v>0</v>
      </c>
      <c r="H132" s="328">
        <f>'NUHM Metro Abst'!Q132</f>
        <v>0</v>
      </c>
      <c r="I132" s="201">
        <f t="shared" si="4"/>
        <v>0</v>
      </c>
      <c r="J132" s="328">
        <f t="shared" si="5"/>
        <v>0</v>
      </c>
    </row>
    <row r="133" spans="1:10">
      <c r="A133" s="1250" t="s">
        <v>3207</v>
      </c>
      <c r="B133" s="1250" t="s">
        <v>3021</v>
      </c>
      <c r="C133" s="1250" t="s">
        <v>2988</v>
      </c>
      <c r="D133" s="1250" t="s">
        <v>5345</v>
      </c>
      <c r="E133" s="328">
        <f>'NUHM-Non Metro Abst'!N133</f>
        <v>0</v>
      </c>
      <c r="F133" s="328">
        <f>'NUHM-Non Metro Abst'!Q133</f>
        <v>0</v>
      </c>
      <c r="G133" s="328">
        <f>'NUHM Metro Abst'!N133</f>
        <v>0</v>
      </c>
      <c r="H133" s="328">
        <f>'NUHM Metro Abst'!Q133</f>
        <v>0</v>
      </c>
      <c r="I133" s="201">
        <f t="shared" si="4"/>
        <v>0</v>
      </c>
      <c r="J133" s="328">
        <f t="shared" si="5"/>
        <v>0</v>
      </c>
    </row>
    <row r="134" spans="1:10">
      <c r="A134" s="420" t="s">
        <v>3208</v>
      </c>
      <c r="B134" s="420" t="s">
        <v>3022</v>
      </c>
      <c r="C134" s="420" t="s">
        <v>552</v>
      </c>
      <c r="D134" s="420"/>
      <c r="E134" s="421">
        <f>'NUHM-Non Metro Abst'!N134</f>
        <v>173.88</v>
      </c>
      <c r="F134" s="421">
        <f>'NUHM-Non Metro Abst'!Q134</f>
        <v>0</v>
      </c>
      <c r="G134" s="421">
        <f>'NUHM Metro Abst'!N134</f>
        <v>0</v>
      </c>
      <c r="H134" s="421">
        <f>'NUHM Metro Abst'!Q134</f>
        <v>0</v>
      </c>
      <c r="I134" s="153">
        <f t="shared" si="4"/>
        <v>173.88</v>
      </c>
      <c r="J134" s="421">
        <f t="shared" si="5"/>
        <v>0</v>
      </c>
    </row>
    <row r="135" spans="1:10">
      <c r="A135" s="1250" t="s">
        <v>3209</v>
      </c>
      <c r="B135" s="1250" t="s">
        <v>3023</v>
      </c>
      <c r="C135" s="1250" t="s">
        <v>2985</v>
      </c>
      <c r="D135" s="1250" t="s">
        <v>5345</v>
      </c>
      <c r="E135" s="328">
        <f>'NUHM-Non Metro Abst'!N135</f>
        <v>173.88</v>
      </c>
      <c r="F135" s="328">
        <f>'NUHM-Non Metro Abst'!Q135</f>
        <v>0</v>
      </c>
      <c r="G135" s="328">
        <f>'NUHM Metro Abst'!N135</f>
        <v>0</v>
      </c>
      <c r="H135" s="328">
        <f>'NUHM Metro Abst'!Q135</f>
        <v>0</v>
      </c>
      <c r="I135" s="201">
        <f t="shared" si="4"/>
        <v>173.88</v>
      </c>
      <c r="J135" s="328">
        <f t="shared" si="5"/>
        <v>0</v>
      </c>
    </row>
    <row r="136" spans="1:10">
      <c r="A136" s="1250" t="s">
        <v>3210</v>
      </c>
      <c r="B136" s="1250" t="s">
        <v>3024</v>
      </c>
      <c r="C136" s="1250" t="s">
        <v>2987</v>
      </c>
      <c r="D136" s="1250" t="s">
        <v>5345</v>
      </c>
      <c r="E136" s="328">
        <f>'NUHM-Non Metro Abst'!N136</f>
        <v>0</v>
      </c>
      <c r="F136" s="328">
        <f>'NUHM-Non Metro Abst'!Q136</f>
        <v>0</v>
      </c>
      <c r="G136" s="328">
        <f>'NUHM Metro Abst'!N136</f>
        <v>0</v>
      </c>
      <c r="H136" s="328">
        <f>'NUHM Metro Abst'!Q136</f>
        <v>0</v>
      </c>
      <c r="I136" s="201">
        <f t="shared" si="4"/>
        <v>0</v>
      </c>
      <c r="J136" s="328">
        <f t="shared" si="5"/>
        <v>0</v>
      </c>
    </row>
    <row r="137" spans="1:10">
      <c r="A137" s="1250" t="s">
        <v>3211</v>
      </c>
      <c r="B137" s="1250" t="s">
        <v>3025</v>
      </c>
      <c r="C137" s="1250" t="s">
        <v>2988</v>
      </c>
      <c r="D137" s="1250" t="s">
        <v>5345</v>
      </c>
      <c r="E137" s="328">
        <f>'NUHM-Non Metro Abst'!N137</f>
        <v>0</v>
      </c>
      <c r="F137" s="328">
        <f>'NUHM-Non Metro Abst'!Q137</f>
        <v>0</v>
      </c>
      <c r="G137" s="328">
        <f>'NUHM Metro Abst'!N137</f>
        <v>0</v>
      </c>
      <c r="H137" s="328">
        <f>'NUHM Metro Abst'!Q137</f>
        <v>0</v>
      </c>
      <c r="I137" s="201">
        <f t="shared" si="4"/>
        <v>0</v>
      </c>
      <c r="J137" s="328">
        <f t="shared" si="5"/>
        <v>0</v>
      </c>
    </row>
    <row r="138" spans="1:10">
      <c r="A138" s="420" t="s">
        <v>3212</v>
      </c>
      <c r="B138" s="420" t="s">
        <v>3026</v>
      </c>
      <c r="C138" s="420" t="s">
        <v>3027</v>
      </c>
      <c r="D138" s="420"/>
      <c r="E138" s="421">
        <f>'NUHM-Non Metro Abst'!N138</f>
        <v>41.85</v>
      </c>
      <c r="F138" s="421">
        <f>'NUHM-Non Metro Abst'!Q138</f>
        <v>0</v>
      </c>
      <c r="G138" s="421">
        <f>'NUHM Metro Abst'!N138</f>
        <v>0</v>
      </c>
      <c r="H138" s="421">
        <f>'NUHM Metro Abst'!Q138</f>
        <v>0</v>
      </c>
      <c r="I138" s="153">
        <f t="shared" si="4"/>
        <v>41.85</v>
      </c>
      <c r="J138" s="421">
        <f t="shared" si="5"/>
        <v>0</v>
      </c>
    </row>
    <row r="139" spans="1:10">
      <c r="A139" s="1250" t="s">
        <v>3213</v>
      </c>
      <c r="B139" s="1250" t="s">
        <v>3028</v>
      </c>
      <c r="C139" s="1250" t="s">
        <v>3029</v>
      </c>
      <c r="D139" s="1250" t="s">
        <v>5345</v>
      </c>
      <c r="E139" s="328">
        <f>'NUHM-Non Metro Abst'!N139</f>
        <v>0</v>
      </c>
      <c r="F139" s="328">
        <f>'NUHM-Non Metro Abst'!Q139</f>
        <v>0</v>
      </c>
      <c r="G139" s="328">
        <f>'NUHM Metro Abst'!N139</f>
        <v>0</v>
      </c>
      <c r="H139" s="328">
        <f>'NUHM Metro Abst'!Q139</f>
        <v>0</v>
      </c>
      <c r="I139" s="201">
        <f t="shared" si="4"/>
        <v>0</v>
      </c>
      <c r="J139" s="328">
        <f t="shared" si="5"/>
        <v>0</v>
      </c>
    </row>
    <row r="140" spans="1:10">
      <c r="A140" s="1250" t="s">
        <v>3214</v>
      </c>
      <c r="B140" s="1250" t="s">
        <v>3030</v>
      </c>
      <c r="C140" s="1250" t="s">
        <v>639</v>
      </c>
      <c r="D140" s="1250" t="s">
        <v>5345</v>
      </c>
      <c r="E140" s="328">
        <f>'NUHM-Non Metro Abst'!N140</f>
        <v>0</v>
      </c>
      <c r="F140" s="328">
        <f>'NUHM-Non Metro Abst'!Q140</f>
        <v>0</v>
      </c>
      <c r="G140" s="328">
        <f>'NUHM Metro Abst'!N140</f>
        <v>0</v>
      </c>
      <c r="H140" s="328">
        <f>'NUHM Metro Abst'!Q140</f>
        <v>0</v>
      </c>
      <c r="I140" s="201">
        <f t="shared" si="4"/>
        <v>0</v>
      </c>
      <c r="J140" s="328">
        <f t="shared" si="5"/>
        <v>0</v>
      </c>
    </row>
    <row r="141" spans="1:10">
      <c r="A141" s="1250" t="s">
        <v>3215</v>
      </c>
      <c r="B141" s="1250" t="s">
        <v>3031</v>
      </c>
      <c r="C141" s="1250" t="s">
        <v>1310</v>
      </c>
      <c r="D141" s="1250" t="s">
        <v>5345</v>
      </c>
      <c r="E141" s="328">
        <f>'NUHM-Non Metro Abst'!N141</f>
        <v>41.85</v>
      </c>
      <c r="F141" s="328">
        <f>'NUHM-Non Metro Abst'!Q141</f>
        <v>0</v>
      </c>
      <c r="G141" s="328">
        <f>'NUHM Metro Abst'!N141</f>
        <v>0</v>
      </c>
      <c r="H141" s="328">
        <f>'NUHM Metro Abst'!Q141</f>
        <v>0</v>
      </c>
      <c r="I141" s="201">
        <f t="shared" si="4"/>
        <v>41.85</v>
      </c>
      <c r="J141" s="328">
        <f t="shared" si="5"/>
        <v>0</v>
      </c>
    </row>
    <row r="142" spans="1:10">
      <c r="A142" s="420" t="s">
        <v>3216</v>
      </c>
      <c r="B142" s="420" t="s">
        <v>3032</v>
      </c>
      <c r="C142" s="420" t="s">
        <v>3033</v>
      </c>
      <c r="D142" s="420"/>
      <c r="E142" s="421">
        <f>'NUHM-Non Metro Abst'!N142</f>
        <v>0</v>
      </c>
      <c r="F142" s="421">
        <f>'NUHM-Non Metro Abst'!Q142</f>
        <v>0</v>
      </c>
      <c r="G142" s="421">
        <f>'NUHM Metro Abst'!N142</f>
        <v>0</v>
      </c>
      <c r="H142" s="421">
        <f>'NUHM Metro Abst'!Q142</f>
        <v>0</v>
      </c>
      <c r="I142" s="153">
        <f t="shared" ref="I142:I205" si="6">E142+G142</f>
        <v>0</v>
      </c>
      <c r="J142" s="421">
        <f t="shared" ref="J142:J205" si="7">F142+H142</f>
        <v>0</v>
      </c>
    </row>
    <row r="143" spans="1:10">
      <c r="A143" s="1250" t="s">
        <v>3217</v>
      </c>
      <c r="B143" s="1250" t="s">
        <v>3034</v>
      </c>
      <c r="C143" s="1250" t="s">
        <v>3035</v>
      </c>
      <c r="D143" s="1250" t="s">
        <v>5345</v>
      </c>
      <c r="E143" s="328">
        <f>'NUHM-Non Metro Abst'!N143</f>
        <v>0</v>
      </c>
      <c r="F143" s="328">
        <f>'NUHM-Non Metro Abst'!Q143</f>
        <v>0</v>
      </c>
      <c r="G143" s="328">
        <f>'NUHM Metro Abst'!N143</f>
        <v>0</v>
      </c>
      <c r="H143" s="328">
        <f>'NUHM Metro Abst'!Q143</f>
        <v>0</v>
      </c>
      <c r="I143" s="201">
        <f t="shared" si="6"/>
        <v>0</v>
      </c>
      <c r="J143" s="328">
        <f t="shared" si="7"/>
        <v>0</v>
      </c>
    </row>
    <row r="144" spans="1:10">
      <c r="A144" s="1250" t="s">
        <v>3218</v>
      </c>
      <c r="B144" s="1250" t="s">
        <v>3036</v>
      </c>
      <c r="C144" s="1250" t="s">
        <v>556</v>
      </c>
      <c r="D144" s="1250" t="s">
        <v>5345</v>
      </c>
      <c r="E144" s="328">
        <f>'NUHM-Non Metro Abst'!N144</f>
        <v>0</v>
      </c>
      <c r="F144" s="328">
        <f>'NUHM-Non Metro Abst'!Q144</f>
        <v>0</v>
      </c>
      <c r="G144" s="328">
        <f>'NUHM Metro Abst'!N144</f>
        <v>0</v>
      </c>
      <c r="H144" s="328">
        <f>'NUHM Metro Abst'!Q144</f>
        <v>0</v>
      </c>
      <c r="I144" s="201">
        <f t="shared" si="6"/>
        <v>0</v>
      </c>
      <c r="J144" s="328">
        <f t="shared" si="7"/>
        <v>0</v>
      </c>
    </row>
    <row r="145" spans="1:10">
      <c r="A145" s="1250" t="s">
        <v>3219</v>
      </c>
      <c r="B145" s="1250" t="s">
        <v>3037</v>
      </c>
      <c r="C145" s="1250" t="s">
        <v>3038</v>
      </c>
      <c r="D145" s="1250" t="s">
        <v>5345</v>
      </c>
      <c r="E145" s="328">
        <f>'NUHM-Non Metro Abst'!N145</f>
        <v>0</v>
      </c>
      <c r="F145" s="328">
        <f>'NUHM-Non Metro Abst'!Q145</f>
        <v>0</v>
      </c>
      <c r="G145" s="328">
        <f>'NUHM Metro Abst'!N145</f>
        <v>0</v>
      </c>
      <c r="H145" s="328">
        <f>'NUHM Metro Abst'!Q145</f>
        <v>0</v>
      </c>
      <c r="I145" s="201">
        <f t="shared" si="6"/>
        <v>0</v>
      </c>
      <c r="J145" s="328">
        <f t="shared" si="7"/>
        <v>0</v>
      </c>
    </row>
    <row r="146" spans="1:10">
      <c r="A146" s="1250" t="s">
        <v>3220</v>
      </c>
      <c r="B146" s="1250" t="s">
        <v>3039</v>
      </c>
      <c r="C146" s="1250" t="s">
        <v>3040</v>
      </c>
      <c r="D146" s="1250" t="s">
        <v>5345</v>
      </c>
      <c r="E146" s="328">
        <f>'NUHM-Non Metro Abst'!N146</f>
        <v>0</v>
      </c>
      <c r="F146" s="328">
        <f>'NUHM-Non Metro Abst'!Q146</f>
        <v>0</v>
      </c>
      <c r="G146" s="328">
        <f>'NUHM Metro Abst'!N146</f>
        <v>0</v>
      </c>
      <c r="H146" s="328">
        <f>'NUHM Metro Abst'!Q146</f>
        <v>0</v>
      </c>
      <c r="I146" s="201">
        <f t="shared" si="6"/>
        <v>0</v>
      </c>
      <c r="J146" s="328">
        <f t="shared" si="7"/>
        <v>0</v>
      </c>
    </row>
    <row r="147" spans="1:10">
      <c r="A147" s="1250" t="s">
        <v>3221</v>
      </c>
      <c r="B147" s="1250" t="s">
        <v>3041</v>
      </c>
      <c r="C147" s="1250" t="s">
        <v>3042</v>
      </c>
      <c r="D147" s="1250" t="s">
        <v>5345</v>
      </c>
      <c r="E147" s="328">
        <f>'NUHM-Non Metro Abst'!N147</f>
        <v>0</v>
      </c>
      <c r="F147" s="328">
        <f>'NUHM-Non Metro Abst'!Q147</f>
        <v>0</v>
      </c>
      <c r="G147" s="328">
        <f>'NUHM Metro Abst'!N147</f>
        <v>0</v>
      </c>
      <c r="H147" s="328">
        <f>'NUHM Metro Abst'!Q147</f>
        <v>0</v>
      </c>
      <c r="I147" s="201">
        <f t="shared" si="6"/>
        <v>0</v>
      </c>
      <c r="J147" s="328">
        <f t="shared" si="7"/>
        <v>0</v>
      </c>
    </row>
    <row r="148" spans="1:10">
      <c r="A148" s="1250" t="s">
        <v>3222</v>
      </c>
      <c r="B148" s="1250" t="s">
        <v>3043</v>
      </c>
      <c r="C148" s="1250" t="s">
        <v>3044</v>
      </c>
      <c r="D148" s="1250" t="s">
        <v>5345</v>
      </c>
      <c r="E148" s="328">
        <f>'NUHM-Non Metro Abst'!N148</f>
        <v>0</v>
      </c>
      <c r="F148" s="328">
        <f>'NUHM-Non Metro Abst'!Q148</f>
        <v>0</v>
      </c>
      <c r="G148" s="328">
        <f>'NUHM Metro Abst'!N148</f>
        <v>0</v>
      </c>
      <c r="H148" s="328">
        <f>'NUHM Metro Abst'!Q148</f>
        <v>0</v>
      </c>
      <c r="I148" s="201">
        <f t="shared" si="6"/>
        <v>0</v>
      </c>
      <c r="J148" s="328">
        <f t="shared" si="7"/>
        <v>0</v>
      </c>
    </row>
    <row r="149" spans="1:10">
      <c r="A149" s="1250" t="s">
        <v>3223</v>
      </c>
      <c r="B149" s="1250" t="s">
        <v>3045</v>
      </c>
      <c r="C149" s="1250" t="s">
        <v>478</v>
      </c>
      <c r="D149" s="1250" t="s">
        <v>5345</v>
      </c>
      <c r="E149" s="328">
        <f>'NUHM-Non Metro Abst'!N149</f>
        <v>0</v>
      </c>
      <c r="F149" s="328">
        <f>'NUHM-Non Metro Abst'!Q149</f>
        <v>0</v>
      </c>
      <c r="G149" s="328">
        <f>'NUHM Metro Abst'!N149</f>
        <v>0</v>
      </c>
      <c r="H149" s="328">
        <f>'NUHM Metro Abst'!Q149</f>
        <v>0</v>
      </c>
      <c r="I149" s="201">
        <f t="shared" si="6"/>
        <v>0</v>
      </c>
      <c r="J149" s="328">
        <f t="shared" si="7"/>
        <v>0</v>
      </c>
    </row>
    <row r="150" spans="1:10">
      <c r="A150" s="420" t="s">
        <v>3224</v>
      </c>
      <c r="B150" s="420"/>
      <c r="C150" s="420" t="s">
        <v>505</v>
      </c>
      <c r="D150" s="420"/>
      <c r="E150" s="421">
        <f>'NUHM-Non Metro Abst'!N150</f>
        <v>0</v>
      </c>
      <c r="F150" s="421">
        <f>'NUHM-Non Metro Abst'!Q150</f>
        <v>0</v>
      </c>
      <c r="G150" s="421">
        <f>'NUHM Metro Abst'!N150</f>
        <v>0</v>
      </c>
      <c r="H150" s="421">
        <f>'NUHM Metro Abst'!Q150</f>
        <v>0</v>
      </c>
      <c r="I150" s="153">
        <f t="shared" si="6"/>
        <v>0</v>
      </c>
      <c r="J150" s="421">
        <f t="shared" si="7"/>
        <v>0</v>
      </c>
    </row>
    <row r="151" spans="1:10">
      <c r="A151" s="1250" t="s">
        <v>3225</v>
      </c>
      <c r="B151" s="1250" t="s">
        <v>3045</v>
      </c>
      <c r="C151" s="1250" t="s">
        <v>3046</v>
      </c>
      <c r="D151" s="1250" t="s">
        <v>5345</v>
      </c>
      <c r="E151" s="328">
        <f>'NUHM-Non Metro Abst'!N151</f>
        <v>0</v>
      </c>
      <c r="F151" s="328">
        <f>'NUHM-Non Metro Abst'!Q151</f>
        <v>0</v>
      </c>
      <c r="G151" s="328">
        <f>'NUHM Metro Abst'!N151</f>
        <v>0</v>
      </c>
      <c r="H151" s="328">
        <f>'NUHM Metro Abst'!Q151</f>
        <v>0</v>
      </c>
      <c r="I151" s="201">
        <f t="shared" si="6"/>
        <v>0</v>
      </c>
      <c r="J151" s="328">
        <f t="shared" si="7"/>
        <v>0</v>
      </c>
    </row>
    <row r="152" spans="1:10">
      <c r="A152" s="420" t="s">
        <v>3226</v>
      </c>
      <c r="B152" s="420"/>
      <c r="C152" s="420" t="s">
        <v>524</v>
      </c>
      <c r="D152" s="420"/>
      <c r="E152" s="421">
        <f>'NUHM-Non Metro Abst'!N152</f>
        <v>834.59992000000011</v>
      </c>
      <c r="F152" s="421">
        <f>'NUHM-Non Metro Abst'!Q152</f>
        <v>0</v>
      </c>
      <c r="G152" s="421">
        <f>'NUHM Metro Abst'!N152</f>
        <v>0</v>
      </c>
      <c r="H152" s="421">
        <f>'NUHM Metro Abst'!Q152</f>
        <v>0</v>
      </c>
      <c r="I152" s="153">
        <f t="shared" si="6"/>
        <v>834.59992000000011</v>
      </c>
      <c r="J152" s="421">
        <f t="shared" si="7"/>
        <v>0</v>
      </c>
    </row>
    <row r="153" spans="1:10" s="428" customFormat="1">
      <c r="A153" s="435" t="s">
        <v>3227</v>
      </c>
      <c r="B153" s="441" t="s">
        <v>3047</v>
      </c>
      <c r="C153" s="441" t="s">
        <v>3048</v>
      </c>
      <c r="D153" s="441"/>
      <c r="E153" s="328">
        <f>'NUHM-Non Metro Abst'!N153</f>
        <v>834.59992000000011</v>
      </c>
      <c r="F153" s="328">
        <f>'NUHM-Non Metro Abst'!Q153</f>
        <v>0</v>
      </c>
      <c r="G153" s="328">
        <f>'NUHM Metro Abst'!N153</f>
        <v>0</v>
      </c>
      <c r="H153" s="328">
        <f>'NUHM Metro Abst'!Q153</f>
        <v>0</v>
      </c>
      <c r="I153" s="201">
        <f t="shared" si="6"/>
        <v>834.59992000000011</v>
      </c>
      <c r="J153" s="328">
        <f t="shared" si="7"/>
        <v>0</v>
      </c>
    </row>
    <row r="154" spans="1:10">
      <c r="A154" s="1250" t="s">
        <v>3228</v>
      </c>
      <c r="B154" s="1250" t="s">
        <v>3049</v>
      </c>
      <c r="C154" s="1250" t="s">
        <v>3050</v>
      </c>
      <c r="D154" s="1250" t="s">
        <v>5345</v>
      </c>
      <c r="E154" s="328">
        <f>'NUHM-Non Metro Abst'!N154</f>
        <v>431.99996000000004</v>
      </c>
      <c r="F154" s="328">
        <f>'NUHM-Non Metro Abst'!Q154</f>
        <v>0</v>
      </c>
      <c r="G154" s="328">
        <f>'NUHM Metro Abst'!N154</f>
        <v>0</v>
      </c>
      <c r="H154" s="328">
        <f>'NUHM Metro Abst'!Q154</f>
        <v>0</v>
      </c>
      <c r="I154" s="201">
        <f t="shared" si="6"/>
        <v>431.99996000000004</v>
      </c>
      <c r="J154" s="328">
        <f t="shared" si="7"/>
        <v>0</v>
      </c>
    </row>
    <row r="155" spans="1:10">
      <c r="A155" s="1250" t="s">
        <v>3229</v>
      </c>
      <c r="B155" s="1250" t="s">
        <v>3051</v>
      </c>
      <c r="C155" s="1250" t="s">
        <v>3052</v>
      </c>
      <c r="D155" s="1250" t="s">
        <v>5345</v>
      </c>
      <c r="E155" s="328">
        <f>'NUHM-Non Metro Abst'!N155</f>
        <v>402.59996000000007</v>
      </c>
      <c r="F155" s="328">
        <f>'NUHM-Non Metro Abst'!Q155</f>
        <v>0</v>
      </c>
      <c r="G155" s="328">
        <f>'NUHM Metro Abst'!N155</f>
        <v>0</v>
      </c>
      <c r="H155" s="328">
        <f>'NUHM Metro Abst'!Q155</f>
        <v>0</v>
      </c>
      <c r="I155" s="201">
        <f t="shared" si="6"/>
        <v>402.59996000000007</v>
      </c>
      <c r="J155" s="328">
        <f t="shared" si="7"/>
        <v>0</v>
      </c>
    </row>
    <row r="156" spans="1:10" s="428" customFormat="1">
      <c r="A156" s="435" t="s">
        <v>3230</v>
      </c>
      <c r="B156" s="441" t="s">
        <v>3053</v>
      </c>
      <c r="C156" s="441" t="s">
        <v>3054</v>
      </c>
      <c r="D156" s="441"/>
      <c r="E156" s="328">
        <f>'NUHM-Non Metro Abst'!N156</f>
        <v>0</v>
      </c>
      <c r="F156" s="328">
        <f>'NUHM-Non Metro Abst'!Q156</f>
        <v>0</v>
      </c>
      <c r="G156" s="328">
        <f>'NUHM Metro Abst'!N156</f>
        <v>0</v>
      </c>
      <c r="H156" s="328">
        <f>'NUHM Metro Abst'!Q156</f>
        <v>0</v>
      </c>
      <c r="I156" s="201">
        <f t="shared" si="6"/>
        <v>0</v>
      </c>
      <c r="J156" s="328">
        <f t="shared" si="7"/>
        <v>0</v>
      </c>
    </row>
    <row r="157" spans="1:10">
      <c r="A157" s="1250" t="s">
        <v>3231</v>
      </c>
      <c r="B157" s="1250" t="s">
        <v>3055</v>
      </c>
      <c r="C157" s="1250" t="s">
        <v>3050</v>
      </c>
      <c r="D157" s="1250" t="s">
        <v>5345</v>
      </c>
      <c r="E157" s="328">
        <f>'NUHM-Non Metro Abst'!N157</f>
        <v>0</v>
      </c>
      <c r="F157" s="328">
        <f>'NUHM-Non Metro Abst'!Q157</f>
        <v>0</v>
      </c>
      <c r="G157" s="328">
        <f>'NUHM Metro Abst'!N157</f>
        <v>0</v>
      </c>
      <c r="H157" s="328">
        <f>'NUHM Metro Abst'!Q157</f>
        <v>0</v>
      </c>
      <c r="I157" s="201">
        <f t="shared" si="6"/>
        <v>0</v>
      </c>
      <c r="J157" s="328">
        <f t="shared" si="7"/>
        <v>0</v>
      </c>
    </row>
    <row r="158" spans="1:10">
      <c r="A158" s="1250" t="s">
        <v>3232</v>
      </c>
      <c r="B158" s="1250" t="s">
        <v>3056</v>
      </c>
      <c r="C158" s="1250" t="s">
        <v>3052</v>
      </c>
      <c r="D158" s="1250" t="s">
        <v>5345</v>
      </c>
      <c r="E158" s="328">
        <f>'NUHM-Non Metro Abst'!N158</f>
        <v>0</v>
      </c>
      <c r="F158" s="328">
        <f>'NUHM-Non Metro Abst'!Q158</f>
        <v>0</v>
      </c>
      <c r="G158" s="328">
        <f>'NUHM Metro Abst'!N158</f>
        <v>0</v>
      </c>
      <c r="H158" s="328">
        <f>'NUHM Metro Abst'!Q158</f>
        <v>0</v>
      </c>
      <c r="I158" s="201">
        <f t="shared" si="6"/>
        <v>0</v>
      </c>
      <c r="J158" s="328">
        <f t="shared" si="7"/>
        <v>0</v>
      </c>
    </row>
    <row r="159" spans="1:10" s="428" customFormat="1">
      <c r="A159" s="435" t="s">
        <v>3233</v>
      </c>
      <c r="B159" s="441" t="s">
        <v>3057</v>
      </c>
      <c r="C159" s="441" t="s">
        <v>3058</v>
      </c>
      <c r="D159" s="441"/>
      <c r="E159" s="328">
        <f>'NUHM-Non Metro Abst'!N159</f>
        <v>0</v>
      </c>
      <c r="F159" s="328">
        <f>'NUHM-Non Metro Abst'!Q159</f>
        <v>0</v>
      </c>
      <c r="G159" s="328">
        <f>'NUHM Metro Abst'!N159</f>
        <v>0</v>
      </c>
      <c r="H159" s="328">
        <f>'NUHM Metro Abst'!Q159</f>
        <v>0</v>
      </c>
      <c r="I159" s="201">
        <f t="shared" si="6"/>
        <v>0</v>
      </c>
      <c r="J159" s="328">
        <f t="shared" si="7"/>
        <v>0</v>
      </c>
    </row>
    <row r="160" spans="1:10">
      <c r="A160" s="1250" t="s">
        <v>3234</v>
      </c>
      <c r="B160" s="1250" t="s">
        <v>3059</v>
      </c>
      <c r="C160" s="1250" t="s">
        <v>3050</v>
      </c>
      <c r="D160" s="1250" t="s">
        <v>5345</v>
      </c>
      <c r="E160" s="328">
        <f>'NUHM-Non Metro Abst'!N160</f>
        <v>0</v>
      </c>
      <c r="F160" s="328">
        <f>'NUHM-Non Metro Abst'!Q160</f>
        <v>0</v>
      </c>
      <c r="G160" s="328">
        <f>'NUHM Metro Abst'!N160</f>
        <v>0</v>
      </c>
      <c r="H160" s="328">
        <f>'NUHM Metro Abst'!Q160</f>
        <v>0</v>
      </c>
      <c r="I160" s="201">
        <f t="shared" si="6"/>
        <v>0</v>
      </c>
      <c r="J160" s="328">
        <f t="shared" si="7"/>
        <v>0</v>
      </c>
    </row>
    <row r="161" spans="1:10">
      <c r="A161" s="1250" t="s">
        <v>3235</v>
      </c>
      <c r="B161" s="1250" t="s">
        <v>3059</v>
      </c>
      <c r="C161" s="1250" t="s">
        <v>3052</v>
      </c>
      <c r="D161" s="1250" t="s">
        <v>5345</v>
      </c>
      <c r="E161" s="328">
        <f>'NUHM-Non Metro Abst'!N161</f>
        <v>0</v>
      </c>
      <c r="F161" s="328">
        <f>'NUHM-Non Metro Abst'!Q161</f>
        <v>0</v>
      </c>
      <c r="G161" s="328">
        <f>'NUHM Metro Abst'!N161</f>
        <v>0</v>
      </c>
      <c r="H161" s="328">
        <f>'NUHM Metro Abst'!Q161</f>
        <v>0</v>
      </c>
      <c r="I161" s="201">
        <f t="shared" si="6"/>
        <v>0</v>
      </c>
      <c r="J161" s="328">
        <f t="shared" si="7"/>
        <v>0</v>
      </c>
    </row>
    <row r="162" spans="1:10">
      <c r="A162" s="420" t="s">
        <v>3236</v>
      </c>
      <c r="B162" s="420"/>
      <c r="C162" s="420" t="s">
        <v>673</v>
      </c>
      <c r="D162" s="420"/>
      <c r="E162" s="421">
        <f>'NUHM-Non Metro Abst'!N162</f>
        <v>55.5</v>
      </c>
      <c r="F162" s="421">
        <f>'NUHM-Non Metro Abst'!Q162</f>
        <v>0</v>
      </c>
      <c r="G162" s="421">
        <f>'NUHM Metro Abst'!N162</f>
        <v>0</v>
      </c>
      <c r="H162" s="421">
        <f>'NUHM Metro Abst'!Q162</f>
        <v>0</v>
      </c>
      <c r="I162" s="153">
        <f t="shared" si="6"/>
        <v>55.5</v>
      </c>
      <c r="J162" s="421">
        <f t="shared" si="7"/>
        <v>0</v>
      </c>
    </row>
    <row r="163" spans="1:10" s="428" customFormat="1">
      <c r="A163" s="435" t="s">
        <v>3237</v>
      </c>
      <c r="B163" s="441" t="s">
        <v>3060</v>
      </c>
      <c r="C163" s="441" t="s">
        <v>3061</v>
      </c>
      <c r="D163" s="441"/>
      <c r="E163" s="328">
        <f>'NUHM-Non Metro Abst'!N163</f>
        <v>55.5</v>
      </c>
      <c r="F163" s="328">
        <f>'NUHM-Non Metro Abst'!Q163</f>
        <v>0</v>
      </c>
      <c r="G163" s="328">
        <f>'NUHM Metro Abst'!N163</f>
        <v>0</v>
      </c>
      <c r="H163" s="328">
        <f>'NUHM Metro Abst'!Q163</f>
        <v>0</v>
      </c>
      <c r="I163" s="201">
        <f t="shared" si="6"/>
        <v>55.5</v>
      </c>
      <c r="J163" s="328">
        <f t="shared" si="7"/>
        <v>0</v>
      </c>
    </row>
    <row r="164" spans="1:10">
      <c r="A164" s="1250" t="s">
        <v>3238</v>
      </c>
      <c r="B164" s="1250" t="s">
        <v>3062</v>
      </c>
      <c r="C164" s="1250" t="s">
        <v>2985</v>
      </c>
      <c r="D164" s="1250" t="s">
        <v>5345</v>
      </c>
      <c r="E164" s="328">
        <f>'NUHM-Non Metro Abst'!N164</f>
        <v>55.5</v>
      </c>
      <c r="F164" s="328">
        <f>'NUHM-Non Metro Abst'!Q164</f>
        <v>0</v>
      </c>
      <c r="G164" s="328">
        <f>'NUHM Metro Abst'!N164</f>
        <v>0</v>
      </c>
      <c r="H164" s="328">
        <f>'NUHM Metro Abst'!Q164</f>
        <v>0</v>
      </c>
      <c r="I164" s="201">
        <f t="shared" si="6"/>
        <v>55.5</v>
      </c>
      <c r="J164" s="328">
        <f t="shared" si="7"/>
        <v>0</v>
      </c>
    </row>
    <row r="165" spans="1:10">
      <c r="A165" s="1250" t="s">
        <v>3239</v>
      </c>
      <c r="B165" s="1250" t="s">
        <v>3030</v>
      </c>
      <c r="C165" s="1250" t="s">
        <v>2987</v>
      </c>
      <c r="D165" s="1250" t="s">
        <v>5345</v>
      </c>
      <c r="E165" s="328">
        <f>'NUHM-Non Metro Abst'!N165</f>
        <v>0</v>
      </c>
      <c r="F165" s="328">
        <f>'NUHM-Non Metro Abst'!Q165</f>
        <v>0</v>
      </c>
      <c r="G165" s="328">
        <f>'NUHM Metro Abst'!N165</f>
        <v>0</v>
      </c>
      <c r="H165" s="328">
        <f>'NUHM Metro Abst'!Q165</f>
        <v>0</v>
      </c>
      <c r="I165" s="201">
        <f t="shared" si="6"/>
        <v>0</v>
      </c>
      <c r="J165" s="328">
        <f t="shared" si="7"/>
        <v>0</v>
      </c>
    </row>
    <row r="166" spans="1:10">
      <c r="A166" s="420" t="s">
        <v>3240</v>
      </c>
      <c r="B166" s="420"/>
      <c r="C166" s="420" t="s">
        <v>2432</v>
      </c>
      <c r="D166" s="420"/>
      <c r="E166" s="421">
        <f>'NUHM-Non Metro Abst'!N166</f>
        <v>532.58799999999997</v>
      </c>
      <c r="F166" s="421">
        <f>'NUHM-Non Metro Abst'!Q166</f>
        <v>0</v>
      </c>
      <c r="G166" s="421">
        <f>'NUHM Metro Abst'!N166</f>
        <v>0</v>
      </c>
      <c r="H166" s="421">
        <f>'NUHM Metro Abst'!Q166</f>
        <v>0</v>
      </c>
      <c r="I166" s="153">
        <f t="shared" si="6"/>
        <v>532.58799999999997</v>
      </c>
      <c r="J166" s="421">
        <f t="shared" si="7"/>
        <v>0</v>
      </c>
    </row>
    <row r="167" spans="1:10">
      <c r="A167" s="1250" t="s">
        <v>3241</v>
      </c>
      <c r="B167" s="1250" t="s">
        <v>3063</v>
      </c>
      <c r="C167" s="1250" t="s">
        <v>3064</v>
      </c>
      <c r="D167" s="1250" t="s">
        <v>5345</v>
      </c>
      <c r="E167" s="328">
        <f>'NUHM-Non Metro Abst'!N167</f>
        <v>256.49959999999999</v>
      </c>
      <c r="F167" s="328">
        <f>'NUHM-Non Metro Abst'!Q167</f>
        <v>0</v>
      </c>
      <c r="G167" s="328">
        <f>'NUHM Metro Abst'!N167</f>
        <v>0</v>
      </c>
      <c r="H167" s="328">
        <f>'NUHM Metro Abst'!Q167</f>
        <v>0</v>
      </c>
      <c r="I167" s="201">
        <f t="shared" si="6"/>
        <v>256.49959999999999</v>
      </c>
      <c r="J167" s="328">
        <f t="shared" si="7"/>
        <v>0</v>
      </c>
    </row>
    <row r="168" spans="1:10">
      <c r="A168" s="1250" t="s">
        <v>3242</v>
      </c>
      <c r="B168" s="1250" t="s">
        <v>3065</v>
      </c>
      <c r="C168" s="1250" t="s">
        <v>3066</v>
      </c>
      <c r="D168" s="1250" t="s">
        <v>5345</v>
      </c>
      <c r="E168" s="328">
        <f>'NUHM-Non Metro Abst'!N168</f>
        <v>276.08839999999998</v>
      </c>
      <c r="F168" s="328">
        <f>'NUHM-Non Metro Abst'!Q168</f>
        <v>0</v>
      </c>
      <c r="G168" s="328">
        <f>'NUHM Metro Abst'!N168</f>
        <v>0</v>
      </c>
      <c r="H168" s="328">
        <f>'NUHM Metro Abst'!Q168</f>
        <v>0</v>
      </c>
      <c r="I168" s="201">
        <f t="shared" si="6"/>
        <v>276.08839999999998</v>
      </c>
      <c r="J168" s="328">
        <f t="shared" si="7"/>
        <v>0</v>
      </c>
    </row>
    <row r="169" spans="1:10">
      <c r="A169" s="412" t="s">
        <v>3243</v>
      </c>
      <c r="B169" s="412"/>
      <c r="C169" s="412" t="s">
        <v>716</v>
      </c>
      <c r="D169" s="1250" t="s">
        <v>5345</v>
      </c>
      <c r="E169" s="413">
        <f>'NUHM-Non Metro Abst'!N169</f>
        <v>1.2220800000000001</v>
      </c>
      <c r="F169" s="413">
        <f>'NUHM-Non Metro Abst'!Q169</f>
        <v>0</v>
      </c>
      <c r="G169" s="413">
        <f>'NUHM Metro Abst'!N169</f>
        <v>0</v>
      </c>
      <c r="H169" s="413">
        <f>'NUHM Metro Abst'!Q169</f>
        <v>0</v>
      </c>
      <c r="I169" s="149">
        <f t="shared" si="6"/>
        <v>1.2220800000000001</v>
      </c>
      <c r="J169" s="413">
        <f t="shared" si="7"/>
        <v>0</v>
      </c>
    </row>
    <row r="170" spans="1:10" ht="30">
      <c r="A170" s="412" t="s">
        <v>3244</v>
      </c>
      <c r="B170" s="412"/>
      <c r="C170" s="412" t="s">
        <v>718</v>
      </c>
      <c r="D170" s="1250" t="s">
        <v>5345</v>
      </c>
      <c r="E170" s="413">
        <f>'NUHM-Non Metro Abst'!N170</f>
        <v>0</v>
      </c>
      <c r="F170" s="413">
        <f>'NUHM-Non Metro Abst'!Q170</f>
        <v>0</v>
      </c>
      <c r="G170" s="413">
        <f>'NUHM Metro Abst'!N170</f>
        <v>0</v>
      </c>
      <c r="H170" s="413">
        <f>'NUHM Metro Abst'!Q170</f>
        <v>0</v>
      </c>
      <c r="I170" s="149">
        <f t="shared" si="6"/>
        <v>0</v>
      </c>
      <c r="J170" s="413">
        <f t="shared" si="7"/>
        <v>0</v>
      </c>
    </row>
    <row r="171" spans="1:10">
      <c r="A171" s="412" t="s">
        <v>3245</v>
      </c>
      <c r="B171" s="412"/>
      <c r="C171" s="412" t="s">
        <v>3067</v>
      </c>
      <c r="D171" s="412"/>
      <c r="E171" s="413">
        <f>'NUHM-Non Metro Abst'!N171</f>
        <v>33.469994</v>
      </c>
      <c r="F171" s="413">
        <f>'NUHM-Non Metro Abst'!Q171</f>
        <v>0</v>
      </c>
      <c r="G171" s="413">
        <f>'NUHM Metro Abst'!N171</f>
        <v>0</v>
      </c>
      <c r="H171" s="413">
        <f>'NUHM Metro Abst'!Q171</f>
        <v>0</v>
      </c>
      <c r="I171" s="149">
        <f t="shared" si="6"/>
        <v>33.469994</v>
      </c>
      <c r="J171" s="413">
        <f t="shared" si="7"/>
        <v>0</v>
      </c>
    </row>
    <row r="172" spans="1:10" ht="45">
      <c r="A172" s="1250" t="s">
        <v>3246</v>
      </c>
      <c r="B172" s="1249"/>
      <c r="C172" s="414" t="s">
        <v>5318</v>
      </c>
      <c r="D172" s="414" t="s">
        <v>5342</v>
      </c>
      <c r="E172" s="328">
        <f>'NUHM-Non Metro Abst'!N172</f>
        <v>30</v>
      </c>
      <c r="F172" s="328">
        <f>'NUHM-Non Metro Abst'!Q172</f>
        <v>0</v>
      </c>
      <c r="G172" s="328">
        <f>'NUHM Metro Abst'!N172</f>
        <v>0</v>
      </c>
      <c r="H172" s="328">
        <f>'NUHM Metro Abst'!Q172</f>
        <v>0</v>
      </c>
      <c r="I172" s="201">
        <f t="shared" si="6"/>
        <v>30</v>
      </c>
      <c r="J172" s="328">
        <f t="shared" si="7"/>
        <v>0</v>
      </c>
    </row>
    <row r="173" spans="1:10">
      <c r="A173" s="1250" t="s">
        <v>3930</v>
      </c>
      <c r="B173" s="1249"/>
      <c r="C173" s="414" t="s">
        <v>606</v>
      </c>
      <c r="D173" s="414" t="s">
        <v>3296</v>
      </c>
      <c r="E173" s="328">
        <f>'NUHM-Non Metro Abst'!N173</f>
        <v>3.4699940000000002</v>
      </c>
      <c r="F173" s="328">
        <f>'NUHM-Non Metro Abst'!Q173</f>
        <v>0</v>
      </c>
      <c r="G173" s="328">
        <f>'NUHM Metro Abst'!N173</f>
        <v>0</v>
      </c>
      <c r="H173" s="328">
        <f>'NUHM Metro Abst'!Q173</f>
        <v>0</v>
      </c>
      <c r="I173" s="201">
        <f t="shared" si="6"/>
        <v>3.4699940000000002</v>
      </c>
      <c r="J173" s="328">
        <f t="shared" si="7"/>
        <v>0</v>
      </c>
    </row>
    <row r="174" spans="1:10">
      <c r="A174" s="141" t="s">
        <v>3247</v>
      </c>
      <c r="B174" s="141"/>
      <c r="C174" s="141" t="s">
        <v>52</v>
      </c>
      <c r="D174" s="141"/>
      <c r="E174" s="410">
        <f>'NUHM-Non Metro Abst'!N174</f>
        <v>82.124996600000003</v>
      </c>
      <c r="F174" s="410">
        <f>'NUHM-Non Metro Abst'!Q174</f>
        <v>0</v>
      </c>
      <c r="G174" s="410">
        <f>'NUHM Metro Abst'!N174</f>
        <v>0</v>
      </c>
      <c r="H174" s="410">
        <f>'NUHM Metro Abst'!Q174</f>
        <v>0</v>
      </c>
      <c r="I174" s="148">
        <f t="shared" si="6"/>
        <v>82.124996600000003</v>
      </c>
      <c r="J174" s="410">
        <f t="shared" si="7"/>
        <v>0</v>
      </c>
    </row>
    <row r="175" spans="1:10" ht="30">
      <c r="A175" s="412" t="s">
        <v>3248</v>
      </c>
      <c r="B175" s="412"/>
      <c r="C175" s="412" t="s">
        <v>22</v>
      </c>
      <c r="D175" s="412"/>
      <c r="E175" s="413">
        <f>'NUHM-Non Metro Abst'!N175</f>
        <v>0</v>
      </c>
      <c r="F175" s="413">
        <f>'NUHM-Non Metro Abst'!Q175</f>
        <v>0</v>
      </c>
      <c r="G175" s="413">
        <f>'NUHM Metro Abst'!N175</f>
        <v>0</v>
      </c>
      <c r="H175" s="413">
        <f>'NUHM Metro Abst'!Q175</f>
        <v>0</v>
      </c>
      <c r="I175" s="149">
        <f t="shared" si="6"/>
        <v>0</v>
      </c>
      <c r="J175" s="413">
        <f t="shared" si="7"/>
        <v>0</v>
      </c>
    </row>
    <row r="176" spans="1:10">
      <c r="A176" s="1250" t="s">
        <v>3249</v>
      </c>
      <c r="B176" s="1249" t="s">
        <v>3068</v>
      </c>
      <c r="C176" s="442" t="s">
        <v>3069</v>
      </c>
      <c r="D176" s="442" t="s">
        <v>5341</v>
      </c>
      <c r="E176" s="328">
        <f>'NUHM-Non Metro Abst'!N176</f>
        <v>0</v>
      </c>
      <c r="F176" s="328">
        <f>'NUHM-Non Metro Abst'!Q176</f>
        <v>0</v>
      </c>
      <c r="G176" s="328">
        <f>'NUHM Metro Abst'!N176</f>
        <v>0</v>
      </c>
      <c r="H176" s="328">
        <f>'NUHM Metro Abst'!Q176</f>
        <v>0</v>
      </c>
      <c r="I176" s="201">
        <f t="shared" si="6"/>
        <v>0</v>
      </c>
      <c r="J176" s="328">
        <f t="shared" si="7"/>
        <v>0</v>
      </c>
    </row>
    <row r="177" spans="1:10">
      <c r="A177" s="1250" t="s">
        <v>3250</v>
      </c>
      <c r="B177" s="1249"/>
      <c r="C177" s="442" t="s">
        <v>2970</v>
      </c>
      <c r="D177" s="442" t="s">
        <v>5341</v>
      </c>
      <c r="E177" s="328">
        <f>'NUHM-Non Metro Abst'!N177</f>
        <v>0</v>
      </c>
      <c r="F177" s="328">
        <f>'NUHM-Non Metro Abst'!Q177</f>
        <v>0</v>
      </c>
      <c r="G177" s="328">
        <f>'NUHM Metro Abst'!N177</f>
        <v>0</v>
      </c>
      <c r="H177" s="328">
        <f>'NUHM Metro Abst'!Q177</f>
        <v>0</v>
      </c>
      <c r="I177" s="201">
        <f t="shared" si="6"/>
        <v>0</v>
      </c>
      <c r="J177" s="328">
        <f t="shared" si="7"/>
        <v>0</v>
      </c>
    </row>
    <row r="178" spans="1:10">
      <c r="A178" s="412" t="s">
        <v>3251</v>
      </c>
      <c r="B178" s="412" t="s">
        <v>3252</v>
      </c>
      <c r="C178" s="412" t="s">
        <v>5310</v>
      </c>
      <c r="D178" s="412"/>
      <c r="E178" s="413">
        <f>'NUHM-Non Metro Abst'!N178</f>
        <v>82.124996600000003</v>
      </c>
      <c r="F178" s="413">
        <f>'NUHM-Non Metro Abst'!Q178</f>
        <v>0</v>
      </c>
      <c r="G178" s="413">
        <f>'NUHM Metro Abst'!N178</f>
        <v>0</v>
      </c>
      <c r="H178" s="413">
        <f>'NUHM Metro Abst'!Q178</f>
        <v>0</v>
      </c>
      <c r="I178" s="149">
        <f t="shared" si="6"/>
        <v>82.124996600000003</v>
      </c>
      <c r="J178" s="413">
        <f t="shared" si="7"/>
        <v>0</v>
      </c>
    </row>
    <row r="179" spans="1:10" ht="30">
      <c r="A179" s="1250" t="s">
        <v>5322</v>
      </c>
      <c r="B179" s="1250" t="s">
        <v>5311</v>
      </c>
      <c r="C179" s="1250" t="s">
        <v>3070</v>
      </c>
      <c r="D179" s="442" t="s">
        <v>5341</v>
      </c>
      <c r="E179" s="328">
        <f>'NUHM-Non Metro Abst'!N179</f>
        <v>11.18</v>
      </c>
      <c r="F179" s="328">
        <f>'NUHM-Non Metro Abst'!Q179</f>
        <v>0</v>
      </c>
      <c r="G179" s="328">
        <f>'NUHM Metro Abst'!N179</f>
        <v>0</v>
      </c>
      <c r="H179" s="328">
        <f>'NUHM Metro Abst'!Q179</f>
        <v>0</v>
      </c>
      <c r="I179" s="201">
        <f t="shared" si="6"/>
        <v>11.18</v>
      </c>
      <c r="J179" s="328">
        <f t="shared" si="7"/>
        <v>0</v>
      </c>
    </row>
    <row r="180" spans="1:10">
      <c r="A180" s="1250" t="s">
        <v>5323</v>
      </c>
      <c r="B180" s="1250" t="s">
        <v>5312</v>
      </c>
      <c r="C180" s="1250" t="s">
        <v>3071</v>
      </c>
      <c r="D180" s="442" t="s">
        <v>5341</v>
      </c>
      <c r="E180" s="328">
        <f>'NUHM-Non Metro Abst'!N180</f>
        <v>0</v>
      </c>
      <c r="F180" s="328">
        <f>'NUHM-Non Metro Abst'!Q180</f>
        <v>0</v>
      </c>
      <c r="G180" s="328">
        <f>'NUHM Metro Abst'!N180</f>
        <v>0</v>
      </c>
      <c r="H180" s="328">
        <f>'NUHM Metro Abst'!Q180</f>
        <v>0</v>
      </c>
      <c r="I180" s="201">
        <f t="shared" si="6"/>
        <v>0</v>
      </c>
      <c r="J180" s="328">
        <f t="shared" si="7"/>
        <v>0</v>
      </c>
    </row>
    <row r="181" spans="1:10">
      <c r="A181" s="1250" t="s">
        <v>5324</v>
      </c>
      <c r="B181" s="1250" t="s">
        <v>5313</v>
      </c>
      <c r="C181" s="1250" t="s">
        <v>3072</v>
      </c>
      <c r="D181" s="442" t="s">
        <v>5341</v>
      </c>
      <c r="E181" s="328">
        <f>'NUHM-Non Metro Abst'!N181</f>
        <v>0</v>
      </c>
      <c r="F181" s="328">
        <f>'NUHM-Non Metro Abst'!Q181</f>
        <v>0</v>
      </c>
      <c r="G181" s="328">
        <f>'NUHM Metro Abst'!N181</f>
        <v>0</v>
      </c>
      <c r="H181" s="328">
        <f>'NUHM Metro Abst'!Q181</f>
        <v>0</v>
      </c>
      <c r="I181" s="201">
        <f t="shared" si="6"/>
        <v>0</v>
      </c>
      <c r="J181" s="328">
        <f t="shared" si="7"/>
        <v>0</v>
      </c>
    </row>
    <row r="182" spans="1:10">
      <c r="A182" s="1250" t="s">
        <v>5325</v>
      </c>
      <c r="B182" s="1250" t="s">
        <v>5314</v>
      </c>
      <c r="C182" s="1250" t="s">
        <v>3073</v>
      </c>
      <c r="D182" s="442" t="s">
        <v>5341</v>
      </c>
      <c r="E182" s="328">
        <f>'NUHM-Non Metro Abst'!N182</f>
        <v>5.5</v>
      </c>
      <c r="F182" s="328">
        <f>'NUHM-Non Metro Abst'!Q182</f>
        <v>0</v>
      </c>
      <c r="G182" s="328">
        <f>'NUHM Metro Abst'!N182</f>
        <v>0</v>
      </c>
      <c r="H182" s="328">
        <f>'NUHM Metro Abst'!Q182</f>
        <v>0</v>
      </c>
      <c r="I182" s="201">
        <f t="shared" si="6"/>
        <v>5.5</v>
      </c>
      <c r="J182" s="328">
        <f t="shared" si="7"/>
        <v>0</v>
      </c>
    </row>
    <row r="183" spans="1:10" ht="30">
      <c r="A183" s="1250" t="s">
        <v>5326</v>
      </c>
      <c r="B183" s="1250" t="s">
        <v>5315</v>
      </c>
      <c r="C183" s="1250" t="s">
        <v>5317</v>
      </c>
      <c r="D183" s="442" t="s">
        <v>5341</v>
      </c>
      <c r="E183" s="328">
        <f>'NUHM-Non Metro Abst'!N183</f>
        <v>0</v>
      </c>
      <c r="F183" s="328">
        <f>'NUHM-Non Metro Abst'!Q183</f>
        <v>0</v>
      </c>
      <c r="G183" s="328">
        <f>'NUHM Metro Abst'!N183</f>
        <v>0</v>
      </c>
      <c r="H183" s="328">
        <f>'NUHM Metro Abst'!Q183</f>
        <v>0</v>
      </c>
      <c r="I183" s="201">
        <f t="shared" si="6"/>
        <v>0</v>
      </c>
      <c r="J183" s="328">
        <f t="shared" si="7"/>
        <v>0</v>
      </c>
    </row>
    <row r="184" spans="1:10">
      <c r="A184" s="1250" t="s">
        <v>5327</v>
      </c>
      <c r="B184" s="1250" t="s">
        <v>5316</v>
      </c>
      <c r="C184" s="1250" t="s">
        <v>3075</v>
      </c>
      <c r="D184" s="442" t="s">
        <v>5346</v>
      </c>
      <c r="E184" s="328">
        <f>'NUHM-Non Metro Abst'!N184</f>
        <v>3.8000000000000003</v>
      </c>
      <c r="F184" s="328">
        <f>'NUHM-Non Metro Abst'!Q184</f>
        <v>0</v>
      </c>
      <c r="G184" s="328">
        <f>'NUHM Metro Abst'!N184</f>
        <v>0</v>
      </c>
      <c r="H184" s="328">
        <f>'NUHM Metro Abst'!Q184</f>
        <v>0</v>
      </c>
      <c r="I184" s="201">
        <f t="shared" si="6"/>
        <v>3.8000000000000003</v>
      </c>
      <c r="J184" s="328">
        <f t="shared" si="7"/>
        <v>0</v>
      </c>
    </row>
    <row r="185" spans="1:10" ht="30">
      <c r="A185" s="1250" t="s">
        <v>5328</v>
      </c>
      <c r="B185" s="1250" t="s">
        <v>3253</v>
      </c>
      <c r="C185" s="1250" t="s">
        <v>3921</v>
      </c>
      <c r="D185" s="1250"/>
      <c r="E185" s="328">
        <f>'NUHM-Non Metro Abst'!N185</f>
        <v>23.375</v>
      </c>
      <c r="F185" s="328">
        <f>'NUHM-Non Metro Abst'!Q185</f>
        <v>0</v>
      </c>
      <c r="G185" s="328">
        <f>'NUHM Metro Abst'!N185</f>
        <v>0</v>
      </c>
      <c r="H185" s="328">
        <f>'NUHM Metro Abst'!Q185</f>
        <v>0</v>
      </c>
      <c r="I185" s="201">
        <f t="shared" si="6"/>
        <v>23.375</v>
      </c>
      <c r="J185" s="328">
        <f t="shared" si="7"/>
        <v>0</v>
      </c>
    </row>
    <row r="186" spans="1:10">
      <c r="A186" s="1250" t="s">
        <v>5329</v>
      </c>
      <c r="B186" s="1250" t="s">
        <v>4588</v>
      </c>
      <c r="C186" s="1250" t="s">
        <v>3920</v>
      </c>
      <c r="D186" s="1250" t="s">
        <v>5342</v>
      </c>
      <c r="E186" s="328">
        <f>'NUHM-Non Metro Abst'!N186</f>
        <v>23.375</v>
      </c>
      <c r="F186" s="328">
        <f>'NUHM-Non Metro Abst'!Q186</f>
        <v>0</v>
      </c>
      <c r="G186" s="328">
        <f>'NUHM Metro Abst'!N186</f>
        <v>0</v>
      </c>
      <c r="H186" s="328">
        <f>'NUHM Metro Abst'!Q186</f>
        <v>0</v>
      </c>
      <c r="I186" s="201">
        <f t="shared" si="6"/>
        <v>23.375</v>
      </c>
      <c r="J186" s="328">
        <f t="shared" si="7"/>
        <v>0</v>
      </c>
    </row>
    <row r="187" spans="1:10">
      <c r="A187" s="1250" t="s">
        <v>5330</v>
      </c>
      <c r="B187" s="1250" t="s">
        <v>4589</v>
      </c>
      <c r="C187" s="1250" t="s">
        <v>4399</v>
      </c>
      <c r="D187" s="1250" t="s">
        <v>5342</v>
      </c>
      <c r="E187" s="328">
        <f>'NUHM-Non Metro Abst'!N187</f>
        <v>0</v>
      </c>
      <c r="F187" s="328">
        <f>'NUHM-Non Metro Abst'!Q187</f>
        <v>0</v>
      </c>
      <c r="G187" s="328">
        <f>'NUHM Metro Abst'!N187</f>
        <v>0</v>
      </c>
      <c r="H187" s="328">
        <f>'NUHM Metro Abst'!Q187</f>
        <v>0</v>
      </c>
      <c r="I187" s="201">
        <f t="shared" si="6"/>
        <v>0</v>
      </c>
      <c r="J187" s="328">
        <f t="shared" si="7"/>
        <v>0</v>
      </c>
    </row>
    <row r="188" spans="1:10">
      <c r="A188" s="1250" t="s">
        <v>5331</v>
      </c>
      <c r="B188" s="1250" t="s">
        <v>4590</v>
      </c>
      <c r="C188" s="1250" t="s">
        <v>5319</v>
      </c>
      <c r="D188" s="1250" t="s">
        <v>5342</v>
      </c>
      <c r="E188" s="328">
        <f>'NUHM-Non Metro Abst'!N188</f>
        <v>0</v>
      </c>
      <c r="F188" s="328">
        <f>'NUHM-Non Metro Abst'!Q188</f>
        <v>0</v>
      </c>
      <c r="G188" s="328">
        <f>'NUHM Metro Abst'!N188</f>
        <v>0</v>
      </c>
      <c r="H188" s="328">
        <f>'NUHM Metro Abst'!Q188</f>
        <v>0</v>
      </c>
      <c r="I188" s="201">
        <f t="shared" si="6"/>
        <v>0</v>
      </c>
      <c r="J188" s="328">
        <f t="shared" si="7"/>
        <v>0</v>
      </c>
    </row>
    <row r="189" spans="1:10">
      <c r="A189" s="1250" t="s">
        <v>5332</v>
      </c>
      <c r="B189" s="1250" t="s">
        <v>5321</v>
      </c>
      <c r="C189" s="1250" t="s">
        <v>5320</v>
      </c>
      <c r="D189" s="1250" t="s">
        <v>5342</v>
      </c>
      <c r="E189" s="328">
        <f>'NUHM-Non Metro Abst'!N189</f>
        <v>0</v>
      </c>
      <c r="F189" s="328">
        <f>'NUHM-Non Metro Abst'!Q189</f>
        <v>0</v>
      </c>
      <c r="G189" s="328">
        <f>'NUHM Metro Abst'!N189</f>
        <v>0</v>
      </c>
      <c r="H189" s="328">
        <f>'NUHM Metro Abst'!Q189</f>
        <v>0</v>
      </c>
      <c r="I189" s="201">
        <f t="shared" si="6"/>
        <v>0</v>
      </c>
      <c r="J189" s="328">
        <f t="shared" si="7"/>
        <v>0</v>
      </c>
    </row>
    <row r="190" spans="1:10">
      <c r="A190" s="1250" t="s">
        <v>5333</v>
      </c>
      <c r="B190" s="1250" t="s">
        <v>4591</v>
      </c>
      <c r="C190" s="91" t="s">
        <v>3074</v>
      </c>
      <c r="D190" s="91" t="s">
        <v>4720</v>
      </c>
      <c r="E190" s="328">
        <f>'NUHM-Non Metro Abst'!N190</f>
        <v>2.66</v>
      </c>
      <c r="F190" s="328">
        <f>'NUHM-Non Metro Abst'!Q190</f>
        <v>0</v>
      </c>
      <c r="G190" s="328">
        <f>'NUHM Metro Abst'!N190</f>
        <v>0</v>
      </c>
      <c r="H190" s="328">
        <f>'NUHM Metro Abst'!Q190</f>
        <v>0</v>
      </c>
      <c r="I190" s="201">
        <f t="shared" si="6"/>
        <v>2.66</v>
      </c>
      <c r="J190" s="328">
        <f t="shared" si="7"/>
        <v>0</v>
      </c>
    </row>
    <row r="191" spans="1:10">
      <c r="A191" s="1250" t="s">
        <v>5334</v>
      </c>
      <c r="B191" s="1250" t="s">
        <v>4592</v>
      </c>
      <c r="C191" s="1250" t="s">
        <v>4046</v>
      </c>
      <c r="D191" s="91" t="s">
        <v>4720</v>
      </c>
      <c r="E191" s="328">
        <f>'NUHM-Non Metro Abst'!N191</f>
        <v>4.16</v>
      </c>
      <c r="F191" s="328">
        <f>'NUHM-Non Metro Abst'!Q191</f>
        <v>0</v>
      </c>
      <c r="G191" s="328">
        <f>'NUHM Metro Abst'!N191</f>
        <v>0</v>
      </c>
      <c r="H191" s="328">
        <f>'NUHM Metro Abst'!Q191</f>
        <v>0</v>
      </c>
      <c r="I191" s="201">
        <f t="shared" si="6"/>
        <v>4.16</v>
      </c>
      <c r="J191" s="328">
        <f t="shared" si="7"/>
        <v>0</v>
      </c>
    </row>
    <row r="192" spans="1:10">
      <c r="A192" s="1250" t="s">
        <v>5335</v>
      </c>
      <c r="B192" s="1250" t="s">
        <v>4593</v>
      </c>
      <c r="C192" s="1250" t="s">
        <v>4047</v>
      </c>
      <c r="D192" s="91" t="s">
        <v>4720</v>
      </c>
      <c r="E192" s="328">
        <f>'NUHM-Non Metro Abst'!N192</f>
        <v>0</v>
      </c>
      <c r="F192" s="328">
        <f>'NUHM-Non Metro Abst'!Q192</f>
        <v>0</v>
      </c>
      <c r="G192" s="328">
        <f>'NUHM Metro Abst'!N192</f>
        <v>0</v>
      </c>
      <c r="H192" s="328">
        <f>'NUHM Metro Abst'!Q192</f>
        <v>0</v>
      </c>
      <c r="I192" s="201">
        <f t="shared" si="6"/>
        <v>0</v>
      </c>
      <c r="J192" s="328">
        <f t="shared" si="7"/>
        <v>0</v>
      </c>
    </row>
    <row r="193" spans="1:10">
      <c r="A193" s="1250" t="s">
        <v>5336</v>
      </c>
      <c r="B193" s="1250" t="s">
        <v>4595</v>
      </c>
      <c r="C193" s="1250" t="s">
        <v>4048</v>
      </c>
      <c r="D193" s="91" t="s">
        <v>4720</v>
      </c>
      <c r="E193" s="328">
        <f>'NUHM-Non Metro Abst'!N193</f>
        <v>0</v>
      </c>
      <c r="F193" s="328">
        <f>'NUHM-Non Metro Abst'!Q193</f>
        <v>0</v>
      </c>
      <c r="G193" s="328">
        <f>'NUHM Metro Abst'!N193</f>
        <v>0</v>
      </c>
      <c r="H193" s="328">
        <f>'NUHM Metro Abst'!Q193</f>
        <v>0</v>
      </c>
      <c r="I193" s="201">
        <f t="shared" si="6"/>
        <v>0</v>
      </c>
      <c r="J193" s="328">
        <f t="shared" si="7"/>
        <v>0</v>
      </c>
    </row>
    <row r="194" spans="1:10">
      <c r="A194" s="1250" t="s">
        <v>5337</v>
      </c>
      <c r="B194" s="1250" t="s">
        <v>4594</v>
      </c>
      <c r="C194" s="1250" t="s">
        <v>4045</v>
      </c>
      <c r="D194" s="91" t="s">
        <v>3296</v>
      </c>
      <c r="E194" s="328">
        <f>'NUHM-Non Metro Abst'!N194</f>
        <v>31.449996600000002</v>
      </c>
      <c r="F194" s="328">
        <f>'NUHM-Non Metro Abst'!Q194</f>
        <v>0</v>
      </c>
      <c r="G194" s="328">
        <f>'NUHM Metro Abst'!N194</f>
        <v>0</v>
      </c>
      <c r="H194" s="328">
        <f>'NUHM Metro Abst'!Q194</f>
        <v>0</v>
      </c>
      <c r="I194" s="201">
        <f t="shared" si="6"/>
        <v>31.449996600000002</v>
      </c>
      <c r="J194" s="328">
        <f t="shared" si="7"/>
        <v>0</v>
      </c>
    </row>
    <row r="195" spans="1:10">
      <c r="A195" s="141" t="s">
        <v>3254</v>
      </c>
      <c r="B195" s="141"/>
      <c r="C195" s="141" t="s">
        <v>23</v>
      </c>
      <c r="D195" s="141"/>
      <c r="E195" s="410">
        <f>'NUHM-Non Metro Abst'!N195</f>
        <v>0</v>
      </c>
      <c r="F195" s="410">
        <f>'NUHM-Non Metro Abst'!Q195</f>
        <v>0</v>
      </c>
      <c r="G195" s="410">
        <f>'NUHM Metro Abst'!N195</f>
        <v>0</v>
      </c>
      <c r="H195" s="410">
        <f>'NUHM Metro Abst'!Q195</f>
        <v>0</v>
      </c>
      <c r="I195" s="148">
        <f t="shared" si="6"/>
        <v>0</v>
      </c>
      <c r="J195" s="410">
        <f t="shared" si="7"/>
        <v>0</v>
      </c>
    </row>
    <row r="196" spans="1:10">
      <c r="A196" s="412" t="s">
        <v>3255</v>
      </c>
      <c r="B196" s="412"/>
      <c r="C196" s="412" t="s">
        <v>24</v>
      </c>
      <c r="D196" s="412"/>
      <c r="E196" s="413">
        <f>'NUHM-Non Metro Abst'!N196</f>
        <v>0</v>
      </c>
      <c r="F196" s="413">
        <f>'NUHM-Non Metro Abst'!Q196</f>
        <v>0</v>
      </c>
      <c r="G196" s="413">
        <f>'NUHM Metro Abst'!N196</f>
        <v>0</v>
      </c>
      <c r="H196" s="413">
        <f>'NUHM Metro Abst'!Q196</f>
        <v>0</v>
      </c>
      <c r="I196" s="149">
        <f t="shared" si="6"/>
        <v>0</v>
      </c>
      <c r="J196" s="413">
        <f t="shared" si="7"/>
        <v>0</v>
      </c>
    </row>
    <row r="197" spans="1:10" ht="30">
      <c r="A197" s="1250" t="s">
        <v>3256</v>
      </c>
      <c r="B197" s="443"/>
      <c r="C197" s="423" t="s">
        <v>1170</v>
      </c>
      <c r="D197" s="423" t="s">
        <v>118</v>
      </c>
      <c r="E197" s="328">
        <f>'NUHM-Non Metro Abst'!N197</f>
        <v>0</v>
      </c>
      <c r="F197" s="328">
        <f>'NUHM-Non Metro Abst'!Q197</f>
        <v>0</v>
      </c>
      <c r="G197" s="328">
        <f>'NUHM Metro Abst'!N197</f>
        <v>0</v>
      </c>
      <c r="H197" s="328">
        <f>'NUHM Metro Abst'!Q197</f>
        <v>0</v>
      </c>
      <c r="I197" s="201">
        <f t="shared" si="6"/>
        <v>0</v>
      </c>
      <c r="J197" s="328">
        <f t="shared" si="7"/>
        <v>0</v>
      </c>
    </row>
    <row r="198" spans="1:10">
      <c r="A198" s="1250" t="s">
        <v>3257</v>
      </c>
      <c r="B198" s="443"/>
      <c r="C198" s="423" t="s">
        <v>1171</v>
      </c>
      <c r="D198" s="423" t="s">
        <v>131</v>
      </c>
      <c r="E198" s="328">
        <f>'NUHM-Non Metro Abst'!N198</f>
        <v>0</v>
      </c>
      <c r="F198" s="328">
        <f>'NUHM-Non Metro Abst'!Q198</f>
        <v>0</v>
      </c>
      <c r="G198" s="328">
        <f>'NUHM Metro Abst'!N198</f>
        <v>0</v>
      </c>
      <c r="H198" s="328">
        <f>'NUHM Metro Abst'!Q198</f>
        <v>0</v>
      </c>
      <c r="I198" s="201">
        <f t="shared" si="6"/>
        <v>0</v>
      </c>
      <c r="J198" s="328">
        <f t="shared" si="7"/>
        <v>0</v>
      </c>
    </row>
    <row r="199" spans="1:10">
      <c r="A199" s="412" t="s">
        <v>3258</v>
      </c>
      <c r="B199" s="412"/>
      <c r="C199" s="412" t="s">
        <v>25</v>
      </c>
      <c r="D199" s="412"/>
      <c r="E199" s="413">
        <f>'NUHM-Non Metro Abst'!N199</f>
        <v>0</v>
      </c>
      <c r="F199" s="413">
        <f>'NUHM-Non Metro Abst'!Q199</f>
        <v>0</v>
      </c>
      <c r="G199" s="413">
        <f>'NUHM Metro Abst'!N199</f>
        <v>0</v>
      </c>
      <c r="H199" s="413">
        <f>'NUHM Metro Abst'!Q199</f>
        <v>0</v>
      </c>
      <c r="I199" s="149">
        <f t="shared" si="6"/>
        <v>0</v>
      </c>
      <c r="J199" s="413">
        <f t="shared" si="7"/>
        <v>0</v>
      </c>
    </row>
    <row r="200" spans="1:10">
      <c r="A200" s="1250" t="s">
        <v>3259</v>
      </c>
      <c r="B200" s="1250" t="s">
        <v>3076</v>
      </c>
      <c r="C200" s="1250" t="s">
        <v>3077</v>
      </c>
      <c r="D200" s="1250" t="s">
        <v>3296</v>
      </c>
      <c r="E200" s="328">
        <f>'NUHM-Non Metro Abst'!N200</f>
        <v>0</v>
      </c>
      <c r="F200" s="328">
        <f>'NUHM-Non Metro Abst'!Q200</f>
        <v>0</v>
      </c>
      <c r="G200" s="328">
        <f>'NUHM Metro Abst'!N200</f>
        <v>0</v>
      </c>
      <c r="H200" s="328">
        <f>'NUHM Metro Abst'!Q200</f>
        <v>0</v>
      </c>
      <c r="I200" s="201">
        <f t="shared" si="6"/>
        <v>0</v>
      </c>
      <c r="J200" s="328">
        <f t="shared" si="7"/>
        <v>0</v>
      </c>
    </row>
    <row r="201" spans="1:10">
      <c r="A201" s="1250" t="s">
        <v>3260</v>
      </c>
      <c r="B201" s="1250" t="s">
        <v>3260</v>
      </c>
      <c r="C201" s="1250" t="s">
        <v>307</v>
      </c>
      <c r="D201" s="1250" t="s">
        <v>3296</v>
      </c>
      <c r="E201" s="328">
        <f>'NUHM-Non Metro Abst'!N201</f>
        <v>0</v>
      </c>
      <c r="F201" s="328">
        <f>'NUHM-Non Metro Abst'!Q201</f>
        <v>0</v>
      </c>
      <c r="G201" s="328">
        <f>'NUHM Metro Abst'!N201</f>
        <v>0</v>
      </c>
      <c r="H201" s="328">
        <f>'NUHM Metro Abst'!Q201</f>
        <v>0</v>
      </c>
      <c r="I201" s="201">
        <f t="shared" si="6"/>
        <v>0</v>
      </c>
      <c r="J201" s="328">
        <f t="shared" si="7"/>
        <v>0</v>
      </c>
    </row>
    <row r="202" spans="1:10">
      <c r="A202" s="243" t="s">
        <v>3261</v>
      </c>
      <c r="B202" s="419" t="s">
        <v>3261</v>
      </c>
      <c r="C202" s="235" t="s">
        <v>26</v>
      </c>
      <c r="D202" s="235"/>
      <c r="E202" s="328">
        <f>'NUHM-Non Metro Abst'!N202</f>
        <v>0</v>
      </c>
      <c r="F202" s="328">
        <f>'NUHM-Non Metro Abst'!Q202</f>
        <v>0</v>
      </c>
      <c r="G202" s="328">
        <f>'NUHM Metro Abst'!N202</f>
        <v>0</v>
      </c>
      <c r="H202" s="328">
        <f>'NUHM Metro Abst'!Q202</f>
        <v>0</v>
      </c>
      <c r="I202" s="201">
        <f t="shared" si="6"/>
        <v>0</v>
      </c>
      <c r="J202" s="328">
        <f t="shared" si="7"/>
        <v>0</v>
      </c>
    </row>
    <row r="203" spans="1:10">
      <c r="A203" s="243" t="s">
        <v>3262</v>
      </c>
      <c r="B203" s="419" t="s">
        <v>3262</v>
      </c>
      <c r="C203" s="235" t="s">
        <v>27</v>
      </c>
      <c r="D203" s="235"/>
      <c r="E203" s="328">
        <f>'NUHM-Non Metro Abst'!N203</f>
        <v>0</v>
      </c>
      <c r="F203" s="328">
        <f>'NUHM-Non Metro Abst'!Q203</f>
        <v>0</v>
      </c>
      <c r="G203" s="328">
        <f>'NUHM Metro Abst'!N203</f>
        <v>0</v>
      </c>
      <c r="H203" s="328">
        <f>'NUHM Metro Abst'!Q203</f>
        <v>0</v>
      </c>
      <c r="I203" s="201">
        <f t="shared" si="6"/>
        <v>0</v>
      </c>
      <c r="J203" s="328">
        <f t="shared" si="7"/>
        <v>0</v>
      </c>
    </row>
    <row r="204" spans="1:10">
      <c r="A204" s="141" t="s">
        <v>3263</v>
      </c>
      <c r="B204" s="141"/>
      <c r="C204" s="141" t="s">
        <v>28</v>
      </c>
      <c r="D204" s="141"/>
      <c r="E204" s="410">
        <f>'NUHM-Non Metro Abst'!N204</f>
        <v>38.5</v>
      </c>
      <c r="F204" s="410">
        <f>'NUHM-Non Metro Abst'!Q204</f>
        <v>0</v>
      </c>
      <c r="G204" s="410">
        <f>'NUHM Metro Abst'!N204</f>
        <v>0</v>
      </c>
      <c r="H204" s="410">
        <f>'NUHM Metro Abst'!Q204</f>
        <v>0</v>
      </c>
      <c r="I204" s="148">
        <f t="shared" si="6"/>
        <v>38.5</v>
      </c>
      <c r="J204" s="410">
        <f t="shared" si="7"/>
        <v>0</v>
      </c>
    </row>
    <row r="205" spans="1:10">
      <c r="A205" s="1250" t="s">
        <v>3264</v>
      </c>
      <c r="B205" s="1250" t="s">
        <v>3080</v>
      </c>
      <c r="C205" s="1250" t="s">
        <v>5338</v>
      </c>
      <c r="D205" s="1250" t="s">
        <v>3296</v>
      </c>
      <c r="E205" s="328">
        <f>'NUHM-Non Metro Abst'!N205</f>
        <v>11</v>
      </c>
      <c r="F205" s="328">
        <f>'NUHM-Non Metro Abst'!Q205</f>
        <v>0</v>
      </c>
      <c r="G205" s="328">
        <f>'NUHM Metro Abst'!N205</f>
        <v>0</v>
      </c>
      <c r="H205" s="328">
        <f>'NUHM Metro Abst'!Q205</f>
        <v>0</v>
      </c>
      <c r="I205" s="201">
        <f t="shared" si="6"/>
        <v>11</v>
      </c>
      <c r="J205" s="328">
        <f t="shared" si="7"/>
        <v>0</v>
      </c>
    </row>
    <row r="206" spans="1:10">
      <c r="A206" s="1250" t="s">
        <v>3265</v>
      </c>
      <c r="B206" s="1250" t="s">
        <v>3266</v>
      </c>
      <c r="C206" s="414" t="s">
        <v>3932</v>
      </c>
      <c r="D206" s="414" t="s">
        <v>5342</v>
      </c>
      <c r="E206" s="328">
        <f>'NUHM-Non Metro Abst'!N206</f>
        <v>27.5</v>
      </c>
      <c r="F206" s="328">
        <f>'NUHM-Non Metro Abst'!Q206</f>
        <v>0</v>
      </c>
      <c r="G206" s="328">
        <f>'NUHM Metro Abst'!N206</f>
        <v>0</v>
      </c>
      <c r="H206" s="328">
        <f>'NUHM Metro Abst'!Q206</f>
        <v>0</v>
      </c>
      <c r="I206" s="201">
        <f t="shared" ref="I206:I269" si="8">E206+G206</f>
        <v>27.5</v>
      </c>
      <c r="J206" s="328">
        <f t="shared" ref="J206:J269" si="9">F206+H206</f>
        <v>0</v>
      </c>
    </row>
    <row r="207" spans="1:10">
      <c r="A207" s="141" t="s">
        <v>3267</v>
      </c>
      <c r="B207" s="141"/>
      <c r="C207" s="141" t="s">
        <v>29</v>
      </c>
      <c r="D207" s="141"/>
      <c r="E207" s="410">
        <f>'NUHM-Non Metro Abst'!N207</f>
        <v>53.5</v>
      </c>
      <c r="F207" s="410">
        <f>'NUHM-Non Metro Abst'!Q207</f>
        <v>0</v>
      </c>
      <c r="G207" s="410">
        <f>'NUHM Metro Abst'!N207</f>
        <v>0</v>
      </c>
      <c r="H207" s="410">
        <f>'NUHM Metro Abst'!Q207</f>
        <v>0</v>
      </c>
      <c r="I207" s="148">
        <f t="shared" si="8"/>
        <v>53.5</v>
      </c>
      <c r="J207" s="410">
        <f t="shared" si="9"/>
        <v>0</v>
      </c>
    </row>
    <row r="208" spans="1:10">
      <c r="A208" s="1250" t="s">
        <v>3268</v>
      </c>
      <c r="B208" s="427"/>
      <c r="C208" s="414" t="s">
        <v>3081</v>
      </c>
      <c r="D208" s="414" t="s">
        <v>3296</v>
      </c>
      <c r="E208" s="328">
        <f>'NUHM-Non Metro Abst'!N208</f>
        <v>26</v>
      </c>
      <c r="F208" s="328">
        <f>'NUHM-Non Metro Abst'!Q208</f>
        <v>0</v>
      </c>
      <c r="G208" s="328">
        <f>'NUHM Metro Abst'!N208</f>
        <v>0</v>
      </c>
      <c r="H208" s="328">
        <f>'NUHM Metro Abst'!Q208</f>
        <v>0</v>
      </c>
      <c r="I208" s="201">
        <f t="shared" si="8"/>
        <v>26</v>
      </c>
      <c r="J208" s="328">
        <f t="shared" si="9"/>
        <v>0</v>
      </c>
    </row>
    <row r="209" spans="1:10">
      <c r="A209" s="1250" t="s">
        <v>3931</v>
      </c>
      <c r="B209" s="427"/>
      <c r="C209" s="414" t="s">
        <v>2863</v>
      </c>
      <c r="D209" s="414" t="s">
        <v>5342</v>
      </c>
      <c r="E209" s="328">
        <f>'NUHM-Non Metro Abst'!N209</f>
        <v>27.5</v>
      </c>
      <c r="F209" s="328">
        <f>'NUHM-Non Metro Abst'!Q209</f>
        <v>0</v>
      </c>
      <c r="G209" s="328">
        <f>'NUHM Metro Abst'!N209</f>
        <v>0</v>
      </c>
      <c r="H209" s="328">
        <f>'NUHM Metro Abst'!Q209</f>
        <v>0</v>
      </c>
      <c r="I209" s="201">
        <f t="shared" si="8"/>
        <v>27.5</v>
      </c>
      <c r="J209" s="328">
        <f t="shared" si="9"/>
        <v>0</v>
      </c>
    </row>
    <row r="210" spans="1:10">
      <c r="A210" s="141" t="s">
        <v>3269</v>
      </c>
      <c r="B210" s="141"/>
      <c r="C210" s="141" t="s">
        <v>30</v>
      </c>
      <c r="D210" s="141"/>
      <c r="E210" s="410">
        <f>'NUHM-Non Metro Abst'!N210</f>
        <v>38.679994600000001</v>
      </c>
      <c r="F210" s="410">
        <f>'NUHM-Non Metro Abst'!Q210</f>
        <v>0</v>
      </c>
      <c r="G210" s="410">
        <f>'NUHM Metro Abst'!N210</f>
        <v>0</v>
      </c>
      <c r="H210" s="410">
        <f>'NUHM Metro Abst'!Q210</f>
        <v>0</v>
      </c>
      <c r="I210" s="148">
        <f t="shared" si="8"/>
        <v>38.679994600000001</v>
      </c>
      <c r="J210" s="410">
        <f t="shared" si="9"/>
        <v>0</v>
      </c>
    </row>
    <row r="211" spans="1:10">
      <c r="A211" s="412" t="s">
        <v>3270</v>
      </c>
      <c r="B211" s="412"/>
      <c r="C211" s="412" t="s">
        <v>30</v>
      </c>
      <c r="D211" s="412"/>
      <c r="E211" s="413">
        <f>'NUHM-Non Metro Abst'!N211</f>
        <v>8.1299969999999995</v>
      </c>
      <c r="F211" s="413">
        <f>'NUHM-Non Metro Abst'!Q211</f>
        <v>0</v>
      </c>
      <c r="G211" s="413">
        <f>'NUHM Metro Abst'!N211</f>
        <v>0</v>
      </c>
      <c r="H211" s="413">
        <f>'NUHM Metro Abst'!Q211</f>
        <v>0</v>
      </c>
      <c r="I211" s="149">
        <f t="shared" si="8"/>
        <v>8.1299969999999995</v>
      </c>
      <c r="J211" s="413">
        <f t="shared" si="9"/>
        <v>0</v>
      </c>
    </row>
    <row r="212" spans="1:10">
      <c r="A212" s="1250" t="s">
        <v>3271</v>
      </c>
      <c r="B212" s="1249"/>
      <c r="C212" s="414" t="s">
        <v>4049</v>
      </c>
      <c r="D212" s="414" t="s">
        <v>4720</v>
      </c>
      <c r="E212" s="328">
        <f>'NUHM-Non Metro Abst'!N212</f>
        <v>5.8799970000000004</v>
      </c>
      <c r="F212" s="328">
        <f>'NUHM-Non Metro Abst'!Q212</f>
        <v>0</v>
      </c>
      <c r="G212" s="328">
        <f>'NUHM Metro Abst'!N212</f>
        <v>0</v>
      </c>
      <c r="H212" s="328">
        <f>'NUHM Metro Abst'!Q212</f>
        <v>0</v>
      </c>
      <c r="I212" s="201">
        <f t="shared" si="8"/>
        <v>5.8799970000000004</v>
      </c>
      <c r="J212" s="328">
        <f t="shared" si="9"/>
        <v>0</v>
      </c>
    </row>
    <row r="213" spans="1:10">
      <c r="A213" s="1250" t="s">
        <v>4051</v>
      </c>
      <c r="B213" s="1249"/>
      <c r="C213" s="414" t="s">
        <v>4608</v>
      </c>
      <c r="D213" s="414" t="s">
        <v>4720</v>
      </c>
      <c r="E213" s="328">
        <f>'NUHM-Non Metro Abst'!N213</f>
        <v>0</v>
      </c>
      <c r="F213" s="328">
        <f>'NUHM-Non Metro Abst'!Q213</f>
        <v>0</v>
      </c>
      <c r="G213" s="328">
        <f>'NUHM Metro Abst'!N213</f>
        <v>0</v>
      </c>
      <c r="H213" s="328">
        <f>'NUHM Metro Abst'!Q213</f>
        <v>0</v>
      </c>
      <c r="I213" s="201">
        <f t="shared" si="8"/>
        <v>0</v>
      </c>
      <c r="J213" s="328">
        <f t="shared" si="9"/>
        <v>0</v>
      </c>
    </row>
    <row r="214" spans="1:10">
      <c r="A214" s="1250" t="s">
        <v>4052</v>
      </c>
      <c r="B214" s="1249"/>
      <c r="C214" s="414" t="s">
        <v>4050</v>
      </c>
      <c r="D214" s="414" t="s">
        <v>4720</v>
      </c>
      <c r="E214" s="328">
        <f>'NUHM-Non Metro Abst'!N214</f>
        <v>0</v>
      </c>
      <c r="F214" s="328">
        <f>'NUHM-Non Metro Abst'!Q214</f>
        <v>0</v>
      </c>
      <c r="G214" s="328">
        <f>'NUHM Metro Abst'!N214</f>
        <v>0</v>
      </c>
      <c r="H214" s="328">
        <f>'NUHM Metro Abst'!Q214</f>
        <v>0</v>
      </c>
      <c r="I214" s="201">
        <f t="shared" si="8"/>
        <v>0</v>
      </c>
      <c r="J214" s="328">
        <f t="shared" si="9"/>
        <v>0</v>
      </c>
    </row>
    <row r="215" spans="1:10">
      <c r="A215" s="1250" t="s">
        <v>4053</v>
      </c>
      <c r="B215" s="1249"/>
      <c r="C215" s="414" t="s">
        <v>1243</v>
      </c>
      <c r="D215" s="414" t="s">
        <v>4720</v>
      </c>
      <c r="E215" s="328">
        <f>'NUHM-Non Metro Abst'!N215</f>
        <v>2.25</v>
      </c>
      <c r="F215" s="328">
        <f>'NUHM-Non Metro Abst'!Q215</f>
        <v>0</v>
      </c>
      <c r="G215" s="328">
        <f>'NUHM Metro Abst'!N215</f>
        <v>0</v>
      </c>
      <c r="H215" s="328">
        <f>'NUHM Metro Abst'!Q215</f>
        <v>0</v>
      </c>
      <c r="I215" s="201">
        <f t="shared" si="8"/>
        <v>2.25</v>
      </c>
      <c r="J215" s="328">
        <f t="shared" si="9"/>
        <v>0</v>
      </c>
    </row>
    <row r="216" spans="1:10">
      <c r="A216" s="412" t="s">
        <v>3272</v>
      </c>
      <c r="B216" s="412"/>
      <c r="C216" s="412" t="s">
        <v>31</v>
      </c>
      <c r="D216" s="412"/>
      <c r="E216" s="413">
        <f>'NUHM-Non Metro Abst'!N216</f>
        <v>30.549997600000005</v>
      </c>
      <c r="F216" s="413">
        <f>'NUHM-Non Metro Abst'!Q216</f>
        <v>0</v>
      </c>
      <c r="G216" s="413">
        <f>'NUHM Metro Abst'!N216</f>
        <v>0</v>
      </c>
      <c r="H216" s="413">
        <f>'NUHM Metro Abst'!Q216</f>
        <v>0</v>
      </c>
      <c r="I216" s="149">
        <f t="shared" si="8"/>
        <v>30.549997600000005</v>
      </c>
      <c r="J216" s="413">
        <f t="shared" si="9"/>
        <v>0</v>
      </c>
    </row>
    <row r="217" spans="1:10">
      <c r="A217" s="1250" t="s">
        <v>3273</v>
      </c>
      <c r="B217" s="1249"/>
      <c r="C217" s="224" t="s">
        <v>1252</v>
      </c>
      <c r="D217" s="414" t="s">
        <v>4720</v>
      </c>
      <c r="E217" s="328">
        <f>'NUHM-Non Metro Abst'!N217</f>
        <v>19.999999600000002</v>
      </c>
      <c r="F217" s="328">
        <f>'NUHM-Non Metro Abst'!Q217</f>
        <v>0</v>
      </c>
      <c r="G217" s="328">
        <f>'NUHM Metro Abst'!N217</f>
        <v>0</v>
      </c>
      <c r="H217" s="328">
        <f>'NUHM Metro Abst'!Q217</f>
        <v>0</v>
      </c>
      <c r="I217" s="201">
        <f t="shared" si="8"/>
        <v>19.999999600000002</v>
      </c>
      <c r="J217" s="328">
        <f t="shared" si="9"/>
        <v>0</v>
      </c>
    </row>
    <row r="218" spans="1:10">
      <c r="A218" s="1250" t="s">
        <v>3274</v>
      </c>
      <c r="B218" s="1249"/>
      <c r="C218" s="444" t="s">
        <v>4054</v>
      </c>
      <c r="D218" s="414" t="s">
        <v>4720</v>
      </c>
      <c r="E218" s="328">
        <f>'NUHM-Non Metro Abst'!N218</f>
        <v>8.0499980000000004</v>
      </c>
      <c r="F218" s="328">
        <f>'NUHM-Non Metro Abst'!Q218</f>
        <v>0</v>
      </c>
      <c r="G218" s="328">
        <f>'NUHM Metro Abst'!N218</f>
        <v>0</v>
      </c>
      <c r="H218" s="328">
        <f>'NUHM Metro Abst'!Q218</f>
        <v>0</v>
      </c>
      <c r="I218" s="201">
        <f t="shared" si="8"/>
        <v>8.0499980000000004</v>
      </c>
      <c r="J218" s="328">
        <f t="shared" si="9"/>
        <v>0</v>
      </c>
    </row>
    <row r="219" spans="1:10">
      <c r="A219" s="1250" t="s">
        <v>4056</v>
      </c>
      <c r="B219" s="1249"/>
      <c r="C219" s="445" t="s">
        <v>1255</v>
      </c>
      <c r="D219" s="414" t="s">
        <v>4720</v>
      </c>
      <c r="E219" s="328">
        <f>'NUHM-Non Metro Abst'!N219</f>
        <v>2.5</v>
      </c>
      <c r="F219" s="328">
        <f>'NUHM-Non Metro Abst'!Q219</f>
        <v>0</v>
      </c>
      <c r="G219" s="328">
        <f>'NUHM Metro Abst'!N219</f>
        <v>0</v>
      </c>
      <c r="H219" s="328">
        <f>'NUHM Metro Abst'!Q219</f>
        <v>0</v>
      </c>
      <c r="I219" s="201">
        <f t="shared" si="8"/>
        <v>2.5</v>
      </c>
      <c r="J219" s="328">
        <f t="shared" si="9"/>
        <v>0</v>
      </c>
    </row>
    <row r="220" spans="1:10">
      <c r="A220" s="1250" t="s">
        <v>4057</v>
      </c>
      <c r="B220" s="1249"/>
      <c r="C220" s="444" t="s">
        <v>4055</v>
      </c>
      <c r="D220" s="414" t="s">
        <v>4720</v>
      </c>
      <c r="E220" s="328">
        <f>'NUHM-Non Metro Abst'!N220</f>
        <v>0</v>
      </c>
      <c r="F220" s="328">
        <f>'NUHM-Non Metro Abst'!Q220</f>
        <v>0</v>
      </c>
      <c r="G220" s="328">
        <f>'NUHM Metro Abst'!N220</f>
        <v>0</v>
      </c>
      <c r="H220" s="328">
        <f>'NUHM Metro Abst'!Q220</f>
        <v>0</v>
      </c>
      <c r="I220" s="201">
        <f t="shared" si="8"/>
        <v>0</v>
      </c>
      <c r="J220" s="328">
        <f t="shared" si="9"/>
        <v>0</v>
      </c>
    </row>
    <row r="221" spans="1:10">
      <c r="A221" s="1250" t="s">
        <v>4058</v>
      </c>
      <c r="B221" s="1249"/>
      <c r="C221" s="444" t="s">
        <v>1261</v>
      </c>
      <c r="D221" s="414" t="s">
        <v>4720</v>
      </c>
      <c r="E221" s="328">
        <f>'NUHM-Non Metro Abst'!N221</f>
        <v>0</v>
      </c>
      <c r="F221" s="328">
        <f>'NUHM-Non Metro Abst'!Q221</f>
        <v>0</v>
      </c>
      <c r="G221" s="328">
        <f>'NUHM Metro Abst'!N221</f>
        <v>0</v>
      </c>
      <c r="H221" s="328">
        <f>'NUHM Metro Abst'!Q221</f>
        <v>0</v>
      </c>
      <c r="I221" s="201">
        <f t="shared" si="8"/>
        <v>0</v>
      </c>
      <c r="J221" s="328">
        <f t="shared" si="9"/>
        <v>0</v>
      </c>
    </row>
    <row r="222" spans="1:10">
      <c r="A222" s="412" t="s">
        <v>3275</v>
      </c>
      <c r="B222" s="412"/>
      <c r="C222" s="412" t="s">
        <v>2970</v>
      </c>
      <c r="D222" s="412"/>
      <c r="E222" s="413">
        <f>'NUHM-Non Metro Abst'!N222</f>
        <v>0</v>
      </c>
      <c r="F222" s="413">
        <f>'NUHM-Non Metro Abst'!Q222</f>
        <v>0</v>
      </c>
      <c r="G222" s="413">
        <f>'NUHM Metro Abst'!N222</f>
        <v>0</v>
      </c>
      <c r="H222" s="413">
        <f>'NUHM Metro Abst'!Q222</f>
        <v>0</v>
      </c>
      <c r="I222" s="149">
        <f t="shared" si="8"/>
        <v>0</v>
      </c>
      <c r="J222" s="413">
        <f t="shared" si="9"/>
        <v>0</v>
      </c>
    </row>
    <row r="223" spans="1:10">
      <c r="A223" s="141" t="s">
        <v>3276</v>
      </c>
      <c r="B223" s="141"/>
      <c r="C223" s="141" t="s">
        <v>3082</v>
      </c>
      <c r="D223" s="141"/>
      <c r="E223" s="410">
        <f>'NUHM-Non Metro Abst'!N223</f>
        <v>6.6</v>
      </c>
      <c r="F223" s="410">
        <f>'NUHM-Non Metro Abst'!Q223</f>
        <v>0</v>
      </c>
      <c r="G223" s="410">
        <f>'NUHM Metro Abst'!N223</f>
        <v>0</v>
      </c>
      <c r="H223" s="410">
        <f>'NUHM Metro Abst'!Q223</f>
        <v>0</v>
      </c>
      <c r="I223" s="148">
        <f t="shared" si="8"/>
        <v>6.6</v>
      </c>
      <c r="J223" s="410">
        <f t="shared" si="9"/>
        <v>0</v>
      </c>
    </row>
    <row r="224" spans="1:10" ht="30">
      <c r="A224" s="243" t="s">
        <v>3277</v>
      </c>
      <c r="B224" s="443"/>
      <c r="C224" s="235" t="s">
        <v>3083</v>
      </c>
      <c r="D224" s="235"/>
      <c r="E224" s="328">
        <f>'NUHM-Non Metro Abst'!N224</f>
        <v>0</v>
      </c>
      <c r="F224" s="328">
        <f>'NUHM-Non Metro Abst'!Q224</f>
        <v>0</v>
      </c>
      <c r="G224" s="328">
        <f>'NUHM Metro Abst'!N224</f>
        <v>0</v>
      </c>
      <c r="H224" s="328">
        <f>'NUHM Metro Abst'!Q224</f>
        <v>0</v>
      </c>
      <c r="I224" s="201">
        <f t="shared" si="8"/>
        <v>0</v>
      </c>
      <c r="J224" s="328">
        <f t="shared" si="9"/>
        <v>0</v>
      </c>
    </row>
    <row r="225" spans="1:10">
      <c r="A225" s="412" t="s">
        <v>3278</v>
      </c>
      <c r="B225" s="412"/>
      <c r="C225" s="412" t="s">
        <v>32</v>
      </c>
      <c r="D225" s="412"/>
      <c r="E225" s="413">
        <f>'NUHM-Non Metro Abst'!N225</f>
        <v>6.6</v>
      </c>
      <c r="F225" s="413">
        <f>'NUHM-Non Metro Abst'!Q225</f>
        <v>0</v>
      </c>
      <c r="G225" s="413">
        <f>'NUHM Metro Abst'!N225</f>
        <v>0</v>
      </c>
      <c r="H225" s="413">
        <f>'NUHM Metro Abst'!Q225</f>
        <v>0</v>
      </c>
      <c r="I225" s="149">
        <f t="shared" si="8"/>
        <v>6.6</v>
      </c>
      <c r="J225" s="413">
        <f t="shared" si="9"/>
        <v>0</v>
      </c>
    </row>
    <row r="226" spans="1:10">
      <c r="A226" s="1250" t="s">
        <v>3279</v>
      </c>
      <c r="B226" s="1249"/>
      <c r="C226" s="414" t="s">
        <v>3084</v>
      </c>
      <c r="D226" s="414" t="s">
        <v>5341</v>
      </c>
      <c r="E226" s="328">
        <f>'NUHM-Non Metro Abst'!N226</f>
        <v>6.6</v>
      </c>
      <c r="F226" s="328">
        <f>'NUHM-Non Metro Abst'!Q226</f>
        <v>0</v>
      </c>
      <c r="G226" s="328">
        <f>'NUHM Metro Abst'!N226</f>
        <v>0</v>
      </c>
      <c r="H226" s="328">
        <f>'NUHM Metro Abst'!Q226</f>
        <v>0</v>
      </c>
      <c r="I226" s="201">
        <f t="shared" si="8"/>
        <v>6.6</v>
      </c>
      <c r="J226" s="328">
        <f t="shared" si="9"/>
        <v>0</v>
      </c>
    </row>
    <row r="227" spans="1:10">
      <c r="A227" s="141" t="s">
        <v>3280</v>
      </c>
      <c r="B227" s="141"/>
      <c r="C227" s="141" t="s">
        <v>33</v>
      </c>
      <c r="D227" s="141"/>
      <c r="E227" s="410">
        <f>'NUHM-Non Metro Abst'!N227</f>
        <v>0</v>
      </c>
      <c r="F227" s="410">
        <f>'NUHM-Non Metro Abst'!Q227</f>
        <v>0</v>
      </c>
      <c r="G227" s="410">
        <f>'NUHM Metro Abst'!N227</f>
        <v>0</v>
      </c>
      <c r="H227" s="410">
        <f>'NUHM Metro Abst'!Q227</f>
        <v>0</v>
      </c>
      <c r="I227" s="148">
        <f t="shared" si="8"/>
        <v>0</v>
      </c>
      <c r="J227" s="410">
        <f t="shared" si="9"/>
        <v>0</v>
      </c>
    </row>
    <row r="228" spans="1:10">
      <c r="A228" s="1250" t="s">
        <v>3281</v>
      </c>
      <c r="B228" s="1250"/>
      <c r="C228" s="1250" t="s">
        <v>5339</v>
      </c>
      <c r="D228" s="1250" t="s">
        <v>5342</v>
      </c>
      <c r="E228" s="328">
        <f>'NUHM-Non Metro Abst'!N228</f>
        <v>0</v>
      </c>
      <c r="F228" s="328">
        <f>'NUHM-Non Metro Abst'!Q228</f>
        <v>0</v>
      </c>
      <c r="G228" s="328">
        <f>'NUHM Metro Abst'!N228</f>
        <v>0</v>
      </c>
      <c r="H228" s="328">
        <f>'NUHM Metro Abst'!Q228</f>
        <v>0</v>
      </c>
      <c r="I228" s="201">
        <f t="shared" si="8"/>
        <v>0</v>
      </c>
      <c r="J228" s="328">
        <f t="shared" si="9"/>
        <v>0</v>
      </c>
    </row>
    <row r="229" spans="1:10">
      <c r="A229" s="1250" t="s">
        <v>3929</v>
      </c>
      <c r="B229" s="1250"/>
      <c r="C229" s="1250" t="s">
        <v>307</v>
      </c>
      <c r="D229" s="1250" t="s">
        <v>5341</v>
      </c>
      <c r="E229" s="328">
        <f>'NUHM-Non Metro Abst'!N229</f>
        <v>0</v>
      </c>
      <c r="F229" s="328">
        <f>'NUHM-Non Metro Abst'!Q229</f>
        <v>0</v>
      </c>
      <c r="G229" s="328">
        <f>'NUHM Metro Abst'!N229</f>
        <v>0</v>
      </c>
      <c r="H229" s="328">
        <f>'NUHM Metro Abst'!Q229</f>
        <v>0</v>
      </c>
      <c r="I229" s="201">
        <f t="shared" si="8"/>
        <v>0</v>
      </c>
      <c r="J229" s="328">
        <f t="shared" si="9"/>
        <v>0</v>
      </c>
    </row>
    <row r="230" spans="1:10">
      <c r="A230" s="141" t="s">
        <v>3282</v>
      </c>
      <c r="B230" s="141"/>
      <c r="C230" s="141" t="s">
        <v>34</v>
      </c>
      <c r="D230" s="141"/>
      <c r="E230" s="410">
        <f>'NUHM-Non Metro Abst'!N230</f>
        <v>389.140376</v>
      </c>
      <c r="F230" s="410">
        <f>'NUHM-Non Metro Abst'!Q230</f>
        <v>0</v>
      </c>
      <c r="G230" s="410">
        <f>'NUHM Metro Abst'!N230</f>
        <v>0</v>
      </c>
      <c r="H230" s="410">
        <f>'NUHM Metro Abst'!Q230</f>
        <v>0</v>
      </c>
      <c r="I230" s="148">
        <f t="shared" si="8"/>
        <v>389.140376</v>
      </c>
      <c r="J230" s="410">
        <f t="shared" si="9"/>
        <v>0</v>
      </c>
    </row>
    <row r="231" spans="1:10">
      <c r="A231" s="412" t="s">
        <v>3283</v>
      </c>
      <c r="B231" s="412"/>
      <c r="C231" s="234" t="s">
        <v>2154</v>
      </c>
      <c r="D231" s="234"/>
      <c r="E231" s="413">
        <f>'NUHM-Non Metro Abst'!N231</f>
        <v>132.92989</v>
      </c>
      <c r="F231" s="413">
        <f>'NUHM-Non Metro Abst'!Q231</f>
        <v>0</v>
      </c>
      <c r="G231" s="413">
        <f>'NUHM Metro Abst'!N231</f>
        <v>0</v>
      </c>
      <c r="H231" s="413">
        <f>'NUHM Metro Abst'!Q231</f>
        <v>0</v>
      </c>
      <c r="I231" s="149">
        <f t="shared" si="8"/>
        <v>132.92989</v>
      </c>
      <c r="J231" s="413">
        <f t="shared" si="9"/>
        <v>0</v>
      </c>
    </row>
    <row r="232" spans="1:10">
      <c r="A232" s="420" t="s">
        <v>3284</v>
      </c>
      <c r="B232" s="420"/>
      <c r="C232" s="420" t="s">
        <v>35</v>
      </c>
      <c r="D232" s="420"/>
      <c r="E232" s="421">
        <f>'NUHM-Non Metro Abst'!N232</f>
        <v>0</v>
      </c>
      <c r="F232" s="421">
        <f>'NUHM-Non Metro Abst'!Q232</f>
        <v>0</v>
      </c>
      <c r="G232" s="421">
        <f>'NUHM Metro Abst'!N232</f>
        <v>0</v>
      </c>
      <c r="H232" s="421">
        <f>'NUHM Metro Abst'!Q232</f>
        <v>0</v>
      </c>
      <c r="I232" s="153">
        <f t="shared" si="8"/>
        <v>0</v>
      </c>
      <c r="J232" s="421">
        <f t="shared" si="9"/>
        <v>0</v>
      </c>
    </row>
    <row r="233" spans="1:10">
      <c r="A233" s="420" t="s">
        <v>3933</v>
      </c>
      <c r="B233" s="420"/>
      <c r="C233" s="420" t="s">
        <v>37</v>
      </c>
      <c r="D233" s="420"/>
      <c r="E233" s="421">
        <f>'NUHM-Non Metro Abst'!N233</f>
        <v>25.55</v>
      </c>
      <c r="F233" s="421">
        <f>'NUHM-Non Metro Abst'!Q233</f>
        <v>0</v>
      </c>
      <c r="G233" s="421">
        <f>'NUHM Metro Abst'!N233</f>
        <v>0</v>
      </c>
      <c r="H233" s="421">
        <f>'NUHM Metro Abst'!Q233</f>
        <v>0</v>
      </c>
      <c r="I233" s="153">
        <f t="shared" si="8"/>
        <v>25.55</v>
      </c>
      <c r="J233" s="421">
        <f t="shared" si="9"/>
        <v>0</v>
      </c>
    </row>
    <row r="234" spans="1:10" ht="30">
      <c r="A234" s="1250" t="s">
        <v>4385</v>
      </c>
      <c r="B234" s="1250" t="s">
        <v>3085</v>
      </c>
      <c r="C234" s="1250" t="s">
        <v>3086</v>
      </c>
      <c r="D234" s="446" t="s">
        <v>5347</v>
      </c>
      <c r="E234" s="328">
        <f>'NUHM-Non Metro Abst'!N234</f>
        <v>2.25</v>
      </c>
      <c r="F234" s="328">
        <f>'NUHM-Non Metro Abst'!Q234</f>
        <v>0</v>
      </c>
      <c r="G234" s="328">
        <f>'NUHM Metro Abst'!N234</f>
        <v>0</v>
      </c>
      <c r="H234" s="328">
        <f>'NUHM Metro Abst'!Q234</f>
        <v>0</v>
      </c>
      <c r="I234" s="201">
        <f t="shared" si="8"/>
        <v>2.25</v>
      </c>
      <c r="J234" s="328">
        <f t="shared" si="9"/>
        <v>0</v>
      </c>
    </row>
    <row r="235" spans="1:10" s="400" customFormat="1">
      <c r="A235" s="436" t="s">
        <v>4386</v>
      </c>
      <c r="B235" s="436" t="s">
        <v>3087</v>
      </c>
      <c r="C235" s="447" t="s">
        <v>2200</v>
      </c>
      <c r="D235" s="447"/>
      <c r="E235" s="433">
        <f>'NUHM-Non Metro Abst'!N235</f>
        <v>18.8</v>
      </c>
      <c r="F235" s="433">
        <f>'NUHM-Non Metro Abst'!Q235</f>
        <v>0</v>
      </c>
      <c r="G235" s="433">
        <f>'NUHM Metro Abst'!N235</f>
        <v>0</v>
      </c>
      <c r="H235" s="433">
        <f>'NUHM Metro Abst'!Q235</f>
        <v>0</v>
      </c>
      <c r="I235" s="434">
        <f t="shared" si="8"/>
        <v>18.8</v>
      </c>
      <c r="J235" s="433">
        <f t="shared" si="9"/>
        <v>0</v>
      </c>
    </row>
    <row r="236" spans="1:10" s="400" customFormat="1">
      <c r="A236" s="91" t="s">
        <v>4563</v>
      </c>
      <c r="B236" s="91"/>
      <c r="C236" s="91" t="s">
        <v>3088</v>
      </c>
      <c r="D236" s="91" t="s">
        <v>5345</v>
      </c>
      <c r="E236" s="328">
        <f>'NUHM-Non Metro Abst'!N236</f>
        <v>8.8000000000000007</v>
      </c>
      <c r="F236" s="328">
        <f>'NUHM-Non Metro Abst'!Q236</f>
        <v>0</v>
      </c>
      <c r="G236" s="328">
        <f>'NUHM Metro Abst'!N236</f>
        <v>0</v>
      </c>
      <c r="H236" s="328">
        <f>'NUHM Metro Abst'!Q236</f>
        <v>0</v>
      </c>
      <c r="I236" s="201">
        <f t="shared" si="8"/>
        <v>8.8000000000000007</v>
      </c>
      <c r="J236" s="328">
        <f t="shared" si="9"/>
        <v>0</v>
      </c>
    </row>
    <row r="237" spans="1:10" s="400" customFormat="1" ht="30">
      <c r="A237" s="91" t="s">
        <v>4564</v>
      </c>
      <c r="B237" s="91"/>
      <c r="C237" s="448" t="s">
        <v>2421</v>
      </c>
      <c r="D237" s="91" t="s">
        <v>5348</v>
      </c>
      <c r="E237" s="328">
        <f>'NUHM-Non Metro Abst'!N237</f>
        <v>10</v>
      </c>
      <c r="F237" s="328">
        <f>'NUHM-Non Metro Abst'!Q237</f>
        <v>0</v>
      </c>
      <c r="G237" s="328">
        <f>'NUHM Metro Abst'!N237</f>
        <v>0</v>
      </c>
      <c r="H237" s="328">
        <f>'NUHM Metro Abst'!Q237</f>
        <v>0</v>
      </c>
      <c r="I237" s="201">
        <f t="shared" si="8"/>
        <v>10</v>
      </c>
      <c r="J237" s="328">
        <f t="shared" si="9"/>
        <v>0</v>
      </c>
    </row>
    <row r="238" spans="1:10">
      <c r="A238" s="91" t="s">
        <v>4387</v>
      </c>
      <c r="B238" s="91"/>
      <c r="C238" s="91" t="s">
        <v>2970</v>
      </c>
      <c r="D238" s="91" t="s">
        <v>5345</v>
      </c>
      <c r="E238" s="328">
        <f>'NUHM-Non Metro Abst'!N238</f>
        <v>4.5</v>
      </c>
      <c r="F238" s="328">
        <f>'NUHM-Non Metro Abst'!Q238</f>
        <v>0</v>
      </c>
      <c r="G238" s="328">
        <f>'NUHM Metro Abst'!N238</f>
        <v>0</v>
      </c>
      <c r="H238" s="328">
        <f>'NUHM Metro Abst'!Q238</f>
        <v>0</v>
      </c>
      <c r="I238" s="201">
        <f t="shared" si="8"/>
        <v>4.5</v>
      </c>
      <c r="J238" s="328">
        <f t="shared" si="9"/>
        <v>0</v>
      </c>
    </row>
    <row r="239" spans="1:10">
      <c r="A239" s="420" t="s">
        <v>3934</v>
      </c>
      <c r="B239" s="420"/>
      <c r="C239" s="420" t="s">
        <v>36</v>
      </c>
      <c r="D239" s="420"/>
      <c r="E239" s="421">
        <f>'NUHM-Non Metro Abst'!N239</f>
        <v>74.400000000000006</v>
      </c>
      <c r="F239" s="421">
        <f>'NUHM-Non Metro Abst'!Q239</f>
        <v>0</v>
      </c>
      <c r="G239" s="421">
        <f>'NUHM Metro Abst'!N239</f>
        <v>0</v>
      </c>
      <c r="H239" s="421">
        <f>'NUHM Metro Abst'!Q239</f>
        <v>0</v>
      </c>
      <c r="I239" s="153">
        <f t="shared" si="8"/>
        <v>74.400000000000006</v>
      </c>
      <c r="J239" s="421">
        <f t="shared" si="9"/>
        <v>0</v>
      </c>
    </row>
    <row r="240" spans="1:10" ht="30">
      <c r="A240" s="91" t="s">
        <v>4388</v>
      </c>
      <c r="B240" s="91" t="s">
        <v>3085</v>
      </c>
      <c r="C240" s="1250" t="s">
        <v>3086</v>
      </c>
      <c r="D240" s="446" t="s">
        <v>5347</v>
      </c>
      <c r="E240" s="328">
        <f>'NUHM-Non Metro Abst'!N240</f>
        <v>0</v>
      </c>
      <c r="F240" s="328">
        <f>'NUHM-Non Metro Abst'!Q240</f>
        <v>0</v>
      </c>
      <c r="G240" s="328">
        <f>'NUHM Metro Abst'!N240</f>
        <v>0</v>
      </c>
      <c r="H240" s="328">
        <f>'NUHM Metro Abst'!Q240</f>
        <v>0</v>
      </c>
      <c r="I240" s="201">
        <f t="shared" si="8"/>
        <v>0</v>
      </c>
      <c r="J240" s="328">
        <f t="shared" si="9"/>
        <v>0</v>
      </c>
    </row>
    <row r="241" spans="1:10">
      <c r="A241" s="91" t="s">
        <v>4389</v>
      </c>
      <c r="B241" s="91" t="s">
        <v>3098</v>
      </c>
      <c r="C241" s="1250" t="s">
        <v>3832</v>
      </c>
      <c r="D241" s="91" t="s">
        <v>5345</v>
      </c>
      <c r="E241" s="328">
        <f>'NUHM-Non Metro Abst'!N241</f>
        <v>4.1999999999999993</v>
      </c>
      <c r="F241" s="328">
        <f>'NUHM-Non Metro Abst'!Q241</f>
        <v>0</v>
      </c>
      <c r="G241" s="328">
        <f>'NUHM Metro Abst'!N241</f>
        <v>0</v>
      </c>
      <c r="H241" s="328">
        <f>'NUHM Metro Abst'!Q241</f>
        <v>0</v>
      </c>
      <c r="I241" s="201">
        <f t="shared" si="8"/>
        <v>4.1999999999999993</v>
      </c>
      <c r="J241" s="328">
        <f t="shared" si="9"/>
        <v>0</v>
      </c>
    </row>
    <row r="242" spans="1:10">
      <c r="A242" s="91" t="s">
        <v>4390</v>
      </c>
      <c r="B242" s="91" t="s">
        <v>3106</v>
      </c>
      <c r="C242" s="1250" t="s">
        <v>3833</v>
      </c>
      <c r="D242" s="91" t="s">
        <v>5345</v>
      </c>
      <c r="E242" s="328">
        <f>'NUHM-Non Metro Abst'!N242</f>
        <v>66</v>
      </c>
      <c r="F242" s="328">
        <f>'NUHM-Non Metro Abst'!Q242</f>
        <v>0</v>
      </c>
      <c r="G242" s="328">
        <f>'NUHM Metro Abst'!N242</f>
        <v>0</v>
      </c>
      <c r="H242" s="328">
        <f>'NUHM Metro Abst'!Q242</f>
        <v>0</v>
      </c>
      <c r="I242" s="201">
        <f t="shared" si="8"/>
        <v>66</v>
      </c>
      <c r="J242" s="328">
        <f t="shared" si="9"/>
        <v>0</v>
      </c>
    </row>
    <row r="243" spans="1:10">
      <c r="A243" s="91" t="s">
        <v>4391</v>
      </c>
      <c r="B243" s="91" t="s">
        <v>3112</v>
      </c>
      <c r="C243" s="1250" t="s">
        <v>4397</v>
      </c>
      <c r="D243" s="91" t="s">
        <v>5345</v>
      </c>
      <c r="E243" s="328">
        <f>'NUHM-Non Metro Abst'!N243</f>
        <v>4.1999999999999993</v>
      </c>
      <c r="F243" s="328">
        <f>'NUHM-Non Metro Abst'!Q243</f>
        <v>0</v>
      </c>
      <c r="G243" s="328">
        <f>'NUHM Metro Abst'!N243</f>
        <v>0</v>
      </c>
      <c r="H243" s="328">
        <f>'NUHM Metro Abst'!Q243</f>
        <v>0</v>
      </c>
      <c r="I243" s="201">
        <f t="shared" si="8"/>
        <v>4.1999999999999993</v>
      </c>
      <c r="J243" s="328">
        <f t="shared" si="9"/>
        <v>0</v>
      </c>
    </row>
    <row r="244" spans="1:10">
      <c r="A244" s="91" t="s">
        <v>4392</v>
      </c>
      <c r="B244" s="91"/>
      <c r="C244" s="1250" t="s">
        <v>2970</v>
      </c>
      <c r="D244" s="91" t="s">
        <v>5345</v>
      </c>
      <c r="E244" s="328">
        <f>'NUHM-Non Metro Abst'!N244</f>
        <v>0</v>
      </c>
      <c r="F244" s="328">
        <f>'NUHM-Non Metro Abst'!Q244</f>
        <v>0</v>
      </c>
      <c r="G244" s="328">
        <f>'NUHM Metro Abst'!N244</f>
        <v>0</v>
      </c>
      <c r="H244" s="328">
        <f>'NUHM Metro Abst'!Q244</f>
        <v>0</v>
      </c>
      <c r="I244" s="201">
        <f t="shared" si="8"/>
        <v>0</v>
      </c>
      <c r="J244" s="328">
        <f t="shared" si="9"/>
        <v>0</v>
      </c>
    </row>
    <row r="245" spans="1:10">
      <c r="A245" s="420" t="s">
        <v>3935</v>
      </c>
      <c r="B245" s="420"/>
      <c r="C245" s="420" t="s">
        <v>2134</v>
      </c>
      <c r="D245" s="420"/>
      <c r="E245" s="421">
        <f>'NUHM-Non Metro Abst'!N245</f>
        <v>11.2</v>
      </c>
      <c r="F245" s="421">
        <f>'NUHM-Non Metro Abst'!Q245</f>
        <v>0</v>
      </c>
      <c r="G245" s="421">
        <f>'NUHM Metro Abst'!N245</f>
        <v>0</v>
      </c>
      <c r="H245" s="421">
        <f>'NUHM Metro Abst'!Q245</f>
        <v>0</v>
      </c>
      <c r="I245" s="153">
        <f t="shared" si="8"/>
        <v>11.2</v>
      </c>
      <c r="J245" s="421">
        <f t="shared" si="9"/>
        <v>0</v>
      </c>
    </row>
    <row r="246" spans="1:10">
      <c r="A246" s="91" t="s">
        <v>4393</v>
      </c>
      <c r="B246" s="449"/>
      <c r="C246" s="450" t="s">
        <v>3839</v>
      </c>
      <c r="D246" s="91" t="s">
        <v>5345</v>
      </c>
      <c r="E246" s="328">
        <f>'NUHM-Non Metro Abst'!N246</f>
        <v>0</v>
      </c>
      <c r="F246" s="328">
        <f>'NUHM-Non Metro Abst'!Q246</f>
        <v>0</v>
      </c>
      <c r="G246" s="328">
        <f>'NUHM Metro Abst'!N246</f>
        <v>0</v>
      </c>
      <c r="H246" s="328">
        <f>'NUHM Metro Abst'!Q246</f>
        <v>0</v>
      </c>
      <c r="I246" s="201">
        <f t="shared" si="8"/>
        <v>0</v>
      </c>
      <c r="J246" s="328">
        <f t="shared" si="9"/>
        <v>0</v>
      </c>
    </row>
    <row r="247" spans="1:10" ht="30">
      <c r="A247" s="91" t="s">
        <v>4394</v>
      </c>
      <c r="B247" s="91" t="s">
        <v>3099</v>
      </c>
      <c r="C247" s="91" t="s">
        <v>3834</v>
      </c>
      <c r="D247" s="91" t="s">
        <v>5345</v>
      </c>
      <c r="E247" s="328">
        <f>'NUHM-Non Metro Abst'!N247</f>
        <v>6</v>
      </c>
      <c r="F247" s="328">
        <f>'NUHM-Non Metro Abst'!Q247</f>
        <v>0</v>
      </c>
      <c r="G247" s="328">
        <f>'NUHM Metro Abst'!N247</f>
        <v>0</v>
      </c>
      <c r="H247" s="328">
        <f>'NUHM Metro Abst'!Q247</f>
        <v>0</v>
      </c>
      <c r="I247" s="201">
        <f t="shared" si="8"/>
        <v>6</v>
      </c>
      <c r="J247" s="328">
        <f t="shared" si="9"/>
        <v>0</v>
      </c>
    </row>
    <row r="248" spans="1:10" ht="30">
      <c r="A248" s="91" t="s">
        <v>4395</v>
      </c>
      <c r="B248" s="91" t="s">
        <v>3107</v>
      </c>
      <c r="C248" s="91" t="s">
        <v>3835</v>
      </c>
      <c r="D248" s="91" t="s">
        <v>5345</v>
      </c>
      <c r="E248" s="328">
        <f>'NUHM-Non Metro Abst'!N248</f>
        <v>2.2000000000000002</v>
      </c>
      <c r="F248" s="328">
        <f>'NUHM-Non Metro Abst'!Q248</f>
        <v>0</v>
      </c>
      <c r="G248" s="328">
        <f>'NUHM Metro Abst'!N248</f>
        <v>0</v>
      </c>
      <c r="H248" s="328">
        <f>'NUHM Metro Abst'!Q248</f>
        <v>0</v>
      </c>
      <c r="I248" s="201">
        <f t="shared" si="8"/>
        <v>2.2000000000000002</v>
      </c>
      <c r="J248" s="328">
        <f t="shared" si="9"/>
        <v>0</v>
      </c>
    </row>
    <row r="249" spans="1:10" ht="30">
      <c r="A249" s="91" t="s">
        <v>4396</v>
      </c>
      <c r="B249" s="91" t="s">
        <v>3113</v>
      </c>
      <c r="C249" s="91" t="s">
        <v>4398</v>
      </c>
      <c r="D249" s="91" t="s">
        <v>5345</v>
      </c>
      <c r="E249" s="328">
        <f>'NUHM-Non Metro Abst'!N249</f>
        <v>3</v>
      </c>
      <c r="F249" s="328">
        <f>'NUHM-Non Metro Abst'!Q249</f>
        <v>0</v>
      </c>
      <c r="G249" s="328">
        <f>'NUHM Metro Abst'!N249</f>
        <v>0</v>
      </c>
      <c r="H249" s="328">
        <f>'NUHM Metro Abst'!Q249</f>
        <v>0</v>
      </c>
      <c r="I249" s="201">
        <f t="shared" si="8"/>
        <v>3</v>
      </c>
      <c r="J249" s="328">
        <f t="shared" si="9"/>
        <v>0</v>
      </c>
    </row>
    <row r="250" spans="1:10">
      <c r="A250" s="420" t="s">
        <v>3944</v>
      </c>
      <c r="B250" s="420"/>
      <c r="C250" s="420" t="s">
        <v>2307</v>
      </c>
      <c r="D250" s="420"/>
      <c r="E250" s="421">
        <f>'NUHM-Non Metro Abst'!N250</f>
        <v>21.779889999999998</v>
      </c>
      <c r="F250" s="421">
        <f>'NUHM-Non Metro Abst'!Q250</f>
        <v>0</v>
      </c>
      <c r="G250" s="421">
        <f>'NUHM Metro Abst'!N250</f>
        <v>0</v>
      </c>
      <c r="H250" s="421">
        <f>'NUHM Metro Abst'!Q250</f>
        <v>0</v>
      </c>
      <c r="I250" s="153">
        <f t="shared" si="8"/>
        <v>21.779889999999998</v>
      </c>
      <c r="J250" s="421">
        <f t="shared" si="9"/>
        <v>0</v>
      </c>
    </row>
    <row r="251" spans="1:10" s="400" customFormat="1">
      <c r="A251" s="451" t="s">
        <v>3945</v>
      </c>
      <c r="B251" s="451" t="s">
        <v>3089</v>
      </c>
      <c r="C251" s="451" t="s">
        <v>3090</v>
      </c>
      <c r="D251" s="451"/>
      <c r="E251" s="328">
        <f>'NUHM-Non Metro Abst'!N251</f>
        <v>21.779889999999998</v>
      </c>
      <c r="F251" s="328">
        <f>'NUHM-Non Metro Abst'!Q251</f>
        <v>0</v>
      </c>
      <c r="G251" s="328">
        <f>'NUHM Metro Abst'!N251</f>
        <v>0</v>
      </c>
      <c r="H251" s="328">
        <f>'NUHM Metro Abst'!Q251</f>
        <v>0</v>
      </c>
      <c r="I251" s="201">
        <f t="shared" si="8"/>
        <v>21.779889999999998</v>
      </c>
      <c r="J251" s="328">
        <f t="shared" si="9"/>
        <v>0</v>
      </c>
    </row>
    <row r="252" spans="1:10" s="400" customFormat="1">
      <c r="A252" s="157" t="s">
        <v>3946</v>
      </c>
      <c r="B252" s="91" t="s">
        <v>3091</v>
      </c>
      <c r="C252" s="91" t="s">
        <v>3092</v>
      </c>
      <c r="D252" s="91" t="s">
        <v>5345</v>
      </c>
      <c r="E252" s="328">
        <f>'NUHM-Non Metro Abst'!N252</f>
        <v>0</v>
      </c>
      <c r="F252" s="328">
        <f>'NUHM-Non Metro Abst'!Q252</f>
        <v>0</v>
      </c>
      <c r="G252" s="328">
        <f>'NUHM Metro Abst'!N252</f>
        <v>0</v>
      </c>
      <c r="H252" s="328">
        <f>'NUHM Metro Abst'!Q252</f>
        <v>0</v>
      </c>
      <c r="I252" s="201">
        <f t="shared" si="8"/>
        <v>0</v>
      </c>
      <c r="J252" s="328">
        <f t="shared" si="9"/>
        <v>0</v>
      </c>
    </row>
    <row r="253" spans="1:10">
      <c r="A253" s="157" t="s">
        <v>3947</v>
      </c>
      <c r="B253" s="1250" t="s">
        <v>3093</v>
      </c>
      <c r="C253" s="1250" t="s">
        <v>3094</v>
      </c>
      <c r="D253" s="91" t="s">
        <v>5345</v>
      </c>
      <c r="E253" s="328">
        <f>'NUHM-Non Metro Abst'!N253</f>
        <v>0</v>
      </c>
      <c r="F253" s="328">
        <f>'NUHM-Non Metro Abst'!Q253</f>
        <v>0</v>
      </c>
      <c r="G253" s="328">
        <f>'NUHM Metro Abst'!N253</f>
        <v>0</v>
      </c>
      <c r="H253" s="328">
        <f>'NUHM Metro Abst'!Q253</f>
        <v>0</v>
      </c>
      <c r="I253" s="201">
        <f t="shared" si="8"/>
        <v>0</v>
      </c>
      <c r="J253" s="328">
        <f t="shared" si="9"/>
        <v>0</v>
      </c>
    </row>
    <row r="254" spans="1:10">
      <c r="A254" s="157" t="s">
        <v>3948</v>
      </c>
      <c r="B254" s="1250"/>
      <c r="C254" s="1250" t="s">
        <v>2970</v>
      </c>
      <c r="D254" s="91" t="s">
        <v>5345</v>
      </c>
      <c r="E254" s="328">
        <f>'NUHM-Non Metro Abst'!N254</f>
        <v>21.779889999999998</v>
      </c>
      <c r="F254" s="328">
        <f>'NUHM-Non Metro Abst'!Q254</f>
        <v>0</v>
      </c>
      <c r="G254" s="328">
        <f>'NUHM Metro Abst'!N254</f>
        <v>0</v>
      </c>
      <c r="H254" s="328">
        <f>'NUHM Metro Abst'!Q254</f>
        <v>0</v>
      </c>
      <c r="I254" s="201">
        <f t="shared" si="8"/>
        <v>21.779889999999998</v>
      </c>
      <c r="J254" s="328">
        <f t="shared" si="9"/>
        <v>0</v>
      </c>
    </row>
    <row r="255" spans="1:10">
      <c r="A255" s="412" t="s">
        <v>3285</v>
      </c>
      <c r="B255" s="412"/>
      <c r="C255" s="412" t="s">
        <v>2907</v>
      </c>
      <c r="D255" s="412"/>
      <c r="E255" s="413">
        <f>'NUHM-Non Metro Abst'!N255</f>
        <v>0</v>
      </c>
      <c r="F255" s="413">
        <f>'NUHM-Non Metro Abst'!Q255</f>
        <v>0</v>
      </c>
      <c r="G255" s="413">
        <f>'NUHM Metro Abst'!N255</f>
        <v>0</v>
      </c>
      <c r="H255" s="413">
        <f>'NUHM Metro Abst'!Q255</f>
        <v>0</v>
      </c>
      <c r="I255" s="149">
        <f t="shared" si="8"/>
        <v>0</v>
      </c>
      <c r="J255" s="413">
        <f t="shared" si="9"/>
        <v>0</v>
      </c>
    </row>
    <row r="256" spans="1:10">
      <c r="A256" s="412" t="s">
        <v>3286</v>
      </c>
      <c r="B256" s="412"/>
      <c r="C256" s="412" t="s">
        <v>2909</v>
      </c>
      <c r="D256" s="412"/>
      <c r="E256" s="413">
        <f>'NUHM-Non Metro Abst'!N256</f>
        <v>0</v>
      </c>
      <c r="F256" s="413">
        <f>'NUHM-Non Metro Abst'!Q256</f>
        <v>0</v>
      </c>
      <c r="G256" s="413">
        <f>'NUHM Metro Abst'!N256</f>
        <v>0</v>
      </c>
      <c r="H256" s="413">
        <f>'NUHM Metro Abst'!Q256</f>
        <v>0</v>
      </c>
      <c r="I256" s="149">
        <f t="shared" si="8"/>
        <v>0</v>
      </c>
      <c r="J256" s="413">
        <f t="shared" si="9"/>
        <v>0</v>
      </c>
    </row>
    <row r="257" spans="1:10">
      <c r="A257" s="412" t="s">
        <v>3287</v>
      </c>
      <c r="B257" s="412"/>
      <c r="C257" s="412" t="s">
        <v>41</v>
      </c>
      <c r="D257" s="412"/>
      <c r="E257" s="413">
        <f>'NUHM-Non Metro Abst'!N257</f>
        <v>256.210486</v>
      </c>
      <c r="F257" s="413">
        <f>'NUHM-Non Metro Abst'!Q257</f>
        <v>0</v>
      </c>
      <c r="G257" s="413">
        <f>'NUHM Metro Abst'!N257</f>
        <v>0</v>
      </c>
      <c r="H257" s="413">
        <f>'NUHM Metro Abst'!Q257</f>
        <v>0</v>
      </c>
      <c r="I257" s="149">
        <f t="shared" si="8"/>
        <v>256.210486</v>
      </c>
      <c r="J257" s="413">
        <f t="shared" si="9"/>
        <v>0</v>
      </c>
    </row>
    <row r="258" spans="1:10">
      <c r="A258" s="420" t="s">
        <v>3288</v>
      </c>
      <c r="B258" s="420" t="s">
        <v>3095</v>
      </c>
      <c r="C258" s="420" t="s">
        <v>3096</v>
      </c>
      <c r="D258" s="420"/>
      <c r="E258" s="421">
        <f>'NUHM-Non Metro Abst'!N258</f>
        <v>18.874199999999998</v>
      </c>
      <c r="F258" s="421">
        <f>'NUHM-Non Metro Abst'!Q258</f>
        <v>0</v>
      </c>
      <c r="G258" s="421">
        <f>'NUHM Metro Abst'!N258</f>
        <v>0</v>
      </c>
      <c r="H258" s="421">
        <f>'NUHM Metro Abst'!Q258</f>
        <v>0</v>
      </c>
      <c r="I258" s="153">
        <f t="shared" si="8"/>
        <v>18.874199999999998</v>
      </c>
      <c r="J258" s="421">
        <f t="shared" si="9"/>
        <v>0</v>
      </c>
    </row>
    <row r="259" spans="1:10">
      <c r="A259" s="1250" t="s">
        <v>3936</v>
      </c>
      <c r="B259" s="1250" t="s">
        <v>3097</v>
      </c>
      <c r="C259" s="1250" t="s">
        <v>41</v>
      </c>
      <c r="D259" s="91" t="s">
        <v>5345</v>
      </c>
      <c r="E259" s="328">
        <f>'NUHM-Non Metro Abst'!N259</f>
        <v>18.874199999999998</v>
      </c>
      <c r="F259" s="328">
        <f>'NUHM-Non Metro Abst'!Q259</f>
        <v>0</v>
      </c>
      <c r="G259" s="328">
        <f>'NUHM Metro Abst'!N259</f>
        <v>0</v>
      </c>
      <c r="H259" s="328">
        <f>'NUHM Metro Abst'!Q259</f>
        <v>0</v>
      </c>
      <c r="I259" s="201">
        <f t="shared" si="8"/>
        <v>18.874199999999998</v>
      </c>
      <c r="J259" s="328">
        <f t="shared" si="9"/>
        <v>0</v>
      </c>
    </row>
    <row r="260" spans="1:10">
      <c r="A260" s="91" t="s">
        <v>3937</v>
      </c>
      <c r="B260" s="1250" t="s">
        <v>3100</v>
      </c>
      <c r="C260" s="1250" t="s">
        <v>3101</v>
      </c>
      <c r="D260" s="91" t="s">
        <v>5345</v>
      </c>
      <c r="E260" s="328">
        <f>'NUHM-Non Metro Abst'!N260</f>
        <v>0</v>
      </c>
      <c r="F260" s="328">
        <f>'NUHM-Non Metro Abst'!Q260</f>
        <v>0</v>
      </c>
      <c r="G260" s="328">
        <f>'NUHM Metro Abst'!N260</f>
        <v>0</v>
      </c>
      <c r="H260" s="328">
        <f>'NUHM Metro Abst'!Q260</f>
        <v>0</v>
      </c>
      <c r="I260" s="201">
        <f t="shared" si="8"/>
        <v>0</v>
      </c>
      <c r="J260" s="328">
        <f t="shared" si="9"/>
        <v>0</v>
      </c>
    </row>
    <row r="261" spans="1:10">
      <c r="A261" s="1250" t="s">
        <v>3938</v>
      </c>
      <c r="B261" s="1250" t="s">
        <v>3102</v>
      </c>
      <c r="C261" s="1250" t="s">
        <v>2970</v>
      </c>
      <c r="D261" s="91" t="s">
        <v>5345</v>
      </c>
      <c r="E261" s="328">
        <f>'NUHM-Non Metro Abst'!N261</f>
        <v>0</v>
      </c>
      <c r="F261" s="328">
        <f>'NUHM-Non Metro Abst'!Q261</f>
        <v>0</v>
      </c>
      <c r="G261" s="328">
        <f>'NUHM Metro Abst'!N261</f>
        <v>0</v>
      </c>
      <c r="H261" s="328">
        <f>'NUHM Metro Abst'!Q261</f>
        <v>0</v>
      </c>
      <c r="I261" s="201">
        <f t="shared" si="8"/>
        <v>0</v>
      </c>
      <c r="J261" s="328">
        <f t="shared" si="9"/>
        <v>0</v>
      </c>
    </row>
    <row r="262" spans="1:10">
      <c r="A262" s="420" t="s">
        <v>3836</v>
      </c>
      <c r="B262" s="420" t="s">
        <v>3103</v>
      </c>
      <c r="C262" s="420" t="s">
        <v>3104</v>
      </c>
      <c r="D262" s="420"/>
      <c r="E262" s="421">
        <f>'NUHM-Non Metro Abst'!N262</f>
        <v>55.193115999999996</v>
      </c>
      <c r="F262" s="421">
        <f>'NUHM-Non Metro Abst'!Q262</f>
        <v>0</v>
      </c>
      <c r="G262" s="421">
        <f>'NUHM Metro Abst'!N262</f>
        <v>0</v>
      </c>
      <c r="H262" s="421">
        <f>'NUHM Metro Abst'!Q262</f>
        <v>0</v>
      </c>
      <c r="I262" s="153">
        <f t="shared" si="8"/>
        <v>55.193115999999996</v>
      </c>
      <c r="J262" s="421">
        <f t="shared" si="9"/>
        <v>0</v>
      </c>
    </row>
    <row r="263" spans="1:10">
      <c r="A263" s="1250" t="s">
        <v>3939</v>
      </c>
      <c r="B263" s="1250" t="s">
        <v>3105</v>
      </c>
      <c r="C263" s="1250" t="s">
        <v>41</v>
      </c>
      <c r="D263" s="91" t="s">
        <v>5345</v>
      </c>
      <c r="E263" s="328">
        <f>'NUHM-Non Metro Abst'!N263</f>
        <v>55.193115999999996</v>
      </c>
      <c r="F263" s="328">
        <f>'NUHM-Non Metro Abst'!Q263</f>
        <v>0</v>
      </c>
      <c r="G263" s="328">
        <f>'NUHM Metro Abst'!N263</f>
        <v>0</v>
      </c>
      <c r="H263" s="328">
        <f>'NUHM Metro Abst'!Q263</f>
        <v>0</v>
      </c>
      <c r="I263" s="201">
        <f t="shared" si="8"/>
        <v>55.193115999999996</v>
      </c>
      <c r="J263" s="328">
        <f t="shared" si="9"/>
        <v>0</v>
      </c>
    </row>
    <row r="264" spans="1:10">
      <c r="A264" s="91" t="s">
        <v>3940</v>
      </c>
      <c r="B264" s="1250" t="s">
        <v>3108</v>
      </c>
      <c r="C264" s="1250" t="s">
        <v>2970</v>
      </c>
      <c r="D264" s="91" t="s">
        <v>5345</v>
      </c>
      <c r="E264" s="328">
        <f>'NUHM-Non Metro Abst'!N264</f>
        <v>0</v>
      </c>
      <c r="F264" s="328">
        <f>'NUHM-Non Metro Abst'!Q264</f>
        <v>0</v>
      </c>
      <c r="G264" s="328">
        <f>'NUHM Metro Abst'!N264</f>
        <v>0</v>
      </c>
      <c r="H264" s="328">
        <f>'NUHM Metro Abst'!Q264</f>
        <v>0</v>
      </c>
      <c r="I264" s="201">
        <f t="shared" si="8"/>
        <v>0</v>
      </c>
      <c r="J264" s="328">
        <f t="shared" si="9"/>
        <v>0</v>
      </c>
    </row>
    <row r="265" spans="1:10">
      <c r="A265" s="420" t="s">
        <v>3837</v>
      </c>
      <c r="B265" s="420" t="s">
        <v>3109</v>
      </c>
      <c r="C265" s="420" t="s">
        <v>3110</v>
      </c>
      <c r="D265" s="420"/>
      <c r="E265" s="421">
        <f>'NUHM-Non Metro Abst'!N265</f>
        <v>9.9541199999999996</v>
      </c>
      <c r="F265" s="421">
        <f>'NUHM-Non Metro Abst'!Q265</f>
        <v>0</v>
      </c>
      <c r="G265" s="421">
        <f>'NUHM Metro Abst'!N265</f>
        <v>0</v>
      </c>
      <c r="H265" s="421">
        <f>'NUHM Metro Abst'!Q265</f>
        <v>0</v>
      </c>
      <c r="I265" s="153">
        <f t="shared" si="8"/>
        <v>9.9541199999999996</v>
      </c>
      <c r="J265" s="421">
        <f t="shared" si="9"/>
        <v>0</v>
      </c>
    </row>
    <row r="266" spans="1:10">
      <c r="A266" s="1250" t="s">
        <v>3941</v>
      </c>
      <c r="B266" s="1250" t="s">
        <v>3111</v>
      </c>
      <c r="C266" s="1250" t="s">
        <v>41</v>
      </c>
      <c r="D266" s="91" t="s">
        <v>5345</v>
      </c>
      <c r="E266" s="328">
        <f>'NUHM-Non Metro Abst'!N266</f>
        <v>9.9541199999999996</v>
      </c>
      <c r="F266" s="328">
        <f>'NUHM-Non Metro Abst'!Q266</f>
        <v>0</v>
      </c>
      <c r="G266" s="328">
        <f>'NUHM Metro Abst'!N266</f>
        <v>0</v>
      </c>
      <c r="H266" s="328">
        <f>'NUHM Metro Abst'!Q266</f>
        <v>0</v>
      </c>
      <c r="I266" s="201">
        <f t="shared" si="8"/>
        <v>9.9541199999999996</v>
      </c>
      <c r="J266" s="328">
        <f t="shared" si="9"/>
        <v>0</v>
      </c>
    </row>
    <row r="267" spans="1:10">
      <c r="A267" s="91" t="s">
        <v>3942</v>
      </c>
      <c r="B267" s="1250" t="s">
        <v>3114</v>
      </c>
      <c r="C267" s="1250" t="s">
        <v>2970</v>
      </c>
      <c r="D267" s="91" t="s">
        <v>5345</v>
      </c>
      <c r="E267" s="328">
        <f>'NUHM-Non Metro Abst'!N267</f>
        <v>0</v>
      </c>
      <c r="F267" s="328">
        <f>'NUHM-Non Metro Abst'!Q267</f>
        <v>0</v>
      </c>
      <c r="G267" s="328">
        <f>'NUHM Metro Abst'!N267</f>
        <v>0</v>
      </c>
      <c r="H267" s="328">
        <f>'NUHM Metro Abst'!Q267</f>
        <v>0</v>
      </c>
      <c r="I267" s="201">
        <f t="shared" si="8"/>
        <v>0</v>
      </c>
      <c r="J267" s="328">
        <f t="shared" si="9"/>
        <v>0</v>
      </c>
    </row>
    <row r="268" spans="1:10">
      <c r="A268" s="420" t="s">
        <v>3838</v>
      </c>
      <c r="B268" s="420"/>
      <c r="C268" s="420" t="s">
        <v>38</v>
      </c>
      <c r="D268" s="91" t="s">
        <v>5345</v>
      </c>
      <c r="E268" s="421">
        <f>'NUHM-Non Metro Abst'!N268</f>
        <v>1.30572</v>
      </c>
      <c r="F268" s="421">
        <f>'NUHM-Non Metro Abst'!Q268</f>
        <v>0</v>
      </c>
      <c r="G268" s="421">
        <f>'NUHM Metro Abst'!N268</f>
        <v>0</v>
      </c>
      <c r="H268" s="421">
        <f>'NUHM Metro Abst'!Q268</f>
        <v>0</v>
      </c>
      <c r="I268" s="153">
        <f t="shared" si="8"/>
        <v>1.30572</v>
      </c>
      <c r="J268" s="421">
        <f t="shared" si="9"/>
        <v>0</v>
      </c>
    </row>
    <row r="269" spans="1:10">
      <c r="A269" s="420" t="s">
        <v>3943</v>
      </c>
      <c r="B269" s="420"/>
      <c r="C269" s="420" t="s">
        <v>39</v>
      </c>
      <c r="D269" s="91" t="s">
        <v>5345</v>
      </c>
      <c r="E269" s="421">
        <f>'NUHM-Non Metro Abst'!N269</f>
        <v>170.88333</v>
      </c>
      <c r="F269" s="421">
        <f>'NUHM-Non Metro Abst'!Q269</f>
        <v>0</v>
      </c>
      <c r="G269" s="421">
        <f>'NUHM Metro Abst'!N269</f>
        <v>0</v>
      </c>
      <c r="H269" s="421">
        <f>'NUHM Metro Abst'!Q269</f>
        <v>0</v>
      </c>
      <c r="I269" s="153">
        <f t="shared" si="8"/>
        <v>170.88333</v>
      </c>
      <c r="J269" s="421">
        <f t="shared" si="9"/>
        <v>0</v>
      </c>
    </row>
    <row r="270" spans="1:10">
      <c r="A270" s="141" t="s">
        <v>3289</v>
      </c>
      <c r="B270" s="141"/>
      <c r="C270" s="141" t="s">
        <v>3115</v>
      </c>
      <c r="D270" s="141"/>
      <c r="E270" s="410">
        <f>'NUHM-Non Metro Abst'!N270</f>
        <v>0</v>
      </c>
      <c r="F270" s="410">
        <f>'NUHM-Non Metro Abst'!Q270</f>
        <v>0</v>
      </c>
      <c r="G270" s="410">
        <f>'NUHM Metro Abst'!N270</f>
        <v>0</v>
      </c>
      <c r="H270" s="410">
        <f>'NUHM Metro Abst'!Q270</f>
        <v>0</v>
      </c>
      <c r="I270" s="148">
        <f t="shared" ref="I270:J274" si="10">E270+G270</f>
        <v>0</v>
      </c>
      <c r="J270" s="410">
        <f t="shared" si="10"/>
        <v>0</v>
      </c>
    </row>
    <row r="271" spans="1:10" ht="30">
      <c r="A271" s="1250" t="s">
        <v>3290</v>
      </c>
      <c r="B271" s="442"/>
      <c r="C271" s="237" t="s">
        <v>3926</v>
      </c>
      <c r="D271" s="237" t="s">
        <v>5340</v>
      </c>
      <c r="E271" s="328">
        <f>'NUHM-Non Metro Abst'!N271</f>
        <v>0</v>
      </c>
      <c r="F271" s="328">
        <f>'NUHM-Non Metro Abst'!Q271</f>
        <v>0</v>
      </c>
      <c r="G271" s="328">
        <f>'NUHM Metro Abst'!N271</f>
        <v>0</v>
      </c>
      <c r="H271" s="328">
        <f>'NUHM Metro Abst'!Q271</f>
        <v>0</v>
      </c>
      <c r="I271" s="201">
        <f t="shared" si="10"/>
        <v>0</v>
      </c>
      <c r="J271" s="328">
        <f t="shared" si="10"/>
        <v>0</v>
      </c>
    </row>
    <row r="272" spans="1:10">
      <c r="A272" s="1250" t="s">
        <v>3927</v>
      </c>
      <c r="B272" s="442"/>
      <c r="C272" s="1250" t="s">
        <v>2970</v>
      </c>
      <c r="D272" s="1250" t="s">
        <v>3296</v>
      </c>
      <c r="E272" s="328">
        <f>'NUHM-Non Metro Abst'!N272</f>
        <v>0</v>
      </c>
      <c r="F272" s="328">
        <f>'NUHM-Non Metro Abst'!Q272</f>
        <v>0</v>
      </c>
      <c r="G272" s="328">
        <f>'NUHM Metro Abst'!N272</f>
        <v>0</v>
      </c>
      <c r="H272" s="328">
        <f>'NUHM Metro Abst'!Q272</f>
        <v>0</v>
      </c>
      <c r="I272" s="201">
        <f t="shared" si="10"/>
        <v>0</v>
      </c>
      <c r="J272" s="328">
        <f t="shared" si="10"/>
        <v>0</v>
      </c>
    </row>
    <row r="273" spans="1:10">
      <c r="A273" s="141" t="s">
        <v>3291</v>
      </c>
      <c r="B273" s="141"/>
      <c r="C273" s="141" t="s">
        <v>3116</v>
      </c>
      <c r="D273" s="141"/>
      <c r="E273" s="410">
        <f>'NUHM-Non Metro Abst'!N273</f>
        <v>29.8</v>
      </c>
      <c r="F273" s="410">
        <f>'NUHM-Non Metro Abst'!Q273</f>
        <v>0</v>
      </c>
      <c r="G273" s="410">
        <f>'NUHM Metro Abst'!N273</f>
        <v>0</v>
      </c>
      <c r="H273" s="410">
        <f>'NUHM Metro Abst'!Q273</f>
        <v>0</v>
      </c>
      <c r="I273" s="148">
        <f t="shared" si="10"/>
        <v>29.8</v>
      </c>
      <c r="J273" s="410">
        <f t="shared" si="10"/>
        <v>0</v>
      </c>
    </row>
    <row r="274" spans="1:10">
      <c r="A274" s="1250" t="s">
        <v>3928</v>
      </c>
      <c r="B274" s="442"/>
      <c r="C274" s="442" t="s">
        <v>4400</v>
      </c>
      <c r="D274" s="442" t="s">
        <v>3296</v>
      </c>
      <c r="E274" s="328">
        <f>'NUHM-Non Metro Abst'!N274</f>
        <v>29.8</v>
      </c>
      <c r="F274" s="328">
        <f>'NUHM-Non Metro Abst'!Q274</f>
        <v>0</v>
      </c>
      <c r="G274" s="328">
        <f>'NUHM Metro Abst'!N274</f>
        <v>0</v>
      </c>
      <c r="H274" s="328">
        <f>'NUHM Metro Abst'!Q274</f>
        <v>0</v>
      </c>
      <c r="I274" s="201">
        <f t="shared" si="10"/>
        <v>29.8</v>
      </c>
      <c r="J274" s="328">
        <f t="shared" si="10"/>
        <v>0</v>
      </c>
    </row>
  </sheetData>
  <sheetProtection sheet="1" formatCells="0" formatColumns="0" formatRows="0" autoFilter="0"/>
  <autoFilter ref="A6:M274"/>
  <mergeCells count="10">
    <mergeCell ref="A1:J1"/>
    <mergeCell ref="A2:A4"/>
    <mergeCell ref="A5:A6"/>
    <mergeCell ref="E5:F5"/>
    <mergeCell ref="G5:H5"/>
    <mergeCell ref="I5:I6"/>
    <mergeCell ref="J5:J6"/>
    <mergeCell ref="B5:B6"/>
    <mergeCell ref="C5:C6"/>
    <mergeCell ref="D5:D6"/>
  </mergeCells>
  <phoneticPr fontId="27" type="noConversion"/>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sheetPr codeName="Sheet11"/>
  <dimension ref="A1:BA119"/>
  <sheetViews>
    <sheetView zoomScale="80" zoomScaleNormal="80" zoomScaleSheetLayoutView="90" workbookViewId="0">
      <pane xSplit="5" ySplit="7" topLeftCell="F42" activePane="bottomRight" state="frozen"/>
      <selection activeCell="Q172" sqref="A1:BE179"/>
      <selection pane="topRight" activeCell="Q172" sqref="A1:BE179"/>
      <selection pane="bottomLeft" activeCell="Q172" sqref="A1:BE179"/>
      <selection pane="bottomRight" activeCell="C46" sqref="C46"/>
    </sheetView>
  </sheetViews>
  <sheetFormatPr defaultColWidth="9.140625" defaultRowHeight="16.5"/>
  <cols>
    <col min="1" max="1" width="10.28515625" style="1502" customWidth="1"/>
    <col min="2" max="2" width="7.28515625" style="1502" customWidth="1"/>
    <col min="3" max="3" width="47.140625" style="1502" customWidth="1"/>
    <col min="4" max="4" width="9.140625" style="1371" customWidth="1"/>
    <col min="5" max="5" width="13.28515625" style="1371" customWidth="1"/>
    <col min="6" max="6" width="12.7109375" style="1371" hidden="1" customWidth="1"/>
    <col min="7" max="7" width="16.42578125" style="1371" hidden="1" customWidth="1"/>
    <col min="8" max="8" width="11.85546875" style="1371" hidden="1" customWidth="1"/>
    <col min="9" max="9" width="12.28515625" style="1371" hidden="1" customWidth="1"/>
    <col min="10" max="10" width="13.85546875" style="1371" hidden="1" customWidth="1"/>
    <col min="11" max="11" width="13.85546875" style="1371" customWidth="1"/>
    <col min="12" max="12" width="13.28515625" style="1371" customWidth="1"/>
    <col min="13" max="13" width="11.5703125" style="1504" customWidth="1"/>
    <col min="14" max="14" width="8.42578125" style="1371" customWidth="1"/>
    <col min="15" max="15" width="13.42578125" style="1504" customWidth="1"/>
    <col min="16" max="16" width="92" style="1502" customWidth="1"/>
    <col min="17" max="17" width="34.5703125" style="1502" hidden="1" customWidth="1"/>
    <col min="18" max="18" width="12.85546875" style="1505" hidden="1" customWidth="1"/>
    <col min="19" max="19" width="11" style="1405" hidden="1" customWidth="1"/>
    <col min="20" max="20" width="12.140625" style="1405" hidden="1" customWidth="1"/>
    <col min="21" max="21" width="7.85546875" style="1405" hidden="1" customWidth="1"/>
    <col min="22" max="22" width="12.5703125" style="1405" hidden="1" customWidth="1"/>
    <col min="23" max="23" width="8.5703125" style="1405" hidden="1" customWidth="1"/>
    <col min="24" max="24" width="8.7109375" style="1405" hidden="1" customWidth="1"/>
    <col min="25" max="25" width="10.85546875" style="1405" hidden="1" customWidth="1"/>
    <col min="26" max="26" width="11" style="1405" hidden="1" customWidth="1"/>
    <col min="27" max="27" width="11.42578125" style="1405" hidden="1" customWidth="1"/>
    <col min="28" max="29" width="11.85546875" style="1405" hidden="1" customWidth="1"/>
    <col min="30" max="30" width="12.5703125" style="1405" hidden="1" customWidth="1"/>
    <col min="31" max="31" width="18.140625" style="1405" hidden="1" customWidth="1"/>
    <col min="32" max="32" width="18.42578125" style="1405" hidden="1" customWidth="1"/>
    <col min="33" max="33" width="0" style="1405" hidden="1" customWidth="1"/>
    <col min="34" max="35" width="10.42578125" style="1405" hidden="1" customWidth="1"/>
    <col min="36" max="39" width="0" style="1405" hidden="1" customWidth="1"/>
    <col min="40" max="40" width="7.85546875" style="1405" hidden="1" customWidth="1"/>
    <col min="41" max="41" width="12.5703125" style="1405" hidden="1" customWidth="1"/>
    <col min="42" max="42" width="8.5703125" style="1405" hidden="1" customWidth="1"/>
    <col min="43" max="43" width="8.7109375" style="1405" hidden="1" customWidth="1"/>
    <col min="44" max="44" width="10.85546875" style="1405" hidden="1" customWidth="1"/>
    <col min="45" max="45" width="9.140625" style="1405" hidden="1" customWidth="1"/>
    <col min="46" max="46" width="8.7109375" style="1405" hidden="1" customWidth="1"/>
    <col min="47" max="47" width="9.140625" style="1405" hidden="1" customWidth="1"/>
    <col min="48" max="48" width="9.5703125" style="1405" hidden="1" customWidth="1"/>
    <col min="49" max="49" width="10.85546875" style="1405" hidden="1" customWidth="1"/>
    <col min="50" max="50" width="0" style="1405" hidden="1" customWidth="1"/>
    <col min="51" max="51" width="12.5703125" style="1405" hidden="1" customWidth="1"/>
    <col min="52" max="52" width="11.42578125" style="1405" hidden="1" customWidth="1"/>
    <col min="53" max="53" width="12.85546875" style="1405" hidden="1" customWidth="1"/>
    <col min="54" max="54" width="11.42578125" style="1405" bestFit="1" customWidth="1"/>
    <col min="55" max="16384" width="9.140625" style="1405"/>
  </cols>
  <sheetData>
    <row r="1" spans="1:53" s="1355" customFormat="1">
      <c r="A1" s="4291" t="s">
        <v>1950</v>
      </c>
      <c r="B1" s="4291"/>
      <c r="C1" s="4291"/>
      <c r="D1" s="1354"/>
      <c r="E1" s="4298" t="s">
        <v>4709</v>
      </c>
      <c r="F1" s="4294" t="s">
        <v>4707</v>
      </c>
      <c r="G1" s="4294"/>
      <c r="H1" s="4294"/>
      <c r="I1" s="4294"/>
      <c r="J1" s="4294"/>
      <c r="K1" s="4294"/>
      <c r="L1" s="4294"/>
      <c r="M1" s="4294"/>
      <c r="N1" s="4294"/>
      <c r="O1" s="4303" t="s">
        <v>70</v>
      </c>
      <c r="P1" s="4304"/>
      <c r="Q1" s="4304"/>
      <c r="R1" s="4304"/>
      <c r="S1" s="4304"/>
      <c r="T1" s="4304"/>
      <c r="U1" s="4304"/>
      <c r="V1" s="4304"/>
      <c r="W1" s="4304"/>
      <c r="X1" s="4304"/>
      <c r="Y1" s="4304"/>
      <c r="Z1" s="4304"/>
      <c r="AA1" s="4304"/>
      <c r="AB1" s="4304"/>
      <c r="AC1" s="4304"/>
      <c r="AD1" s="4304"/>
      <c r="AE1" s="4304"/>
      <c r="AF1" s="4304"/>
      <c r="AG1" s="4304"/>
      <c r="AH1" s="4305"/>
      <c r="AI1" s="4300" t="s">
        <v>4358</v>
      </c>
      <c r="AJ1" s="4301"/>
      <c r="AK1" s="4301"/>
      <c r="AL1" s="4301"/>
      <c r="AM1" s="4301"/>
      <c r="AN1" s="4301"/>
      <c r="AO1" s="4302"/>
      <c r="AP1" s="4290" t="s">
        <v>85</v>
      </c>
      <c r="AQ1" s="4290"/>
      <c r="AR1" s="4290"/>
      <c r="AS1" s="4290"/>
      <c r="AT1" s="4290"/>
      <c r="AU1" s="4290"/>
      <c r="AV1" s="4290"/>
      <c r="AW1" s="4290"/>
      <c r="AX1" s="4290"/>
      <c r="AY1" s="4290"/>
      <c r="AZ1" s="4290"/>
      <c r="BA1" s="4290"/>
    </row>
    <row r="2" spans="1:53" s="1356" customFormat="1" ht="33">
      <c r="A2" s="4295" t="str">
        <f>HYPERLINK("#Index!A4", "Index Pg")</f>
        <v>Index Pg</v>
      </c>
      <c r="D2" s="1357"/>
      <c r="E2" s="4298"/>
      <c r="F2" s="1358" t="s">
        <v>118</v>
      </c>
      <c r="G2" s="1358" t="s">
        <v>131</v>
      </c>
      <c r="H2" s="1358" t="s">
        <v>91</v>
      </c>
      <c r="I2" s="1358" t="s">
        <v>4705</v>
      </c>
      <c r="J2" s="1358" t="s">
        <v>96</v>
      </c>
      <c r="K2" s="1358" t="s">
        <v>4064</v>
      </c>
      <c r="L2" s="1359" t="s">
        <v>4706</v>
      </c>
      <c r="M2" s="1358" t="s">
        <v>4710</v>
      </c>
      <c r="N2" s="1359" t="s">
        <v>208</v>
      </c>
      <c r="O2" s="1360" t="s">
        <v>4357</v>
      </c>
      <c r="P2" s="1361" t="s">
        <v>3848</v>
      </c>
      <c r="Q2" s="1361" t="s">
        <v>4719</v>
      </c>
      <c r="R2" s="1361" t="s">
        <v>4716</v>
      </c>
      <c r="S2" s="1361" t="s">
        <v>4717</v>
      </c>
      <c r="T2" s="1361" t="s">
        <v>4718</v>
      </c>
      <c r="U2" s="1361" t="s">
        <v>4720</v>
      </c>
      <c r="V2" s="1361" t="s">
        <v>4695</v>
      </c>
      <c r="W2" s="1361" t="s">
        <v>4721</v>
      </c>
      <c r="X2" s="1361" t="s">
        <v>33</v>
      </c>
      <c r="Y2" s="1361" t="s">
        <v>4722</v>
      </c>
      <c r="Z2" s="1361" t="s">
        <v>4723</v>
      </c>
      <c r="AA2" s="1361" t="s">
        <v>4713</v>
      </c>
      <c r="AB2" s="1361" t="s">
        <v>742</v>
      </c>
      <c r="AC2" s="1361" t="s">
        <v>4714</v>
      </c>
      <c r="AD2" s="1361" t="s">
        <v>4715</v>
      </c>
      <c r="AE2" s="1361" t="s">
        <v>2379</v>
      </c>
      <c r="AF2" s="1361" t="s">
        <v>4724</v>
      </c>
      <c r="AG2" s="1361" t="s">
        <v>3847</v>
      </c>
      <c r="AH2" s="1361" t="s">
        <v>307</v>
      </c>
      <c r="AI2" s="1362" t="s">
        <v>293</v>
      </c>
      <c r="AJ2" s="1362" t="s">
        <v>114</v>
      </c>
      <c r="AK2" s="1362" t="s">
        <v>146</v>
      </c>
      <c r="AL2" s="1362" t="s">
        <v>4674</v>
      </c>
      <c r="AM2" s="1362" t="s">
        <v>3316</v>
      </c>
      <c r="AN2" s="1362" t="s">
        <v>3986</v>
      </c>
      <c r="AO2" s="1362" t="s">
        <v>4544</v>
      </c>
      <c r="AP2" s="1363" t="s">
        <v>86</v>
      </c>
      <c r="AQ2" s="1363" t="s">
        <v>150</v>
      </c>
      <c r="AR2" s="1363" t="s">
        <v>399</v>
      </c>
      <c r="AS2" s="1363" t="s">
        <v>152</v>
      </c>
      <c r="AT2" s="1363" t="s">
        <v>415</v>
      </c>
      <c r="AU2" s="1363" t="s">
        <v>4598</v>
      </c>
      <c r="AV2" s="1363" t="s">
        <v>4124</v>
      </c>
      <c r="AW2" s="1364" t="s">
        <v>312</v>
      </c>
      <c r="AX2" s="1365" t="s">
        <v>314</v>
      </c>
      <c r="AY2" s="1365" t="s">
        <v>1034</v>
      </c>
      <c r="AZ2" s="1365" t="s">
        <v>1020</v>
      </c>
      <c r="BA2" s="1365" t="s">
        <v>4708</v>
      </c>
    </row>
    <row r="3" spans="1:53" s="1370" customFormat="1">
      <c r="A3" s="4296"/>
      <c r="B3" s="1366" t="str">
        <f>HYPERLINK("#'Budget Summary I'!A1:AL1", "Budget Summary I")</f>
        <v>Budget Summary I</v>
      </c>
      <c r="C3" s="1367" t="s">
        <v>4599</v>
      </c>
      <c r="D3" s="1368"/>
      <c r="E3" s="1368">
        <f>R7</f>
        <v>0</v>
      </c>
      <c r="F3" s="1368">
        <f>R10+R11+R12+R13+R14+R15+R61+R63+R64+R65</f>
        <v>0</v>
      </c>
      <c r="G3" s="1368">
        <f>R84+R85+R86+R87+R88+R96+R97+R98</f>
        <v>0</v>
      </c>
      <c r="H3" s="1368">
        <f>R23+R24+R26+R27+R28+R68+R69+R71+R72+R73+R74+R75+R76</f>
        <v>0</v>
      </c>
      <c r="I3" s="1368">
        <f>R30+R31+R89+R106</f>
        <v>0</v>
      </c>
      <c r="J3" s="1368">
        <f>R17+R18+R19+R90+R20</f>
        <v>0</v>
      </c>
      <c r="K3" s="1368"/>
      <c r="L3" s="1368">
        <f>R112</f>
        <v>0</v>
      </c>
      <c r="M3" s="1368">
        <f>R51+R52+R56</f>
        <v>0</v>
      </c>
      <c r="N3" s="1368"/>
      <c r="O3" s="1369">
        <f>R55</f>
        <v>0</v>
      </c>
      <c r="P3" s="1368"/>
      <c r="Q3" s="1368"/>
      <c r="R3" s="1368"/>
      <c r="S3" s="1368"/>
      <c r="T3" s="1368"/>
      <c r="U3" s="1368"/>
      <c r="V3" s="1368"/>
      <c r="W3" s="1368"/>
      <c r="X3" s="1368"/>
      <c r="Y3" s="1368"/>
      <c r="Z3" s="1368"/>
      <c r="AA3" s="1368"/>
      <c r="AB3" s="1368"/>
      <c r="AC3" s="1368"/>
      <c r="AD3" s="1368"/>
      <c r="AE3" s="1368"/>
      <c r="AF3" s="1368">
        <f>R53+R57</f>
        <v>0</v>
      </c>
      <c r="AG3" s="1368"/>
      <c r="AH3" s="1368">
        <f>R39+R49+R54+R58+R81+R107+R109+R114</f>
        <v>0</v>
      </c>
      <c r="AI3" s="1369"/>
      <c r="AJ3" s="1368">
        <f>R33+R34+R35+R80</f>
        <v>0</v>
      </c>
      <c r="AK3" s="1369">
        <f>R36+R37+R78</f>
        <v>0</v>
      </c>
      <c r="AL3" s="1369">
        <f>R38+R79+R95</f>
        <v>0</v>
      </c>
      <c r="AM3" s="1369">
        <f>R99+R101+R102+R104+R105</f>
        <v>0</v>
      </c>
      <c r="AN3" s="1369"/>
      <c r="AO3" s="1369"/>
      <c r="AP3" s="1369"/>
      <c r="AQ3" s="1369"/>
      <c r="AR3" s="1368"/>
      <c r="AS3" s="1368"/>
      <c r="AT3" s="1368">
        <f>R41+R42+R91+R92+R93+R94</f>
        <v>0</v>
      </c>
      <c r="AU3" s="1368">
        <f>R46+R47+R48</f>
        <v>0</v>
      </c>
      <c r="AV3" s="1368"/>
      <c r="AW3" s="1368"/>
      <c r="AX3" s="1368">
        <f>R113</f>
        <v>0</v>
      </c>
      <c r="AY3" s="1368">
        <f>R43+R44+R110+R111</f>
        <v>0</v>
      </c>
      <c r="AZ3" s="1368"/>
      <c r="BA3" s="1368"/>
    </row>
    <row r="4" spans="1:53" s="1370" customFormat="1">
      <c r="A4" s="4297"/>
      <c r="B4" s="1366" t="str">
        <f>HYPERLINK("#'Budget Summary II'!A3:B5", "Budget Summary II")</f>
        <v>Budget Summary II</v>
      </c>
      <c r="C4" s="1367" t="s">
        <v>4600</v>
      </c>
      <c r="D4" s="1368"/>
      <c r="E4" s="1368">
        <f>O7</f>
        <v>60487.0766516</v>
      </c>
      <c r="F4" s="1368">
        <f>O10+O11+O12+O13+O14+O15+O61+O63+O64+O65</f>
        <v>34292.875</v>
      </c>
      <c r="G4" s="1368">
        <f>O84+O85+O86+O87+O88+O96+O97+O98</f>
        <v>1821.6366</v>
      </c>
      <c r="H4" s="1368">
        <f>O23+O24+O26+O27+O28+O68+O69+O71+O72+O73+O74+O75+O76</f>
        <v>12677.650025000001</v>
      </c>
      <c r="I4" s="1368">
        <f>O30+O31+O89+O106</f>
        <v>30</v>
      </c>
      <c r="J4" s="1368">
        <f>O17+O18+O19+O90+O20</f>
        <v>523.35004660000004</v>
      </c>
      <c r="K4" s="1368"/>
      <c r="L4" s="1368">
        <f>O112</f>
        <v>6.84</v>
      </c>
      <c r="M4" s="1368">
        <f>O51+O52+O56</f>
        <v>0</v>
      </c>
      <c r="N4" s="1368"/>
      <c r="O4" s="1369">
        <f>O55</f>
        <v>0</v>
      </c>
      <c r="P4" s="1368"/>
      <c r="Q4" s="1368"/>
      <c r="R4" s="1368"/>
      <c r="S4" s="1368"/>
      <c r="T4" s="1368"/>
      <c r="U4" s="1368"/>
      <c r="V4" s="1368"/>
      <c r="W4" s="1368"/>
      <c r="X4" s="1368"/>
      <c r="Y4" s="1368"/>
      <c r="Z4" s="1368"/>
      <c r="AA4" s="1368"/>
      <c r="AB4" s="1368"/>
      <c r="AC4" s="1368"/>
      <c r="AD4" s="1368"/>
      <c r="AE4" s="1368"/>
      <c r="AF4" s="1368">
        <f>O53+O57</f>
        <v>0</v>
      </c>
      <c r="AG4" s="1368"/>
      <c r="AH4" s="1368">
        <f>O39+O49+O54+O58+O81+O107+O109+O114</f>
        <v>65</v>
      </c>
      <c r="AI4" s="1369"/>
      <c r="AJ4" s="1368">
        <f>O33+O34+O35+O80</f>
        <v>268.83404000000002</v>
      </c>
      <c r="AK4" s="1369">
        <f>O36+O37+O78</f>
        <v>2090.1224400000001</v>
      </c>
      <c r="AL4" s="1369">
        <f>O38+O79+O95</f>
        <v>4414.2359999999999</v>
      </c>
      <c r="AM4" s="1369">
        <f>O99+O101+O102+O104+O105</f>
        <v>39.36</v>
      </c>
      <c r="AN4" s="1369"/>
      <c r="AO4" s="1369"/>
      <c r="AP4" s="1369"/>
      <c r="AQ4" s="1369"/>
      <c r="AR4" s="1368"/>
      <c r="AS4" s="1368"/>
      <c r="AT4" s="1368">
        <f>O41+O42+O91+O92+O93+O94</f>
        <v>566.20000000000005</v>
      </c>
      <c r="AU4" s="1368">
        <f>O46+O47+O48</f>
        <v>3630.4724999999999</v>
      </c>
      <c r="AV4" s="1368"/>
      <c r="AW4" s="1368"/>
      <c r="AX4" s="1368">
        <f>O113</f>
        <v>0</v>
      </c>
      <c r="AY4" s="1368">
        <f>O43+O44+O110+O111</f>
        <v>60.5</v>
      </c>
      <c r="AZ4" s="1368"/>
      <c r="BA4" s="1368"/>
    </row>
    <row r="5" spans="1:53" s="1371" customFormat="1">
      <c r="A5" s="4293" t="s">
        <v>53</v>
      </c>
      <c r="B5" s="4293" t="s">
        <v>54</v>
      </c>
      <c r="C5" s="4293" t="s">
        <v>55</v>
      </c>
      <c r="D5" s="4293" t="s">
        <v>56</v>
      </c>
      <c r="E5" s="4293" t="s">
        <v>57</v>
      </c>
      <c r="F5" s="4292" t="s">
        <v>4620</v>
      </c>
      <c r="G5" s="4292"/>
      <c r="H5" s="4292"/>
      <c r="I5" s="4292"/>
      <c r="J5" s="4292"/>
      <c r="K5" s="4292" t="s">
        <v>4631</v>
      </c>
      <c r="L5" s="4292"/>
      <c r="M5" s="4292"/>
      <c r="N5" s="4292"/>
      <c r="O5" s="4292"/>
      <c r="P5" s="4292"/>
      <c r="Q5" s="4299" t="s">
        <v>4661</v>
      </c>
      <c r="R5" s="4299"/>
    </row>
    <row r="6" spans="1:53" s="1377" customFormat="1" ht="56.25" customHeight="1">
      <c r="A6" s="4293"/>
      <c r="B6" s="4293"/>
      <c r="C6" s="4293"/>
      <c r="D6" s="4293"/>
      <c r="E6" s="4293"/>
      <c r="F6" s="1372" t="s">
        <v>4621</v>
      </c>
      <c r="G6" s="1372" t="s">
        <v>4629</v>
      </c>
      <c r="H6" s="1372" t="s">
        <v>4622</v>
      </c>
      <c r="I6" s="1372" t="s">
        <v>4630</v>
      </c>
      <c r="J6" s="1372" t="s">
        <v>2534</v>
      </c>
      <c r="K6" s="1373" t="s">
        <v>58</v>
      </c>
      <c r="L6" s="1373" t="s">
        <v>59</v>
      </c>
      <c r="M6" s="1374" t="s">
        <v>60</v>
      </c>
      <c r="N6" s="1373" t="s">
        <v>61</v>
      </c>
      <c r="O6" s="1374" t="s">
        <v>62</v>
      </c>
      <c r="P6" s="1373" t="s">
        <v>5564</v>
      </c>
      <c r="Q6" s="1375" t="s">
        <v>2536</v>
      </c>
      <c r="R6" s="1376" t="s">
        <v>4662</v>
      </c>
    </row>
    <row r="7" spans="1:53" s="1384" customFormat="1">
      <c r="A7" s="1378">
        <v>1</v>
      </c>
      <c r="B7" s="1379"/>
      <c r="C7" s="1378" t="s">
        <v>4</v>
      </c>
      <c r="D7" s="1380"/>
      <c r="E7" s="1381"/>
      <c r="F7" s="1381"/>
      <c r="G7" s="1381"/>
      <c r="H7" s="1381"/>
      <c r="I7" s="1381"/>
      <c r="J7" s="1381"/>
      <c r="K7" s="1380"/>
      <c r="L7" s="1380"/>
      <c r="M7" s="1382"/>
      <c r="N7" s="1380"/>
      <c r="O7" s="1382">
        <f>O8+O59+O82</f>
        <v>60487.0766516</v>
      </c>
      <c r="P7" s="1378"/>
      <c r="Q7" s="1378"/>
      <c r="R7" s="1383">
        <f>R8+R59+R82</f>
        <v>0</v>
      </c>
    </row>
    <row r="8" spans="1:53" s="1384" customFormat="1">
      <c r="A8" s="1385">
        <v>1.1000000000000001</v>
      </c>
      <c r="B8" s="1386"/>
      <c r="C8" s="1387" t="s">
        <v>5</v>
      </c>
      <c r="D8" s="1388"/>
      <c r="E8" s="1389"/>
      <c r="F8" s="1390"/>
      <c r="G8" s="1390"/>
      <c r="H8" s="1390"/>
      <c r="I8" s="1390"/>
      <c r="J8" s="1390"/>
      <c r="K8" s="1391"/>
      <c r="L8" s="1391"/>
      <c r="M8" s="1392"/>
      <c r="N8" s="1393"/>
      <c r="O8" s="1394">
        <f>O9+O16+O21+O29+O32+O40+O50</f>
        <v>14301.186026599999</v>
      </c>
      <c r="P8" s="1395"/>
      <c r="Q8" s="1395"/>
      <c r="R8" s="1396">
        <f>R9+R16+R21+R29+R32+R40+R50</f>
        <v>0</v>
      </c>
    </row>
    <row r="9" spans="1:53">
      <c r="A9" s="1397" t="s">
        <v>1951</v>
      </c>
      <c r="B9" s="1398"/>
      <c r="C9" s="1399" t="s">
        <v>4344</v>
      </c>
      <c r="D9" s="1400"/>
      <c r="E9" s="1401"/>
      <c r="F9" s="1402"/>
      <c r="G9" s="1402"/>
      <c r="H9" s="1402"/>
      <c r="I9" s="1402"/>
      <c r="J9" s="1402"/>
      <c r="K9" s="1400"/>
      <c r="L9" s="1401"/>
      <c r="M9" s="1403"/>
      <c r="N9" s="1402"/>
      <c r="O9" s="1403">
        <f>SUM(O10:O15)</f>
        <v>7004.2549999999992</v>
      </c>
      <c r="P9" s="1399"/>
      <c r="Q9" s="1399"/>
      <c r="R9" s="1404">
        <f>SUM(R10:R15)</f>
        <v>0</v>
      </c>
    </row>
    <row r="10" spans="1:53" s="1459" customFormat="1" ht="274.5" customHeight="1">
      <c r="A10" s="1406" t="s">
        <v>1952</v>
      </c>
      <c r="B10" s="1419" t="s">
        <v>1953</v>
      </c>
      <c r="C10" s="1419" t="s">
        <v>1954</v>
      </c>
      <c r="D10" s="1490" t="s">
        <v>90</v>
      </c>
      <c r="E10" s="1443" t="s">
        <v>118</v>
      </c>
      <c r="F10" s="1589"/>
      <c r="G10" s="1589"/>
      <c r="H10" s="4213">
        <v>500</v>
      </c>
      <c r="I10" s="4213">
        <v>50.06</v>
      </c>
      <c r="J10" s="1589"/>
      <c r="K10" s="1444" t="s">
        <v>6218</v>
      </c>
      <c r="L10" s="2820">
        <v>62082000</v>
      </c>
      <c r="M10" s="1447">
        <f t="shared" ref="M10:M15" si="0">L10/100000</f>
        <v>620.82000000000005</v>
      </c>
      <c r="N10" s="2820">
        <v>1</v>
      </c>
      <c r="O10" s="1447">
        <f>M10*N10</f>
        <v>620.82000000000005</v>
      </c>
      <c r="P10" s="3196" t="s">
        <v>6347</v>
      </c>
      <c r="Q10" s="1406">
        <f>'Ab1. RMNCH+A'!Q8</f>
        <v>0</v>
      </c>
      <c r="R10" s="1448">
        <f>'Ab1. RMNCH+A'!R8</f>
        <v>0</v>
      </c>
    </row>
    <row r="11" spans="1:53" s="3773" customFormat="1" ht="214.5">
      <c r="A11" s="3764" t="s">
        <v>1955</v>
      </c>
      <c r="B11" s="3765" t="s">
        <v>1956</v>
      </c>
      <c r="C11" s="3765" t="s">
        <v>4074</v>
      </c>
      <c r="D11" s="3766" t="s">
        <v>90</v>
      </c>
      <c r="E11" s="3767" t="s">
        <v>118</v>
      </c>
      <c r="F11" s="3768"/>
      <c r="G11" s="3769"/>
      <c r="H11" s="3770">
        <f>400000000/100000</f>
        <v>4000</v>
      </c>
      <c r="I11" s="3770">
        <f>30041415/100000</f>
        <v>300.41415000000001</v>
      </c>
      <c r="J11" s="3768"/>
      <c r="K11" s="3768" t="s">
        <v>6219</v>
      </c>
      <c r="L11" s="4174">
        <v>570000000</v>
      </c>
      <c r="M11" s="3758">
        <f t="shared" si="0"/>
        <v>5700</v>
      </c>
      <c r="N11" s="3757">
        <v>1</v>
      </c>
      <c r="O11" s="3758">
        <f>N11*M11</f>
        <v>5700</v>
      </c>
      <c r="P11" s="3771" t="s">
        <v>6946</v>
      </c>
      <c r="Q11" s="3764">
        <f>'Ab1. RMNCH+A'!Q9</f>
        <v>0</v>
      </c>
      <c r="R11" s="3772">
        <f>'Ab1. RMNCH+A'!R9</f>
        <v>0</v>
      </c>
    </row>
    <row r="12" spans="1:53" s="3773" customFormat="1" ht="115.5">
      <c r="A12" s="3764" t="s">
        <v>1957</v>
      </c>
      <c r="B12" s="3765" t="s">
        <v>1958</v>
      </c>
      <c r="C12" s="3765" t="s">
        <v>1959</v>
      </c>
      <c r="D12" s="3766" t="s">
        <v>90</v>
      </c>
      <c r="E12" s="3767" t="s">
        <v>118</v>
      </c>
      <c r="F12" s="3768"/>
      <c r="G12" s="3769"/>
      <c r="H12" s="3770"/>
      <c r="I12" s="3770"/>
      <c r="J12" s="3768"/>
      <c r="K12" s="3837"/>
      <c r="L12" s="3757">
        <v>300</v>
      </c>
      <c r="M12" s="3758">
        <f t="shared" si="0"/>
        <v>3.0000000000000001E-3</v>
      </c>
      <c r="N12" s="3757">
        <v>50000</v>
      </c>
      <c r="O12" s="3758">
        <f>N12*M12</f>
        <v>150</v>
      </c>
      <c r="P12" s="3775" t="s">
        <v>6826</v>
      </c>
      <c r="Q12" s="3764">
        <f>'Ab1. RMNCH+A'!Q10</f>
        <v>0</v>
      </c>
      <c r="R12" s="3772">
        <f>'Ab1. RMNCH+A'!R10</f>
        <v>0</v>
      </c>
    </row>
    <row r="13" spans="1:53" ht="66">
      <c r="A13" s="1406" t="s">
        <v>1960</v>
      </c>
      <c r="B13" s="1407" t="s">
        <v>1961</v>
      </c>
      <c r="C13" s="1407" t="s">
        <v>4075</v>
      </c>
      <c r="D13" s="1408" t="s">
        <v>90</v>
      </c>
      <c r="E13" s="1409" t="s">
        <v>5373</v>
      </c>
      <c r="F13" s="1415"/>
      <c r="G13" s="1415"/>
      <c r="H13" s="1415"/>
      <c r="I13" s="1415"/>
      <c r="J13" s="1415"/>
      <c r="K13" s="1415"/>
      <c r="L13" s="1418"/>
      <c r="M13" s="1412">
        <f t="shared" si="0"/>
        <v>0</v>
      </c>
      <c r="N13" s="1418"/>
      <c r="O13" s="1412">
        <f>N13*M13</f>
        <v>0</v>
      </c>
      <c r="P13" s="1343"/>
      <c r="Q13" s="1413">
        <f>'Ab1. RMNCH+A'!Q11</f>
        <v>0</v>
      </c>
      <c r="R13" s="1414">
        <f>'Ab1. RMNCH+A'!R11</f>
        <v>0</v>
      </c>
    </row>
    <row r="14" spans="1:53" s="3773" customFormat="1" ht="321" customHeight="1">
      <c r="A14" s="3764" t="s">
        <v>1962</v>
      </c>
      <c r="B14" s="3765"/>
      <c r="C14" s="3765" t="s">
        <v>2452</v>
      </c>
      <c r="D14" s="3766" t="s">
        <v>90</v>
      </c>
      <c r="E14" s="3767" t="s">
        <v>118</v>
      </c>
      <c r="F14" s="3768"/>
      <c r="G14" s="3768"/>
      <c r="H14" s="3774"/>
      <c r="I14" s="3768"/>
      <c r="J14" s="3768"/>
      <c r="K14" s="3768" t="s">
        <v>6220</v>
      </c>
      <c r="L14" s="3757">
        <v>29041000</v>
      </c>
      <c r="M14" s="3758">
        <f t="shared" si="0"/>
        <v>290.41000000000003</v>
      </c>
      <c r="N14" s="3757">
        <v>1</v>
      </c>
      <c r="O14" s="3758">
        <f>N14*M14</f>
        <v>290.41000000000003</v>
      </c>
      <c r="P14" s="3775" t="s">
        <v>6808</v>
      </c>
      <c r="Q14" s="3764">
        <f>'Ab1. RMNCH+A'!Q12</f>
        <v>0</v>
      </c>
      <c r="R14" s="3772">
        <f>'Ab1. RMNCH+A'!R12</f>
        <v>0</v>
      </c>
    </row>
    <row r="15" spans="1:53" s="3773" customFormat="1" ht="214.5">
      <c r="A15" s="3764" t="s">
        <v>2397</v>
      </c>
      <c r="B15" s="3764"/>
      <c r="C15" s="3764" t="s">
        <v>1310</v>
      </c>
      <c r="D15" s="3776" t="s">
        <v>90</v>
      </c>
      <c r="E15" s="3777" t="s">
        <v>118</v>
      </c>
      <c r="F15" s="3768"/>
      <c r="G15" s="3768"/>
      <c r="H15" s="3768"/>
      <c r="I15" s="3768"/>
      <c r="J15" s="3768"/>
      <c r="K15" s="3768" t="s">
        <v>6218</v>
      </c>
      <c r="L15" s="3757">
        <v>24302500</v>
      </c>
      <c r="M15" s="3758">
        <f t="shared" si="0"/>
        <v>243.02500000000001</v>
      </c>
      <c r="N15" s="3757">
        <v>1</v>
      </c>
      <c r="O15" s="3758">
        <f>N15*M15</f>
        <v>243.02500000000001</v>
      </c>
      <c r="P15" s="3775" t="s">
        <v>6809</v>
      </c>
      <c r="Q15" s="3764">
        <f>'Ab1. RMNCH+A'!Q13</f>
        <v>0</v>
      </c>
      <c r="R15" s="3772">
        <f>'Ab1. RMNCH+A'!R13</f>
        <v>0</v>
      </c>
    </row>
    <row r="16" spans="1:53">
      <c r="A16" s="1397" t="s">
        <v>1963</v>
      </c>
      <c r="B16" s="1398"/>
      <c r="C16" s="1399" t="s">
        <v>1964</v>
      </c>
      <c r="D16" s="1400"/>
      <c r="E16" s="1401"/>
      <c r="F16" s="1422"/>
      <c r="G16" s="1422"/>
      <c r="H16" s="1422"/>
      <c r="I16" s="1422"/>
      <c r="J16" s="1422"/>
      <c r="K16" s="1423"/>
      <c r="L16" s="1424"/>
      <c r="M16" s="1425"/>
      <c r="N16" s="1426"/>
      <c r="O16" s="1425">
        <f>SUM(O17:O20)</f>
        <v>501.75004660000008</v>
      </c>
      <c r="P16" s="1427"/>
      <c r="Q16" s="1399"/>
      <c r="R16" s="1404">
        <f>SUM(R17:R20)</f>
        <v>0</v>
      </c>
    </row>
    <row r="17" spans="1:18" ht="49.5">
      <c r="A17" s="1406" t="s">
        <v>1965</v>
      </c>
      <c r="B17" s="1407" t="s">
        <v>136</v>
      </c>
      <c r="C17" s="1407" t="s">
        <v>137</v>
      </c>
      <c r="D17" s="1408" t="s">
        <v>90</v>
      </c>
      <c r="E17" s="1409" t="s">
        <v>96</v>
      </c>
      <c r="F17" s="1428"/>
      <c r="G17" s="1415"/>
      <c r="H17" s="1417"/>
      <c r="I17" s="1417"/>
      <c r="J17" s="1415"/>
      <c r="K17" s="1415"/>
      <c r="L17" s="1418"/>
      <c r="M17" s="1412">
        <f>L17/100000</f>
        <v>0</v>
      </c>
      <c r="N17" s="1418"/>
      <c r="O17" s="1412">
        <f>N17*M17</f>
        <v>0</v>
      </c>
      <c r="P17" s="1343"/>
      <c r="Q17" s="1413">
        <f>'Ab1. RMNCH+A'!Q343</f>
        <v>0</v>
      </c>
      <c r="R17" s="1414">
        <f>'Ab1. RMNCH+A'!R343</f>
        <v>0</v>
      </c>
    </row>
    <row r="18" spans="1:18" ht="82.5">
      <c r="A18" s="1406" t="s">
        <v>1966</v>
      </c>
      <c r="B18" s="1407" t="s">
        <v>138</v>
      </c>
      <c r="C18" s="1407" t="s">
        <v>4076</v>
      </c>
      <c r="D18" s="1408" t="s">
        <v>90</v>
      </c>
      <c r="E18" s="1409" t="s">
        <v>96</v>
      </c>
      <c r="F18" s="1415"/>
      <c r="G18" s="1415"/>
      <c r="H18" s="1417"/>
      <c r="I18" s="1417"/>
      <c r="J18" s="1415"/>
      <c r="K18" s="1415"/>
      <c r="L18" s="1418"/>
      <c r="M18" s="1412">
        <f>L18/100000</f>
        <v>0</v>
      </c>
      <c r="N18" s="1418"/>
      <c r="O18" s="1412">
        <f>N18*M18</f>
        <v>0</v>
      </c>
      <c r="P18" s="1343"/>
      <c r="Q18" s="1413">
        <f>'Ab1. RMNCH+A'!Q344</f>
        <v>0</v>
      </c>
      <c r="R18" s="1414">
        <f>'Ab1. RMNCH+A'!R344</f>
        <v>0</v>
      </c>
    </row>
    <row r="19" spans="1:18" ht="49.5">
      <c r="A19" s="1406" t="s">
        <v>1967</v>
      </c>
      <c r="B19" s="1413" t="s">
        <v>405</v>
      </c>
      <c r="C19" s="1413" t="s">
        <v>406</v>
      </c>
      <c r="D19" s="1358" t="s">
        <v>90</v>
      </c>
      <c r="E19" s="1421" t="s">
        <v>96</v>
      </c>
      <c r="F19" s="1429">
        <v>1705</v>
      </c>
      <c r="G19" s="1430">
        <v>342</v>
      </c>
      <c r="H19" s="1431">
        <v>512.79999999999995</v>
      </c>
      <c r="I19" s="1431"/>
      <c r="J19" s="1429"/>
      <c r="K19" s="1429" t="s">
        <v>6242</v>
      </c>
      <c r="L19" s="1432">
        <v>37388.230000000003</v>
      </c>
      <c r="M19" s="1412">
        <f>L19/100000</f>
        <v>0.37388230000000006</v>
      </c>
      <c r="N19" s="1433">
        <v>1342</v>
      </c>
      <c r="O19" s="1412">
        <f>M19*N19</f>
        <v>501.75004660000008</v>
      </c>
      <c r="P19" s="1434" t="s">
        <v>6243</v>
      </c>
      <c r="Q19" s="1413">
        <f>'Ab1. RMNCH+A'!Q345</f>
        <v>0</v>
      </c>
      <c r="R19" s="1414">
        <f>'Ab1. RMNCH+A'!R345</f>
        <v>0</v>
      </c>
    </row>
    <row r="20" spans="1:18">
      <c r="A20" s="1406" t="s">
        <v>2394</v>
      </c>
      <c r="B20" s="1406"/>
      <c r="C20" s="1413" t="s">
        <v>1310</v>
      </c>
      <c r="D20" s="1358" t="s">
        <v>90</v>
      </c>
      <c r="E20" s="1421" t="s">
        <v>96</v>
      </c>
      <c r="F20" s="1415"/>
      <c r="G20" s="1415"/>
      <c r="H20" s="1417"/>
      <c r="I20" s="1417"/>
      <c r="J20" s="1415"/>
      <c r="K20" s="1415"/>
      <c r="L20" s="1418"/>
      <c r="M20" s="1412">
        <f>L20/100000</f>
        <v>0</v>
      </c>
      <c r="N20" s="1418"/>
      <c r="O20" s="1412">
        <f>N20*M20</f>
        <v>0</v>
      </c>
      <c r="P20" s="1343"/>
      <c r="Q20" s="1413">
        <f>'Ab1. RMNCH+A'!Q346</f>
        <v>0</v>
      </c>
      <c r="R20" s="1414">
        <f>'Ab1. RMNCH+A'!R346</f>
        <v>0</v>
      </c>
    </row>
    <row r="21" spans="1:18">
      <c r="A21" s="1397" t="s">
        <v>1968</v>
      </c>
      <c r="B21" s="1398"/>
      <c r="C21" s="1399" t="s">
        <v>1969</v>
      </c>
      <c r="D21" s="1400"/>
      <c r="E21" s="1401"/>
      <c r="F21" s="1422"/>
      <c r="G21" s="1422"/>
      <c r="H21" s="1422"/>
      <c r="I21" s="1422"/>
      <c r="J21" s="1422"/>
      <c r="K21" s="1423"/>
      <c r="L21" s="1424"/>
      <c r="M21" s="1425"/>
      <c r="N21" s="1426"/>
      <c r="O21" s="1425">
        <f>O22+O25+O28</f>
        <v>459.8</v>
      </c>
      <c r="P21" s="1427"/>
      <c r="Q21" s="1399"/>
      <c r="R21" s="1404">
        <f>R22+R25+R28</f>
        <v>0</v>
      </c>
    </row>
    <row r="22" spans="1:18">
      <c r="A22" s="1435" t="s">
        <v>1970</v>
      </c>
      <c r="B22" s="1435" t="s">
        <v>1971</v>
      </c>
      <c r="C22" s="1435" t="s">
        <v>1972</v>
      </c>
      <c r="D22" s="1436"/>
      <c r="E22" s="1437"/>
      <c r="F22" s="1438"/>
      <c r="G22" s="1438"/>
      <c r="H22" s="1438"/>
      <c r="I22" s="1438"/>
      <c r="J22" s="1438"/>
      <c r="K22" s="1438"/>
      <c r="L22" s="1439"/>
      <c r="M22" s="1440"/>
      <c r="N22" s="1439"/>
      <c r="O22" s="1440">
        <f>SUM(O23:O24)</f>
        <v>459.8</v>
      </c>
      <c r="P22" s="1441"/>
      <c r="Q22" s="1435"/>
      <c r="R22" s="1442">
        <f>SUM(R23:R24)</f>
        <v>0</v>
      </c>
    </row>
    <row r="23" spans="1:18" ht="84.75" customHeight="1">
      <c r="A23" s="1406" t="s">
        <v>2673</v>
      </c>
      <c r="B23" s="1419" t="s">
        <v>1973</v>
      </c>
      <c r="C23" s="1419" t="s">
        <v>1974</v>
      </c>
      <c r="D23" s="1408" t="s">
        <v>90</v>
      </c>
      <c r="E23" s="1443" t="s">
        <v>91</v>
      </c>
      <c r="F23" s="1444">
        <v>6692</v>
      </c>
      <c r="G23" s="1445">
        <v>2378</v>
      </c>
      <c r="H23" s="1446">
        <v>334.6</v>
      </c>
      <c r="I23" s="1446">
        <v>576.67999999999995</v>
      </c>
      <c r="J23" s="1444"/>
      <c r="K23" s="1444" t="s">
        <v>5962</v>
      </c>
      <c r="L23" s="1418">
        <v>5000</v>
      </c>
      <c r="M23" s="1447">
        <f>L23/100000</f>
        <v>0.05</v>
      </c>
      <c r="N23" s="1418">
        <v>8828</v>
      </c>
      <c r="O23" s="1447">
        <f>N23*M23</f>
        <v>441.40000000000003</v>
      </c>
      <c r="P23" s="1491" t="s">
        <v>6761</v>
      </c>
      <c r="Q23" s="1406">
        <f>'Ab1. RMNCH+A'!Q198</f>
        <v>0</v>
      </c>
      <c r="R23" s="1448">
        <f>'Ab1. RMNCH+A'!R198</f>
        <v>0</v>
      </c>
    </row>
    <row r="24" spans="1:18" ht="66">
      <c r="A24" s="1406" t="s">
        <v>2674</v>
      </c>
      <c r="B24" s="1419" t="s">
        <v>1975</v>
      </c>
      <c r="C24" s="1419" t="s">
        <v>1976</v>
      </c>
      <c r="D24" s="1408" t="s">
        <v>90</v>
      </c>
      <c r="E24" s="1443" t="s">
        <v>91</v>
      </c>
      <c r="F24" s="1444">
        <v>368</v>
      </c>
      <c r="G24" s="1445">
        <v>43</v>
      </c>
      <c r="H24" s="1446">
        <v>18.399999999999999</v>
      </c>
      <c r="I24" s="1446">
        <v>2.2599999999999998</v>
      </c>
      <c r="J24" s="1444"/>
      <c r="K24" s="1444" t="s">
        <v>5963</v>
      </c>
      <c r="L24" s="1418">
        <v>5000</v>
      </c>
      <c r="M24" s="1447">
        <f>L24/100000</f>
        <v>0.05</v>
      </c>
      <c r="N24" s="1418">
        <v>368</v>
      </c>
      <c r="O24" s="1447">
        <f>N24*M24</f>
        <v>18.400000000000002</v>
      </c>
      <c r="P24" s="1491" t="s">
        <v>6801</v>
      </c>
      <c r="Q24" s="1406">
        <f>'Ab1. RMNCH+A'!Q199</f>
        <v>0</v>
      </c>
      <c r="R24" s="1448">
        <f>'Ab1. RMNCH+A'!R199</f>
        <v>0</v>
      </c>
    </row>
    <row r="25" spans="1:18">
      <c r="A25" s="1435" t="s">
        <v>1977</v>
      </c>
      <c r="B25" s="1435" t="s">
        <v>1978</v>
      </c>
      <c r="C25" s="1435" t="s">
        <v>1979</v>
      </c>
      <c r="D25" s="1436"/>
      <c r="E25" s="1437"/>
      <c r="F25" s="1438"/>
      <c r="G25" s="1438"/>
      <c r="H25" s="1438"/>
      <c r="I25" s="1438"/>
      <c r="J25" s="1438"/>
      <c r="K25" s="1438"/>
      <c r="L25" s="1439"/>
      <c r="M25" s="1440"/>
      <c r="N25" s="1439"/>
      <c r="O25" s="1440">
        <f>SUM(O26:O27)</f>
        <v>0</v>
      </c>
      <c r="P25" s="1441"/>
      <c r="Q25" s="1435"/>
      <c r="R25" s="1442">
        <f>SUM(R26:R27)</f>
        <v>0</v>
      </c>
    </row>
    <row r="26" spans="1:18" s="3773" customFormat="1">
      <c r="A26" s="3764" t="s">
        <v>2675</v>
      </c>
      <c r="B26" s="3765" t="s">
        <v>1980</v>
      </c>
      <c r="C26" s="3765" t="s">
        <v>1981</v>
      </c>
      <c r="D26" s="3766" t="s">
        <v>90</v>
      </c>
      <c r="E26" s="3767" t="s">
        <v>91</v>
      </c>
      <c r="F26" s="3768">
        <v>2974</v>
      </c>
      <c r="G26" s="3768">
        <v>414</v>
      </c>
      <c r="H26" s="3768">
        <v>29.74</v>
      </c>
      <c r="I26" s="3768">
        <v>3.87</v>
      </c>
      <c r="J26" s="3768"/>
      <c r="K26" s="3768"/>
      <c r="L26" s="3757"/>
      <c r="M26" s="3758">
        <f>L26/100000</f>
        <v>0</v>
      </c>
      <c r="N26" s="3757"/>
      <c r="O26" s="3758">
        <f>N26*M26</f>
        <v>0</v>
      </c>
      <c r="P26" s="3825"/>
      <c r="Q26" s="3764">
        <f>'Ab1. RMNCH+A'!Q200</f>
        <v>0</v>
      </c>
      <c r="R26" s="3772">
        <f>'Ab1. RMNCH+A'!R200</f>
        <v>0</v>
      </c>
    </row>
    <row r="27" spans="1:18" ht="33">
      <c r="A27" s="1406" t="s">
        <v>2675</v>
      </c>
      <c r="B27" s="1407" t="s">
        <v>250</v>
      </c>
      <c r="C27" s="1407" t="s">
        <v>1982</v>
      </c>
      <c r="D27" s="1408" t="s">
        <v>90</v>
      </c>
      <c r="E27" s="1409" t="s">
        <v>91</v>
      </c>
      <c r="F27" s="1415">
        <v>0</v>
      </c>
      <c r="G27" s="1415">
        <v>0</v>
      </c>
      <c r="H27" s="1415">
        <v>0</v>
      </c>
      <c r="I27" s="1415">
        <v>0</v>
      </c>
      <c r="J27" s="1415"/>
      <c r="K27" s="1415"/>
      <c r="L27" s="1418"/>
      <c r="M27" s="1412">
        <f>L27/100000</f>
        <v>0</v>
      </c>
      <c r="N27" s="1418"/>
      <c r="O27" s="1412">
        <f>N27*M27</f>
        <v>0</v>
      </c>
      <c r="P27" s="1491"/>
      <c r="Q27" s="1413">
        <f>'Ab1. RMNCH+A'!Q201</f>
        <v>0</v>
      </c>
      <c r="R27" s="1414">
        <f>'Ab1. RMNCH+A'!R201</f>
        <v>0</v>
      </c>
    </row>
    <row r="28" spans="1:18">
      <c r="A28" s="1406" t="s">
        <v>2554</v>
      </c>
      <c r="B28" s="1450"/>
      <c r="C28" s="1451" t="s">
        <v>1310</v>
      </c>
      <c r="D28" s="1408" t="s">
        <v>90</v>
      </c>
      <c r="E28" s="1409" t="s">
        <v>91</v>
      </c>
      <c r="F28" s="1452"/>
      <c r="G28" s="1452"/>
      <c r="H28" s="1452"/>
      <c r="I28" s="1452"/>
      <c r="J28" s="1452"/>
      <c r="K28" s="1452"/>
      <c r="L28" s="1418"/>
      <c r="M28" s="1412">
        <f>L28/100000</f>
        <v>0</v>
      </c>
      <c r="N28" s="1418"/>
      <c r="O28" s="1412">
        <f>N28*M28</f>
        <v>0</v>
      </c>
      <c r="P28" s="1343"/>
      <c r="Q28" s="1413">
        <f>'Ab1. RMNCH+A'!Q202</f>
        <v>0</v>
      </c>
      <c r="R28" s="1414">
        <f>'Ab1. RMNCH+A'!R202</f>
        <v>0</v>
      </c>
    </row>
    <row r="29" spans="1:18">
      <c r="A29" s="1397" t="s">
        <v>1983</v>
      </c>
      <c r="B29" s="1398"/>
      <c r="C29" s="1399" t="s">
        <v>1984</v>
      </c>
      <c r="D29" s="1400"/>
      <c r="E29" s="1401"/>
      <c r="F29" s="1422"/>
      <c r="G29" s="1422"/>
      <c r="H29" s="1422"/>
      <c r="I29" s="1422"/>
      <c r="J29" s="1422"/>
      <c r="K29" s="1423"/>
      <c r="L29" s="1424"/>
      <c r="M29" s="1425"/>
      <c r="N29" s="1426"/>
      <c r="O29" s="1425">
        <f>SUM(O30:O31)</f>
        <v>4.2</v>
      </c>
      <c r="P29" s="1427"/>
      <c r="Q29" s="1399"/>
      <c r="R29" s="1404">
        <f>SUM(R30:R31)</f>
        <v>0</v>
      </c>
    </row>
    <row r="30" spans="1:18" s="3773" customFormat="1" ht="66">
      <c r="A30" s="3764" t="s">
        <v>1985</v>
      </c>
      <c r="B30" s="3765"/>
      <c r="C30" s="3892" t="s">
        <v>4140</v>
      </c>
      <c r="D30" s="3766" t="s">
        <v>90</v>
      </c>
      <c r="E30" s="3767" t="s">
        <v>193</v>
      </c>
      <c r="F30" s="3768"/>
      <c r="G30" s="3768"/>
      <c r="H30" s="3768"/>
      <c r="I30" s="3768"/>
      <c r="J30" s="3768"/>
      <c r="K30" s="3768" t="s">
        <v>5834</v>
      </c>
      <c r="L30" s="3757">
        <v>15000</v>
      </c>
      <c r="M30" s="3758">
        <f>L30/100000</f>
        <v>0.15</v>
      </c>
      <c r="N30" s="3757">
        <v>28</v>
      </c>
      <c r="O30" s="3758">
        <f>N30*M30</f>
        <v>4.2</v>
      </c>
      <c r="P30" s="3775" t="s">
        <v>6845</v>
      </c>
      <c r="Q30" s="3764">
        <f>'Ab1. RMNCH+A'!Q290</f>
        <v>0</v>
      </c>
      <c r="R30" s="3772">
        <f>'Ab1. RMNCH+A'!R290</f>
        <v>0</v>
      </c>
    </row>
    <row r="31" spans="1:18">
      <c r="A31" s="1406" t="s">
        <v>1988</v>
      </c>
      <c r="B31" s="1406"/>
      <c r="C31" s="1413" t="s">
        <v>1310</v>
      </c>
      <c r="D31" s="1358" t="s">
        <v>90</v>
      </c>
      <c r="E31" s="1357" t="s">
        <v>193</v>
      </c>
      <c r="F31" s="1415"/>
      <c r="G31" s="1415"/>
      <c r="H31" s="1415"/>
      <c r="I31" s="1415"/>
      <c r="J31" s="1415"/>
      <c r="K31" s="1415"/>
      <c r="L31" s="1418"/>
      <c r="M31" s="1412">
        <f>L31/100000</f>
        <v>0</v>
      </c>
      <c r="N31" s="1418"/>
      <c r="O31" s="1412">
        <f>N31*M31</f>
        <v>0</v>
      </c>
      <c r="P31" s="1343"/>
      <c r="Q31" s="1413">
        <f>'Ab1. RMNCH+A'!Q291</f>
        <v>0</v>
      </c>
      <c r="R31" s="1414">
        <f>'Ab1. RMNCH+A'!R291</f>
        <v>0</v>
      </c>
    </row>
    <row r="32" spans="1:18">
      <c r="A32" s="1397" t="s">
        <v>1989</v>
      </c>
      <c r="B32" s="1398"/>
      <c r="C32" s="1399" t="s">
        <v>1990</v>
      </c>
      <c r="D32" s="1400"/>
      <c r="E32" s="1401"/>
      <c r="F32" s="1422"/>
      <c r="G32" s="1422"/>
      <c r="H32" s="1422"/>
      <c r="I32" s="1422"/>
      <c r="J32" s="1422"/>
      <c r="K32" s="1423"/>
      <c r="L32" s="1424"/>
      <c r="M32" s="1425"/>
      <c r="N32" s="1426"/>
      <c r="O32" s="1425">
        <f>SUM(O33:O39)</f>
        <v>2663.7084799999998</v>
      </c>
      <c r="P32" s="1427"/>
      <c r="Q32" s="1399"/>
      <c r="R32" s="1404">
        <f>SUM(R33:R39)</f>
        <v>0</v>
      </c>
    </row>
    <row r="33" spans="1:18" ht="60.75" customHeight="1">
      <c r="A33" s="1406" t="s">
        <v>1991</v>
      </c>
      <c r="B33" s="1454" t="s">
        <v>1992</v>
      </c>
      <c r="C33" s="1454" t="s">
        <v>1993</v>
      </c>
      <c r="D33" s="1362" t="s">
        <v>4358</v>
      </c>
      <c r="E33" s="1409" t="s">
        <v>4971</v>
      </c>
      <c r="F33" s="1415"/>
      <c r="G33" s="1415"/>
      <c r="H33" s="1417"/>
      <c r="I33" s="1417"/>
      <c r="J33" s="1415"/>
      <c r="K33" s="1449" t="s">
        <v>6111</v>
      </c>
      <c r="L33" s="1418">
        <v>20658</v>
      </c>
      <c r="M33" s="1412">
        <f t="shared" ref="M33:M39" si="1">L33/100000</f>
        <v>0.20658000000000001</v>
      </c>
      <c r="N33" s="1418">
        <v>38</v>
      </c>
      <c r="O33" s="1412">
        <f t="shared" ref="O33:O39" si="2">N33*M33</f>
        <v>7.8500400000000008</v>
      </c>
      <c r="P33" s="1455" t="s">
        <v>6112</v>
      </c>
      <c r="Q33" s="1413">
        <f>'Abs9. NVBDCP'!Q7</f>
        <v>0</v>
      </c>
      <c r="R33" s="1414">
        <f>'Abs9. NVBDCP'!R7</f>
        <v>0</v>
      </c>
    </row>
    <row r="34" spans="1:18" ht="49.5">
      <c r="A34" s="1406" t="s">
        <v>1994</v>
      </c>
      <c r="B34" s="1454" t="s">
        <v>1995</v>
      </c>
      <c r="C34" s="1454" t="s">
        <v>1996</v>
      </c>
      <c r="D34" s="1362" t="s">
        <v>4358</v>
      </c>
      <c r="E34" s="1409" t="s">
        <v>4972</v>
      </c>
      <c r="F34" s="1415"/>
      <c r="G34" s="1415"/>
      <c r="H34" s="1415"/>
      <c r="I34" s="1415"/>
      <c r="J34" s="1415"/>
      <c r="K34" s="1415"/>
      <c r="L34" s="1418"/>
      <c r="M34" s="1412">
        <f t="shared" si="1"/>
        <v>0</v>
      </c>
      <c r="N34" s="1418"/>
      <c r="O34" s="1412">
        <f t="shared" si="2"/>
        <v>0</v>
      </c>
      <c r="P34" s="1343"/>
      <c r="Q34" s="1413">
        <f>'Abs9. NVBDCP'!Q8</f>
        <v>0</v>
      </c>
      <c r="R34" s="1414">
        <f>'Abs9. NVBDCP'!R8</f>
        <v>0</v>
      </c>
    </row>
    <row r="35" spans="1:18" ht="48" customHeight="1">
      <c r="A35" s="1406" t="s">
        <v>1997</v>
      </c>
      <c r="B35" s="1454" t="s">
        <v>1543</v>
      </c>
      <c r="C35" s="1454" t="s">
        <v>1998</v>
      </c>
      <c r="D35" s="1362" t="s">
        <v>4358</v>
      </c>
      <c r="E35" s="1409" t="s">
        <v>4973</v>
      </c>
      <c r="F35" s="1415"/>
      <c r="G35" s="1415"/>
      <c r="H35" s="1415"/>
      <c r="I35" s="1415"/>
      <c r="J35" s="1415"/>
      <c r="K35" s="1456" t="s">
        <v>1998</v>
      </c>
      <c r="L35" s="1418">
        <v>23750000</v>
      </c>
      <c r="M35" s="1412">
        <f t="shared" si="1"/>
        <v>237.5</v>
      </c>
      <c r="N35" s="1418">
        <v>1</v>
      </c>
      <c r="O35" s="1412">
        <f t="shared" si="2"/>
        <v>237.5</v>
      </c>
      <c r="P35" s="1456" t="s">
        <v>6294</v>
      </c>
      <c r="Q35" s="1413">
        <f>'Abs9. NVBDCP'!Q9</f>
        <v>0</v>
      </c>
      <c r="R35" s="1414">
        <f>'Abs9. NVBDCP'!R9</f>
        <v>0</v>
      </c>
    </row>
    <row r="36" spans="1:18" s="3773" customFormat="1" ht="33">
      <c r="A36" s="3764" t="s">
        <v>1999</v>
      </c>
      <c r="B36" s="3852" t="s">
        <v>5756</v>
      </c>
      <c r="C36" s="3852" t="s">
        <v>5757</v>
      </c>
      <c r="D36" s="3766" t="s">
        <v>4358</v>
      </c>
      <c r="E36" s="3767" t="s">
        <v>146</v>
      </c>
      <c r="F36" s="3768"/>
      <c r="G36" s="3768"/>
      <c r="H36" s="3768"/>
      <c r="I36" s="3768"/>
      <c r="J36" s="3768"/>
      <c r="K36" s="3768">
        <v>1</v>
      </c>
      <c r="L36" s="3757">
        <v>204412244</v>
      </c>
      <c r="M36" s="3758">
        <f t="shared" si="1"/>
        <v>2044.1224400000001</v>
      </c>
      <c r="N36" s="3757">
        <v>1</v>
      </c>
      <c r="O36" s="3758">
        <f t="shared" si="2"/>
        <v>2044.1224400000001</v>
      </c>
      <c r="P36" s="3775" t="s">
        <v>6916</v>
      </c>
      <c r="Q36" s="3764">
        <f>'Abs10. NLEP'!Q7</f>
        <v>0</v>
      </c>
      <c r="R36" s="3772">
        <f>'Abs10. NLEP'!R7</f>
        <v>0</v>
      </c>
    </row>
    <row r="37" spans="1:18">
      <c r="A37" s="1406" t="s">
        <v>2002</v>
      </c>
      <c r="B37" s="1454" t="s">
        <v>2003</v>
      </c>
      <c r="C37" s="1454" t="s">
        <v>2004</v>
      </c>
      <c r="D37" s="1362" t="s">
        <v>4358</v>
      </c>
      <c r="E37" s="1409" t="s">
        <v>146</v>
      </c>
      <c r="F37" s="1415"/>
      <c r="G37" s="1415"/>
      <c r="H37" s="1415"/>
      <c r="I37" s="1415"/>
      <c r="J37" s="1415"/>
      <c r="K37" s="1415">
        <v>1</v>
      </c>
      <c r="L37" s="1418">
        <v>5000</v>
      </c>
      <c r="M37" s="1412">
        <f t="shared" si="1"/>
        <v>0.05</v>
      </c>
      <c r="N37" s="1418">
        <v>200</v>
      </c>
      <c r="O37" s="1412">
        <f t="shared" si="2"/>
        <v>10</v>
      </c>
      <c r="P37" s="1343" t="s">
        <v>6275</v>
      </c>
      <c r="Q37" s="1413">
        <f>'Abs10. NLEP'!Q8</f>
        <v>0</v>
      </c>
      <c r="R37" s="1414">
        <f>'Abs10. NLEP'!R8</f>
        <v>0</v>
      </c>
    </row>
    <row r="38" spans="1:18" s="3773" customFormat="1" ht="33">
      <c r="A38" s="3764" t="s">
        <v>4359</v>
      </c>
      <c r="B38" s="3852"/>
      <c r="C38" s="3852" t="s">
        <v>4511</v>
      </c>
      <c r="D38" s="3766" t="s">
        <v>4358</v>
      </c>
      <c r="E38" s="3767" t="s">
        <v>4674</v>
      </c>
      <c r="F38" s="3768"/>
      <c r="G38" s="3768"/>
      <c r="H38" s="3768"/>
      <c r="I38" s="3768"/>
      <c r="J38" s="3768"/>
      <c r="K38" s="3768" t="s">
        <v>6829</v>
      </c>
      <c r="L38" s="3757">
        <v>1200</v>
      </c>
      <c r="M38" s="3853">
        <f t="shared" si="1"/>
        <v>1.2E-2</v>
      </c>
      <c r="N38" s="3757">
        <v>30353</v>
      </c>
      <c r="O38" s="3853">
        <f t="shared" si="2"/>
        <v>364.23599999999999</v>
      </c>
      <c r="P38" s="3775" t="s">
        <v>6830</v>
      </c>
      <c r="Q38" s="3764">
        <f>'Abs11. NTEP'!Q7</f>
        <v>0</v>
      </c>
      <c r="R38" s="3772">
        <f>'Abs11. NTEP'!R7</f>
        <v>0</v>
      </c>
    </row>
    <row r="39" spans="1:18">
      <c r="A39" s="1406" t="s">
        <v>4510</v>
      </c>
      <c r="B39" s="1406"/>
      <c r="C39" s="1413" t="s">
        <v>1310</v>
      </c>
      <c r="D39" s="1360" t="s">
        <v>70</v>
      </c>
      <c r="E39" s="1443" t="s">
        <v>70</v>
      </c>
      <c r="F39" s="1415"/>
      <c r="G39" s="1415"/>
      <c r="H39" s="1415"/>
      <c r="I39" s="1415"/>
      <c r="J39" s="1415"/>
      <c r="K39" s="1415"/>
      <c r="L39" s="1418"/>
      <c r="M39" s="1412">
        <f t="shared" si="1"/>
        <v>0</v>
      </c>
      <c r="N39" s="1418"/>
      <c r="O39" s="1412">
        <f t="shared" si="2"/>
        <v>0</v>
      </c>
      <c r="P39" s="1343"/>
      <c r="Q39" s="1460"/>
      <c r="R39" s="1461"/>
    </row>
    <row r="40" spans="1:18">
      <c r="A40" s="1397" t="s">
        <v>2005</v>
      </c>
      <c r="B40" s="1398"/>
      <c r="C40" s="1399" t="s">
        <v>2006</v>
      </c>
      <c r="D40" s="1400"/>
      <c r="E40" s="1401"/>
      <c r="F40" s="1422"/>
      <c r="G40" s="1422"/>
      <c r="H40" s="1422"/>
      <c r="I40" s="1422"/>
      <c r="J40" s="1422"/>
      <c r="K40" s="1423"/>
      <c r="L40" s="1424"/>
      <c r="M40" s="1425"/>
      <c r="N40" s="1426"/>
      <c r="O40" s="1403">
        <f>SUM(O41:O45)+O49</f>
        <v>3667.4724999999999</v>
      </c>
      <c r="P40" s="1427"/>
      <c r="Q40" s="1399"/>
      <c r="R40" s="1404">
        <f>SUM(R41:R45)+R49</f>
        <v>0</v>
      </c>
    </row>
    <row r="41" spans="1:18" ht="82.5">
      <c r="A41" s="1406" t="s">
        <v>2007</v>
      </c>
      <c r="B41" s="1454" t="s">
        <v>2009</v>
      </c>
      <c r="C41" s="1454" t="s">
        <v>2010</v>
      </c>
      <c r="D41" s="1363" t="s">
        <v>85</v>
      </c>
      <c r="E41" s="1409" t="s">
        <v>415</v>
      </c>
      <c r="F41" s="1415">
        <v>1</v>
      </c>
      <c r="G41" s="1415">
        <v>1</v>
      </c>
      <c r="H41" s="1415">
        <v>5</v>
      </c>
      <c r="I41" s="1415">
        <v>0</v>
      </c>
      <c r="J41" s="1415">
        <v>0</v>
      </c>
      <c r="K41" s="1415">
        <v>1</v>
      </c>
      <c r="L41" s="1418">
        <v>500000</v>
      </c>
      <c r="M41" s="1412">
        <f>L41/100000</f>
        <v>5</v>
      </c>
      <c r="N41" s="1418">
        <v>1</v>
      </c>
      <c r="O41" s="1412">
        <f>N41*M41</f>
        <v>5</v>
      </c>
      <c r="P41" s="1462" t="s">
        <v>6353</v>
      </c>
      <c r="Q41" s="1413">
        <f>'Abs19. NPCDCS'!Q7</f>
        <v>0</v>
      </c>
      <c r="R41" s="1414">
        <f>'Abs19. NPCDCS'!R7</f>
        <v>0</v>
      </c>
    </row>
    <row r="42" spans="1:18" ht="66">
      <c r="A42" s="1406" t="s">
        <v>2008</v>
      </c>
      <c r="B42" s="1454" t="s">
        <v>2012</v>
      </c>
      <c r="C42" s="1454" t="s">
        <v>2013</v>
      </c>
      <c r="D42" s="1363" t="s">
        <v>85</v>
      </c>
      <c r="E42" s="1409" t="s">
        <v>415</v>
      </c>
      <c r="F42" s="1415">
        <v>8</v>
      </c>
      <c r="G42" s="1415">
        <v>8</v>
      </c>
      <c r="H42" s="1415">
        <v>2</v>
      </c>
      <c r="I42" s="1415">
        <v>0</v>
      </c>
      <c r="J42" s="1415">
        <v>0</v>
      </c>
      <c r="K42" s="1415" t="s">
        <v>6308</v>
      </c>
      <c r="L42" s="1418">
        <v>25000</v>
      </c>
      <c r="M42" s="1412">
        <f>L42/100000</f>
        <v>0.25</v>
      </c>
      <c r="N42" s="1418">
        <v>18</v>
      </c>
      <c r="O42" s="1412">
        <f>N42*M42</f>
        <v>4.5</v>
      </c>
      <c r="P42" s="1462" t="s">
        <v>6309</v>
      </c>
      <c r="Q42" s="1413">
        <f>'Abs19. NPCDCS'!Q8</f>
        <v>0</v>
      </c>
      <c r="R42" s="1414">
        <f>'Abs19. NPCDCS'!R8</f>
        <v>0</v>
      </c>
    </row>
    <row r="43" spans="1:18" ht="49.5">
      <c r="A43" s="1406" t="s">
        <v>2011</v>
      </c>
      <c r="B43" s="1407" t="s">
        <v>2015</v>
      </c>
      <c r="C43" s="1407" t="s">
        <v>2016</v>
      </c>
      <c r="D43" s="1365" t="s">
        <v>85</v>
      </c>
      <c r="E43" s="1409" t="s">
        <v>1034</v>
      </c>
      <c r="F43" s="1415"/>
      <c r="G43" s="1415"/>
      <c r="H43" s="1420"/>
      <c r="I43" s="1420"/>
      <c r="J43" s="1415"/>
      <c r="K43" s="1415"/>
      <c r="L43" s="1418"/>
      <c r="M43" s="1412">
        <f>L43/100000</f>
        <v>0</v>
      </c>
      <c r="N43" s="1418"/>
      <c r="O43" s="1412">
        <f>N43*M43</f>
        <v>0</v>
      </c>
      <c r="P43" s="1343"/>
      <c r="Q43" s="1413">
        <f>'Abs23. NPPCF'!Q7</f>
        <v>0</v>
      </c>
      <c r="R43" s="1414">
        <f>'Abs23. NPPCF'!R7</f>
        <v>0</v>
      </c>
    </row>
    <row r="44" spans="1:18" ht="49.5">
      <c r="A44" s="1406" t="s">
        <v>2014</v>
      </c>
      <c r="B44" s="1407" t="s">
        <v>2018</v>
      </c>
      <c r="C44" s="1407" t="s">
        <v>2019</v>
      </c>
      <c r="D44" s="1365" t="s">
        <v>85</v>
      </c>
      <c r="E44" s="1409" t="s">
        <v>1034</v>
      </c>
      <c r="F44" s="1415"/>
      <c r="G44" s="1415"/>
      <c r="H44" s="1420"/>
      <c r="I44" s="1415"/>
      <c r="J44" s="1415"/>
      <c r="K44" s="1415" t="s">
        <v>6412</v>
      </c>
      <c r="L44" s="1418">
        <v>250000</v>
      </c>
      <c r="M44" s="1412">
        <f>L44/100000</f>
        <v>2.5</v>
      </c>
      <c r="N44" s="1418">
        <v>11</v>
      </c>
      <c r="O44" s="1412">
        <f>N44*M44</f>
        <v>27.5</v>
      </c>
      <c r="P44" s="1343" t="s">
        <v>6438</v>
      </c>
      <c r="Q44" s="1413">
        <f>'Abs23. NPPCF'!Q8</f>
        <v>0</v>
      </c>
      <c r="R44" s="1414">
        <f>'Abs23. NPPCF'!R8</f>
        <v>0</v>
      </c>
    </row>
    <row r="45" spans="1:18">
      <c r="A45" s="1463" t="s">
        <v>2017</v>
      </c>
      <c r="B45" s="1464" t="s">
        <v>1338</v>
      </c>
      <c r="C45" s="1464" t="s">
        <v>1339</v>
      </c>
      <c r="D45" s="1465"/>
      <c r="E45" s="1465"/>
      <c r="F45" s="1466"/>
      <c r="G45" s="1466"/>
      <c r="H45" s="1467"/>
      <c r="I45" s="1467"/>
      <c r="J45" s="1466"/>
      <c r="K45" s="1466"/>
      <c r="L45" s="1468"/>
      <c r="M45" s="1440"/>
      <c r="N45" s="1469"/>
      <c r="O45" s="1440">
        <f>O46+O47+O48</f>
        <v>3630.4724999999999</v>
      </c>
      <c r="P45" s="1470"/>
      <c r="Q45" s="1471"/>
      <c r="R45" s="1472">
        <f>R46+R47+R48</f>
        <v>0</v>
      </c>
    </row>
    <row r="46" spans="1:18" s="4209" customFormat="1" ht="132.75" customHeight="1">
      <c r="A46" s="4202" t="s">
        <v>3828</v>
      </c>
      <c r="B46" s="4210"/>
      <c r="C46" s="4210" t="s">
        <v>3826</v>
      </c>
      <c r="D46" s="4211" t="s">
        <v>85</v>
      </c>
      <c r="E46" s="4203" t="s">
        <v>4915</v>
      </c>
      <c r="F46" s="4204"/>
      <c r="G46" s="4204"/>
      <c r="H46" s="4212"/>
      <c r="I46" s="4212"/>
      <c r="J46" s="4204"/>
      <c r="K46" s="4204" t="s">
        <v>6609</v>
      </c>
      <c r="L46" s="4205">
        <v>363047250</v>
      </c>
      <c r="M46" s="4206">
        <f>L46/100000</f>
        <v>3630.4724999999999</v>
      </c>
      <c r="N46" s="4205">
        <v>1</v>
      </c>
      <c r="O46" s="4206">
        <f>N46*M46</f>
        <v>3630.4724999999999</v>
      </c>
      <c r="P46" s="4207" t="s">
        <v>6962</v>
      </c>
      <c r="Q46" s="4202">
        <f>'Abs20. PMNDP'!Q7</f>
        <v>0</v>
      </c>
      <c r="R46" s="4208">
        <f>'Abs20. PMNDP'!R7</f>
        <v>0</v>
      </c>
    </row>
    <row r="47" spans="1:18">
      <c r="A47" s="1406" t="s">
        <v>3829</v>
      </c>
      <c r="B47" s="1457"/>
      <c r="C47" s="1454" t="s">
        <v>3827</v>
      </c>
      <c r="D47" s="1363" t="s">
        <v>85</v>
      </c>
      <c r="E47" s="1409" t="s">
        <v>4915</v>
      </c>
      <c r="F47" s="1415"/>
      <c r="G47" s="1415"/>
      <c r="H47" s="1417"/>
      <c r="I47" s="1417"/>
      <c r="J47" s="1415"/>
      <c r="K47" s="1415"/>
      <c r="L47" s="1418"/>
      <c r="M47" s="1412">
        <f>L47/100000</f>
        <v>0</v>
      </c>
      <c r="N47" s="1418"/>
      <c r="O47" s="1412">
        <f>N47*M47</f>
        <v>0</v>
      </c>
      <c r="P47" s="1343"/>
      <c r="Q47" s="1413">
        <f>'Abs20. PMNDP'!Q8</f>
        <v>0</v>
      </c>
      <c r="R47" s="1414">
        <f>'Abs20. PMNDP'!R8</f>
        <v>0</v>
      </c>
    </row>
    <row r="48" spans="1:18" s="1459" customFormat="1" ht="33">
      <c r="A48" s="1406" t="s">
        <v>4532</v>
      </c>
      <c r="B48" s="1406"/>
      <c r="C48" s="1419" t="s">
        <v>4533</v>
      </c>
      <c r="D48" s="1363" t="s">
        <v>85</v>
      </c>
      <c r="E48" s="1409" t="s">
        <v>4915</v>
      </c>
      <c r="F48" s="1444"/>
      <c r="G48" s="1444"/>
      <c r="H48" s="1446"/>
      <c r="I48" s="1446"/>
      <c r="J48" s="1444"/>
      <c r="K48" s="1444"/>
      <c r="L48" s="1418"/>
      <c r="M48" s="1447">
        <f>L48/100000</f>
        <v>0</v>
      </c>
      <c r="N48" s="1418"/>
      <c r="O48" s="1447">
        <f>N48*M48</f>
        <v>0</v>
      </c>
      <c r="P48" s="1343"/>
      <c r="Q48" s="1406">
        <f>'Abs20. PMNDP'!Q9</f>
        <v>0</v>
      </c>
      <c r="R48" s="1448">
        <f>'Abs20. PMNDP'!R9</f>
        <v>0</v>
      </c>
    </row>
    <row r="49" spans="1:18">
      <c r="A49" s="1406" t="s">
        <v>2020</v>
      </c>
      <c r="B49" s="1406"/>
      <c r="C49" s="1413" t="s">
        <v>1310</v>
      </c>
      <c r="D49" s="1360" t="s">
        <v>70</v>
      </c>
      <c r="E49" s="1443" t="s">
        <v>70</v>
      </c>
      <c r="F49" s="1415"/>
      <c r="G49" s="1415"/>
      <c r="H49" s="1415"/>
      <c r="I49" s="1415"/>
      <c r="J49" s="1415"/>
      <c r="K49" s="1415"/>
      <c r="L49" s="1418"/>
      <c r="M49" s="1412">
        <f>L49/100000</f>
        <v>0</v>
      </c>
      <c r="N49" s="1418"/>
      <c r="O49" s="1412">
        <f>N49*M49</f>
        <v>0</v>
      </c>
      <c r="P49" s="1343"/>
      <c r="Q49" s="1460"/>
      <c r="R49" s="1461"/>
    </row>
    <row r="50" spans="1:18">
      <c r="A50" s="1397" t="s">
        <v>2022</v>
      </c>
      <c r="B50" s="1398"/>
      <c r="C50" s="1399" t="s">
        <v>2023</v>
      </c>
      <c r="D50" s="1400"/>
      <c r="E50" s="1401"/>
      <c r="F50" s="1422"/>
      <c r="G50" s="1422"/>
      <c r="H50" s="1422"/>
      <c r="I50" s="1422"/>
      <c r="J50" s="1422"/>
      <c r="K50" s="1423"/>
      <c r="L50" s="1424"/>
      <c r="M50" s="1425"/>
      <c r="N50" s="1426"/>
      <c r="O50" s="1425">
        <f>SUM(O51:O58)</f>
        <v>0</v>
      </c>
      <c r="P50" s="1427"/>
      <c r="Q50" s="1399"/>
      <c r="R50" s="1404">
        <f>SUM(R51:R58)</f>
        <v>0</v>
      </c>
    </row>
    <row r="51" spans="1:18">
      <c r="A51" s="1406" t="s">
        <v>2024</v>
      </c>
      <c r="B51" s="1407" t="s">
        <v>2025</v>
      </c>
      <c r="C51" s="1407" t="s">
        <v>2026</v>
      </c>
      <c r="D51" s="1408" t="s">
        <v>90</v>
      </c>
      <c r="E51" s="1473" t="s">
        <v>90</v>
      </c>
      <c r="F51" s="1415"/>
      <c r="G51" s="1415"/>
      <c r="H51" s="1415"/>
      <c r="I51" s="1415"/>
      <c r="J51" s="1415"/>
      <c r="K51" s="1415"/>
      <c r="L51" s="1418"/>
      <c r="M51" s="1412">
        <f t="shared" ref="M51:M56" si="3">L51/100000</f>
        <v>0</v>
      </c>
      <c r="N51" s="1418"/>
      <c r="O51" s="1412">
        <f t="shared" ref="O51:O56" si="4">N51*M51</f>
        <v>0</v>
      </c>
      <c r="P51" s="1343"/>
      <c r="Q51" s="1413">
        <f>'Ab1. RMNCH+A'!Q434</f>
        <v>0</v>
      </c>
      <c r="R51" s="1414">
        <f>'Ab1. RMNCH+A'!R434</f>
        <v>0</v>
      </c>
    </row>
    <row r="52" spans="1:18">
      <c r="A52" s="1406" t="s">
        <v>2027</v>
      </c>
      <c r="B52" s="1407" t="s">
        <v>2028</v>
      </c>
      <c r="C52" s="1407" t="s">
        <v>2029</v>
      </c>
      <c r="D52" s="1408" t="s">
        <v>90</v>
      </c>
      <c r="E52" s="1473" t="s">
        <v>90</v>
      </c>
      <c r="F52" s="1415"/>
      <c r="G52" s="1415"/>
      <c r="H52" s="1415"/>
      <c r="I52" s="1415"/>
      <c r="J52" s="1415"/>
      <c r="K52" s="1415"/>
      <c r="L52" s="1418"/>
      <c r="M52" s="1412">
        <f t="shared" si="3"/>
        <v>0</v>
      </c>
      <c r="N52" s="1418"/>
      <c r="O52" s="1412">
        <f t="shared" si="4"/>
        <v>0</v>
      </c>
      <c r="P52" s="1343"/>
      <c r="Q52" s="1413">
        <f>'Ab1. RMNCH+A'!Q435</f>
        <v>0</v>
      </c>
      <c r="R52" s="1414">
        <f>'Ab1. RMNCH+A'!R435</f>
        <v>0</v>
      </c>
    </row>
    <row r="53" spans="1:18" ht="33">
      <c r="A53" s="1406" t="s">
        <v>2030</v>
      </c>
      <c r="B53" s="1407" t="s">
        <v>2031</v>
      </c>
      <c r="C53" s="1454" t="s">
        <v>2032</v>
      </c>
      <c r="D53" s="1360" t="s">
        <v>70</v>
      </c>
      <c r="E53" s="1409" t="s">
        <v>4711</v>
      </c>
      <c r="F53" s="1415"/>
      <c r="G53" s="1415"/>
      <c r="H53" s="1417"/>
      <c r="I53" s="1417"/>
      <c r="J53" s="1415"/>
      <c r="K53" s="1415"/>
      <c r="L53" s="1418"/>
      <c r="M53" s="1412">
        <f t="shared" si="3"/>
        <v>0</v>
      </c>
      <c r="N53" s="1418"/>
      <c r="O53" s="1412">
        <f t="shared" si="4"/>
        <v>0</v>
      </c>
      <c r="P53" s="1343"/>
      <c r="Q53" s="1413">
        <f>'Abs5. Blood services &amp; Disorder'!Q7</f>
        <v>0</v>
      </c>
      <c r="R53" s="1414">
        <f>'Abs5. Blood services &amp; Disorder'!R7</f>
        <v>0</v>
      </c>
    </row>
    <row r="54" spans="1:18">
      <c r="A54" s="1406" t="s">
        <v>2033</v>
      </c>
      <c r="B54" s="1407" t="s">
        <v>2034</v>
      </c>
      <c r="C54" s="1419" t="s">
        <v>2035</v>
      </c>
      <c r="D54" s="1360" t="s">
        <v>70</v>
      </c>
      <c r="E54" s="1409" t="s">
        <v>70</v>
      </c>
      <c r="F54" s="1415"/>
      <c r="G54" s="1415"/>
      <c r="H54" s="1415"/>
      <c r="I54" s="1415"/>
      <c r="J54" s="1415"/>
      <c r="K54" s="1415"/>
      <c r="L54" s="1418"/>
      <c r="M54" s="1412">
        <f t="shared" si="3"/>
        <v>0</v>
      </c>
      <c r="N54" s="1418"/>
      <c r="O54" s="1412">
        <f t="shared" si="4"/>
        <v>0</v>
      </c>
      <c r="P54" s="1343"/>
      <c r="Q54" s="1460"/>
      <c r="R54" s="1461"/>
    </row>
    <row r="55" spans="1:18">
      <c r="A55" s="1406" t="s">
        <v>2036</v>
      </c>
      <c r="B55" s="1419"/>
      <c r="C55" s="1407" t="s">
        <v>5008</v>
      </c>
      <c r="D55" s="1360" t="s">
        <v>70</v>
      </c>
      <c r="E55" s="1409" t="s">
        <v>4357</v>
      </c>
      <c r="F55" s="1415"/>
      <c r="G55" s="1415"/>
      <c r="H55" s="1417"/>
      <c r="I55" s="1417"/>
      <c r="J55" s="1452"/>
      <c r="K55" s="1415"/>
      <c r="L55" s="1418"/>
      <c r="M55" s="1412">
        <f>L55/100000</f>
        <v>0</v>
      </c>
      <c r="N55" s="1418"/>
      <c r="O55" s="1412">
        <f>N55*M55</f>
        <v>0</v>
      </c>
      <c r="P55" s="1343"/>
      <c r="Q55" s="1406">
        <f>'Abs6. CPHC'!Q7</f>
        <v>0</v>
      </c>
      <c r="R55" s="1448">
        <f>'Abs6. CPHC'!R7</f>
        <v>0</v>
      </c>
    </row>
    <row r="56" spans="1:18" ht="33">
      <c r="A56" s="1457" t="s">
        <v>3310</v>
      </c>
      <c r="B56" s="1419"/>
      <c r="C56" s="1474" t="s">
        <v>3311</v>
      </c>
      <c r="D56" s="1408" t="s">
        <v>90</v>
      </c>
      <c r="E56" s="1443" t="s">
        <v>90</v>
      </c>
      <c r="F56" s="1415"/>
      <c r="G56" s="1415"/>
      <c r="H56" s="1415"/>
      <c r="I56" s="1415"/>
      <c r="J56" s="1415"/>
      <c r="K56" s="1415"/>
      <c r="L56" s="1418"/>
      <c r="M56" s="1412">
        <f t="shared" si="3"/>
        <v>0</v>
      </c>
      <c r="N56" s="1418"/>
      <c r="O56" s="1412">
        <f t="shared" si="4"/>
        <v>0</v>
      </c>
      <c r="P56" s="1343"/>
      <c r="Q56" s="1413">
        <f>'Ab1. RMNCH+A'!Q436</f>
        <v>0</v>
      </c>
      <c r="R56" s="1414">
        <f>'Ab1. RMNCH+A'!R436</f>
        <v>0</v>
      </c>
    </row>
    <row r="57" spans="1:18" ht="49.5">
      <c r="A57" s="1457" t="s">
        <v>2410</v>
      </c>
      <c r="B57" s="1419"/>
      <c r="C57" s="1474" t="s">
        <v>3823</v>
      </c>
      <c r="D57" s="1360" t="s">
        <v>70</v>
      </c>
      <c r="E57" s="1409" t="s">
        <v>4711</v>
      </c>
      <c r="F57" s="1415"/>
      <c r="G57" s="1415"/>
      <c r="H57" s="1415"/>
      <c r="I57" s="1415"/>
      <c r="J57" s="1415"/>
      <c r="K57" s="1415"/>
      <c r="L57" s="1418"/>
      <c r="M57" s="1412">
        <f>L57/100000</f>
        <v>0</v>
      </c>
      <c r="N57" s="1418"/>
      <c r="O57" s="1412">
        <f>N57*M57</f>
        <v>0</v>
      </c>
      <c r="P57" s="1343"/>
      <c r="Q57" s="1413">
        <f>'Abs5. Blood services &amp; Disorder'!Q8</f>
        <v>0</v>
      </c>
      <c r="R57" s="1414">
        <f>'Abs5. Blood services &amp; Disorder'!R8</f>
        <v>0</v>
      </c>
    </row>
    <row r="58" spans="1:18">
      <c r="A58" s="1457" t="s">
        <v>3822</v>
      </c>
      <c r="B58" s="1406"/>
      <c r="C58" s="1413" t="s">
        <v>1310</v>
      </c>
      <c r="D58" s="1475" t="s">
        <v>70</v>
      </c>
      <c r="E58" s="1443" t="s">
        <v>70</v>
      </c>
      <c r="F58" s="1415"/>
      <c r="G58" s="1415"/>
      <c r="H58" s="1415"/>
      <c r="I58" s="1415"/>
      <c r="J58" s="1415"/>
      <c r="K58" s="1415"/>
      <c r="L58" s="1418"/>
      <c r="M58" s="1412">
        <f>L58/100000</f>
        <v>0</v>
      </c>
      <c r="N58" s="1418"/>
      <c r="O58" s="1412">
        <f>N58*M58</f>
        <v>0</v>
      </c>
      <c r="P58" s="1343"/>
      <c r="Q58" s="1460"/>
      <c r="R58" s="1461"/>
    </row>
    <row r="59" spans="1:18">
      <c r="A59" s="1385">
        <v>1.2</v>
      </c>
      <c r="B59" s="1386"/>
      <c r="C59" s="1387" t="s">
        <v>2676</v>
      </c>
      <c r="D59" s="1388"/>
      <c r="E59" s="1389"/>
      <c r="F59" s="1476"/>
      <c r="G59" s="1476"/>
      <c r="H59" s="1476"/>
      <c r="I59" s="1476"/>
      <c r="J59" s="1476"/>
      <c r="K59" s="1477"/>
      <c r="L59" s="1478"/>
      <c r="M59" s="1392"/>
      <c r="N59" s="1479"/>
      <c r="O59" s="1394">
        <f>O60+O66+O77</f>
        <v>43615.954024999999</v>
      </c>
      <c r="P59" s="1480"/>
      <c r="Q59" s="1395"/>
      <c r="R59" s="1396">
        <f>R60+R66+R77</f>
        <v>0</v>
      </c>
    </row>
    <row r="60" spans="1:18" ht="33">
      <c r="A60" s="1397" t="s">
        <v>49</v>
      </c>
      <c r="B60" s="1398"/>
      <c r="C60" s="1399" t="s">
        <v>2038</v>
      </c>
      <c r="D60" s="1400"/>
      <c r="E60" s="1401"/>
      <c r="F60" s="1422"/>
      <c r="G60" s="1422"/>
      <c r="H60" s="1422"/>
      <c r="I60" s="1422"/>
      <c r="J60" s="1422"/>
      <c r="K60" s="1423"/>
      <c r="L60" s="1424"/>
      <c r="M60" s="1425"/>
      <c r="N60" s="1426"/>
      <c r="O60" s="1425">
        <f>O61+O62</f>
        <v>27288.620000000003</v>
      </c>
      <c r="P60" s="1427"/>
      <c r="Q60" s="1399"/>
      <c r="R60" s="1404">
        <f>R61+R62</f>
        <v>0</v>
      </c>
    </row>
    <row r="61" spans="1:18" ht="33">
      <c r="A61" s="1406" t="s">
        <v>2039</v>
      </c>
      <c r="B61" s="1407" t="s">
        <v>2040</v>
      </c>
      <c r="C61" s="1407" t="s">
        <v>2041</v>
      </c>
      <c r="D61" s="1408" t="s">
        <v>90</v>
      </c>
      <c r="E61" s="1409" t="s">
        <v>118</v>
      </c>
      <c r="F61" s="1415"/>
      <c r="G61" s="1415"/>
      <c r="H61" s="1416">
        <f>2000000/100000</f>
        <v>20</v>
      </c>
      <c r="I61" s="1416">
        <f>1501200/100000</f>
        <v>15.012</v>
      </c>
      <c r="J61" s="1411"/>
      <c r="K61" s="1444" t="s">
        <v>6221</v>
      </c>
      <c r="L61" s="2820">
        <v>500</v>
      </c>
      <c r="M61" s="1447">
        <f>L61/100000</f>
        <v>5.0000000000000001E-3</v>
      </c>
      <c r="N61" s="2820">
        <v>4000</v>
      </c>
      <c r="O61" s="1447">
        <f>N61*M61</f>
        <v>20</v>
      </c>
      <c r="P61" s="3196" t="s">
        <v>6348</v>
      </c>
      <c r="Q61" s="1413">
        <f>'Ab1. RMNCH+A'!Q15</f>
        <v>0</v>
      </c>
      <c r="R61" s="1414">
        <f>'Ab1. RMNCH+A'!R15</f>
        <v>0</v>
      </c>
    </row>
    <row r="62" spans="1:18" s="1459" customFormat="1">
      <c r="A62" s="1435" t="s">
        <v>2042</v>
      </c>
      <c r="B62" s="1435" t="s">
        <v>2043</v>
      </c>
      <c r="C62" s="1435" t="s">
        <v>2044</v>
      </c>
      <c r="D62" s="1437"/>
      <c r="E62" s="1437"/>
      <c r="F62" s="1438"/>
      <c r="G62" s="1438"/>
      <c r="H62" s="1438"/>
      <c r="I62" s="1438"/>
      <c r="J62" s="1438"/>
      <c r="K62" s="1438"/>
      <c r="L62" s="1439"/>
      <c r="M62" s="1440"/>
      <c r="N62" s="1439"/>
      <c r="O62" s="1440">
        <f>SUM(O63:O65)</f>
        <v>27268.620000000003</v>
      </c>
      <c r="P62" s="1441"/>
      <c r="Q62" s="1435"/>
      <c r="R62" s="1442">
        <f>SUM(R63:R65)</f>
        <v>0</v>
      </c>
    </row>
    <row r="63" spans="1:18" ht="82.5">
      <c r="A63" s="1406" t="s">
        <v>4150</v>
      </c>
      <c r="B63" s="1407" t="s">
        <v>2045</v>
      </c>
      <c r="C63" s="1407" t="s">
        <v>2046</v>
      </c>
      <c r="D63" s="1408" t="s">
        <v>90</v>
      </c>
      <c r="E63" s="1409" t="s">
        <v>118</v>
      </c>
      <c r="F63" s="1415"/>
      <c r="G63" s="1415"/>
      <c r="H63" s="1416">
        <f>2632476000/100000</f>
        <v>26324.76</v>
      </c>
      <c r="I63" s="1416">
        <f>816470745/100000</f>
        <v>8164.7074499999999</v>
      </c>
      <c r="J63" s="1411"/>
      <c r="K63" s="1444" t="s">
        <v>6221</v>
      </c>
      <c r="L63" s="2820">
        <v>1400</v>
      </c>
      <c r="M63" s="1447">
        <f>L63/100000</f>
        <v>1.4E-2</v>
      </c>
      <c r="N63" s="2820">
        <v>1880340</v>
      </c>
      <c r="O63" s="1447">
        <f>N63*M63</f>
        <v>26324.760000000002</v>
      </c>
      <c r="P63" s="3479" t="s">
        <v>6349</v>
      </c>
      <c r="Q63" s="1413">
        <f>'Ab1. RMNCH+A'!Q17</f>
        <v>0</v>
      </c>
      <c r="R63" s="1414">
        <f>'Ab1. RMNCH+A'!R17</f>
        <v>0</v>
      </c>
    </row>
    <row r="64" spans="1:18" ht="74.25" customHeight="1">
      <c r="A64" s="1406" t="s">
        <v>4151</v>
      </c>
      <c r="B64" s="1407" t="s">
        <v>2047</v>
      </c>
      <c r="C64" s="1407" t="s">
        <v>2048</v>
      </c>
      <c r="D64" s="1408" t="s">
        <v>90</v>
      </c>
      <c r="E64" s="1409" t="s">
        <v>118</v>
      </c>
      <c r="F64" s="1415"/>
      <c r="G64" s="1415"/>
      <c r="H64" s="1416">
        <f>84386000/100000</f>
        <v>843.86</v>
      </c>
      <c r="I64" s="1416">
        <f>23144000/100000</f>
        <v>231.44</v>
      </c>
      <c r="J64" s="1411"/>
      <c r="K64" s="1444" t="s">
        <v>6221</v>
      </c>
      <c r="L64" s="2820">
        <v>1000</v>
      </c>
      <c r="M64" s="1447">
        <f>L64/100000</f>
        <v>0.01</v>
      </c>
      <c r="N64" s="2820">
        <v>84386</v>
      </c>
      <c r="O64" s="1447">
        <f>N64*M64</f>
        <v>843.86</v>
      </c>
      <c r="P64" s="3479" t="s">
        <v>6350</v>
      </c>
      <c r="Q64" s="1413">
        <f>'Ab1. RMNCH+A'!Q18</f>
        <v>0</v>
      </c>
      <c r="R64" s="1414">
        <f>'Ab1. RMNCH+A'!R18</f>
        <v>0</v>
      </c>
    </row>
    <row r="65" spans="1:19" ht="66">
      <c r="A65" s="1406" t="s">
        <v>4152</v>
      </c>
      <c r="B65" s="1407" t="s">
        <v>2049</v>
      </c>
      <c r="C65" s="1407" t="s">
        <v>2050</v>
      </c>
      <c r="D65" s="1408" t="s">
        <v>90</v>
      </c>
      <c r="E65" s="1409" t="s">
        <v>118</v>
      </c>
      <c r="F65" s="1415"/>
      <c r="G65" s="1415"/>
      <c r="H65" s="1416">
        <f>10000000/100000</f>
        <v>100</v>
      </c>
      <c r="I65" s="1416">
        <f>456450/100000</f>
        <v>4.5644999999999998</v>
      </c>
      <c r="J65" s="1411"/>
      <c r="K65" s="1444" t="s">
        <v>6222</v>
      </c>
      <c r="L65" s="2820">
        <v>10000</v>
      </c>
      <c r="M65" s="1447">
        <f>L65/100000</f>
        <v>0.1</v>
      </c>
      <c r="N65" s="2820">
        <v>1000</v>
      </c>
      <c r="O65" s="1447">
        <f>N65*M65</f>
        <v>100</v>
      </c>
      <c r="P65" s="3479" t="s">
        <v>6351</v>
      </c>
      <c r="Q65" s="1413">
        <f>'Ab1. RMNCH+A'!Q19</f>
        <v>0</v>
      </c>
      <c r="R65" s="1414">
        <f>'Ab1. RMNCH+A'!R19</f>
        <v>0</v>
      </c>
    </row>
    <row r="66" spans="1:19">
      <c r="A66" s="1397" t="s">
        <v>50</v>
      </c>
      <c r="B66" s="1398"/>
      <c r="C66" s="1399" t="s">
        <v>2051</v>
      </c>
      <c r="D66" s="1400"/>
      <c r="E66" s="1401"/>
      <c r="F66" s="1422"/>
      <c r="G66" s="1422"/>
      <c r="H66" s="1422"/>
      <c r="I66" s="1422"/>
      <c r="J66" s="1422"/>
      <c r="K66" s="1423"/>
      <c r="L66" s="1424"/>
      <c r="M66" s="1425"/>
      <c r="N66" s="1426"/>
      <c r="O66" s="1425">
        <f>O67+O70+O75+O76</f>
        <v>12217.850025000002</v>
      </c>
      <c r="P66" s="1427"/>
      <c r="Q66" s="1399"/>
      <c r="R66" s="1404">
        <f>R67+R70+R75+R76</f>
        <v>0</v>
      </c>
    </row>
    <row r="67" spans="1:19" s="1459" customFormat="1">
      <c r="A67" s="1481" t="s">
        <v>2052</v>
      </c>
      <c r="B67" s="1481" t="s">
        <v>1971</v>
      </c>
      <c r="C67" s="1481" t="s">
        <v>1972</v>
      </c>
      <c r="D67" s="1482"/>
      <c r="E67" s="1482"/>
      <c r="F67" s="1483"/>
      <c r="G67" s="1483"/>
      <c r="H67" s="1483"/>
      <c r="I67" s="1483"/>
      <c r="J67" s="1483"/>
      <c r="K67" s="1483"/>
      <c r="L67" s="1418"/>
      <c r="M67" s="1484"/>
      <c r="N67" s="1418"/>
      <c r="O67" s="1484">
        <f>SUM(O68:O69)</f>
        <v>11172.500035000001</v>
      </c>
      <c r="P67" s="1343"/>
      <c r="Q67" s="1481"/>
      <c r="R67" s="1485">
        <f>SUM(R68:R69)</f>
        <v>0</v>
      </c>
    </row>
    <row r="68" spans="1:19" ht="115.5">
      <c r="A68" s="1406" t="s">
        <v>4153</v>
      </c>
      <c r="B68" s="1407" t="s">
        <v>2053</v>
      </c>
      <c r="C68" s="1407" t="s">
        <v>2054</v>
      </c>
      <c r="D68" s="1408" t="s">
        <v>90</v>
      </c>
      <c r="E68" s="1409" t="s">
        <v>91</v>
      </c>
      <c r="F68" s="1452">
        <v>407500</v>
      </c>
      <c r="G68" s="1486">
        <v>48324</v>
      </c>
      <c r="H68" s="1417">
        <v>11000</v>
      </c>
      <c r="I68" s="1417">
        <v>1572.07</v>
      </c>
      <c r="J68" s="1420"/>
      <c r="K68" s="1444" t="s">
        <v>5964</v>
      </c>
      <c r="L68" s="2820">
        <v>3283.5821000000001</v>
      </c>
      <c r="M68" s="1447">
        <f>L68/100000</f>
        <v>3.2835821000000001E-2</v>
      </c>
      <c r="N68" s="2820">
        <v>335000</v>
      </c>
      <c r="O68" s="1447">
        <f>N68*M68</f>
        <v>11000.000035000001</v>
      </c>
      <c r="P68" s="1823" t="s">
        <v>6429</v>
      </c>
      <c r="Q68" s="1413">
        <f>'Ab1. RMNCH+A'!Q203</f>
        <v>0</v>
      </c>
      <c r="R68" s="1414">
        <f>'Ab1. RMNCH+A'!R203</f>
        <v>0</v>
      </c>
    </row>
    <row r="69" spans="1:19" ht="82.5">
      <c r="A69" s="1406" t="s">
        <v>4154</v>
      </c>
      <c r="B69" s="1407" t="s">
        <v>2055</v>
      </c>
      <c r="C69" s="1407" t="s">
        <v>2056</v>
      </c>
      <c r="D69" s="1408" t="s">
        <v>90</v>
      </c>
      <c r="E69" s="1409" t="s">
        <v>91</v>
      </c>
      <c r="F69" s="1452">
        <v>5387</v>
      </c>
      <c r="G69" s="1486">
        <v>315</v>
      </c>
      <c r="H69" s="1417">
        <v>230.57</v>
      </c>
      <c r="I69" s="1417">
        <v>40.76</v>
      </c>
      <c r="J69" s="1452"/>
      <c r="K69" s="1444" t="s">
        <v>5965</v>
      </c>
      <c r="L69" s="2820">
        <v>4312.5</v>
      </c>
      <c r="M69" s="1447">
        <f>L69/100000</f>
        <v>4.3124999999999997E-2</v>
      </c>
      <c r="N69" s="2820">
        <v>4000</v>
      </c>
      <c r="O69" s="1447">
        <f>N69*M69</f>
        <v>172.5</v>
      </c>
      <c r="P69" s="1823" t="s">
        <v>6358</v>
      </c>
      <c r="Q69" s="1413">
        <f>'Ab1. RMNCH+A'!Q204</f>
        <v>0</v>
      </c>
      <c r="R69" s="1414">
        <f>'Ab1. RMNCH+A'!R204</f>
        <v>0</v>
      </c>
    </row>
    <row r="70" spans="1:19" s="1459" customFormat="1" ht="24.75" customHeight="1">
      <c r="A70" s="1435" t="s">
        <v>2057</v>
      </c>
      <c r="B70" s="1435" t="s">
        <v>1978</v>
      </c>
      <c r="C70" s="1435" t="s">
        <v>1979</v>
      </c>
      <c r="D70" s="1437"/>
      <c r="E70" s="1437"/>
      <c r="F70" s="1438"/>
      <c r="G70" s="1438"/>
      <c r="H70" s="1438"/>
      <c r="I70" s="1438"/>
      <c r="J70" s="1438"/>
      <c r="K70" s="1438"/>
      <c r="L70" s="1439"/>
      <c r="M70" s="1440"/>
      <c r="N70" s="1439"/>
      <c r="O70" s="1440">
        <f>SUM(O71:O74)</f>
        <v>1013.6</v>
      </c>
      <c r="P70" s="1441"/>
      <c r="Q70" s="1435"/>
      <c r="R70" s="1442">
        <f>SUM(R71:R74)</f>
        <v>0</v>
      </c>
    </row>
    <row r="71" spans="1:19" ht="49.5">
      <c r="A71" s="1406" t="s">
        <v>4155</v>
      </c>
      <c r="B71" s="1407" t="s">
        <v>735</v>
      </c>
      <c r="C71" s="1407" t="s">
        <v>3967</v>
      </c>
      <c r="D71" s="1408" t="s">
        <v>90</v>
      </c>
      <c r="E71" s="1409" t="s">
        <v>91</v>
      </c>
      <c r="F71" s="1415">
        <v>610000</v>
      </c>
      <c r="G71" s="1415">
        <v>59496</v>
      </c>
      <c r="H71" s="1417">
        <v>127.5</v>
      </c>
      <c r="I71" s="1417">
        <v>0.21</v>
      </c>
      <c r="J71" s="1420"/>
      <c r="K71" s="1444" t="s">
        <v>5966</v>
      </c>
      <c r="L71" s="2820">
        <v>20</v>
      </c>
      <c r="M71" s="1447">
        <f t="shared" ref="M71:M76" si="5">L71/100000</f>
        <v>2.0000000000000001E-4</v>
      </c>
      <c r="N71" s="2820">
        <v>538000</v>
      </c>
      <c r="O71" s="1447">
        <f t="shared" ref="O71:O76" si="6">N71*M71</f>
        <v>107.60000000000001</v>
      </c>
      <c r="P71" s="3196" t="s">
        <v>5971</v>
      </c>
      <c r="Q71" s="1413">
        <f>'Ab1. RMNCH+A'!Q205</f>
        <v>0</v>
      </c>
      <c r="R71" s="1414">
        <f>'Ab1. RMNCH+A'!R205</f>
        <v>0</v>
      </c>
    </row>
    <row r="72" spans="1:19" ht="33">
      <c r="A72" s="1406" t="s">
        <v>4156</v>
      </c>
      <c r="B72" s="1407" t="s">
        <v>737</v>
      </c>
      <c r="C72" s="1407" t="s">
        <v>3968</v>
      </c>
      <c r="D72" s="1408" t="s">
        <v>90</v>
      </c>
      <c r="E72" s="1409" t="s">
        <v>91</v>
      </c>
      <c r="F72" s="1415">
        <v>200000</v>
      </c>
      <c r="G72" s="1415">
        <v>89458</v>
      </c>
      <c r="H72" s="1417">
        <v>600</v>
      </c>
      <c r="I72" s="1417">
        <v>29.29</v>
      </c>
      <c r="J72" s="1415"/>
      <c r="K72" s="1444" t="s">
        <v>5967</v>
      </c>
      <c r="L72" s="2820">
        <v>300</v>
      </c>
      <c r="M72" s="1447">
        <f t="shared" si="5"/>
        <v>3.0000000000000001E-3</v>
      </c>
      <c r="N72" s="2820">
        <v>200000</v>
      </c>
      <c r="O72" s="1447">
        <f t="shared" si="6"/>
        <v>600</v>
      </c>
      <c r="P72" s="3347" t="s">
        <v>6354</v>
      </c>
      <c r="Q72" s="1413">
        <f>'Ab1. RMNCH+A'!Q206</f>
        <v>0</v>
      </c>
      <c r="R72" s="1414">
        <f>'Ab1. RMNCH+A'!R206</f>
        <v>0</v>
      </c>
    </row>
    <row r="73" spans="1:19" ht="33">
      <c r="A73" s="1406" t="s">
        <v>4157</v>
      </c>
      <c r="B73" s="1407" t="s">
        <v>739</v>
      </c>
      <c r="C73" s="1407" t="s">
        <v>3969</v>
      </c>
      <c r="D73" s="1408" t="s">
        <v>90</v>
      </c>
      <c r="E73" s="1409" t="s">
        <v>91</v>
      </c>
      <c r="F73" s="1415">
        <v>2000</v>
      </c>
      <c r="G73" s="1415">
        <v>889</v>
      </c>
      <c r="H73" s="1417">
        <v>6</v>
      </c>
      <c r="I73" s="1417">
        <v>2.0299999999999998</v>
      </c>
      <c r="J73" s="1415"/>
      <c r="K73" s="1444" t="s">
        <v>5968</v>
      </c>
      <c r="L73" s="2820">
        <v>300</v>
      </c>
      <c r="M73" s="1447">
        <f t="shared" si="5"/>
        <v>3.0000000000000001E-3</v>
      </c>
      <c r="N73" s="2820">
        <v>2000</v>
      </c>
      <c r="O73" s="1447">
        <f t="shared" si="6"/>
        <v>6</v>
      </c>
      <c r="P73" s="3347" t="s">
        <v>6355</v>
      </c>
      <c r="Q73" s="1413">
        <f>'Ab1. RMNCH+A'!Q207</f>
        <v>0</v>
      </c>
      <c r="R73" s="1414">
        <f>'Ab1. RMNCH+A'!R207</f>
        <v>0</v>
      </c>
    </row>
    <row r="74" spans="1:19" ht="33">
      <c r="A74" s="1406" t="s">
        <v>4158</v>
      </c>
      <c r="B74" s="1407" t="s">
        <v>2058</v>
      </c>
      <c r="C74" s="1407" t="s">
        <v>2059</v>
      </c>
      <c r="D74" s="1408" t="s">
        <v>90</v>
      </c>
      <c r="E74" s="1409" t="s">
        <v>91</v>
      </c>
      <c r="F74" s="1415">
        <v>300000</v>
      </c>
      <c r="G74" s="1415">
        <v>136618</v>
      </c>
      <c r="H74" s="1417">
        <v>300</v>
      </c>
      <c r="I74" s="1417">
        <v>18.420000000000002</v>
      </c>
      <c r="J74" s="1415"/>
      <c r="K74" s="1444" t="s">
        <v>5969</v>
      </c>
      <c r="L74" s="2820">
        <v>100</v>
      </c>
      <c r="M74" s="1447">
        <f t="shared" si="5"/>
        <v>1E-3</v>
      </c>
      <c r="N74" s="2820">
        <v>300000</v>
      </c>
      <c r="O74" s="1447">
        <f t="shared" si="6"/>
        <v>300</v>
      </c>
      <c r="P74" s="3347" t="s">
        <v>6356</v>
      </c>
      <c r="Q74" s="1413">
        <f>'Ab1. RMNCH+A'!Q208</f>
        <v>0</v>
      </c>
      <c r="R74" s="1414">
        <f>'Ab1. RMNCH+A'!R208</f>
        <v>0</v>
      </c>
    </row>
    <row r="75" spans="1:19" s="1489" customFormat="1" ht="148.5">
      <c r="A75" s="1406" t="s">
        <v>2060</v>
      </c>
      <c r="B75" s="1451" t="s">
        <v>2061</v>
      </c>
      <c r="C75" s="1451" t="s">
        <v>2062</v>
      </c>
      <c r="D75" s="1408" t="s">
        <v>90</v>
      </c>
      <c r="E75" s="1409" t="s">
        <v>91</v>
      </c>
      <c r="F75" s="1452">
        <v>41</v>
      </c>
      <c r="G75" s="1415">
        <v>11</v>
      </c>
      <c r="H75" s="1487">
        <v>31.75</v>
      </c>
      <c r="I75" s="1488">
        <v>0</v>
      </c>
      <c r="J75" s="1452"/>
      <c r="K75" s="1444" t="s">
        <v>5970</v>
      </c>
      <c r="L75" s="2820">
        <v>77439</v>
      </c>
      <c r="M75" s="1447">
        <f t="shared" si="5"/>
        <v>0.77439000000000002</v>
      </c>
      <c r="N75" s="2820">
        <v>41</v>
      </c>
      <c r="O75" s="1447">
        <f t="shared" si="6"/>
        <v>31.74999</v>
      </c>
      <c r="P75" s="1823" t="s">
        <v>6728</v>
      </c>
      <c r="Q75" s="1413">
        <f>'Ab1. RMNCH+A'!Q209</f>
        <v>0</v>
      </c>
      <c r="R75" s="1414">
        <f>'Ab1. RMNCH+A'!R209</f>
        <v>0</v>
      </c>
      <c r="S75" s="1405"/>
    </row>
    <row r="76" spans="1:19" s="1489" customFormat="1">
      <c r="A76" s="1406" t="s">
        <v>2555</v>
      </c>
      <c r="B76" s="1450"/>
      <c r="C76" s="1451" t="s">
        <v>1310</v>
      </c>
      <c r="D76" s="1408" t="s">
        <v>90</v>
      </c>
      <c r="E76" s="1409" t="s">
        <v>91</v>
      </c>
      <c r="F76" s="1452"/>
      <c r="G76" s="1415"/>
      <c r="H76" s="1487"/>
      <c r="I76" s="1487"/>
      <c r="J76" s="1452"/>
      <c r="K76" s="1415"/>
      <c r="L76" s="1418"/>
      <c r="M76" s="1412">
        <f t="shared" si="5"/>
        <v>0</v>
      </c>
      <c r="N76" s="1418"/>
      <c r="O76" s="1412">
        <f t="shared" si="6"/>
        <v>0</v>
      </c>
      <c r="P76" s="1343"/>
      <c r="Q76" s="1413">
        <f>'Ab1. RMNCH+A'!Q210</f>
        <v>0</v>
      </c>
      <c r="R76" s="1414">
        <f>'Ab1. RMNCH+A'!R210</f>
        <v>0</v>
      </c>
    </row>
    <row r="77" spans="1:19">
      <c r="A77" s="1397" t="s">
        <v>51</v>
      </c>
      <c r="B77" s="1398"/>
      <c r="C77" s="1399" t="s">
        <v>44</v>
      </c>
      <c r="D77" s="1400"/>
      <c r="E77" s="1401"/>
      <c r="F77" s="1422"/>
      <c r="G77" s="1422"/>
      <c r="H77" s="1422"/>
      <c r="I77" s="1422"/>
      <c r="J77" s="1422"/>
      <c r="K77" s="1423"/>
      <c r="L77" s="1424"/>
      <c r="M77" s="1425"/>
      <c r="N77" s="1426"/>
      <c r="O77" s="1425">
        <f>SUM(O78:O81)</f>
        <v>4109.4840000000004</v>
      </c>
      <c r="P77" s="1427"/>
      <c r="Q77" s="1399"/>
      <c r="R77" s="1404">
        <f>SUM(R78:R81)</f>
        <v>0</v>
      </c>
      <c r="S77" s="1489"/>
    </row>
    <row r="78" spans="1:19">
      <c r="A78" s="1406" t="s">
        <v>2063</v>
      </c>
      <c r="B78" s="1454" t="s">
        <v>2000</v>
      </c>
      <c r="C78" s="1454" t="s">
        <v>2001</v>
      </c>
      <c r="D78" s="1362" t="s">
        <v>4358</v>
      </c>
      <c r="E78" s="1409" t="s">
        <v>146</v>
      </c>
      <c r="F78" s="1415"/>
      <c r="G78" s="1415"/>
      <c r="H78" s="1415"/>
      <c r="I78" s="1415"/>
      <c r="J78" s="1415"/>
      <c r="K78" s="1415">
        <v>1</v>
      </c>
      <c r="L78" s="1418">
        <v>12000</v>
      </c>
      <c r="M78" s="1412">
        <f>L78/100000</f>
        <v>0.12</v>
      </c>
      <c r="N78" s="1418">
        <v>300</v>
      </c>
      <c r="O78" s="1412">
        <f>N78*M78</f>
        <v>36</v>
      </c>
      <c r="P78" s="1343" t="s">
        <v>6276</v>
      </c>
      <c r="Q78" s="1413">
        <f>'Abs10. NLEP'!Q9</f>
        <v>0</v>
      </c>
      <c r="R78" s="1414">
        <f>'Abs10. NLEP'!R9</f>
        <v>0</v>
      </c>
    </row>
    <row r="79" spans="1:19" s="1459" customFormat="1" ht="49.5">
      <c r="A79" s="1406" t="s">
        <v>2064</v>
      </c>
      <c r="B79" s="1457" t="s">
        <v>4068</v>
      </c>
      <c r="C79" s="1457" t="s">
        <v>4581</v>
      </c>
      <c r="D79" s="1490" t="s">
        <v>4358</v>
      </c>
      <c r="E79" s="1443" t="s">
        <v>4674</v>
      </c>
      <c r="F79" s="1444"/>
      <c r="G79" s="1444"/>
      <c r="H79" s="1444"/>
      <c r="I79" s="1444"/>
      <c r="J79" s="1444"/>
      <c r="K79" s="1444" t="s">
        <v>6021</v>
      </c>
      <c r="L79" s="1491">
        <v>3000</v>
      </c>
      <c r="M79" s="1447">
        <f>L79/100000</f>
        <v>0.03</v>
      </c>
      <c r="N79" s="1492">
        <v>135000</v>
      </c>
      <c r="O79" s="1447">
        <f>N79*M79</f>
        <v>4050</v>
      </c>
      <c r="P79" s="1493" t="s">
        <v>6022</v>
      </c>
      <c r="Q79" s="1406">
        <f>'Abs11. NTEP'!Q8</f>
        <v>0</v>
      </c>
      <c r="R79" s="1448">
        <f>'Abs11. NTEP'!R8</f>
        <v>0</v>
      </c>
    </row>
    <row r="80" spans="1:19" s="3773" customFormat="1" ht="33">
      <c r="A80" s="3764" t="s">
        <v>4067</v>
      </c>
      <c r="B80" s="3852"/>
      <c r="C80" s="3852" t="s">
        <v>4582</v>
      </c>
      <c r="D80" s="3766" t="s">
        <v>4358</v>
      </c>
      <c r="E80" s="3767" t="s">
        <v>4974</v>
      </c>
      <c r="F80" s="3768"/>
      <c r="G80" s="3768"/>
      <c r="H80" s="3768"/>
      <c r="I80" s="3768"/>
      <c r="J80" s="3768"/>
      <c r="K80" s="3825" t="s">
        <v>6113</v>
      </c>
      <c r="L80" s="3757">
        <v>1236</v>
      </c>
      <c r="M80" s="3758">
        <f>L80/100000</f>
        <v>1.2359999999999999E-2</v>
      </c>
      <c r="N80" s="3757">
        <v>1900</v>
      </c>
      <c r="O80" s="3758">
        <f>N80*M80</f>
        <v>23.483999999999998</v>
      </c>
      <c r="P80" s="3775" t="s">
        <v>6114</v>
      </c>
      <c r="Q80" s="3764">
        <f>'Abs9. NVBDCP'!Q10</f>
        <v>0</v>
      </c>
      <c r="R80" s="3772">
        <f>'Abs9. NVBDCP'!R10</f>
        <v>0</v>
      </c>
    </row>
    <row r="81" spans="1:18">
      <c r="A81" s="1406" t="s">
        <v>4580</v>
      </c>
      <c r="B81" s="1406"/>
      <c r="C81" s="1413" t="s">
        <v>1310</v>
      </c>
      <c r="D81" s="1360" t="s">
        <v>70</v>
      </c>
      <c r="E81" s="1443" t="s">
        <v>70</v>
      </c>
      <c r="F81" s="1415"/>
      <c r="G81" s="1415"/>
      <c r="H81" s="1415"/>
      <c r="I81" s="1415"/>
      <c r="J81" s="1415"/>
      <c r="K81" s="1415"/>
      <c r="L81" s="1418"/>
      <c r="M81" s="1412">
        <f>L81/100000</f>
        <v>0</v>
      </c>
      <c r="N81" s="1418"/>
      <c r="O81" s="1412">
        <f>N81*M81</f>
        <v>0</v>
      </c>
      <c r="P81" s="1343"/>
      <c r="Q81" s="1460"/>
      <c r="R81" s="1461"/>
    </row>
    <row r="82" spans="1:18">
      <c r="A82" s="1385">
        <v>1.3</v>
      </c>
      <c r="B82" s="1386"/>
      <c r="C82" s="1387" t="s">
        <v>45</v>
      </c>
      <c r="D82" s="1388"/>
      <c r="E82" s="1389"/>
      <c r="F82" s="1476"/>
      <c r="G82" s="1476"/>
      <c r="H82" s="1476"/>
      <c r="I82" s="1476"/>
      <c r="J82" s="1476"/>
      <c r="K82" s="1477"/>
      <c r="L82" s="1478"/>
      <c r="M82" s="1392"/>
      <c r="N82" s="1479"/>
      <c r="O82" s="1394">
        <f>O83+O108</f>
        <v>2569.9365999999995</v>
      </c>
      <c r="P82" s="1480"/>
      <c r="Q82" s="1395"/>
      <c r="R82" s="1396">
        <f>R83+R108</f>
        <v>0</v>
      </c>
    </row>
    <row r="83" spans="1:18" ht="33">
      <c r="A83" s="1397" t="s">
        <v>2065</v>
      </c>
      <c r="B83" s="1398"/>
      <c r="C83" s="1399" t="s">
        <v>6352</v>
      </c>
      <c r="D83" s="1400"/>
      <c r="E83" s="1401"/>
      <c r="F83" s="1422"/>
      <c r="G83" s="1422"/>
      <c r="H83" s="1422"/>
      <c r="I83" s="1422"/>
      <c r="J83" s="1422"/>
      <c r="K83" s="1423"/>
      <c r="L83" s="1424"/>
      <c r="M83" s="1425"/>
      <c r="N83" s="1426"/>
      <c r="O83" s="1403">
        <f>SUM(O84:O99)+O100+O103+O107+O106</f>
        <v>2465.0965999999994</v>
      </c>
      <c r="P83" s="1427"/>
      <c r="Q83" s="1399"/>
      <c r="R83" s="1404">
        <f>SUM(R84:R99)+R100+R103+R107+R106</f>
        <v>0</v>
      </c>
    </row>
    <row r="84" spans="1:18">
      <c r="A84" s="1406" t="s">
        <v>4159</v>
      </c>
      <c r="B84" s="1407" t="s">
        <v>2066</v>
      </c>
      <c r="C84" s="1407" t="s">
        <v>5360</v>
      </c>
      <c r="D84" s="1408" t="s">
        <v>90</v>
      </c>
      <c r="E84" s="1443" t="s">
        <v>131</v>
      </c>
      <c r="F84" s="1415"/>
      <c r="G84" s="1415"/>
      <c r="H84" s="1415"/>
      <c r="I84" s="1415"/>
      <c r="J84" s="1415"/>
      <c r="K84" s="1415" t="s">
        <v>6176</v>
      </c>
      <c r="L84" s="1418">
        <v>1200000</v>
      </c>
      <c r="M84" s="1412">
        <f t="shared" ref="M84:M92" si="7">L84/100000</f>
        <v>12</v>
      </c>
      <c r="N84" s="1418">
        <v>43</v>
      </c>
      <c r="O84" s="1412">
        <f t="shared" ref="O84:O92" si="8">N84*M84</f>
        <v>516</v>
      </c>
      <c r="P84" s="1343" t="s">
        <v>6181</v>
      </c>
      <c r="Q84" s="1413">
        <f>'Ab1. RMNCH+A'!Q103</f>
        <v>0</v>
      </c>
      <c r="R84" s="1414">
        <f>'Ab1. RMNCH+A'!R103</f>
        <v>0</v>
      </c>
    </row>
    <row r="85" spans="1:18">
      <c r="A85" s="1406" t="s">
        <v>2088</v>
      </c>
      <c r="B85" s="1407" t="s">
        <v>2067</v>
      </c>
      <c r="C85" s="1407" t="s">
        <v>5361</v>
      </c>
      <c r="D85" s="1408" t="s">
        <v>90</v>
      </c>
      <c r="E85" s="1443" t="s">
        <v>131</v>
      </c>
      <c r="F85" s="1415"/>
      <c r="G85" s="1415"/>
      <c r="H85" s="1415"/>
      <c r="I85" s="1415"/>
      <c r="J85" s="1415"/>
      <c r="K85" s="1415" t="s">
        <v>6177</v>
      </c>
      <c r="L85" s="1418">
        <v>87500</v>
      </c>
      <c r="M85" s="1412">
        <f t="shared" si="7"/>
        <v>0.875</v>
      </c>
      <c r="N85" s="1418">
        <v>41</v>
      </c>
      <c r="O85" s="1412">
        <f t="shared" si="8"/>
        <v>35.875</v>
      </c>
      <c r="P85" s="1343" t="s">
        <v>6182</v>
      </c>
      <c r="Q85" s="1413">
        <f>'Ab1. RMNCH+A'!Q104</f>
        <v>0</v>
      </c>
      <c r="R85" s="1414">
        <f>'Ab1. RMNCH+A'!R104</f>
        <v>0</v>
      </c>
    </row>
    <row r="86" spans="1:18">
      <c r="A86" s="1406" t="s">
        <v>2089</v>
      </c>
      <c r="B86" s="1407" t="s">
        <v>2068</v>
      </c>
      <c r="C86" s="1407" t="s">
        <v>5362</v>
      </c>
      <c r="D86" s="1408" t="s">
        <v>90</v>
      </c>
      <c r="E86" s="1443" t="s">
        <v>131</v>
      </c>
      <c r="F86" s="1415"/>
      <c r="G86" s="1415"/>
      <c r="H86" s="1415"/>
      <c r="I86" s="1415"/>
      <c r="J86" s="1415"/>
      <c r="K86" s="1415" t="s">
        <v>6178</v>
      </c>
      <c r="L86" s="1418">
        <v>20000</v>
      </c>
      <c r="M86" s="1412">
        <f t="shared" si="7"/>
        <v>0.2</v>
      </c>
      <c r="N86" s="1418">
        <v>860</v>
      </c>
      <c r="O86" s="1412">
        <f t="shared" si="8"/>
        <v>172</v>
      </c>
      <c r="P86" s="1343" t="s">
        <v>6182</v>
      </c>
      <c r="Q86" s="1413">
        <f>'Ab1. RMNCH+A'!Q105</f>
        <v>0</v>
      </c>
      <c r="R86" s="1414">
        <f>'Ab1. RMNCH+A'!R105</f>
        <v>0</v>
      </c>
    </row>
    <row r="87" spans="1:18" s="3773" customFormat="1" ht="99">
      <c r="A87" s="3764" t="s">
        <v>2090</v>
      </c>
      <c r="B87" s="3765" t="s">
        <v>349</v>
      </c>
      <c r="C87" s="3765" t="s">
        <v>5363</v>
      </c>
      <c r="D87" s="3766" t="s">
        <v>90</v>
      </c>
      <c r="E87" s="3767" t="s">
        <v>131</v>
      </c>
      <c r="F87" s="3768"/>
      <c r="G87" s="3768"/>
      <c r="H87" s="3768"/>
      <c r="I87" s="3768"/>
      <c r="J87" s="3768"/>
      <c r="K87" s="3768" t="s">
        <v>6179</v>
      </c>
      <c r="L87" s="3757">
        <v>99476160</v>
      </c>
      <c r="M87" s="3758">
        <f t="shared" si="7"/>
        <v>994.76160000000004</v>
      </c>
      <c r="N87" s="3757">
        <v>1</v>
      </c>
      <c r="O87" s="3758">
        <f t="shared" si="8"/>
        <v>994.76160000000004</v>
      </c>
      <c r="P87" s="3954" t="s">
        <v>6863</v>
      </c>
      <c r="Q87" s="3764">
        <f>'Ab1. RMNCH+A'!Q106</f>
        <v>0</v>
      </c>
      <c r="R87" s="3772">
        <f>'Ab1. RMNCH+A'!R106</f>
        <v>0</v>
      </c>
    </row>
    <row r="88" spans="1:18">
      <c r="A88" s="1406" t="s">
        <v>2091</v>
      </c>
      <c r="B88" s="1419"/>
      <c r="C88" s="1407" t="s">
        <v>5364</v>
      </c>
      <c r="D88" s="1408" t="s">
        <v>90</v>
      </c>
      <c r="E88" s="1443" t="s">
        <v>131</v>
      </c>
      <c r="F88" s="1415"/>
      <c r="G88" s="1415"/>
      <c r="H88" s="1415"/>
      <c r="I88" s="1415"/>
      <c r="J88" s="1415"/>
      <c r="K88" s="1415" t="s">
        <v>6180</v>
      </c>
      <c r="L88" s="1418">
        <v>100000</v>
      </c>
      <c r="M88" s="1412">
        <f t="shared" si="7"/>
        <v>1</v>
      </c>
      <c r="N88" s="1418">
        <v>43</v>
      </c>
      <c r="O88" s="1412">
        <f t="shared" si="8"/>
        <v>43</v>
      </c>
      <c r="P88" s="1343" t="s">
        <v>6182</v>
      </c>
      <c r="Q88" s="1413">
        <f>'Ab1. RMNCH+A'!Q107</f>
        <v>0</v>
      </c>
      <c r="R88" s="1414">
        <f>'Ab1. RMNCH+A'!R107</f>
        <v>0</v>
      </c>
    </row>
    <row r="89" spans="1:18" ht="49.5">
      <c r="A89" s="1406" t="s">
        <v>2092</v>
      </c>
      <c r="B89" s="1407" t="s">
        <v>2069</v>
      </c>
      <c r="C89" s="1407" t="s">
        <v>5365</v>
      </c>
      <c r="D89" s="1408" t="s">
        <v>90</v>
      </c>
      <c r="E89" s="1443" t="s">
        <v>193</v>
      </c>
      <c r="F89" s="1415"/>
      <c r="G89" s="1415"/>
      <c r="H89" s="1415"/>
      <c r="I89" s="1415"/>
      <c r="J89" s="1415"/>
      <c r="K89" s="1415" t="s">
        <v>5835</v>
      </c>
      <c r="L89" s="1418">
        <v>10000</v>
      </c>
      <c r="M89" s="1412">
        <f t="shared" si="7"/>
        <v>0.1</v>
      </c>
      <c r="N89" s="1418">
        <v>208</v>
      </c>
      <c r="O89" s="1412">
        <f t="shared" si="8"/>
        <v>20.8</v>
      </c>
      <c r="P89" s="1343" t="s">
        <v>5836</v>
      </c>
      <c r="Q89" s="1413">
        <f>'Ab1. RMNCH+A'!Q292</f>
        <v>0</v>
      </c>
      <c r="R89" s="1414">
        <f>'Ab1. RMNCH+A'!R292</f>
        <v>0</v>
      </c>
    </row>
    <row r="90" spans="1:18" ht="71.25" customHeight="1">
      <c r="A90" s="1406" t="s">
        <v>3309</v>
      </c>
      <c r="B90" s="1407" t="s">
        <v>2480</v>
      </c>
      <c r="C90" s="1407" t="s">
        <v>2481</v>
      </c>
      <c r="D90" s="1408" t="s">
        <v>90</v>
      </c>
      <c r="E90" s="1409" t="s">
        <v>96</v>
      </c>
      <c r="F90" s="1429">
        <v>9</v>
      </c>
      <c r="G90" s="1429">
        <v>9</v>
      </c>
      <c r="H90" s="1431">
        <v>21.6</v>
      </c>
      <c r="I90" s="1431"/>
      <c r="J90" s="1429"/>
      <c r="K90" s="3094" t="s">
        <v>6446</v>
      </c>
      <c r="L90" s="1433">
        <v>240000</v>
      </c>
      <c r="M90" s="1412">
        <f t="shared" si="7"/>
        <v>2.4</v>
      </c>
      <c r="N90" s="1433">
        <v>9</v>
      </c>
      <c r="O90" s="1412">
        <f t="shared" si="8"/>
        <v>21.599999999999998</v>
      </c>
      <c r="P90" s="1434" t="s">
        <v>6244</v>
      </c>
      <c r="Q90" s="1413">
        <f>'Ab1. RMNCH+A'!Q346</f>
        <v>0</v>
      </c>
      <c r="R90" s="1414">
        <f>'Ab1. RMNCH+A'!R346</f>
        <v>0</v>
      </c>
    </row>
    <row r="91" spans="1:18" s="3773" customFormat="1" ht="66">
      <c r="A91" s="3764" t="s">
        <v>2093</v>
      </c>
      <c r="B91" s="3852" t="s">
        <v>2070</v>
      </c>
      <c r="C91" s="3852" t="s">
        <v>4145</v>
      </c>
      <c r="D91" s="3890" t="s">
        <v>85</v>
      </c>
      <c r="E91" s="3767" t="s">
        <v>415</v>
      </c>
      <c r="F91" s="3768">
        <v>38</v>
      </c>
      <c r="G91" s="3768">
        <v>38</v>
      </c>
      <c r="H91" s="3891">
        <v>19</v>
      </c>
      <c r="I91" s="3768">
        <v>1.61</v>
      </c>
      <c r="J91" s="3768">
        <v>0.35727999999999999</v>
      </c>
      <c r="K91" s="3768" t="s">
        <v>6077</v>
      </c>
      <c r="L91" s="3757">
        <v>100000</v>
      </c>
      <c r="M91" s="3758">
        <f t="shared" si="7"/>
        <v>1</v>
      </c>
      <c r="N91" s="3757">
        <v>38</v>
      </c>
      <c r="O91" s="3758">
        <f t="shared" si="8"/>
        <v>38</v>
      </c>
      <c r="P91" s="3881" t="s">
        <v>6836</v>
      </c>
      <c r="Q91" s="3764">
        <f>'Abs19. NPCDCS'!Q9</f>
        <v>0</v>
      </c>
      <c r="R91" s="3772">
        <f>'Abs19. NPCDCS'!R9</f>
        <v>0</v>
      </c>
    </row>
    <row r="92" spans="1:18" s="3773" customFormat="1" ht="66">
      <c r="A92" s="3764" t="s">
        <v>2094</v>
      </c>
      <c r="B92" s="3852" t="s">
        <v>2071</v>
      </c>
      <c r="C92" s="3852" t="s">
        <v>2677</v>
      </c>
      <c r="D92" s="3890" t="s">
        <v>85</v>
      </c>
      <c r="E92" s="3767" t="s">
        <v>415</v>
      </c>
      <c r="F92" s="3768">
        <v>0</v>
      </c>
      <c r="G92" s="3768">
        <v>0</v>
      </c>
      <c r="H92" s="3768">
        <v>0</v>
      </c>
      <c r="I92" s="3768">
        <v>0</v>
      </c>
      <c r="J92" s="3768">
        <v>0</v>
      </c>
      <c r="K92" s="3768" t="s">
        <v>6310</v>
      </c>
      <c r="L92" s="3757">
        <v>50000</v>
      </c>
      <c r="M92" s="3758">
        <f t="shared" si="7"/>
        <v>0.5</v>
      </c>
      <c r="N92" s="3757">
        <v>210</v>
      </c>
      <c r="O92" s="3758">
        <f t="shared" si="8"/>
        <v>105</v>
      </c>
      <c r="P92" s="3881" t="s">
        <v>6837</v>
      </c>
      <c r="Q92" s="3764">
        <f>'Abs19. NPCDCS'!Q10</f>
        <v>0</v>
      </c>
      <c r="R92" s="3772">
        <f>'Abs19. NPCDCS'!R10</f>
        <v>0</v>
      </c>
    </row>
    <row r="93" spans="1:18" ht="66">
      <c r="A93" s="1406" t="s">
        <v>2095</v>
      </c>
      <c r="B93" s="1454" t="s">
        <v>2072</v>
      </c>
      <c r="C93" s="1454" t="s">
        <v>3312</v>
      </c>
      <c r="D93" s="1363" t="s">
        <v>85</v>
      </c>
      <c r="E93" s="1409" t="s">
        <v>415</v>
      </c>
      <c r="F93" s="1415">
        <v>1238</v>
      </c>
      <c r="G93" s="1415">
        <v>672</v>
      </c>
      <c r="H93" s="1415">
        <v>159.47999999999999</v>
      </c>
      <c r="I93" s="1415">
        <v>1.1499999999999999</v>
      </c>
      <c r="J93" s="1415">
        <v>0</v>
      </c>
      <c r="K93" s="1415" t="s">
        <v>6311</v>
      </c>
      <c r="L93" s="1418">
        <v>30000</v>
      </c>
      <c r="M93" s="1412">
        <f>L93/100000</f>
        <v>0.3</v>
      </c>
      <c r="N93" s="1418">
        <v>1379</v>
      </c>
      <c r="O93" s="1412">
        <f>N93*M93</f>
        <v>413.7</v>
      </c>
      <c r="P93" s="1462" t="s">
        <v>6357</v>
      </c>
      <c r="Q93" s="1413">
        <f>'Abs19. NPCDCS'!Q11</f>
        <v>0</v>
      </c>
      <c r="R93" s="1414">
        <f>'Abs19. NPCDCS'!R11</f>
        <v>0</v>
      </c>
    </row>
    <row r="94" spans="1:18" ht="33">
      <c r="A94" s="1406" t="s">
        <v>2352</v>
      </c>
      <c r="B94" s="1454" t="s">
        <v>2073</v>
      </c>
      <c r="C94" s="1454" t="s">
        <v>2678</v>
      </c>
      <c r="D94" s="1363" t="s">
        <v>85</v>
      </c>
      <c r="E94" s="1409" t="s">
        <v>415</v>
      </c>
      <c r="F94" s="1415">
        <v>1518</v>
      </c>
      <c r="G94" s="1415">
        <v>1518</v>
      </c>
      <c r="H94" s="1415">
        <v>45.54</v>
      </c>
      <c r="I94" s="1415">
        <v>0.6</v>
      </c>
      <c r="J94" s="1415">
        <v>0</v>
      </c>
      <c r="K94" s="1415" t="s">
        <v>6312</v>
      </c>
      <c r="L94" s="1418"/>
      <c r="M94" s="1412">
        <f>L94/100000</f>
        <v>0</v>
      </c>
      <c r="N94" s="1418"/>
      <c r="O94" s="1412">
        <f>N94*M94</f>
        <v>0</v>
      </c>
      <c r="P94" s="1462"/>
      <c r="Q94" s="1413">
        <f>'Abs19. NPCDCS'!Q12</f>
        <v>0</v>
      </c>
      <c r="R94" s="1414">
        <f>'Abs19. NPCDCS'!R12</f>
        <v>0</v>
      </c>
    </row>
    <row r="95" spans="1:18" ht="33">
      <c r="A95" s="1406" t="s">
        <v>2463</v>
      </c>
      <c r="B95" s="1454" t="s">
        <v>1702</v>
      </c>
      <c r="C95" s="1454" t="s">
        <v>4882</v>
      </c>
      <c r="D95" s="1362" t="s">
        <v>4358</v>
      </c>
      <c r="E95" s="1409" t="s">
        <v>4674</v>
      </c>
      <c r="F95" s="1415"/>
      <c r="G95" s="1415"/>
      <c r="H95" s="1415"/>
      <c r="I95" s="1415"/>
      <c r="J95" s="1415"/>
      <c r="K95" s="1415"/>
      <c r="L95" s="1418"/>
      <c r="M95" s="1412">
        <f>L95/100000</f>
        <v>0</v>
      </c>
      <c r="N95" s="1418"/>
      <c r="O95" s="1412">
        <f>N95*M95</f>
        <v>0</v>
      </c>
      <c r="P95" s="3196" t="s">
        <v>6023</v>
      </c>
      <c r="Q95" s="1413">
        <f>'Abs11. NTEP'!Q9</f>
        <v>0</v>
      </c>
      <c r="R95" s="1414">
        <f>'Abs11. NTEP'!R9</f>
        <v>0</v>
      </c>
    </row>
    <row r="96" spans="1:18">
      <c r="A96" s="1406" t="s">
        <v>2681</v>
      </c>
      <c r="B96" s="1457"/>
      <c r="C96" s="1413" t="s">
        <v>5367</v>
      </c>
      <c r="D96" s="1408" t="s">
        <v>90</v>
      </c>
      <c r="E96" s="1443" t="s">
        <v>131</v>
      </c>
      <c r="F96" s="1415"/>
      <c r="G96" s="1415"/>
      <c r="H96" s="1415"/>
      <c r="I96" s="1415"/>
      <c r="J96" s="1415"/>
      <c r="K96" s="1415"/>
      <c r="L96" s="1418"/>
      <c r="M96" s="1412">
        <f>L96/100000</f>
        <v>0</v>
      </c>
      <c r="N96" s="1418"/>
      <c r="O96" s="1412">
        <f>N96*M96</f>
        <v>0</v>
      </c>
      <c r="P96" s="1343"/>
      <c r="Q96" s="1413">
        <f>'Ab1. RMNCH+A'!Q108</f>
        <v>0</v>
      </c>
      <c r="R96" s="1414">
        <f>'Ab1. RMNCH+A'!R108</f>
        <v>0</v>
      </c>
    </row>
    <row r="97" spans="1:18">
      <c r="A97" s="1406" t="s">
        <v>3791</v>
      </c>
      <c r="B97" s="1457"/>
      <c r="C97" s="1413" t="s">
        <v>5366</v>
      </c>
      <c r="D97" s="1408" t="s">
        <v>90</v>
      </c>
      <c r="E97" s="1443" t="s">
        <v>131</v>
      </c>
      <c r="F97" s="1415"/>
      <c r="G97" s="1415"/>
      <c r="H97" s="1415"/>
      <c r="I97" s="1415"/>
      <c r="J97" s="1415"/>
      <c r="K97" s="1415"/>
      <c r="L97" s="1418"/>
      <c r="M97" s="1412">
        <f t="shared" ref="M97:M107" si="9">L97/100000</f>
        <v>0</v>
      </c>
      <c r="N97" s="1418"/>
      <c r="O97" s="1412">
        <f t="shared" ref="O97:O107" si="10">N97*M97</f>
        <v>0</v>
      </c>
      <c r="P97" s="1343"/>
      <c r="Q97" s="1413">
        <f>'Ab1. RMNCH+A'!Q109</f>
        <v>0</v>
      </c>
      <c r="R97" s="1414">
        <f>'Ab1. RMNCH+A'!R109</f>
        <v>0</v>
      </c>
    </row>
    <row r="98" spans="1:18" ht="30" customHeight="1">
      <c r="A98" s="1406" t="s">
        <v>3792</v>
      </c>
      <c r="B98" s="1457"/>
      <c r="C98" s="1413" t="s">
        <v>4777</v>
      </c>
      <c r="D98" s="1408" t="s">
        <v>90</v>
      </c>
      <c r="E98" s="1443" t="s">
        <v>131</v>
      </c>
      <c r="F98" s="1415"/>
      <c r="G98" s="1415"/>
      <c r="H98" s="1415"/>
      <c r="I98" s="1415"/>
      <c r="J98" s="1415"/>
      <c r="K98" s="1415" t="s">
        <v>6183</v>
      </c>
      <c r="L98" s="1418">
        <v>300000</v>
      </c>
      <c r="M98" s="1412">
        <f t="shared" si="9"/>
        <v>3</v>
      </c>
      <c r="N98" s="1418">
        <v>20</v>
      </c>
      <c r="O98" s="1412">
        <f t="shared" si="10"/>
        <v>60</v>
      </c>
      <c r="P98" s="1343" t="s">
        <v>6184</v>
      </c>
      <c r="Q98" s="1413">
        <f>'Ab1. RMNCH+A'!Q110</f>
        <v>0</v>
      </c>
      <c r="R98" s="1414">
        <f>'Ab1. RMNCH+A'!R110</f>
        <v>0</v>
      </c>
    </row>
    <row r="99" spans="1:18" ht="33">
      <c r="A99" s="1406" t="s">
        <v>3793</v>
      </c>
      <c r="B99" s="1457"/>
      <c r="C99" s="1413" t="s">
        <v>3313</v>
      </c>
      <c r="D99" s="1362" t="s">
        <v>4358</v>
      </c>
      <c r="E99" s="1443" t="s">
        <v>3316</v>
      </c>
      <c r="F99" s="1415"/>
      <c r="G99" s="1415"/>
      <c r="H99" s="1415">
        <v>4</v>
      </c>
      <c r="I99" s="1415"/>
      <c r="J99" s="1415"/>
      <c r="K99" s="1415" t="s">
        <v>5825</v>
      </c>
      <c r="L99" s="1418">
        <v>100000</v>
      </c>
      <c r="M99" s="1412">
        <f t="shared" si="9"/>
        <v>1</v>
      </c>
      <c r="N99" s="1418">
        <v>4</v>
      </c>
      <c r="O99" s="1412">
        <f t="shared" si="10"/>
        <v>4</v>
      </c>
      <c r="P99" s="1343" t="s">
        <v>5802</v>
      </c>
      <c r="Q99" s="1413">
        <f>'Abs12. NVHCP'!Q7</f>
        <v>0</v>
      </c>
      <c r="R99" s="1414">
        <f>'Abs12. NVHCP'!R7</f>
        <v>0</v>
      </c>
    </row>
    <row r="100" spans="1:18">
      <c r="A100" s="1495" t="s">
        <v>3794</v>
      </c>
      <c r="B100" s="1495"/>
      <c r="C100" s="1495" t="s">
        <v>3314</v>
      </c>
      <c r="D100" s="1496"/>
      <c r="E100" s="1496"/>
      <c r="F100" s="1497"/>
      <c r="G100" s="1497"/>
      <c r="H100" s="1497"/>
      <c r="I100" s="1497"/>
      <c r="J100" s="1497"/>
      <c r="K100" s="1497"/>
      <c r="L100" s="1497"/>
      <c r="M100" s="1425"/>
      <c r="N100" s="1498"/>
      <c r="O100" s="1425">
        <f>O101+O102</f>
        <v>8.6999999999999993</v>
      </c>
      <c r="P100" s="1499"/>
      <c r="Q100" s="1495"/>
      <c r="R100" s="1500">
        <f>R101+R102</f>
        <v>0</v>
      </c>
    </row>
    <row r="101" spans="1:18" ht="66">
      <c r="A101" s="1406" t="s">
        <v>3795</v>
      </c>
      <c r="B101" s="1457"/>
      <c r="C101" s="1413" t="s">
        <v>5369</v>
      </c>
      <c r="D101" s="1362" t="s">
        <v>4358</v>
      </c>
      <c r="E101" s="1443" t="s">
        <v>3316</v>
      </c>
      <c r="F101" s="1415"/>
      <c r="G101" s="1415"/>
      <c r="H101" s="1415">
        <v>7.2</v>
      </c>
      <c r="I101" s="1415"/>
      <c r="J101" s="1415"/>
      <c r="K101" s="1415" t="s">
        <v>5826</v>
      </c>
      <c r="L101" s="1418">
        <v>240000</v>
      </c>
      <c r="M101" s="1412">
        <f t="shared" si="9"/>
        <v>2.4</v>
      </c>
      <c r="N101" s="1418">
        <v>3</v>
      </c>
      <c r="O101" s="1412">
        <f t="shared" si="10"/>
        <v>7.1999999999999993</v>
      </c>
      <c r="P101" s="1343" t="s">
        <v>5803</v>
      </c>
      <c r="Q101" s="1413">
        <f>'Abs12. NVHCP'!Q8</f>
        <v>0</v>
      </c>
      <c r="R101" s="1414">
        <f>'Abs12. NVHCP'!R8</f>
        <v>0</v>
      </c>
    </row>
    <row r="102" spans="1:18" ht="49.5">
      <c r="A102" s="1406" t="s">
        <v>3796</v>
      </c>
      <c r="B102" s="1457"/>
      <c r="C102" s="1413" t="s">
        <v>5370</v>
      </c>
      <c r="D102" s="1362" t="s">
        <v>4358</v>
      </c>
      <c r="E102" s="1443" t="s">
        <v>3316</v>
      </c>
      <c r="F102" s="1415"/>
      <c r="G102" s="1415"/>
      <c r="H102" s="1415">
        <v>1.5</v>
      </c>
      <c r="I102" s="1415"/>
      <c r="J102" s="1415"/>
      <c r="K102" s="1415" t="s">
        <v>5826</v>
      </c>
      <c r="L102" s="1418">
        <v>50000</v>
      </c>
      <c r="M102" s="1412">
        <f t="shared" si="9"/>
        <v>0.5</v>
      </c>
      <c r="N102" s="1418">
        <v>3</v>
      </c>
      <c r="O102" s="1412">
        <f t="shared" si="10"/>
        <v>1.5</v>
      </c>
      <c r="P102" s="1343" t="s">
        <v>5804</v>
      </c>
      <c r="Q102" s="1413">
        <f>'Abs12. NVHCP'!Q9</f>
        <v>0</v>
      </c>
      <c r="R102" s="1414">
        <f>'Abs12. NVHCP'!R9</f>
        <v>0</v>
      </c>
    </row>
    <row r="103" spans="1:18">
      <c r="A103" s="1495" t="s">
        <v>3797</v>
      </c>
      <c r="B103" s="1495"/>
      <c r="C103" s="1495" t="s">
        <v>3315</v>
      </c>
      <c r="D103" s="1496"/>
      <c r="E103" s="1496"/>
      <c r="F103" s="1497"/>
      <c r="G103" s="1497"/>
      <c r="H103" s="1497"/>
      <c r="I103" s="1497"/>
      <c r="J103" s="1497"/>
      <c r="K103" s="1497"/>
      <c r="L103" s="1497"/>
      <c r="M103" s="1425"/>
      <c r="N103" s="1498"/>
      <c r="O103" s="1425">
        <f>O104+O105</f>
        <v>26.66</v>
      </c>
      <c r="P103" s="1499"/>
      <c r="Q103" s="1495"/>
      <c r="R103" s="1500">
        <f>R104+R105</f>
        <v>0</v>
      </c>
    </row>
    <row r="104" spans="1:18" ht="33">
      <c r="A104" s="1406" t="s">
        <v>3841</v>
      </c>
      <c r="B104" s="1457"/>
      <c r="C104" s="1413" t="s">
        <v>5371</v>
      </c>
      <c r="D104" s="1362" t="s">
        <v>4358</v>
      </c>
      <c r="E104" s="1443" t="s">
        <v>3316</v>
      </c>
      <c r="F104" s="1415"/>
      <c r="G104" s="1415"/>
      <c r="H104" s="1415">
        <v>5.16</v>
      </c>
      <c r="I104" s="1415"/>
      <c r="J104" s="1415"/>
      <c r="K104" s="1415" t="s">
        <v>5827</v>
      </c>
      <c r="L104" s="1418">
        <v>12000</v>
      </c>
      <c r="M104" s="1412">
        <f t="shared" si="9"/>
        <v>0.12</v>
      </c>
      <c r="N104" s="1418">
        <v>43</v>
      </c>
      <c r="O104" s="1412">
        <f t="shared" si="10"/>
        <v>5.16</v>
      </c>
      <c r="P104" s="1343" t="s">
        <v>5805</v>
      </c>
      <c r="Q104" s="1413">
        <f>'Abs12. NVHCP'!Q10</f>
        <v>0</v>
      </c>
      <c r="R104" s="1414">
        <f>'Abs12. NVHCP'!R10</f>
        <v>0</v>
      </c>
    </row>
    <row r="105" spans="1:18" ht="33">
      <c r="A105" s="1406" t="s">
        <v>3842</v>
      </c>
      <c r="B105" s="1457"/>
      <c r="C105" s="1413" t="s">
        <v>5372</v>
      </c>
      <c r="D105" s="1362" t="s">
        <v>4358</v>
      </c>
      <c r="E105" s="1443" t="s">
        <v>3316</v>
      </c>
      <c r="F105" s="1415"/>
      <c r="G105" s="1415"/>
      <c r="H105" s="1415">
        <v>21.5</v>
      </c>
      <c r="I105" s="1415"/>
      <c r="J105" s="1415"/>
      <c r="K105" s="1415" t="s">
        <v>5828</v>
      </c>
      <c r="L105" s="1418">
        <v>50000</v>
      </c>
      <c r="M105" s="1412">
        <f t="shared" si="9"/>
        <v>0.5</v>
      </c>
      <c r="N105" s="1418">
        <v>43</v>
      </c>
      <c r="O105" s="1412">
        <f t="shared" si="10"/>
        <v>21.5</v>
      </c>
      <c r="P105" s="1343" t="s">
        <v>5805</v>
      </c>
      <c r="Q105" s="1413">
        <f>'Abs12. NVHCP'!Q11</f>
        <v>0</v>
      </c>
      <c r="R105" s="1414">
        <f>'Abs12. NVHCP'!R11</f>
        <v>0</v>
      </c>
    </row>
    <row r="106" spans="1:18" s="1459" customFormat="1" ht="105.75" customHeight="1">
      <c r="A106" s="1406" t="s">
        <v>3798</v>
      </c>
      <c r="B106" s="1457"/>
      <c r="C106" s="1501" t="s">
        <v>4601</v>
      </c>
      <c r="D106" s="1408" t="s">
        <v>90</v>
      </c>
      <c r="E106" s="1443" t="s">
        <v>193</v>
      </c>
      <c r="F106" s="1444"/>
      <c r="G106" s="1444"/>
      <c r="H106" s="1444"/>
      <c r="I106" s="1444"/>
      <c r="J106" s="1444"/>
      <c r="K106" s="1444" t="s">
        <v>5837</v>
      </c>
      <c r="L106" s="1418">
        <v>100000</v>
      </c>
      <c r="M106" s="1447">
        <f>L106/100000</f>
        <v>1</v>
      </c>
      <c r="N106" s="1418">
        <v>5</v>
      </c>
      <c r="O106" s="1447">
        <f>N106*M106</f>
        <v>5</v>
      </c>
      <c r="P106" s="1343" t="s">
        <v>6802</v>
      </c>
      <c r="Q106" s="1406">
        <f>'Ab1. RMNCH+A'!Q293</f>
        <v>0</v>
      </c>
      <c r="R106" s="1448">
        <f>'Ab1. RMNCH+A'!R293</f>
        <v>0</v>
      </c>
    </row>
    <row r="107" spans="1:18">
      <c r="A107" s="1406" t="s">
        <v>4146</v>
      </c>
      <c r="B107" s="1413" t="s">
        <v>2681</v>
      </c>
      <c r="C107" s="1454" t="s">
        <v>1310</v>
      </c>
      <c r="D107" s="1360" t="s">
        <v>70</v>
      </c>
      <c r="E107" s="1443" t="s">
        <v>70</v>
      </c>
      <c r="F107" s="1415"/>
      <c r="G107" s="1452"/>
      <c r="H107" s="1417"/>
      <c r="I107" s="1417"/>
      <c r="J107" s="1415"/>
      <c r="K107" s="1415"/>
      <c r="L107" s="1418"/>
      <c r="M107" s="1412">
        <f t="shared" si="9"/>
        <v>0</v>
      </c>
      <c r="N107" s="1418"/>
      <c r="O107" s="1412">
        <f t="shared" si="10"/>
        <v>0</v>
      </c>
      <c r="P107" s="1343"/>
      <c r="Q107" s="1460"/>
      <c r="R107" s="1461"/>
    </row>
    <row r="108" spans="1:18">
      <c r="A108" s="1397" t="s">
        <v>2074</v>
      </c>
      <c r="B108" s="1398"/>
      <c r="C108" s="1399" t="s">
        <v>2075</v>
      </c>
      <c r="D108" s="1400"/>
      <c r="E108" s="1401"/>
      <c r="F108" s="1422"/>
      <c r="G108" s="1422"/>
      <c r="H108" s="1422"/>
      <c r="I108" s="1422"/>
      <c r="J108" s="1422"/>
      <c r="K108" s="1423"/>
      <c r="L108" s="1424"/>
      <c r="M108" s="1425"/>
      <c r="N108" s="1426"/>
      <c r="O108" s="1425">
        <f>SUM(O109:O114)</f>
        <v>104.84</v>
      </c>
      <c r="P108" s="1427"/>
      <c r="Q108" s="1399"/>
      <c r="R108" s="1404">
        <f>SUM(R109:R114)</f>
        <v>0</v>
      </c>
    </row>
    <row r="109" spans="1:18" ht="33">
      <c r="A109" s="1406" t="s">
        <v>2076</v>
      </c>
      <c r="B109" s="1407" t="s">
        <v>2077</v>
      </c>
      <c r="C109" s="1454" t="s">
        <v>2078</v>
      </c>
      <c r="D109" s="1360" t="s">
        <v>70</v>
      </c>
      <c r="E109" s="1409" t="s">
        <v>70</v>
      </c>
      <c r="F109" s="1415"/>
      <c r="G109" s="1415"/>
      <c r="H109" s="1420"/>
      <c r="I109" s="1420"/>
      <c r="J109" s="1415"/>
      <c r="K109" s="1415"/>
      <c r="L109" s="1418">
        <v>6500000</v>
      </c>
      <c r="M109" s="1412">
        <f t="shared" ref="M109:M114" si="11">L109/100000</f>
        <v>65</v>
      </c>
      <c r="N109" s="1418">
        <v>1</v>
      </c>
      <c r="O109" s="1412">
        <f t="shared" ref="O109:O114" si="12">N109*M109</f>
        <v>65</v>
      </c>
      <c r="P109" s="1343" t="s">
        <v>6305</v>
      </c>
      <c r="Q109" s="1460"/>
      <c r="R109" s="1461"/>
    </row>
    <row r="110" spans="1:18" ht="33">
      <c r="A110" s="1406" t="s">
        <v>2079</v>
      </c>
      <c r="B110" s="1407" t="s">
        <v>2080</v>
      </c>
      <c r="C110" s="1407" t="s">
        <v>4379</v>
      </c>
      <c r="D110" s="1365" t="s">
        <v>85</v>
      </c>
      <c r="E110" s="1409" t="s">
        <v>1034</v>
      </c>
      <c r="F110" s="1415"/>
      <c r="G110" s="1415"/>
      <c r="H110" s="1420"/>
      <c r="I110" s="1420"/>
      <c r="J110" s="1415"/>
      <c r="K110" s="1415"/>
      <c r="L110" s="1418"/>
      <c r="M110" s="1412">
        <f t="shared" si="11"/>
        <v>0</v>
      </c>
      <c r="N110" s="1418"/>
      <c r="O110" s="1412">
        <f t="shared" si="12"/>
        <v>0</v>
      </c>
      <c r="P110" s="1343"/>
      <c r="Q110" s="1413">
        <f>'Abs23. NPPCF'!Q9</f>
        <v>0</v>
      </c>
      <c r="R110" s="1414">
        <f>'Abs23. NPPCF'!R9</f>
        <v>0</v>
      </c>
    </row>
    <row r="111" spans="1:18" ht="33">
      <c r="A111" s="1406" t="s">
        <v>2081</v>
      </c>
      <c r="B111" s="1407" t="s">
        <v>2082</v>
      </c>
      <c r="C111" s="1407" t="s">
        <v>4380</v>
      </c>
      <c r="D111" s="1365" t="s">
        <v>85</v>
      </c>
      <c r="E111" s="1409" t="s">
        <v>1034</v>
      </c>
      <c r="F111" s="1415"/>
      <c r="G111" s="1415"/>
      <c r="H111" s="1420"/>
      <c r="I111" s="1420"/>
      <c r="J111" s="1415"/>
      <c r="K111" s="1415" t="s">
        <v>6404</v>
      </c>
      <c r="L111" s="1418">
        <v>300000</v>
      </c>
      <c r="M111" s="1412">
        <f t="shared" si="11"/>
        <v>3</v>
      </c>
      <c r="N111" s="1343">
        <v>11</v>
      </c>
      <c r="O111" s="1412">
        <f t="shared" si="12"/>
        <v>33</v>
      </c>
      <c r="P111" s="1343" t="s">
        <v>6405</v>
      </c>
      <c r="Q111" s="1413">
        <f>'Abs23. NPPCF'!Q10</f>
        <v>0</v>
      </c>
      <c r="R111" s="1414">
        <f>'Abs23. NPPCF'!R10</f>
        <v>0</v>
      </c>
    </row>
    <row r="112" spans="1:18" ht="82.5">
      <c r="A112" s="1406" t="s">
        <v>2083</v>
      </c>
      <c r="B112" s="1407" t="s">
        <v>2084</v>
      </c>
      <c r="C112" s="1407" t="s">
        <v>2085</v>
      </c>
      <c r="D112" s="1408" t="s">
        <v>90</v>
      </c>
      <c r="E112" s="1409" t="s">
        <v>205</v>
      </c>
      <c r="F112" s="1415"/>
      <c r="G112" s="1452"/>
      <c r="H112" s="1417"/>
      <c r="I112" s="1417"/>
      <c r="J112" s="1415"/>
      <c r="K112" s="1415" t="s">
        <v>5852</v>
      </c>
      <c r="L112" s="1418">
        <v>1500</v>
      </c>
      <c r="M112" s="1412">
        <f t="shared" si="11"/>
        <v>1.4999999999999999E-2</v>
      </c>
      <c r="N112" s="1418">
        <v>456</v>
      </c>
      <c r="O112" s="1412">
        <f t="shared" si="12"/>
        <v>6.84</v>
      </c>
      <c r="P112" s="1343" t="s">
        <v>5853</v>
      </c>
      <c r="Q112" s="1413">
        <f>'Ab1. RMNCH+A'!Q396</f>
        <v>0</v>
      </c>
      <c r="R112" s="1414">
        <f>'Ab1. RMNCH+A'!R396</f>
        <v>0</v>
      </c>
    </row>
    <row r="113" spans="1:18" ht="33">
      <c r="A113" s="1406" t="s">
        <v>2086</v>
      </c>
      <c r="B113" s="1407" t="s">
        <v>1379</v>
      </c>
      <c r="C113" s="1407" t="s">
        <v>2846</v>
      </c>
      <c r="D113" s="1365" t="s">
        <v>85</v>
      </c>
      <c r="E113" s="1409" t="s">
        <v>314</v>
      </c>
      <c r="F113" s="1415"/>
      <c r="G113" s="1452"/>
      <c r="H113" s="1417"/>
      <c r="I113" s="1417"/>
      <c r="J113" s="1452"/>
      <c r="K113" s="1415"/>
      <c r="L113" s="1418"/>
      <c r="M113" s="1412">
        <f t="shared" si="11"/>
        <v>0</v>
      </c>
      <c r="N113" s="1418"/>
      <c r="O113" s="1412">
        <f t="shared" si="12"/>
        <v>0</v>
      </c>
      <c r="P113" s="1343"/>
      <c r="Q113" s="1413">
        <f>'Abs25. NPPC'!Q7</f>
        <v>0</v>
      </c>
      <c r="R113" s="1414">
        <f>'Abs25. NPPC'!R7</f>
        <v>0</v>
      </c>
    </row>
    <row r="114" spans="1:18">
      <c r="A114" s="1406" t="s">
        <v>2680</v>
      </c>
      <c r="B114" s="1406"/>
      <c r="C114" s="1413" t="s">
        <v>1310</v>
      </c>
      <c r="D114" s="1360" t="s">
        <v>70</v>
      </c>
      <c r="E114" s="1409" t="s">
        <v>70</v>
      </c>
      <c r="F114" s="1415"/>
      <c r="G114" s="1452"/>
      <c r="H114" s="1417"/>
      <c r="I114" s="1417"/>
      <c r="J114" s="1415"/>
      <c r="K114" s="1410"/>
      <c r="L114" s="1418"/>
      <c r="M114" s="1412">
        <f t="shared" si="11"/>
        <v>0</v>
      </c>
      <c r="N114" s="1418"/>
      <c r="O114" s="1412">
        <f t="shared" si="12"/>
        <v>0</v>
      </c>
      <c r="P114" s="1343"/>
      <c r="Q114" s="1460"/>
      <c r="R114" s="1461"/>
    </row>
    <row r="119" spans="1:18">
      <c r="H119" s="1503"/>
    </row>
  </sheetData>
  <sheetProtection sheet="1" formatCells="0" formatColumns="0" formatRows="0" autoFilter="0"/>
  <autoFilter ref="A6:IQ114">
    <filterColumn colId="4"/>
  </autoFilter>
  <mergeCells count="15">
    <mergeCell ref="AP1:BA1"/>
    <mergeCell ref="A1:C1"/>
    <mergeCell ref="F5:J5"/>
    <mergeCell ref="A5:A6"/>
    <mergeCell ref="B5:B6"/>
    <mergeCell ref="C5:C6"/>
    <mergeCell ref="D5:D6"/>
    <mergeCell ref="E5:E6"/>
    <mergeCell ref="F1:N1"/>
    <mergeCell ref="A2:A4"/>
    <mergeCell ref="E1:E2"/>
    <mergeCell ref="K5:P5"/>
    <mergeCell ref="Q5:R5"/>
    <mergeCell ref="AI1:AO1"/>
    <mergeCell ref="O1:AH1"/>
  </mergeCells>
  <phoneticPr fontId="27" type="noConversion"/>
  <pageMargins left="0.7" right="0.24" top="0.24" bottom="0.16" header="0.3" footer="0.16"/>
  <pageSetup paperSize="5" scale="70"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33</vt:i4>
      </vt:variant>
    </vt:vector>
  </HeadingPairs>
  <TitlesOfParts>
    <vt:vector size="94" baseType="lpstr">
      <vt:lpstr>Index</vt:lpstr>
      <vt:lpstr>Sources of Funding</vt:lpstr>
      <vt:lpstr>Dist Allocation and Sub Plan</vt:lpstr>
      <vt:lpstr>List of Key deliverables</vt:lpstr>
      <vt:lpstr>Summary Table</vt:lpstr>
      <vt:lpstr>Budget Summary I</vt:lpstr>
      <vt:lpstr>Budget Summary II</vt:lpstr>
      <vt:lpstr>NUHM Summary</vt:lpstr>
      <vt:lpstr>1.SD Facility Based Annex</vt:lpstr>
      <vt:lpstr>2.SD Community Based Annex</vt:lpstr>
      <vt:lpstr>3.Community Intervention Annexn</vt:lpstr>
      <vt:lpstr>3-A. CI Sub-Annex</vt:lpstr>
      <vt:lpstr>4.Untied grants Annex</vt:lpstr>
      <vt:lpstr>5.Infrastructure Annex</vt:lpstr>
      <vt:lpstr>6.Procurement Annex</vt:lpstr>
      <vt:lpstr>6-A. Proc. Sub-Annex</vt:lpstr>
      <vt:lpstr>7.Referral Transport Annex</vt:lpstr>
      <vt:lpstr>8.Human Resources (SD) Annex</vt:lpstr>
      <vt:lpstr>9.Training Annex</vt:lpstr>
      <vt:lpstr>9-A.Training Sub-Annex</vt:lpstr>
      <vt:lpstr>10.Review Research &amp; Surveillen</vt:lpstr>
      <vt:lpstr>11.IEC-BCC Annex</vt:lpstr>
      <vt:lpstr>11-A. IEC Sub-Annex</vt:lpstr>
      <vt:lpstr>12.Printing Annex</vt:lpstr>
      <vt:lpstr>12-A. Print Sub-Annex</vt:lpstr>
      <vt:lpstr>13.Quality Assurance Annex</vt:lpstr>
      <vt:lpstr>14.Drug warehouse &amp;Logistic Anx</vt:lpstr>
      <vt:lpstr>15.PPP Annex</vt:lpstr>
      <vt:lpstr>16.PM Annex</vt:lpstr>
      <vt:lpstr>16-A. PM sub Annex</vt:lpstr>
      <vt:lpstr>17.IT Initiatives_SD</vt:lpstr>
      <vt:lpstr>18.Innovation</vt:lpstr>
      <vt:lpstr>NUHM-Non Metro Abst</vt:lpstr>
      <vt:lpstr>NUHM Metro Abst</vt:lpstr>
      <vt:lpstr>Ab1. RMNCH+A</vt:lpstr>
      <vt:lpstr>Ab2. NIDDCP</vt:lpstr>
      <vt:lpstr>Ab3. ASHA</vt:lpstr>
      <vt:lpstr>Ab4. HMIS-MCTS</vt:lpstr>
      <vt:lpstr>Abs5. Blood services &amp; Disorder</vt:lpstr>
      <vt:lpstr>Abs6. CPHC</vt:lpstr>
      <vt:lpstr>Abs7. AYUSH</vt:lpstr>
      <vt:lpstr>Abs8. IDSP</vt:lpstr>
      <vt:lpstr>Abs9. NVBDCP</vt:lpstr>
      <vt:lpstr>Abs10. NLEP</vt:lpstr>
      <vt:lpstr>Abs11. NTEP</vt:lpstr>
      <vt:lpstr>Abs12. NVHCP</vt:lpstr>
      <vt:lpstr>Abs13. NRCP</vt:lpstr>
      <vt:lpstr>Abs14. PPCL</vt:lpstr>
      <vt:lpstr>Abs17. NPHCE</vt:lpstr>
      <vt:lpstr>Abs18. NTCP</vt:lpstr>
      <vt:lpstr>Abs19. NPCDCS</vt:lpstr>
      <vt:lpstr>Abs20. PMNDP</vt:lpstr>
      <vt:lpstr>Abs21. NPCCHH</vt:lpstr>
      <vt:lpstr>Abs22. NPPCD</vt:lpstr>
      <vt:lpstr>Abs23. NPPCF</vt:lpstr>
      <vt:lpstr>Abs24. NOHP</vt:lpstr>
      <vt:lpstr>Abs25. NPPC</vt:lpstr>
      <vt:lpstr>Abs26. Burns &amp; Injury</vt:lpstr>
      <vt:lpstr>Abs15. NPCB</vt:lpstr>
      <vt:lpstr>Abs16. NMHP</vt:lpstr>
      <vt:lpstr>Capex Expenditure</vt:lpstr>
      <vt:lpstr>Index!_Toc22639849</vt:lpstr>
      <vt:lpstr>Index!_Toc22639861</vt:lpstr>
      <vt:lpstr>Index!_Toc22639862</vt:lpstr>
      <vt:lpstr>A96\</vt:lpstr>
      <vt:lpstr>'16-A. PM sub Annex'!Print_Area</vt:lpstr>
      <vt:lpstr>'Budget Summary II'!Print_Area</vt:lpstr>
      <vt:lpstr>'1.SD Facility Based Annex'!Print_Titles</vt:lpstr>
      <vt:lpstr>'10.Review Research &amp; Surveillen'!Print_Titles</vt:lpstr>
      <vt:lpstr>'11.IEC-BCC Annex'!Print_Titles</vt:lpstr>
      <vt:lpstr>'11-A. IEC Sub-Annex'!Print_Titles</vt:lpstr>
      <vt:lpstr>'12.Printing Annex'!Print_Titles</vt:lpstr>
      <vt:lpstr>'12-A. Print Sub-Annex'!Print_Titles</vt:lpstr>
      <vt:lpstr>'13.Quality Assurance Annex'!Print_Titles</vt:lpstr>
      <vt:lpstr>'14.Drug warehouse &amp;Logistic Anx'!Print_Titles</vt:lpstr>
      <vt:lpstr>'15.PPP Annex'!Print_Titles</vt:lpstr>
      <vt:lpstr>'16.PM Annex'!Print_Titles</vt:lpstr>
      <vt:lpstr>'16-A. PM sub Annex'!Print_Titles</vt:lpstr>
      <vt:lpstr>'17.IT Initiatives_SD'!Print_Titles</vt:lpstr>
      <vt:lpstr>'18.Innovation'!Print_Titles</vt:lpstr>
      <vt:lpstr>'2.SD Community Based Annex'!Print_Titles</vt:lpstr>
      <vt:lpstr>'3.Community Intervention Annexn'!Print_Titles</vt:lpstr>
      <vt:lpstr>'3-A. CI Sub-Annex'!Print_Titles</vt:lpstr>
      <vt:lpstr>'4.Untied grants Annex'!Print_Titles</vt:lpstr>
      <vt:lpstr>'5.Infrastructure Annex'!Print_Titles</vt:lpstr>
      <vt:lpstr>'6.Procurement Annex'!Print_Titles</vt:lpstr>
      <vt:lpstr>'6-A. Proc. Sub-Annex'!Print_Titles</vt:lpstr>
      <vt:lpstr>'7.Referral Transport Annex'!Print_Titles</vt:lpstr>
      <vt:lpstr>'8.Human Resources (SD) Annex'!Print_Titles</vt:lpstr>
      <vt:lpstr>'9.Training Annex'!Print_Titles</vt:lpstr>
      <vt:lpstr>'9-A.Training Sub-Annex'!Print_Titles</vt:lpstr>
      <vt:lpstr>'Ab1. RMNCH+A'!Print_Titles</vt:lpstr>
      <vt:lpstr>'Abs12. NVHCP'!Print_Titles</vt:lpstr>
      <vt:lpstr>'NUHM-Non Metro Abst'!Print_Titles</vt:lpstr>
    </vt:vector>
  </TitlesOfParts>
  <Company>Deloitte Touche Tohmatsu Services,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NHM, MoHFW</dc:creator>
  <cp:lastModifiedBy>hp</cp:lastModifiedBy>
  <cp:lastPrinted>2021-05-10T08:13:15Z</cp:lastPrinted>
  <dcterms:created xsi:type="dcterms:W3CDTF">2017-11-03T10:05:11Z</dcterms:created>
  <dcterms:modified xsi:type="dcterms:W3CDTF">2021-05-10T09:14:05Z</dcterms:modified>
</cp:coreProperties>
</file>